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1415" yWindow="15" windowWidth="17415" windowHeight="12900" tabRatio="891" firstSheet="3" activeTab="8"/>
  </bookViews>
  <sheets>
    <sheet name="Waste Input" sheetId="1" r:id="rId1"/>
    <sheet name="Waste Collection" sheetId="2" r:id="rId2"/>
    <sheet name="MRF &amp; RDF Sorting" sheetId="3" r:id="rId3"/>
    <sheet name="Biological Treatment" sheetId="4" r:id="rId4"/>
    <sheet name="Thermal Treatment" sheetId="5" r:id="rId5"/>
    <sheet name="Landfilling" sheetId="6" r:id="rId6"/>
    <sheet name="Materials Recycling" sheetId="7" r:id="rId7"/>
    <sheet name="Advanced Variables" sheetId="8" r:id="rId8"/>
    <sheet name="Streams" sheetId="10" r:id="rId9"/>
    <sheet name="Waste Flow Summary" sheetId="9" r:id="rId10"/>
    <sheet name="Results" sheetId="11" r:id="rId11"/>
  </sheets>
  <calcPr calcId="125725"/>
</workbook>
</file>

<file path=xl/calcChain.xml><?xml version="1.0" encoding="utf-8"?>
<calcChain xmlns="http://schemas.openxmlformats.org/spreadsheetml/2006/main">
  <c r="G123" i="2"/>
  <c r="F123"/>
  <c r="E123"/>
  <c r="D123"/>
  <c r="C123"/>
  <c r="H7" i="3"/>
  <c r="G7"/>
  <c r="F7"/>
  <c r="E7"/>
  <c r="D7"/>
  <c r="C7"/>
  <c r="B7"/>
  <c r="E238" i="10" s="1"/>
  <c r="E102" i="2"/>
  <c r="F102"/>
  <c r="N504" i="8"/>
  <c r="N527"/>
  <c r="N526"/>
  <c r="N525"/>
  <c r="N524"/>
  <c r="N523"/>
  <c r="N522"/>
  <c r="N521"/>
  <c r="N520"/>
  <c r="N519"/>
  <c r="N518"/>
  <c r="N517"/>
  <c r="N516"/>
  <c r="N515"/>
  <c r="N514"/>
  <c r="N513"/>
  <c r="N512"/>
  <c r="N511"/>
  <c r="N510"/>
  <c r="N509"/>
  <c r="N508"/>
  <c r="N507"/>
  <c r="N506"/>
  <c r="N505"/>
  <c r="N503"/>
  <c r="N502"/>
  <c r="N501"/>
  <c r="K502"/>
  <c r="J502"/>
  <c r="K501"/>
  <c r="J501"/>
  <c r="F376"/>
  <c r="E376"/>
  <c r="F375"/>
  <c r="E375"/>
  <c r="F373"/>
  <c r="E373"/>
  <c r="F372"/>
  <c r="E372"/>
  <c r="F371"/>
  <c r="E371"/>
  <c r="F370"/>
  <c r="E370"/>
  <c r="F369"/>
  <c r="E369"/>
  <c r="F366"/>
  <c r="E366"/>
  <c r="F365"/>
  <c r="E365"/>
  <c r="F364"/>
  <c r="E364"/>
  <c r="F362"/>
  <c r="E362"/>
  <c r="F361"/>
  <c r="E361"/>
  <c r="F360"/>
  <c r="E360"/>
  <c r="F357"/>
  <c r="E357"/>
  <c r="F355"/>
  <c r="E355"/>
  <c r="F354"/>
  <c r="E354"/>
  <c r="F353"/>
  <c r="E353"/>
  <c r="F351"/>
  <c r="E351"/>
  <c r="I434"/>
  <c r="F434"/>
  <c r="F350"/>
  <c r="E350"/>
  <c r="F347"/>
  <c r="E347"/>
  <c r="F346"/>
  <c r="E346"/>
  <c r="F345"/>
  <c r="E345"/>
  <c r="F344"/>
  <c r="E344"/>
  <c r="F343"/>
  <c r="E343"/>
  <c r="F340"/>
  <c r="E340"/>
  <c r="F338"/>
  <c r="E338"/>
  <c r="F333"/>
  <c r="E333"/>
  <c r="F330"/>
  <c r="E330"/>
  <c r="K486"/>
  <c r="K483"/>
  <c r="I487"/>
  <c r="I486"/>
  <c r="I485"/>
  <c r="I483"/>
  <c r="H488"/>
  <c r="H487"/>
  <c r="H486"/>
  <c r="H483"/>
  <c r="F490"/>
  <c r="F489"/>
  <c r="F488"/>
  <c r="F487"/>
  <c r="F486"/>
  <c r="F485"/>
  <c r="F484"/>
  <c r="F483"/>
  <c r="E490"/>
  <c r="E489"/>
  <c r="E488"/>
  <c r="E487"/>
  <c r="E486"/>
  <c r="E485"/>
  <c r="E484"/>
  <c r="E483"/>
  <c r="D490"/>
  <c r="D489"/>
  <c r="D488"/>
  <c r="D487"/>
  <c r="D486"/>
  <c r="D485"/>
  <c r="D484"/>
  <c r="D483"/>
  <c r="L466"/>
  <c r="K466"/>
  <c r="J466"/>
  <c r="I466"/>
  <c r="H466"/>
  <c r="E466"/>
  <c r="D466"/>
  <c r="L454"/>
  <c r="K454"/>
  <c r="J454"/>
  <c r="I454"/>
  <c r="H454"/>
  <c r="E454"/>
  <c r="D454"/>
  <c r="P158"/>
  <c r="P156"/>
  <c r="P154"/>
  <c r="P153"/>
  <c r="I444"/>
  <c r="F444"/>
  <c r="I441"/>
  <c r="I440"/>
  <c r="I439"/>
  <c r="I438"/>
  <c r="F441"/>
  <c r="F440"/>
  <c r="F439"/>
  <c r="F438"/>
  <c r="I433"/>
  <c r="I429"/>
  <c r="I442"/>
  <c r="I437"/>
  <c r="I436"/>
  <c r="I435"/>
  <c r="I431"/>
  <c r="I430"/>
  <c r="I428"/>
  <c r="I427"/>
  <c r="I426"/>
  <c r="I424"/>
  <c r="I422"/>
  <c r="I421"/>
  <c r="I420"/>
  <c r="I419"/>
  <c r="I418"/>
  <c r="I417"/>
  <c r="I414"/>
  <c r="I413"/>
  <c r="I412"/>
  <c r="I411"/>
  <c r="I410"/>
  <c r="I409"/>
  <c r="I408"/>
  <c r="I407"/>
  <c r="I406"/>
  <c r="I405"/>
  <c r="I404"/>
  <c r="I403"/>
  <c r="I402"/>
  <c r="I401"/>
  <c r="I400"/>
  <c r="I399"/>
  <c r="I398"/>
  <c r="I397"/>
  <c r="I396"/>
  <c r="I395"/>
  <c r="I394"/>
  <c r="I393"/>
  <c r="I392"/>
  <c r="I389"/>
  <c r="F433"/>
  <c r="F429"/>
  <c r="F442"/>
  <c r="F437"/>
  <c r="F436"/>
  <c r="F435"/>
  <c r="F431"/>
  <c r="F430"/>
  <c r="F428"/>
  <c r="F427"/>
  <c r="F426"/>
  <c r="F424"/>
  <c r="F422"/>
  <c r="F421"/>
  <c r="F420"/>
  <c r="F419"/>
  <c r="F418"/>
  <c r="F417"/>
  <c r="F414"/>
  <c r="F413"/>
  <c r="F412"/>
  <c r="F411"/>
  <c r="F410"/>
  <c r="F409"/>
  <c r="F408"/>
  <c r="F407"/>
  <c r="F406"/>
  <c r="F405"/>
  <c r="F404"/>
  <c r="F403"/>
  <c r="F402"/>
  <c r="F401"/>
  <c r="F400"/>
  <c r="F399"/>
  <c r="F398"/>
  <c r="F397"/>
  <c r="F396"/>
  <c r="F395"/>
  <c r="F394"/>
  <c r="F393"/>
  <c r="F392"/>
  <c r="F389"/>
  <c r="F336"/>
  <c r="E336"/>
  <c r="D336"/>
  <c r="C146"/>
  <c r="C14" i="11"/>
  <c r="C13"/>
  <c r="B12" i="9"/>
  <c r="P38"/>
  <c r="P14"/>
  <c r="L8"/>
  <c r="A5"/>
  <c r="A4"/>
  <c r="A6" s="1"/>
  <c r="A3"/>
  <c r="E237" i="10"/>
  <c r="E235"/>
  <c r="E234"/>
  <c r="E233"/>
  <c r="E232"/>
  <c r="E231"/>
  <c r="E230"/>
  <c r="E229"/>
  <c r="E228"/>
  <c r="H178"/>
  <c r="F178"/>
  <c r="G177"/>
  <c r="F176"/>
  <c r="F174"/>
  <c r="F173"/>
  <c r="F171"/>
  <c r="F172"/>
  <c r="F170"/>
  <c r="F169"/>
  <c r="E169"/>
  <c r="F168"/>
  <c r="F167"/>
  <c r="E166"/>
  <c r="F166"/>
  <c r="F165"/>
  <c r="I152"/>
  <c r="H152"/>
  <c r="D148"/>
  <c r="E148"/>
  <c r="F148"/>
  <c r="G148"/>
  <c r="H148"/>
  <c r="I147"/>
  <c r="H147"/>
  <c r="G147"/>
  <c r="F147"/>
  <c r="E147"/>
  <c r="D147"/>
  <c r="C147"/>
  <c r="K25"/>
  <c r="J25"/>
  <c r="I25"/>
  <c r="H25"/>
  <c r="K24"/>
  <c r="J24"/>
  <c r="I24"/>
  <c r="H24"/>
  <c r="K23"/>
  <c r="J23"/>
  <c r="I23"/>
  <c r="H23"/>
  <c r="K22"/>
  <c r="J22"/>
  <c r="I22"/>
  <c r="H22"/>
  <c r="K21"/>
  <c r="J21"/>
  <c r="I21"/>
  <c r="H21"/>
  <c r="G21"/>
  <c r="F21"/>
  <c r="E21"/>
  <c r="D21"/>
  <c r="C21"/>
  <c r="J20"/>
  <c r="H20"/>
  <c r="G20"/>
  <c r="C20"/>
  <c r="K19"/>
  <c r="H19"/>
  <c r="G19"/>
  <c r="F19"/>
  <c r="E19"/>
  <c r="D19"/>
  <c r="H18"/>
  <c r="G18"/>
  <c r="F18"/>
  <c r="E18"/>
  <c r="D18"/>
  <c r="K17"/>
  <c r="J17"/>
  <c r="I17"/>
  <c r="E17"/>
  <c r="F17"/>
  <c r="G17"/>
  <c r="H17"/>
  <c r="D17"/>
  <c r="C17"/>
  <c r="K15"/>
  <c r="J15"/>
  <c r="I15"/>
  <c r="H15"/>
  <c r="G15"/>
  <c r="F15"/>
  <c r="E15"/>
  <c r="D15"/>
  <c r="C15"/>
  <c r="J14"/>
  <c r="H14"/>
  <c r="G14"/>
  <c r="C14"/>
  <c r="J16"/>
  <c r="I16"/>
  <c r="H16"/>
  <c r="G16"/>
  <c r="F16"/>
  <c r="E16"/>
  <c r="D16"/>
  <c r="C16"/>
  <c r="K138"/>
  <c r="J138"/>
  <c r="I138"/>
  <c r="H138"/>
  <c r="K136"/>
  <c r="J136"/>
  <c r="I136"/>
  <c r="H136"/>
  <c r="K135"/>
  <c r="J135"/>
  <c r="I135"/>
  <c r="H135"/>
  <c r="K133"/>
  <c r="J133"/>
  <c r="I133"/>
  <c r="H133"/>
  <c r="K131"/>
  <c r="J131"/>
  <c r="I131"/>
  <c r="H131"/>
  <c r="K123"/>
  <c r="H123"/>
  <c r="G123"/>
  <c r="F123"/>
  <c r="E123"/>
  <c r="D123"/>
  <c r="O123" s="1"/>
  <c r="K119"/>
  <c r="J119"/>
  <c r="I119"/>
  <c r="H119"/>
  <c r="K118"/>
  <c r="J118"/>
  <c r="I118"/>
  <c r="H118"/>
  <c r="K117"/>
  <c r="J117"/>
  <c r="I117"/>
  <c r="H117"/>
  <c r="K115"/>
  <c r="J115"/>
  <c r="I115"/>
  <c r="H115"/>
  <c r="K114"/>
  <c r="J114"/>
  <c r="I114"/>
  <c r="H114"/>
  <c r="K113"/>
  <c r="J113"/>
  <c r="I113"/>
  <c r="H113"/>
  <c r="K112"/>
  <c r="J112"/>
  <c r="I112"/>
  <c r="H112"/>
  <c r="K111"/>
  <c r="J111"/>
  <c r="I111"/>
  <c r="H111"/>
  <c r="K109"/>
  <c r="J109"/>
  <c r="I109"/>
  <c r="H109"/>
  <c r="K108"/>
  <c r="J108"/>
  <c r="I108"/>
  <c r="H108"/>
  <c r="K107"/>
  <c r="J107"/>
  <c r="I107"/>
  <c r="H107"/>
  <c r="K101"/>
  <c r="H101"/>
  <c r="G101"/>
  <c r="F101"/>
  <c r="E101"/>
  <c r="D101"/>
  <c r="M101" s="1"/>
  <c r="K97"/>
  <c r="J97"/>
  <c r="I97"/>
  <c r="H97"/>
  <c r="J96"/>
  <c r="J95"/>
  <c r="J94"/>
  <c r="J93"/>
  <c r="K92"/>
  <c r="J92"/>
  <c r="I92"/>
  <c r="H92"/>
  <c r="K91"/>
  <c r="K105" s="1"/>
  <c r="J91"/>
  <c r="J105" s="1"/>
  <c r="I91"/>
  <c r="I105" s="1"/>
  <c r="H91"/>
  <c r="H105" s="1"/>
  <c r="I90"/>
  <c r="I154" s="1"/>
  <c r="H90"/>
  <c r="H154" s="1"/>
  <c r="J89"/>
  <c r="J88"/>
  <c r="J87"/>
  <c r="J86"/>
  <c r="K85"/>
  <c r="J85"/>
  <c r="I85"/>
  <c r="H85"/>
  <c r="K84"/>
  <c r="K103" s="1"/>
  <c r="J84"/>
  <c r="J103" s="1"/>
  <c r="I84"/>
  <c r="I103" s="1"/>
  <c r="H84"/>
  <c r="H103" s="1"/>
  <c r="I83"/>
  <c r="H83"/>
  <c r="K82"/>
  <c r="J82"/>
  <c r="I82"/>
  <c r="H82"/>
  <c r="J79"/>
  <c r="H79"/>
  <c r="G79"/>
  <c r="C79"/>
  <c r="J78"/>
  <c r="L78" s="1"/>
  <c r="J77"/>
  <c r="G77"/>
  <c r="H77"/>
  <c r="C77"/>
  <c r="J76"/>
  <c r="L76"/>
  <c r="K61"/>
  <c r="J61"/>
  <c r="I61"/>
  <c r="H61"/>
  <c r="M72"/>
  <c r="M71"/>
  <c r="M70"/>
  <c r="M57"/>
  <c r="M56"/>
  <c r="M55"/>
  <c r="BO28" i="6"/>
  <c r="BG29"/>
  <c r="AY28"/>
  <c r="AQ28"/>
  <c r="K47" i="10"/>
  <c r="J47"/>
  <c r="I47"/>
  <c r="H47"/>
  <c r="K35"/>
  <c r="K124" s="1"/>
  <c r="J35"/>
  <c r="J124" s="1"/>
  <c r="I35"/>
  <c r="I124" s="1"/>
  <c r="H35"/>
  <c r="H124" s="1"/>
  <c r="G35"/>
  <c r="G124" s="1"/>
  <c r="F35"/>
  <c r="F124" s="1"/>
  <c r="E35"/>
  <c r="E124" s="1"/>
  <c r="D35"/>
  <c r="D124" s="1"/>
  <c r="C35"/>
  <c r="C124" s="1"/>
  <c r="K34"/>
  <c r="K102" s="1"/>
  <c r="J34"/>
  <c r="J102" s="1"/>
  <c r="K31"/>
  <c r="J31"/>
  <c r="I31"/>
  <c r="H31"/>
  <c r="G31"/>
  <c r="F31"/>
  <c r="E31"/>
  <c r="D31"/>
  <c r="C31"/>
  <c r="K30"/>
  <c r="J30"/>
  <c r="I30"/>
  <c r="H30"/>
  <c r="G30"/>
  <c r="F30"/>
  <c r="E30"/>
  <c r="D30"/>
  <c r="C30"/>
  <c r="L35"/>
  <c r="J13"/>
  <c r="J11"/>
  <c r="I48" i="1"/>
  <c r="K11" i="10"/>
  <c r="H11"/>
  <c r="G11"/>
  <c r="F11"/>
  <c r="E11"/>
  <c r="D11"/>
  <c r="K48" i="1"/>
  <c r="J48"/>
  <c r="G48"/>
  <c r="F48"/>
  <c r="E48"/>
  <c r="D48"/>
  <c r="C48"/>
  <c r="K12" i="10"/>
  <c r="J12"/>
  <c r="I12"/>
  <c r="H12"/>
  <c r="G12"/>
  <c r="F12"/>
  <c r="E12"/>
  <c r="D12"/>
  <c r="C12"/>
  <c r="L20"/>
  <c r="L13"/>
  <c r="K10"/>
  <c r="J10"/>
  <c r="I10"/>
  <c r="H10"/>
  <c r="G10"/>
  <c r="F10"/>
  <c r="E10"/>
  <c r="D10"/>
  <c r="C10"/>
  <c r="J272" i="5"/>
  <c r="J271"/>
  <c r="I272"/>
  <c r="I271"/>
  <c r="H272"/>
  <c r="H271"/>
  <c r="G272"/>
  <c r="G271"/>
  <c r="F272"/>
  <c r="F271"/>
  <c r="E272"/>
  <c r="E271"/>
  <c r="F85" i="8"/>
  <c r="E85"/>
  <c r="D85"/>
  <c r="F83"/>
  <c r="E83"/>
  <c r="D83"/>
  <c r="F70"/>
  <c r="D88" s="1"/>
  <c r="C38" i="11" s="1"/>
  <c r="I38" s="1"/>
  <c r="K20" i="8"/>
  <c r="J191" i="6"/>
  <c r="D191"/>
  <c r="J166"/>
  <c r="D166"/>
  <c r="D156"/>
  <c r="BO70"/>
  <c r="BO68"/>
  <c r="BO59"/>
  <c r="BO58"/>
  <c r="BO57"/>
  <c r="BH78"/>
  <c r="BH77"/>
  <c r="BH60"/>
  <c r="BH59"/>
  <c r="BH58"/>
  <c r="BH57"/>
  <c r="AZ71"/>
  <c r="AZ58"/>
  <c r="AZ57"/>
  <c r="AR79"/>
  <c r="AR78"/>
  <c r="AR77"/>
  <c r="AR76"/>
  <c r="AR60"/>
  <c r="AR59"/>
  <c r="AR58"/>
  <c r="AR57"/>
  <c r="AJ78"/>
  <c r="AJ79"/>
  <c r="AJ77"/>
  <c r="AJ76"/>
  <c r="AJ60"/>
  <c r="AJ59"/>
  <c r="AJ58"/>
  <c r="AJ57"/>
  <c r="AB74"/>
  <c r="AB73"/>
  <c r="AB72"/>
  <c r="AB59"/>
  <c r="AB58"/>
  <c r="AB57"/>
  <c r="T74"/>
  <c r="T73"/>
  <c r="T72"/>
  <c r="T59"/>
  <c r="T58"/>
  <c r="T57"/>
  <c r="L74"/>
  <c r="L73"/>
  <c r="L72"/>
  <c r="L59"/>
  <c r="L58"/>
  <c r="L57"/>
  <c r="E76"/>
  <c r="E75"/>
  <c r="E58"/>
  <c r="E57"/>
  <c r="BO29"/>
  <c r="BO30"/>
  <c r="AR13"/>
  <c r="BP13"/>
  <c r="BG31"/>
  <c r="BG30"/>
  <c r="AY29"/>
  <c r="AY30"/>
  <c r="AQ29"/>
  <c r="AQ30"/>
  <c r="AI29"/>
  <c r="AI30"/>
  <c r="AJ13"/>
  <c r="AA29"/>
  <c r="AA30"/>
  <c r="AB13"/>
  <c r="S36"/>
  <c r="S37"/>
  <c r="K32"/>
  <c r="T13"/>
  <c r="L13"/>
  <c r="K31"/>
  <c r="E32"/>
  <c r="E31"/>
  <c r="E121" i="4"/>
  <c r="E120"/>
  <c r="I96"/>
  <c r="H96"/>
  <c r="G96"/>
  <c r="F96"/>
  <c r="E96"/>
  <c r="D96"/>
  <c r="E67"/>
  <c r="E66"/>
  <c r="I43"/>
  <c r="H43"/>
  <c r="G43"/>
  <c r="F43"/>
  <c r="E43"/>
  <c r="D43"/>
  <c r="C30"/>
  <c r="J122" i="3"/>
  <c r="I122"/>
  <c r="H122"/>
  <c r="G122"/>
  <c r="F122"/>
  <c r="E122"/>
  <c r="D122"/>
  <c r="C122"/>
  <c r="B122"/>
  <c r="F113"/>
  <c r="J63"/>
  <c r="I63"/>
  <c r="H63"/>
  <c r="G63"/>
  <c r="F63"/>
  <c r="E63"/>
  <c r="D63"/>
  <c r="C63"/>
  <c r="B63"/>
  <c r="F54"/>
  <c r="B36"/>
  <c r="I129" i="2"/>
  <c r="H129"/>
  <c r="G129"/>
  <c r="F129"/>
  <c r="C129"/>
  <c r="D129"/>
  <c r="E129"/>
  <c r="E6"/>
  <c r="J47" i="1"/>
  <c r="K128" i="2" s="1"/>
  <c r="K130" s="1"/>
  <c r="I47" i="1"/>
  <c r="J128" i="2" s="1"/>
  <c r="J46" i="1"/>
  <c r="K122" i="2" s="1"/>
  <c r="L92"/>
  <c r="J129" s="1"/>
  <c r="H47" i="1"/>
  <c r="I128" i="2" s="1"/>
  <c r="I130" s="1"/>
  <c r="G47" i="1"/>
  <c r="J91" i="2" s="1"/>
  <c r="F47" i="1"/>
  <c r="G128" i="2" s="1"/>
  <c r="G130" s="1"/>
  <c r="E47" i="1"/>
  <c r="H91" i="2" s="1"/>
  <c r="D47" i="1"/>
  <c r="E128" i="2" s="1"/>
  <c r="E130" s="1"/>
  <c r="C47" i="1"/>
  <c r="F91" i="2" s="1"/>
  <c r="B47" i="1"/>
  <c r="K47" s="1"/>
  <c r="L61" i="2"/>
  <c r="H29"/>
  <c r="H28"/>
  <c r="H27"/>
  <c r="L24"/>
  <c r="I46" i="1"/>
  <c r="J122" i="2" s="1"/>
  <c r="H46" i="1"/>
  <c r="I122" i="2" s="1"/>
  <c r="G46" i="1"/>
  <c r="H122" i="2" s="1"/>
  <c r="F46" i="1"/>
  <c r="G122" i="2" s="1"/>
  <c r="E46" i="1"/>
  <c r="H41" i="2" s="1"/>
  <c r="D46" i="1"/>
  <c r="E122" i="2" s="1"/>
  <c r="C46" i="1"/>
  <c r="F41" i="2" s="1"/>
  <c r="B46" i="1"/>
  <c r="C122" i="2" s="1"/>
  <c r="C124" s="1"/>
  <c r="F15"/>
  <c r="B15"/>
  <c r="J45" i="1"/>
  <c r="H45"/>
  <c r="B45"/>
  <c r="I35"/>
  <c r="B8"/>
  <c r="G11" i="2" s="1"/>
  <c r="G15" s="1"/>
  <c r="I17" i="1"/>
  <c r="K129" i="2"/>
  <c r="G178" i="10" l="1"/>
  <c r="F175"/>
  <c r="C26" i="11"/>
  <c r="C27"/>
  <c r="C15"/>
  <c r="C17" s="1"/>
  <c r="D89" i="8"/>
  <c r="A10" i="9"/>
  <c r="I62" i="10"/>
  <c r="I130" s="1"/>
  <c r="K128"/>
  <c r="K62"/>
  <c r="K130" s="1"/>
  <c r="I128"/>
  <c r="L17"/>
  <c r="L21"/>
  <c r="L147"/>
  <c r="I68"/>
  <c r="I66"/>
  <c r="I129" s="1"/>
  <c r="H128"/>
  <c r="H62"/>
  <c r="H63" s="1"/>
  <c r="H125"/>
  <c r="H67"/>
  <c r="J128"/>
  <c r="J62"/>
  <c r="J66" s="1"/>
  <c r="J129" s="1"/>
  <c r="J125"/>
  <c r="J67"/>
  <c r="K68"/>
  <c r="K66"/>
  <c r="K129" s="1"/>
  <c r="O124"/>
  <c r="F180" s="1"/>
  <c r="J63"/>
  <c r="I64"/>
  <c r="L148"/>
  <c r="K26"/>
  <c r="K143" s="1"/>
  <c r="I63"/>
  <c r="K63"/>
  <c r="I65"/>
  <c r="I81" s="1"/>
  <c r="K65"/>
  <c r="K81" s="1"/>
  <c r="I67"/>
  <c r="K67"/>
  <c r="I69"/>
  <c r="K69"/>
  <c r="I125"/>
  <c r="K125"/>
  <c r="L18"/>
  <c r="H26"/>
  <c r="H143" s="1"/>
  <c r="J26"/>
  <c r="J143" s="1"/>
  <c r="I26"/>
  <c r="I143" s="1"/>
  <c r="L79"/>
  <c r="L77"/>
  <c r="I48"/>
  <c r="I52" s="1"/>
  <c r="I126" s="1"/>
  <c r="K48"/>
  <c r="K52" s="1"/>
  <c r="K126" s="1"/>
  <c r="K50"/>
  <c r="I51"/>
  <c r="I80" s="1"/>
  <c r="K51"/>
  <c r="K80" s="1"/>
  <c r="I53"/>
  <c r="K53"/>
  <c r="I54"/>
  <c r="K54"/>
  <c r="H48"/>
  <c r="H52" s="1"/>
  <c r="H126" s="1"/>
  <c r="J48"/>
  <c r="J54" s="1"/>
  <c r="H49"/>
  <c r="J49"/>
  <c r="H50"/>
  <c r="J50"/>
  <c r="H51"/>
  <c r="H80" s="1"/>
  <c r="J51"/>
  <c r="J80" s="1"/>
  <c r="H53"/>
  <c r="J53"/>
  <c r="L31"/>
  <c r="L30"/>
  <c r="L19"/>
  <c r="L10"/>
  <c r="L12"/>
  <c r="L14"/>
  <c r="L11"/>
  <c r="L15"/>
  <c r="L16"/>
  <c r="D90" i="8"/>
  <c r="E68" i="6"/>
  <c r="L64"/>
  <c r="T64"/>
  <c r="AB64"/>
  <c r="AJ69"/>
  <c r="AR69"/>
  <c r="AZ64"/>
  <c r="BH70"/>
  <c r="BO64"/>
  <c r="E124" i="2"/>
  <c r="D67" i="3" s="1"/>
  <c r="E67" i="6"/>
  <c r="L65"/>
  <c r="T65"/>
  <c r="AB65"/>
  <c r="AJ68"/>
  <c r="AR68"/>
  <c r="AZ63"/>
  <c r="BH69"/>
  <c r="D128" i="3"/>
  <c r="J130" i="2"/>
  <c r="D45" i="1"/>
  <c r="F45"/>
  <c r="E19" i="2"/>
  <c r="G19"/>
  <c r="I19"/>
  <c r="K19"/>
  <c r="E41"/>
  <c r="G41"/>
  <c r="I41"/>
  <c r="K41"/>
  <c r="E91"/>
  <c r="G91"/>
  <c r="I91"/>
  <c r="K91"/>
  <c r="K46" i="1"/>
  <c r="H128" i="2"/>
  <c r="H130" s="1"/>
  <c r="F128"/>
  <c r="F130" s="1"/>
  <c r="F122"/>
  <c r="D128"/>
  <c r="D130" s="1"/>
  <c r="D122"/>
  <c r="D124" s="1"/>
  <c r="C128"/>
  <c r="C130" s="1"/>
  <c r="B67" i="3" s="1"/>
  <c r="C11" i="2"/>
  <c r="C45" i="1"/>
  <c r="K45" s="1"/>
  <c r="E45"/>
  <c r="G45"/>
  <c r="I45"/>
  <c r="F19" i="2"/>
  <c r="H19"/>
  <c r="J19"/>
  <c r="L19"/>
  <c r="J41"/>
  <c r="L41"/>
  <c r="E61" i="10" l="1"/>
  <c r="E23"/>
  <c r="E22"/>
  <c r="E47"/>
  <c r="E77" i="6"/>
  <c r="C22" i="10"/>
  <c r="C47"/>
  <c r="C16" i="11"/>
  <c r="C23"/>
  <c r="C71" s="1"/>
  <c r="I26"/>
  <c r="C73"/>
  <c r="C39"/>
  <c r="I39" s="1"/>
  <c r="I50" i="10"/>
  <c r="I49"/>
  <c r="K64"/>
  <c r="J127"/>
  <c r="J65"/>
  <c r="J81" s="1"/>
  <c r="J69"/>
  <c r="J130"/>
  <c r="J64"/>
  <c r="J68"/>
  <c r="H65"/>
  <c r="H81" s="1"/>
  <c r="H69"/>
  <c r="H130"/>
  <c r="H64"/>
  <c r="H68"/>
  <c r="I127"/>
  <c r="H127"/>
  <c r="H66"/>
  <c r="H129" s="1"/>
  <c r="K127"/>
  <c r="J52"/>
  <c r="J126" s="1"/>
  <c r="K49"/>
  <c r="H54"/>
  <c r="BO60" i="6"/>
  <c r="BH61"/>
  <c r="AB60"/>
  <c r="T60"/>
  <c r="L60"/>
  <c r="E59"/>
  <c r="BH62"/>
  <c r="AZ59"/>
  <c r="AR61"/>
  <c r="AJ61"/>
  <c r="E60"/>
  <c r="T75"/>
  <c r="S34"/>
  <c r="S35" s="1"/>
  <c r="T15"/>
  <c r="T76"/>
  <c r="S41"/>
  <c r="E29"/>
  <c r="E30" s="1"/>
  <c r="E14"/>
  <c r="D78" i="3"/>
  <c r="F139"/>
  <c r="D17" i="4"/>
  <c r="D14" i="5"/>
  <c r="F8" i="3"/>
  <c r="AJ14" i="6" s="1"/>
  <c r="C15" i="2"/>
  <c r="E8" i="3"/>
  <c r="AB14" i="6" s="1"/>
  <c r="E9" i="3"/>
  <c r="F9"/>
  <c r="G8"/>
  <c r="AR14" i="6" s="1"/>
  <c r="B8" i="3"/>
  <c r="E13" i="6" s="1"/>
  <c r="I7" i="3"/>
  <c r="C8"/>
  <c r="L14" i="6" s="1"/>
  <c r="J7" i="3"/>
  <c r="C9"/>
  <c r="D8"/>
  <c r="T14" i="6" s="1"/>
  <c r="H8" i="3"/>
  <c r="AZ14" i="6" s="1"/>
  <c r="C67" i="3"/>
  <c r="C128"/>
  <c r="F78"/>
  <c r="D9" i="4"/>
  <c r="D23" s="1"/>
  <c r="L91" i="2"/>
  <c r="M41"/>
  <c r="M19"/>
  <c r="B128" i="3"/>
  <c r="T25" i="6" l="1"/>
  <c r="E135" i="10"/>
  <c r="E97"/>
  <c r="T77" i="6"/>
  <c r="E24" i="10"/>
  <c r="E82" s="1"/>
  <c r="E62"/>
  <c r="E130" s="1"/>
  <c r="E128"/>
  <c r="E64"/>
  <c r="E63"/>
  <c r="E65"/>
  <c r="E81" s="1"/>
  <c r="E67"/>
  <c r="E69"/>
  <c r="E125"/>
  <c r="T78" i="6"/>
  <c r="D54" s="1"/>
  <c r="E107" i="10"/>
  <c r="E25"/>
  <c r="E26" s="1"/>
  <c r="E143" s="1"/>
  <c r="E48"/>
  <c r="E51"/>
  <c r="E80" s="1"/>
  <c r="E54"/>
  <c r="D22"/>
  <c r="D47"/>
  <c r="D23"/>
  <c r="D61"/>
  <c r="C48"/>
  <c r="C54" s="1"/>
  <c r="C50"/>
  <c r="C53"/>
  <c r="C61"/>
  <c r="C23"/>
  <c r="F34"/>
  <c r="F102" s="1"/>
  <c r="F32"/>
  <c r="F149" s="1"/>
  <c r="D34"/>
  <c r="D102" s="1"/>
  <c r="D32"/>
  <c r="D149" s="1"/>
  <c r="G34"/>
  <c r="G102" s="1"/>
  <c r="G33"/>
  <c r="D39" s="1"/>
  <c r="D40" s="1"/>
  <c r="G32"/>
  <c r="G149" s="1"/>
  <c r="C101" i="11"/>
  <c r="C100"/>
  <c r="C106"/>
  <c r="C102"/>
  <c r="C103"/>
  <c r="C99"/>
  <c r="C97"/>
  <c r="C104"/>
  <c r="C98"/>
  <c r="C105"/>
  <c r="C88"/>
  <c r="C89"/>
  <c r="C84"/>
  <c r="C92"/>
  <c r="C96"/>
  <c r="C81"/>
  <c r="C85"/>
  <c r="C93"/>
  <c r="C82"/>
  <c r="C86"/>
  <c r="C90"/>
  <c r="C94"/>
  <c r="C83"/>
  <c r="C87"/>
  <c r="C91"/>
  <c r="C95"/>
  <c r="C80"/>
  <c r="C70"/>
  <c r="C65"/>
  <c r="C66"/>
  <c r="C74"/>
  <c r="C69"/>
  <c r="C64"/>
  <c r="C68"/>
  <c r="C72"/>
  <c r="C63"/>
  <c r="C67"/>
  <c r="E78" i="6"/>
  <c r="E38"/>
  <c r="E36"/>
  <c r="K36"/>
  <c r="L76"/>
  <c r="BW38"/>
  <c r="S45"/>
  <c r="T18"/>
  <c r="S42"/>
  <c r="T20" s="1"/>
  <c r="S17" i="7"/>
  <c r="L17"/>
  <c r="F17"/>
  <c r="Z17"/>
  <c r="T17" i="6"/>
  <c r="S47"/>
  <c r="S39"/>
  <c r="T16" s="1"/>
  <c r="L75"/>
  <c r="L15"/>
  <c r="K29"/>
  <c r="K30" s="1"/>
  <c r="S15" i="7"/>
  <c r="F15"/>
  <c r="Z15"/>
  <c r="L15"/>
  <c r="G9" i="3"/>
  <c r="E41" i="6"/>
  <c r="D139" i="3"/>
  <c r="B17" i="4"/>
  <c r="E41"/>
  <c r="E94"/>
  <c r="E139" i="3"/>
  <c r="C17" i="4"/>
  <c r="D24" i="10" s="1"/>
  <c r="D82" s="1"/>
  <c r="G124" i="2"/>
  <c r="I123"/>
  <c r="I124" s="1"/>
  <c r="K123"/>
  <c r="K124" s="1"/>
  <c r="F124"/>
  <c r="H123"/>
  <c r="H124" s="1"/>
  <c r="J123"/>
  <c r="J124" s="1"/>
  <c r="C9" i="4"/>
  <c r="C23" s="1"/>
  <c r="E78" i="3"/>
  <c r="J8"/>
  <c r="I8"/>
  <c r="E34" i="6"/>
  <c r="E15" s="1"/>
  <c r="E16"/>
  <c r="B9" i="4"/>
  <c r="B23" s="1"/>
  <c r="H9" i="3"/>
  <c r="D9"/>
  <c r="B9"/>
  <c r="T23" i="6" l="1"/>
  <c r="E133" i="10"/>
  <c r="E92"/>
  <c r="E90"/>
  <c r="E154" s="1"/>
  <c r="E91"/>
  <c r="E105" s="1"/>
  <c r="E52"/>
  <c r="E126" s="1"/>
  <c r="E50"/>
  <c r="E127"/>
  <c r="T21" i="6"/>
  <c r="E152" i="10"/>
  <c r="E84"/>
  <c r="E103" s="1"/>
  <c r="E131"/>
  <c r="E85"/>
  <c r="E83"/>
  <c r="E53"/>
  <c r="E49"/>
  <c r="E66"/>
  <c r="E129" s="1"/>
  <c r="E68"/>
  <c r="L23" i="6"/>
  <c r="D135" i="10"/>
  <c r="D97"/>
  <c r="D62"/>
  <c r="D63" s="1"/>
  <c r="D128"/>
  <c r="D125"/>
  <c r="D64"/>
  <c r="D130"/>
  <c r="D68"/>
  <c r="D66"/>
  <c r="D129" s="1"/>
  <c r="D48"/>
  <c r="D52" s="1"/>
  <c r="D126" s="1"/>
  <c r="D53"/>
  <c r="E79" i="6"/>
  <c r="C24" i="10"/>
  <c r="C62"/>
  <c r="C68"/>
  <c r="C65"/>
  <c r="C69"/>
  <c r="C125"/>
  <c r="C128"/>
  <c r="C66"/>
  <c r="C63"/>
  <c r="C67"/>
  <c r="C130"/>
  <c r="E22" i="6"/>
  <c r="C135" i="10"/>
  <c r="C97"/>
  <c r="C52"/>
  <c r="C49"/>
  <c r="C127"/>
  <c r="C51"/>
  <c r="I34"/>
  <c r="I102" s="1"/>
  <c r="I32"/>
  <c r="I149" s="1"/>
  <c r="E32"/>
  <c r="E149" s="1"/>
  <c r="E34"/>
  <c r="E102" s="1"/>
  <c r="H34"/>
  <c r="H102" s="1"/>
  <c r="H33"/>
  <c r="E39" s="1"/>
  <c r="E40" s="1"/>
  <c r="H32"/>
  <c r="H149" s="1"/>
  <c r="C33"/>
  <c r="C34"/>
  <c r="C32"/>
  <c r="E224" i="5"/>
  <c r="BW37" i="6"/>
  <c r="G10" i="7"/>
  <c r="J9" i="3"/>
  <c r="BP14" i="6"/>
  <c r="BW39"/>
  <c r="S44"/>
  <c r="T19" s="1"/>
  <c r="S48"/>
  <c r="E17"/>
  <c r="B14" i="5"/>
  <c r="I9" i="3"/>
  <c r="BH14" i="6"/>
  <c r="C14" i="5"/>
  <c r="L77" i="6"/>
  <c r="Z16" i="7"/>
  <c r="S16"/>
  <c r="L16"/>
  <c r="F16"/>
  <c r="K42" i="6"/>
  <c r="L17"/>
  <c r="K34"/>
  <c r="L16" s="1"/>
  <c r="K40"/>
  <c r="K39" s="1"/>
  <c r="L19" s="1"/>
  <c r="K37"/>
  <c r="L20" s="1"/>
  <c r="L18"/>
  <c r="E39"/>
  <c r="E37" s="1"/>
  <c r="E18" s="1"/>
  <c r="F224" i="5"/>
  <c r="G224" s="1"/>
  <c r="D41" i="4"/>
  <c r="D94"/>
  <c r="G67" i="3"/>
  <c r="G128"/>
  <c r="J128"/>
  <c r="J67"/>
  <c r="F128"/>
  <c r="F67"/>
  <c r="E225" i="5"/>
  <c r="C41" i="4"/>
  <c r="C94"/>
  <c r="I67" i="3"/>
  <c r="I128"/>
  <c r="E67"/>
  <c r="E128"/>
  <c r="H128"/>
  <c r="H67"/>
  <c r="D7" i="5"/>
  <c r="D20" s="1"/>
  <c r="G22" i="10" l="1"/>
  <c r="G47"/>
  <c r="G61"/>
  <c r="G23"/>
  <c r="D54"/>
  <c r="D50"/>
  <c r="D65"/>
  <c r="D81" s="1"/>
  <c r="F22"/>
  <c r="F47"/>
  <c r="F23"/>
  <c r="L23" s="1"/>
  <c r="F61"/>
  <c r="D131"/>
  <c r="D152"/>
  <c r="D85"/>
  <c r="D84"/>
  <c r="D103" s="1"/>
  <c r="D83"/>
  <c r="L22" i="6"/>
  <c r="D133" i="10"/>
  <c r="D92"/>
  <c r="D91"/>
  <c r="D105" s="1"/>
  <c r="D90"/>
  <c r="L78" i="6"/>
  <c r="C54" s="1"/>
  <c r="D25" i="10"/>
  <c r="D26" s="1"/>
  <c r="D143" s="1"/>
  <c r="D107"/>
  <c r="K43" i="6"/>
  <c r="D127" i="10"/>
  <c r="D51"/>
  <c r="D80" s="1"/>
  <c r="D49"/>
  <c r="D69"/>
  <c r="D67"/>
  <c r="E80" i="6"/>
  <c r="B54" s="1"/>
  <c r="C107" i="10"/>
  <c r="C25"/>
  <c r="C126"/>
  <c r="E20" i="6"/>
  <c r="C131" i="10"/>
  <c r="C84"/>
  <c r="C85"/>
  <c r="C133"/>
  <c r="C92"/>
  <c r="C91"/>
  <c r="C80"/>
  <c r="C129"/>
  <c r="C81"/>
  <c r="C64"/>
  <c r="C82"/>
  <c r="C26"/>
  <c r="E19" i="6"/>
  <c r="E279" i="10"/>
  <c r="G213"/>
  <c r="G12" i="7"/>
  <c r="E280" i="10"/>
  <c r="F214"/>
  <c r="H212"/>
  <c r="E281"/>
  <c r="F215"/>
  <c r="G212"/>
  <c r="C149"/>
  <c r="L32"/>
  <c r="L12" i="9" s="1"/>
  <c r="C39" i="10"/>
  <c r="L33"/>
  <c r="F14" i="9" s="1"/>
  <c r="C102" i="10"/>
  <c r="M102" s="1"/>
  <c r="L34"/>
  <c r="AZ15" i="6"/>
  <c r="AZ72"/>
  <c r="AY27"/>
  <c r="AA34"/>
  <c r="AB76"/>
  <c r="BH80"/>
  <c r="BG35"/>
  <c r="C97" i="4"/>
  <c r="E21" i="6"/>
  <c r="AZ73"/>
  <c r="AY34"/>
  <c r="AB75"/>
  <c r="AA27"/>
  <c r="AA28" s="1"/>
  <c r="AB15"/>
  <c r="BH79"/>
  <c r="BH15"/>
  <c r="BG28"/>
  <c r="AJ81"/>
  <c r="AI34"/>
  <c r="BO72"/>
  <c r="BO34"/>
  <c r="AR80"/>
  <c r="AQ27"/>
  <c r="AR15"/>
  <c r="L21"/>
  <c r="H10" i="7"/>
  <c r="H12" s="1"/>
  <c r="E42" i="6"/>
  <c r="AI27"/>
  <c r="AI28" s="1"/>
  <c r="AJ15"/>
  <c r="AJ80"/>
  <c r="BO71"/>
  <c r="BO27"/>
  <c r="BP15"/>
  <c r="AR81"/>
  <c r="AQ34"/>
  <c r="BW33"/>
  <c r="BW36"/>
  <c r="E101" s="1"/>
  <c r="H9" i="4"/>
  <c r="J78" i="3"/>
  <c r="G139"/>
  <c r="E17" i="4"/>
  <c r="F24" i="10" s="1"/>
  <c r="F82" s="1"/>
  <c r="K128" i="3"/>
  <c r="D137" s="1"/>
  <c r="K139"/>
  <c r="I17" i="4"/>
  <c r="H78" i="3"/>
  <c r="F9" i="4"/>
  <c r="L78" i="3"/>
  <c r="J9" i="4"/>
  <c r="I139" i="3"/>
  <c r="G17" i="4"/>
  <c r="AR82" i="6" s="1"/>
  <c r="G14" i="5"/>
  <c r="AR83" i="6" s="1"/>
  <c r="G54" s="1"/>
  <c r="F36" i="5"/>
  <c r="F106"/>
  <c r="H17" i="4"/>
  <c r="AZ74" i="6" s="1"/>
  <c r="J139" i="3"/>
  <c r="H14" i="5"/>
  <c r="AZ75" i="6" s="1"/>
  <c r="H54" s="1"/>
  <c r="E9" i="4"/>
  <c r="E23" s="1"/>
  <c r="G78" i="3"/>
  <c r="K67"/>
  <c r="D76" s="1"/>
  <c r="K78"/>
  <c r="I9" i="4"/>
  <c r="I23" s="1"/>
  <c r="BH24" i="6" s="1"/>
  <c r="C44" i="4"/>
  <c r="B7" i="5"/>
  <c r="B20" s="1"/>
  <c r="F17" i="4"/>
  <c r="H139" i="3"/>
  <c r="F14" i="5"/>
  <c r="J17" i="4"/>
  <c r="BO73" i="6" s="1"/>
  <c r="L139" i="3"/>
  <c r="J14" i="5"/>
  <c r="BO74" i="6" s="1"/>
  <c r="J54" s="1"/>
  <c r="I78" i="3"/>
  <c r="G9" i="4"/>
  <c r="G23" s="1"/>
  <c r="AR23" i="6" s="1"/>
  <c r="C7" i="5"/>
  <c r="C20" s="1"/>
  <c r="G48" i="10" l="1"/>
  <c r="G52" s="1"/>
  <c r="G126" s="1"/>
  <c r="G127"/>
  <c r="AJ83" i="6"/>
  <c r="G107" i="10"/>
  <c r="G25"/>
  <c r="AJ82" i="6"/>
  <c r="G24" i="10"/>
  <c r="G82" s="1"/>
  <c r="G125"/>
  <c r="G128"/>
  <c r="G62"/>
  <c r="G130" s="1"/>
  <c r="G66"/>
  <c r="G129" s="1"/>
  <c r="G69"/>
  <c r="L22"/>
  <c r="L82"/>
  <c r="B26" i="9" s="1"/>
  <c r="AB23" i="6"/>
  <c r="F135" i="10"/>
  <c r="F97"/>
  <c r="F128"/>
  <c r="O128" s="1"/>
  <c r="F125"/>
  <c r="O125" s="1"/>
  <c r="F62"/>
  <c r="F63" s="1"/>
  <c r="F66"/>
  <c r="F64"/>
  <c r="M61"/>
  <c r="F48"/>
  <c r="F51" s="1"/>
  <c r="F50"/>
  <c r="F53"/>
  <c r="F127"/>
  <c r="F52"/>
  <c r="M47"/>
  <c r="L24"/>
  <c r="O127"/>
  <c r="E138"/>
  <c r="E114"/>
  <c r="E136"/>
  <c r="E108"/>
  <c r="D154"/>
  <c r="C103"/>
  <c r="E240"/>
  <c r="H184"/>
  <c r="G184"/>
  <c r="C89"/>
  <c r="C88"/>
  <c r="C87"/>
  <c r="L87" s="1"/>
  <c r="C86"/>
  <c r="L86" s="1"/>
  <c r="E245"/>
  <c r="H188"/>
  <c r="G188"/>
  <c r="E260"/>
  <c r="G193"/>
  <c r="E24" i="11" s="1"/>
  <c r="C96" i="10"/>
  <c r="C95"/>
  <c r="C94"/>
  <c r="L94" s="1"/>
  <c r="J155" s="1"/>
  <c r="L155" s="1"/>
  <c r="C93"/>
  <c r="L93" s="1"/>
  <c r="C143"/>
  <c r="C105"/>
  <c r="F179"/>
  <c r="D32" i="9"/>
  <c r="E236" i="10"/>
  <c r="F40"/>
  <c r="G39"/>
  <c r="C40"/>
  <c r="G40" s="1"/>
  <c r="E239"/>
  <c r="D14" i="11" s="1"/>
  <c r="L149" i="10"/>
  <c r="E282"/>
  <c r="S19" i="7"/>
  <c r="L19"/>
  <c r="F19"/>
  <c r="Z19"/>
  <c r="AI32" i="6"/>
  <c r="AJ16" s="1"/>
  <c r="AI40"/>
  <c r="AJ17"/>
  <c r="Z20" i="7"/>
  <c r="S20"/>
  <c r="L20"/>
  <c r="F20"/>
  <c r="AQ32" i="6"/>
  <c r="AR16" s="1"/>
  <c r="AQ40"/>
  <c r="AR17"/>
  <c r="BP18"/>
  <c r="BO38"/>
  <c r="BO41" s="1"/>
  <c r="BO35"/>
  <c r="BP20" s="1"/>
  <c r="BO37"/>
  <c r="BP19" s="1"/>
  <c r="AI35"/>
  <c r="AJ20" s="1"/>
  <c r="AI38"/>
  <c r="AI37" s="1"/>
  <c r="AJ19" s="1"/>
  <c r="AJ18"/>
  <c r="AI41"/>
  <c r="Z22" i="7"/>
  <c r="S22"/>
  <c r="L22"/>
  <c r="F22"/>
  <c r="BH17" i="6"/>
  <c r="BG33"/>
  <c r="BH16" s="1"/>
  <c r="BG41"/>
  <c r="AY35"/>
  <c r="AY38"/>
  <c r="AY41" s="1"/>
  <c r="AZ20"/>
  <c r="AZ18"/>
  <c r="AY37"/>
  <c r="AZ19" s="1"/>
  <c r="BG36"/>
  <c r="BG39"/>
  <c r="BG42" s="1"/>
  <c r="BH20"/>
  <c r="BH18"/>
  <c r="S21" i="7"/>
  <c r="L21"/>
  <c r="F21"/>
  <c r="Z21"/>
  <c r="AY32" i="6"/>
  <c r="AZ16" s="1"/>
  <c r="AZ17"/>
  <c r="AY40"/>
  <c r="I14" i="5"/>
  <c r="BH82" i="6" s="1"/>
  <c r="BH81"/>
  <c r="AQ38"/>
  <c r="AQ41" s="1"/>
  <c r="AQ37"/>
  <c r="AR19" s="1"/>
  <c r="AR18"/>
  <c r="AQ35"/>
  <c r="AR20" s="1"/>
  <c r="S23" i="7"/>
  <c r="L23"/>
  <c r="F23"/>
  <c r="Z23"/>
  <c r="BO40" i="6"/>
  <c r="BO32"/>
  <c r="BP16" s="1"/>
  <c r="BP17"/>
  <c r="Z18" i="7"/>
  <c r="S18"/>
  <c r="L18"/>
  <c r="F18"/>
  <c r="AA40" i="6"/>
  <c r="AB17"/>
  <c r="AA32"/>
  <c r="AB16" s="1"/>
  <c r="AA35"/>
  <c r="AA38"/>
  <c r="AA37" s="1"/>
  <c r="AB19" s="1"/>
  <c r="AB20"/>
  <c r="AB18"/>
  <c r="F54"/>
  <c r="E14" i="5"/>
  <c r="AB77" i="6"/>
  <c r="F108" i="5"/>
  <c r="T28" i="6"/>
  <c r="F38" i="5"/>
  <c r="T26" i="6"/>
  <c r="D10" s="1"/>
  <c r="D85" s="1"/>
  <c r="E36" i="5"/>
  <c r="E106"/>
  <c r="H94" i="4"/>
  <c r="AR22" i="6" s="1"/>
  <c r="H41" i="4"/>
  <c r="D106" i="5"/>
  <c r="D36"/>
  <c r="J94" i="4"/>
  <c r="J41"/>
  <c r="BH21" i="6" s="1"/>
  <c r="F41" i="4"/>
  <c r="F94"/>
  <c r="D79" i="3"/>
  <c r="E177" i="5" s="1"/>
  <c r="J23" i="4"/>
  <c r="BP23" i="6" s="1"/>
  <c r="F23" i="4"/>
  <c r="D140" i="3"/>
  <c r="F177" i="5" s="1"/>
  <c r="H23" i="4"/>
  <c r="AZ23" i="6" s="1"/>
  <c r="G26" i="10" l="1"/>
  <c r="G143" s="1"/>
  <c r="G65"/>
  <c r="G81" s="1"/>
  <c r="G64"/>
  <c r="M64" s="1"/>
  <c r="G67"/>
  <c r="G68"/>
  <c r="G49"/>
  <c r="G53"/>
  <c r="G54"/>
  <c r="G50"/>
  <c r="AJ23" i="6"/>
  <c r="G135" i="10"/>
  <c r="O135" s="1"/>
  <c r="G97"/>
  <c r="M53"/>
  <c r="M50"/>
  <c r="L97"/>
  <c r="G63"/>
  <c r="M63" s="1"/>
  <c r="G51"/>
  <c r="G80" s="1"/>
  <c r="D28" i="11"/>
  <c r="AB22" i="6"/>
  <c r="F133" i="10"/>
  <c r="F92"/>
  <c r="F91"/>
  <c r="F90"/>
  <c r="E244"/>
  <c r="F150"/>
  <c r="F80"/>
  <c r="L80" s="1"/>
  <c r="M51"/>
  <c r="F129"/>
  <c r="O129" s="1"/>
  <c r="M66"/>
  <c r="F65"/>
  <c r="M62"/>
  <c r="AB21" i="6"/>
  <c r="F152" i="10"/>
  <c r="F131"/>
  <c r="F85"/>
  <c r="F84"/>
  <c r="F83"/>
  <c r="AB78" i="6"/>
  <c r="E54" s="1"/>
  <c r="F25" i="10"/>
  <c r="F107"/>
  <c r="M107" s="1"/>
  <c r="B32" i="9" s="1"/>
  <c r="F126" i="10"/>
  <c r="O126" s="1"/>
  <c r="M52"/>
  <c r="E242" s="1"/>
  <c r="F187"/>
  <c r="F183"/>
  <c r="F54"/>
  <c r="M48"/>
  <c r="F49"/>
  <c r="M49" s="1"/>
  <c r="F68"/>
  <c r="M68" s="1"/>
  <c r="F69"/>
  <c r="F130"/>
  <c r="O130" s="1"/>
  <c r="F67"/>
  <c r="M67" s="1"/>
  <c r="E113"/>
  <c r="E111"/>
  <c r="E109"/>
  <c r="E112"/>
  <c r="E110"/>
  <c r="E119"/>
  <c r="E117"/>
  <c r="E115"/>
  <c r="E118"/>
  <c r="E116"/>
  <c r="D138"/>
  <c r="D114"/>
  <c r="D136"/>
  <c r="D108"/>
  <c r="L95"/>
  <c r="L106"/>
  <c r="M106" s="1"/>
  <c r="J153"/>
  <c r="L153" s="1"/>
  <c r="L26" i="9"/>
  <c r="L89" i="10"/>
  <c r="L132"/>
  <c r="E277"/>
  <c r="E275"/>
  <c r="F211"/>
  <c r="H208"/>
  <c r="E276"/>
  <c r="F210"/>
  <c r="G209"/>
  <c r="E278" s="1"/>
  <c r="G208"/>
  <c r="C136"/>
  <c r="C108"/>
  <c r="E272"/>
  <c r="G205"/>
  <c r="E274" s="1"/>
  <c r="F207"/>
  <c r="H204"/>
  <c r="E273"/>
  <c r="E271"/>
  <c r="F206"/>
  <c r="G204"/>
  <c r="C138"/>
  <c r="C114"/>
  <c r="L96"/>
  <c r="L134"/>
  <c r="O134" s="1"/>
  <c r="L104"/>
  <c r="M104" s="1"/>
  <c r="L88"/>
  <c r="N28" i="9"/>
  <c r="D23" i="11"/>
  <c r="F43" i="10"/>
  <c r="F42"/>
  <c r="F41"/>
  <c r="G41" s="1"/>
  <c r="N16" i="9" s="1"/>
  <c r="CB31" i="6"/>
  <c r="BW31" s="1"/>
  <c r="J97" i="4"/>
  <c r="BH23" i="6"/>
  <c r="G7" i="5"/>
  <c r="G20" s="1"/>
  <c r="AR21" i="6"/>
  <c r="L10" i="7"/>
  <c r="L12" s="1"/>
  <c r="AA41" i="6"/>
  <c r="CB32" s="1"/>
  <c r="I10" i="7"/>
  <c r="J10"/>
  <c r="J12" s="1"/>
  <c r="I54" i="6"/>
  <c r="BG38"/>
  <c r="BH19" s="1"/>
  <c r="E108" i="5"/>
  <c r="L25" i="6"/>
  <c r="E38" i="5"/>
  <c r="L24" i="6"/>
  <c r="C10" s="1"/>
  <c r="C85" s="1"/>
  <c r="D108" i="5"/>
  <c r="E24" i="6"/>
  <c r="D38" i="5"/>
  <c r="E23" i="6"/>
  <c r="G41" i="4"/>
  <c r="G94"/>
  <c r="E255" i="10" s="1"/>
  <c r="K41" i="4"/>
  <c r="K94"/>
  <c r="BP22" i="6" s="1"/>
  <c r="E7" i="5"/>
  <c r="E20" s="1"/>
  <c r="I41" i="4"/>
  <c r="I94"/>
  <c r="AZ22" i="6" s="1"/>
  <c r="J44" i="4"/>
  <c r="I7" i="5"/>
  <c r="I20" s="1"/>
  <c r="I36"/>
  <c r="I106"/>
  <c r="F151" i="10" l="1"/>
  <c r="E249"/>
  <c r="E151"/>
  <c r="L151" s="1"/>
  <c r="E248"/>
  <c r="G152"/>
  <c r="G84"/>
  <c r="G103" s="1"/>
  <c r="G131"/>
  <c r="G85"/>
  <c r="G83"/>
  <c r="G189"/>
  <c r="L83"/>
  <c r="L85"/>
  <c r="L152"/>
  <c r="G192"/>
  <c r="AJ22" i="6"/>
  <c r="G133" i="10"/>
  <c r="O133" s="1"/>
  <c r="G92"/>
  <c r="G90"/>
  <c r="G154" s="1"/>
  <c r="G91"/>
  <c r="G105" s="1"/>
  <c r="E250"/>
  <c r="E254"/>
  <c r="O131"/>
  <c r="E259"/>
  <c r="L92"/>
  <c r="L69"/>
  <c r="M69"/>
  <c r="E150"/>
  <c r="L150" s="1"/>
  <c r="L20" i="9"/>
  <c r="E243" i="10"/>
  <c r="M54"/>
  <c r="L54"/>
  <c r="P24" i="9"/>
  <c r="D35" i="11"/>
  <c r="L25" i="10"/>
  <c r="F26"/>
  <c r="F103"/>
  <c r="M103" s="1"/>
  <c r="L84"/>
  <c r="F81"/>
  <c r="L81" s="1"/>
  <c r="M65"/>
  <c r="F154"/>
  <c r="L154" s="1"/>
  <c r="L90"/>
  <c r="H23" i="9"/>
  <c r="E241" i="10"/>
  <c r="F186"/>
  <c r="F181"/>
  <c r="F182"/>
  <c r="F105"/>
  <c r="M105" s="1"/>
  <c r="L91"/>
  <c r="H29" i="9" s="1"/>
  <c r="E247" i="10"/>
  <c r="E158"/>
  <c r="L158" s="1"/>
  <c r="M116"/>
  <c r="E156"/>
  <c r="L156" s="1"/>
  <c r="M110"/>
  <c r="E99" i="6"/>
  <c r="D112" i="10"/>
  <c r="D109"/>
  <c r="D113"/>
  <c r="D111"/>
  <c r="D119"/>
  <c r="D118"/>
  <c r="D117"/>
  <c r="D115"/>
  <c r="C113"/>
  <c r="C111"/>
  <c r="C112"/>
  <c r="C109"/>
  <c r="C115"/>
  <c r="C119"/>
  <c r="C118"/>
  <c r="C117"/>
  <c r="O132"/>
  <c r="P30" i="9"/>
  <c r="I12" i="7"/>
  <c r="M142" i="10"/>
  <c r="G42"/>
  <c r="G43"/>
  <c r="N142"/>
  <c r="AJ21" i="6"/>
  <c r="K10" i="7"/>
  <c r="K12" s="1"/>
  <c r="C107" i="4"/>
  <c r="BW23" i="6"/>
  <c r="J7" i="5"/>
  <c r="J20" s="1"/>
  <c r="BP21" i="6"/>
  <c r="C54" i="4"/>
  <c r="BW22" i="6"/>
  <c r="H7" i="5"/>
  <c r="H20" s="1"/>
  <c r="AZ21" i="6"/>
  <c r="M10" i="7"/>
  <c r="M12" s="1"/>
  <c r="E100" i="6"/>
  <c r="BW32"/>
  <c r="B10"/>
  <c r="B85" s="1"/>
  <c r="I38" i="5"/>
  <c r="AR24" i="6"/>
  <c r="I108" i="5"/>
  <c r="AR25" i="6"/>
  <c r="G36" i="5"/>
  <c r="G106"/>
  <c r="L36"/>
  <c r="L106"/>
  <c r="F7"/>
  <c r="F20" s="1"/>
  <c r="J36"/>
  <c r="J106"/>
  <c r="K36"/>
  <c r="K106"/>
  <c r="E257" i="10" l="1"/>
  <c r="F195"/>
  <c r="E23" i="11"/>
  <c r="F136" i="10"/>
  <c r="F108"/>
  <c r="F138"/>
  <c r="F114"/>
  <c r="E256"/>
  <c r="F194"/>
  <c r="F185"/>
  <c r="E246"/>
  <c r="D13" i="11" s="1"/>
  <c r="D15" s="1"/>
  <c r="F143" i="10"/>
  <c r="O143" s="1"/>
  <c r="G35" i="11" s="1"/>
  <c r="L26" i="10"/>
  <c r="L57"/>
  <c r="L55"/>
  <c r="N140"/>
  <c r="L56"/>
  <c r="M140"/>
  <c r="O140" s="1"/>
  <c r="B20" i="9"/>
  <c r="N141" i="10"/>
  <c r="L71"/>
  <c r="M141"/>
  <c r="O141" s="1"/>
  <c r="L70"/>
  <c r="N22" i="9" s="1"/>
  <c r="L72" i="10"/>
  <c r="D27" i="11"/>
  <c r="F190" i="10"/>
  <c r="E251"/>
  <c r="K7" i="5"/>
  <c r="K20" s="1"/>
  <c r="E253" i="10"/>
  <c r="F32" i="7"/>
  <c r="E258" i="10"/>
  <c r="G32" i="7"/>
  <c r="F191" i="10"/>
  <c r="E35" i="11"/>
  <c r="E252" i="10"/>
  <c r="E13" i="11" s="1"/>
  <c r="O142" i="10"/>
  <c r="P18" i="9" s="1"/>
  <c r="K38" i="5"/>
  <c r="BH25" i="6"/>
  <c r="J38" i="5"/>
  <c r="AZ24" i="6"/>
  <c r="L108" i="5"/>
  <c r="BP25" i="6"/>
  <c r="G108" i="5"/>
  <c r="AB25" i="6"/>
  <c r="K108" i="5"/>
  <c r="BH26" i="6"/>
  <c r="J108" i="5"/>
  <c r="AZ25" i="6"/>
  <c r="L38" i="5"/>
  <c r="BP24" i="6"/>
  <c r="G38" i="5"/>
  <c r="AB24" i="6"/>
  <c r="E10" s="1"/>
  <c r="E85" s="1"/>
  <c r="G10"/>
  <c r="G85" s="1"/>
  <c r="H36" i="5"/>
  <c r="H106"/>
  <c r="G114" i="10" l="1"/>
  <c r="G138"/>
  <c r="G136"/>
  <c r="G108"/>
  <c r="E27" i="11"/>
  <c r="F113" i="10"/>
  <c r="F112"/>
  <c r="F111"/>
  <c r="F109"/>
  <c r="F119"/>
  <c r="F118"/>
  <c r="F117"/>
  <c r="F115"/>
  <c r="D16" i="11"/>
  <c r="D17"/>
  <c r="D94"/>
  <c r="D105"/>
  <c r="D96"/>
  <c r="D71"/>
  <c r="D29"/>
  <c r="D82"/>
  <c r="D57"/>
  <c r="D95"/>
  <c r="D70"/>
  <c r="D80"/>
  <c r="D89"/>
  <c r="D55"/>
  <c r="D69"/>
  <c r="D74"/>
  <c r="D54"/>
  <c r="D93"/>
  <c r="D60"/>
  <c r="D98"/>
  <c r="D73"/>
  <c r="D53"/>
  <c r="D92"/>
  <c r="D67"/>
  <c r="D37"/>
  <c r="D64"/>
  <c r="D81"/>
  <c r="D100"/>
  <c r="D62"/>
  <c r="D87"/>
  <c r="D106"/>
  <c r="D68"/>
  <c r="D101"/>
  <c r="D63"/>
  <c r="D88"/>
  <c r="D91"/>
  <c r="D72"/>
  <c r="D58"/>
  <c r="D83"/>
  <c r="D102"/>
  <c r="D97"/>
  <c r="D59"/>
  <c r="D84"/>
  <c r="D103"/>
  <c r="D65"/>
  <c r="D90"/>
  <c r="D51"/>
  <c r="D85"/>
  <c r="D104"/>
  <c r="D66"/>
  <c r="D52"/>
  <c r="D99"/>
  <c r="D61"/>
  <c r="D86"/>
  <c r="M106" i="5"/>
  <c r="M36"/>
  <c r="H32" i="7"/>
  <c r="E29" i="11"/>
  <c r="E86"/>
  <c r="E102"/>
  <c r="E91"/>
  <c r="E84"/>
  <c r="E100"/>
  <c r="E89"/>
  <c r="E105"/>
  <c r="E73"/>
  <c r="E63"/>
  <c r="E62"/>
  <c r="E65"/>
  <c r="E64"/>
  <c r="E52"/>
  <c r="E90"/>
  <c r="E106"/>
  <c r="E95"/>
  <c r="E80"/>
  <c r="E96"/>
  <c r="E85"/>
  <c r="E101"/>
  <c r="E72"/>
  <c r="E68"/>
  <c r="E66"/>
  <c r="E69"/>
  <c r="E67"/>
  <c r="E37"/>
  <c r="E43" s="1"/>
  <c r="E94"/>
  <c r="E83"/>
  <c r="E99"/>
  <c r="E92"/>
  <c r="E81"/>
  <c r="E97"/>
  <c r="E71"/>
  <c r="E54"/>
  <c r="E70"/>
  <c r="E57"/>
  <c r="E55"/>
  <c r="E53"/>
  <c r="E56" s="1"/>
  <c r="E82"/>
  <c r="E98"/>
  <c r="E87"/>
  <c r="E103"/>
  <c r="E88"/>
  <c r="E104"/>
  <c r="E93"/>
  <c r="E74"/>
  <c r="E59"/>
  <c r="E58"/>
  <c r="E61"/>
  <c r="E60"/>
  <c r="E51"/>
  <c r="E14"/>
  <c r="E15" s="1"/>
  <c r="J10" i="6"/>
  <c r="J85" s="1"/>
  <c r="H38" i="5"/>
  <c r="AJ24" i="6"/>
  <c r="H108" i="5"/>
  <c r="AJ25" i="6"/>
  <c r="H10"/>
  <c r="H85" s="1"/>
  <c r="I10"/>
  <c r="I85" s="1"/>
  <c r="G112" i="10" l="1"/>
  <c r="G109"/>
  <c r="G113"/>
  <c r="G111"/>
  <c r="G119"/>
  <c r="G117"/>
  <c r="G118"/>
  <c r="G115"/>
  <c r="D43" i="11"/>
  <c r="D42"/>
  <c r="D56"/>
  <c r="E17"/>
  <c r="E16"/>
  <c r="L138" i="10"/>
  <c r="O138" s="1"/>
  <c r="L114"/>
  <c r="M114" s="1"/>
  <c r="M108" i="5"/>
  <c r="BW25" i="6"/>
  <c r="E117" i="5"/>
  <c r="L108" i="10"/>
  <c r="M108" s="1"/>
  <c r="L136"/>
  <c r="O136" s="1"/>
  <c r="M38" i="5"/>
  <c r="G25" i="7" s="1"/>
  <c r="BW24" i="6"/>
  <c r="E47" i="5"/>
  <c r="E42" i="11"/>
  <c r="G26" i="7"/>
  <c r="E97" i="6"/>
  <c r="E98"/>
  <c r="BW30"/>
  <c r="F10"/>
  <c r="F85" s="1"/>
  <c r="K10" l="1"/>
  <c r="K85" s="1"/>
  <c r="E48" i="5"/>
  <c r="G197" i="10" s="1"/>
  <c r="E261"/>
  <c r="L109"/>
  <c r="M109" s="1"/>
  <c r="L113"/>
  <c r="M113" s="1"/>
  <c r="L112"/>
  <c r="M112" s="1"/>
  <c r="L111"/>
  <c r="M111" s="1"/>
  <c r="F198"/>
  <c r="M137"/>
  <c r="N137"/>
  <c r="H196"/>
  <c r="G196"/>
  <c r="BW29" i="6"/>
  <c r="L10" s="1"/>
  <c r="L85" s="1"/>
  <c r="G222" i="10" s="1"/>
  <c r="G24" i="11" s="1"/>
  <c r="E118" i="5"/>
  <c r="G201" i="10" s="1"/>
  <c r="E269" s="1"/>
  <c r="E266"/>
  <c r="L119"/>
  <c r="M119" s="1"/>
  <c r="L117"/>
  <c r="M117" s="1"/>
  <c r="K159" s="1"/>
  <c r="L159" s="1"/>
  <c r="E270" s="1"/>
  <c r="L118"/>
  <c r="M118" s="1"/>
  <c r="L115"/>
  <c r="M115" s="1"/>
  <c r="G200"/>
  <c r="M139"/>
  <c r="N139"/>
  <c r="F203" s="1"/>
  <c r="F202"/>
  <c r="H200"/>
  <c r="F35" i="11"/>
  <c r="E92" i="6"/>
  <c r="D189" s="1"/>
  <c r="N10" i="7"/>
  <c r="D164" i="6" l="1"/>
  <c r="E287" i="10"/>
  <c r="G14" i="11" s="1"/>
  <c r="D92" i="6"/>
  <c r="E283" i="10" s="1"/>
  <c r="D154" i="6"/>
  <c r="I35" i="11"/>
  <c r="F199" i="10"/>
  <c r="F27" i="11" s="1"/>
  <c r="E268" i="10"/>
  <c r="E263"/>
  <c r="F36" i="11"/>
  <c r="I36" s="1"/>
  <c r="E264" i="10"/>
  <c r="F24" i="11"/>
  <c r="I24" s="1"/>
  <c r="F23"/>
  <c r="N34" i="9"/>
  <c r="N41" s="1"/>
  <c r="N43" s="1"/>
  <c r="N12" i="7"/>
  <c r="H41" i="11" s="1"/>
  <c r="I41" s="1"/>
  <c r="E289" i="10"/>
  <c r="E288"/>
  <c r="E290"/>
  <c r="H14" i="11" s="1"/>
  <c r="F223" i="10"/>
  <c r="H27" i="11" s="1"/>
  <c r="H25"/>
  <c r="O139" i="10"/>
  <c r="E267"/>
  <c r="O137"/>
  <c r="P36" i="9" s="1"/>
  <c r="P41" s="1"/>
  <c r="P43" s="1"/>
  <c r="E262" i="10"/>
  <c r="K157"/>
  <c r="L157" s="1"/>
  <c r="E265" s="1"/>
  <c r="L32" i="9"/>
  <c r="L41" s="1"/>
  <c r="L43" s="1"/>
  <c r="G40" i="11"/>
  <c r="I40" s="1"/>
  <c r="F28"/>
  <c r="I28" s="1"/>
  <c r="E93" i="6"/>
  <c r="E285" i="10"/>
  <c r="F221"/>
  <c r="E286"/>
  <c r="G221"/>
  <c r="G136" i="6"/>
  <c r="C59" i="11"/>
  <c r="C52"/>
  <c r="C60"/>
  <c r="C53"/>
  <c r="C54"/>
  <c r="C57"/>
  <c r="C58"/>
  <c r="C51"/>
  <c r="C29"/>
  <c r="C55"/>
  <c r="C61"/>
  <c r="C62"/>
  <c r="C37"/>
  <c r="F13" l="1"/>
  <c r="F136" i="6"/>
  <c r="F218" i="10" s="1"/>
  <c r="G220"/>
  <c r="D93" i="6"/>
  <c r="F220" i="10"/>
  <c r="F92" i="6"/>
  <c r="F93" s="1"/>
  <c r="E284" i="10"/>
  <c r="H29" i="11"/>
  <c r="I25"/>
  <c r="H37"/>
  <c r="F58"/>
  <c r="F70"/>
  <c r="F73"/>
  <c r="F53"/>
  <c r="F56" s="1"/>
  <c r="F59"/>
  <c r="F37"/>
  <c r="F43" s="1"/>
  <c r="F68"/>
  <c r="F64"/>
  <c r="F66"/>
  <c r="F74"/>
  <c r="F55"/>
  <c r="F72"/>
  <c r="F29"/>
  <c r="F51"/>
  <c r="F69"/>
  <c r="F52"/>
  <c r="F67"/>
  <c r="F14"/>
  <c r="H82"/>
  <c r="H84"/>
  <c r="H85"/>
  <c r="H101"/>
  <c r="H73"/>
  <c r="H57"/>
  <c r="H74"/>
  <c r="H102"/>
  <c r="H104"/>
  <c r="H95"/>
  <c r="H61"/>
  <c r="H71"/>
  <c r="H68"/>
  <c r="H106"/>
  <c r="H81"/>
  <c r="H97"/>
  <c r="H65"/>
  <c r="H52"/>
  <c r="H70"/>
  <c r="H94"/>
  <c r="H96"/>
  <c r="H91"/>
  <c r="H51"/>
  <c r="H63"/>
  <c r="H64"/>
  <c r="H98"/>
  <c r="H100"/>
  <c r="H93"/>
  <c r="H55"/>
  <c r="H67"/>
  <c r="H66"/>
  <c r="H86"/>
  <c r="H88"/>
  <c r="H87"/>
  <c r="H103"/>
  <c r="H53"/>
  <c r="H59"/>
  <c r="H90"/>
  <c r="H92"/>
  <c r="H89"/>
  <c r="H58"/>
  <c r="H62"/>
  <c r="H72"/>
  <c r="H80"/>
  <c r="H83"/>
  <c r="H99"/>
  <c r="H69"/>
  <c r="H54"/>
  <c r="H60"/>
  <c r="H105"/>
  <c r="H13"/>
  <c r="H15" s="1"/>
  <c r="F42"/>
  <c r="F217" i="10"/>
  <c r="F219"/>
  <c r="G217"/>
  <c r="G13" i="11"/>
  <c r="C42"/>
  <c r="C56"/>
  <c r="C43"/>
  <c r="F216" i="10" l="1"/>
  <c r="G216"/>
  <c r="F15" i="11"/>
  <c r="I14"/>
  <c r="H43"/>
  <c r="H42"/>
  <c r="H56"/>
  <c r="H16"/>
  <c r="H17"/>
  <c r="I13"/>
  <c r="G15"/>
  <c r="G23"/>
  <c r="G27"/>
  <c r="F17" l="1"/>
  <c r="F16"/>
  <c r="G37"/>
  <c r="I27"/>
  <c r="G29"/>
  <c r="I29" s="1"/>
  <c r="G104"/>
  <c r="I104" s="1"/>
  <c r="G96"/>
  <c r="I96" s="1"/>
  <c r="G88"/>
  <c r="I88" s="1"/>
  <c r="G80"/>
  <c r="I80" s="1"/>
  <c r="G97"/>
  <c r="I97" s="1"/>
  <c r="G89"/>
  <c r="I89" s="1"/>
  <c r="G81"/>
  <c r="I81" s="1"/>
  <c r="G102"/>
  <c r="I102" s="1"/>
  <c r="G94"/>
  <c r="I94" s="1"/>
  <c r="G86"/>
  <c r="I86" s="1"/>
  <c r="G103"/>
  <c r="I103" s="1"/>
  <c r="G95"/>
  <c r="I95" s="1"/>
  <c r="G87"/>
  <c r="I87" s="1"/>
  <c r="G106"/>
  <c r="I106" s="1"/>
  <c r="G69"/>
  <c r="I69" s="1"/>
  <c r="G61"/>
  <c r="I61" s="1"/>
  <c r="G52"/>
  <c r="I52" s="1"/>
  <c r="G64"/>
  <c r="I64" s="1"/>
  <c r="G55"/>
  <c r="I55" s="1"/>
  <c r="G73"/>
  <c r="I73" s="1"/>
  <c r="G71"/>
  <c r="I71" s="1"/>
  <c r="G63"/>
  <c r="I63" s="1"/>
  <c r="G54"/>
  <c r="I54" s="1"/>
  <c r="G66"/>
  <c r="I66" s="1"/>
  <c r="G58"/>
  <c r="I58" s="1"/>
  <c r="G72"/>
  <c r="I72" s="1"/>
  <c r="G100"/>
  <c r="I100" s="1"/>
  <c r="G92"/>
  <c r="I92" s="1"/>
  <c r="G84"/>
  <c r="I84" s="1"/>
  <c r="G101"/>
  <c r="I101" s="1"/>
  <c r="G93"/>
  <c r="I93" s="1"/>
  <c r="G85"/>
  <c r="I85" s="1"/>
  <c r="G105"/>
  <c r="I105" s="1"/>
  <c r="G98"/>
  <c r="I98" s="1"/>
  <c r="G90"/>
  <c r="I90" s="1"/>
  <c r="G82"/>
  <c r="I82" s="1"/>
  <c r="G99"/>
  <c r="I99" s="1"/>
  <c r="G91"/>
  <c r="I91" s="1"/>
  <c r="G83"/>
  <c r="I83" s="1"/>
  <c r="G65"/>
  <c r="I65" s="1"/>
  <c r="G57"/>
  <c r="I57" s="1"/>
  <c r="G68"/>
  <c r="I68" s="1"/>
  <c r="G60"/>
  <c r="I60" s="1"/>
  <c r="G51"/>
  <c r="I51" s="1"/>
  <c r="G74"/>
  <c r="I74" s="1"/>
  <c r="G67"/>
  <c r="I67" s="1"/>
  <c r="G59"/>
  <c r="I59" s="1"/>
  <c r="G70"/>
  <c r="I70" s="1"/>
  <c r="G62"/>
  <c r="I62" s="1"/>
  <c r="G53"/>
  <c r="I23"/>
  <c r="G17"/>
  <c r="I17" s="1"/>
  <c r="G16"/>
  <c r="I16" s="1"/>
  <c r="I15"/>
  <c r="G56" l="1"/>
  <c r="I56" s="1"/>
  <c r="I53"/>
  <c r="G43"/>
  <c r="I43" s="1"/>
  <c r="G42"/>
  <c r="I42" s="1"/>
  <c r="I37"/>
</calcChain>
</file>

<file path=xl/sharedStrings.xml><?xml version="1.0" encoding="utf-8"?>
<sst xmlns="http://schemas.openxmlformats.org/spreadsheetml/2006/main" count="3974" uniqueCount="1488">
  <si>
    <t>Validation of IWM-2 Waste Imput Code</t>
  </si>
  <si>
    <t>Collected Household Waste</t>
  </si>
  <si>
    <t>Amount Generated (kg/person/year)</t>
  </si>
  <si>
    <t>Composition (% by weight)</t>
  </si>
  <si>
    <t>Paper</t>
  </si>
  <si>
    <t>Glass</t>
  </si>
  <si>
    <t>Metal</t>
  </si>
  <si>
    <t>Plastic</t>
  </si>
  <si>
    <t>Textiles</t>
  </si>
  <si>
    <t>Organics</t>
  </si>
  <si>
    <t>Other</t>
  </si>
  <si>
    <t>Total</t>
  </si>
  <si>
    <t>Detailed Metal Composition</t>
  </si>
  <si>
    <t>(% by Weight)</t>
  </si>
  <si>
    <t>Ferrous</t>
  </si>
  <si>
    <t>Non-Ferrous</t>
  </si>
  <si>
    <t>Detailed Plastic Composition</t>
  </si>
  <si>
    <t>Film</t>
  </si>
  <si>
    <t>Rigid</t>
  </si>
  <si>
    <t>System Area</t>
  </si>
  <si>
    <t>Population</t>
  </si>
  <si>
    <t>Avg number of persons/household</t>
  </si>
  <si>
    <t>Number of households served</t>
  </si>
  <si>
    <t>Residents' Vehicle Distribution</t>
  </si>
  <si>
    <t>Petrol (%)</t>
  </si>
  <si>
    <t>Diesel (%)</t>
  </si>
  <si>
    <t>Delivered Household Waste</t>
  </si>
  <si>
    <t>Bulky Waste Delivered</t>
  </si>
  <si>
    <t>Amount Delivered (kg/household/yr)</t>
  </si>
  <si>
    <t>Ferrous Metal</t>
  </si>
  <si>
    <t>Non-fe Metal</t>
  </si>
  <si>
    <t>Film Plastic</t>
  </si>
  <si>
    <t>Rigid Plastic</t>
  </si>
  <si>
    <t>Garden Waste Delivered</t>
  </si>
  <si>
    <t>Collected Commercial Waste</t>
  </si>
  <si>
    <t>Calculation performed</t>
  </si>
  <si>
    <t>User input</t>
  </si>
  <si>
    <t>Amount Generated (tonnes/year)</t>
  </si>
  <si>
    <t>Input Summary</t>
  </si>
  <si>
    <t>Total Waste Input (Tonnes/Year)</t>
  </si>
  <si>
    <t>Kerbside Collection Systems</t>
  </si>
  <si>
    <t>%</t>
  </si>
  <si>
    <t>Number</t>
  </si>
  <si>
    <t>Material Bank Collection Systems</t>
  </si>
  <si>
    <t>Households Serves</t>
  </si>
  <si>
    <t>Households Served</t>
  </si>
  <si>
    <t>MBCS Total</t>
  </si>
  <si>
    <t>KCS Total</t>
  </si>
  <si>
    <t>Material Available (kg/household/yr)</t>
  </si>
  <si>
    <t>Non-Fe Metal</t>
  </si>
  <si>
    <t>Total Collected Household Waste (kg/household/yr)</t>
  </si>
  <si>
    <t>KCS 1</t>
  </si>
  <si>
    <t>Dry Recyclables:</t>
  </si>
  <si>
    <t>Material collected (kg/household/yr)</t>
  </si>
  <si>
    <t>Kerbside Sort (0=No,1=Yes)</t>
  </si>
  <si>
    <t>Organic Contamination (%)</t>
  </si>
  <si>
    <t>Other Contamination (%)</t>
  </si>
  <si>
    <t>MRF Input Lost as Residue (%)</t>
  </si>
  <si>
    <t>Biowaste Bins/Bags</t>
  </si>
  <si>
    <t>Material Collected (kg/household/yr)</t>
  </si>
  <si>
    <t>Collection Vehicles</t>
  </si>
  <si>
    <t>Total Diesl Consumption (L/yr)</t>
  </si>
  <si>
    <t>Total Cost of Kerbside Collection System</t>
  </si>
  <si>
    <t>MBCS 1</t>
  </si>
  <si>
    <t>Residents' Transport to Material Bank Sites:</t>
  </si>
  <si>
    <t>Average number of special trips to site (household.yr)</t>
  </si>
  <si>
    <t>Average car journey length (km each way)</t>
  </si>
  <si>
    <t>Amounts Collected in Single Material Containers (no input assumes comingled restwaste)</t>
  </si>
  <si>
    <t>Market prices for material sold ($/Ton)</t>
  </si>
  <si>
    <t>Average Diesel Consumption for Transport to Builking Depot or Reprocessing Plant (L/Ton Collected)</t>
  </si>
  <si>
    <t>Average Diesel Consumption for Transport to Builking Depot or MRF (L/Ton Collected)</t>
  </si>
  <si>
    <t>Average Collection and Transportaion Cost ($/Ton Collected)</t>
  </si>
  <si>
    <t>Residents' Trasnsport to Central Site</t>
  </si>
  <si>
    <t>Average number of special trips to site (household/yr)</t>
  </si>
  <si>
    <t>Builky Waste Delivered</t>
  </si>
  <si>
    <t>Recovery of materials (as % of delivered)</t>
  </si>
  <si>
    <t>Other (If materials cannot be identified, they cannot be recovered)</t>
  </si>
  <si>
    <t>Bulky Waste Residue Treatment (%)</t>
  </si>
  <si>
    <t>Incineration</t>
  </si>
  <si>
    <t>Landfill</t>
  </si>
  <si>
    <t>Transport distance (km each way)</t>
  </si>
  <si>
    <t>Transport Distance to Biological Treatment Plant (km each way)</t>
  </si>
  <si>
    <t>Cost</t>
  </si>
  <si>
    <t>Cost of Central Collection Site and Transport to Treatment Plants Excluding Material Revenue ($/Ton handled)</t>
  </si>
  <si>
    <t>Total Collected Commercial Waste (Tonnes/Year)</t>
  </si>
  <si>
    <t>Dry Recyclable Fractions Collected:</t>
  </si>
  <si>
    <t>Material Available (Tonnes/Yr)</t>
  </si>
  <si>
    <t>Material Collected (Tonnes/Yr)</t>
  </si>
  <si>
    <t>Average distance to MRF (km each way)</t>
  </si>
  <si>
    <t>Biowaste Fractions Collected:</t>
  </si>
  <si>
    <t>Average distance to biological treatment (km each way)</t>
  </si>
  <si>
    <t>Restwaste</t>
  </si>
  <si>
    <t>Cost charged to waste generator for waste management ($/Tonne)*</t>
  </si>
  <si>
    <t>*Assume collection costs borne by commercial waste generator</t>
  </si>
  <si>
    <t>Summary</t>
  </si>
  <si>
    <t>Input (Tonnes)</t>
  </si>
  <si>
    <t>Transferred (Tonnes)</t>
  </si>
  <si>
    <t>Restwaste (Tonnes)</t>
  </si>
  <si>
    <t>Plastic Contamination Rate</t>
  </si>
  <si>
    <t>Plastic Contamination Rate (of total biowaste)</t>
  </si>
  <si>
    <t>Amounts Collected in Mixed Material Containers</t>
  </si>
  <si>
    <t>Proportion of Plastic Contamination that is Film</t>
  </si>
  <si>
    <t>Proportion of Plastic Contamination that is Rigid</t>
  </si>
  <si>
    <t>Variable Information in IWM-2</t>
  </si>
  <si>
    <t>Contamination Rate</t>
  </si>
  <si>
    <t>Organic</t>
  </si>
  <si>
    <t xml:space="preserve">Calculates and displays the materials in the sorting stream available to MRF sorting processes. </t>
  </si>
  <si>
    <t>Plant Input (tonnes)</t>
  </si>
  <si>
    <t>Residue (tonnes)</t>
  </si>
  <si>
    <t>Output (tonnes)</t>
  </si>
  <si>
    <t>MRF Sorting Stream</t>
  </si>
  <si>
    <t>Input from Kerbside Dry Recyclables and Mixed Material Containers</t>
  </si>
  <si>
    <t>Destination for Outputs</t>
  </si>
  <si>
    <t>Since it is possible to use paper and plastic as a fuel for energy recovery, as well as for materials recycling, it is necessary to insert the relative usages of paper and plastic at this point.</t>
  </si>
  <si>
    <t xml:space="preserve">It is assumed that glass, metal, and textiles are destined for materials recycling. </t>
  </si>
  <si>
    <t>The model calculates the amount of each material left after removal of residue, and then adds the relative amounts to either the Materials stream (materials recycling) or to the PPDF (Paper and Plastic Derived Refuse Fuel) burning inputs as appropriate</t>
  </si>
  <si>
    <t>Recycling (%)</t>
  </si>
  <si>
    <t>PPDF burning (%)</t>
  </si>
  <si>
    <t>MRF Energy and Fuel Consumption</t>
  </si>
  <si>
    <t>Although there is no standard MRF process, an energy consumption of 25kWh per unit input ton is assumed as the default model (based on Table 18.1 - Energy and fuel consumption per tonne at Adur, UK, Dublin, Eire, and Prato, Italy)</t>
  </si>
  <si>
    <t>The model adds the total energy/fuel requirement to the Life Cycle energy/fuel consumption totals</t>
  </si>
  <si>
    <t>Electrical (kWh/tonne input)</t>
  </si>
  <si>
    <t>Diesel (liters/tonne input)</t>
  </si>
  <si>
    <t>Natural gas (m3/tonne input)</t>
  </si>
  <si>
    <t>Residue Treatment</t>
  </si>
  <si>
    <t>Treatment (%)</t>
  </si>
  <si>
    <t>The user defines the ratio of treatment methods used for the MRF residue, along with the average distance (one way) to each type of plant.</t>
  </si>
  <si>
    <t>The model adds the appropriate amounts of each material to either the Thermal or Landfill streams, and calculates the fuel (diesel) consumed by transport (assuming a 20T load on a round trip basis ie. no return load)</t>
  </si>
  <si>
    <t>This is added to the fuel consumption totals.</t>
  </si>
  <si>
    <t>The user also needs to insert the transport cost per tonne of residue transported to thermal treatment or landfill</t>
  </si>
  <si>
    <t>This value includes both contaminants collected, and sorting inefficiency</t>
  </si>
  <si>
    <t>Transport cost ($/ton)</t>
  </si>
  <si>
    <t>Processing Costs</t>
  </si>
  <si>
    <t>Excludes sale of material and cost of residue disposal</t>
  </si>
  <si>
    <t>($/tonne input)</t>
  </si>
  <si>
    <t>(if data includes sales revenue, zero revenues should be included in the boxes in the next section)</t>
  </si>
  <si>
    <t>Revenue from Sale of Materials to Reprocessor</t>
  </si>
  <si>
    <t>This is the revenue received, per tonne of material ex-MRF</t>
  </si>
  <si>
    <t>(%/tonne)</t>
  </si>
  <si>
    <t>cRDF Sorting</t>
  </si>
  <si>
    <t>Restwaste Available to cRDF</t>
  </si>
  <si>
    <t>(tonnes)</t>
  </si>
  <si>
    <t>cRDF Process</t>
  </si>
  <si>
    <t>Defines whether coarse RDF is included in the waste management system or not.</t>
  </si>
  <si>
    <t xml:space="preserve">If the user inputs a value, then that percentage of restwaste is used as the input to the cRDF process. </t>
  </si>
  <si>
    <t>The model automatically inserts both the amount of restwaste that will be processed for cRDF, and the final amount of cRDF that this will produce.</t>
  </si>
  <si>
    <t>The cRDF process does not include drying, so the weight is on an "as received" basis.</t>
  </si>
  <si>
    <t>Restwaste amount used (%)</t>
  </si>
  <si>
    <t>Restwaste amount used (tonnes/yr)</t>
  </si>
  <si>
    <t>cRDF produced (tonnes/yr)</t>
  </si>
  <si>
    <t>cRDF Advanced Variables</t>
  </si>
  <si>
    <t>Screening of Input Material</t>
  </si>
  <si>
    <t>Table 18.5 of Textbook</t>
  </si>
  <si>
    <t>Waste rejected due to unavailability of plant (% of waste input)</t>
  </si>
  <si>
    <t>Rogue items rejected (% of plant input)</t>
  </si>
  <si>
    <t>Process Input (% of waste input)</t>
  </si>
  <si>
    <t>Process Outputs (Table 18.6 of Textbook)</t>
  </si>
  <si>
    <t>Fuel (%)</t>
  </si>
  <si>
    <t>Source: ETSU (1992;1993b)</t>
  </si>
  <si>
    <t>Ferrous Metal (%)</t>
  </si>
  <si>
    <t>Non-fe Metal (%)</t>
  </si>
  <si>
    <t>Fines (%)</t>
  </si>
  <si>
    <t>Residue (%)</t>
  </si>
  <si>
    <t>Total (%)</t>
  </si>
  <si>
    <t>Residues</t>
  </si>
  <si>
    <t>Fines sent for biological treatment (%)</t>
  </si>
  <si>
    <t xml:space="preserve">If a value is entered here, then this amount of putrescible fines is added to the biological treatment stream. The remainder is added to the landfill stream. </t>
  </si>
  <si>
    <t>If no value is entered, all of the fines are added to the landfill stream</t>
  </si>
  <si>
    <t>Distance to Biological Treatment (km each way)</t>
  </si>
  <si>
    <t>Distance to Landfill (km each way)</t>
  </si>
  <si>
    <t>This allows for fuel consumption burdens to be tracked</t>
  </si>
  <si>
    <t>Energy Consumption</t>
  </si>
  <si>
    <t>Natural Gas (m3/tonne input)</t>
  </si>
  <si>
    <t>The fuel/electricity used per tonne is multiplied by the input tonnage to get the totals for consumption, which are added to the fuel stream</t>
  </si>
  <si>
    <t>Costs</t>
  </si>
  <si>
    <t>Processinf cost excluding residue disposal and revenue from recovered materials ($/tonne input)</t>
  </si>
  <si>
    <t>(This should be exclusive of the costs of residue transport or disposal, and the revenues from sale of recovered materials or fuel)</t>
  </si>
  <si>
    <t>Transport costs to landfill ($/ton of residue)</t>
  </si>
  <si>
    <t>Transport costs to biological treatment plant ($/ton of residue)</t>
  </si>
  <si>
    <t>Revenue from recovered ferrous metal ($/tonne)</t>
  </si>
  <si>
    <t>Revenue from recovered non-ferrous metal ($/tonne)</t>
  </si>
  <si>
    <t>NB. The revenue from the fuel should not be included as it does not leave the waste management system.</t>
  </si>
  <si>
    <t>The model assumes 89.1% ferrous and 50% non-ferrous metal recovery in the cRDF and dRDF processes, respectively. (View advanced variables window)</t>
  </si>
  <si>
    <t>dRDF Sorting</t>
  </si>
  <si>
    <t>dRDF Advanced Variables</t>
  </si>
  <si>
    <t>Restwaste Available to dRDF</t>
  </si>
  <si>
    <t>dRDF Process</t>
  </si>
  <si>
    <t>Defines whether dense RDF is included in the waste management system or not.</t>
  </si>
  <si>
    <t>dRDF includes drying, so there is a weight loss due to loss of moisture.</t>
  </si>
  <si>
    <t xml:space="preserve">If the user inputs a value, then that percentage of restwaste is used as the input to the dRDF process. </t>
  </si>
  <si>
    <t>The model automatically inserts both the amount of restwaste that will be processed for dRDF, and the final amount of dRDF that this will produce.</t>
  </si>
  <si>
    <t>Loss of Moisture due to drying and pelletising (% of fuel fraction)</t>
  </si>
  <si>
    <t>MRF &amp; RDF Sorting</t>
  </si>
  <si>
    <t>Biological Treatment</t>
  </si>
  <si>
    <t>Process Inputs</t>
  </si>
  <si>
    <t>Total material available to biological treatment processes at this stage in the Life Cycle. The presence of metal, glass, plastic, textile, and other fractions would be due to contamination from the collection and sorting processes</t>
  </si>
  <si>
    <t>Biological Stream Input</t>
  </si>
  <si>
    <t>Restwaste Added to Biological Stream at this Stage</t>
  </si>
  <si>
    <t>Here, the user enters the percentage of the total restwaste stream intended to be added to the biological stream at this stage</t>
  </si>
  <si>
    <t>dRDF produced (tonnes/yr)</t>
  </si>
  <si>
    <t>From:</t>
  </si>
  <si>
    <t>Total Material Available for Biological Treatment</t>
  </si>
  <si>
    <t>Note that a slight modification in the calculation was made here to account for the contribution not used in both cRDF and dRDF production</t>
  </si>
  <si>
    <t>Here, the restwaste fraction is added to the material available in the biological stream and the new total amount of available material is displayed</t>
  </si>
  <si>
    <t>Destination for Material Available for Biological Treatments</t>
  </si>
  <si>
    <t>This option allows the user to specify what proportion of the total material available for biological treatment is sent to either composting or biogasification. If any material remains, it is automatically sent to landfill.</t>
  </si>
  <si>
    <t>Composting</t>
  </si>
  <si>
    <t>Biogasification</t>
  </si>
  <si>
    <t>Landfill (%)</t>
  </si>
  <si>
    <t>Biogasification (%)</t>
  </si>
  <si>
    <t>Composting (%)</t>
  </si>
  <si>
    <t>Composting Input and Presort</t>
  </si>
  <si>
    <t>The composting plant input is displayed in the first row.</t>
  </si>
  <si>
    <t>The user inputs the level of recovery of glass, metals and plastics during any Pre-sort Recovery process in the second row.</t>
  </si>
  <si>
    <t>If no recovery occurs, these boxes are left blank</t>
  </si>
  <si>
    <t>The model assumes that all of the material except for the paper and organics fractions are removed  (to account for non biodegradable material or those classified as nuisance materials)</t>
  </si>
  <si>
    <t>Presort Recovery (%)</t>
  </si>
  <si>
    <t>Presort Residue (%)</t>
  </si>
  <si>
    <t>Process Input (tonnes)</t>
  </si>
  <si>
    <t>Composting Process</t>
  </si>
  <si>
    <t>Process input referes to the remaining amount of plant input after presorting and residue are accounted for</t>
  </si>
  <si>
    <t>Due to the wide range of composting processes available, the model requires the user to input the Mass Loss (due to both moisture loss, and degradation of the organic fraction) of the particular process being modelled.</t>
  </si>
  <si>
    <t>A default value of 50% is used based on ORCA 1992</t>
  </si>
  <si>
    <t>Compost Produced (tonnes)</t>
  </si>
  <si>
    <t>In addition, the user specifies the percentage of final compost that is sold, as opposed to being treated as residue. The default marketable compost percentage is set to 100%</t>
  </si>
  <si>
    <t>Compost marketable (%)</t>
  </si>
  <si>
    <t>NB. The amount of compost that is sold is given a recycling credit, based on the production of checmical fertiliser containing an equivalent amount of N, P, and K. Ie. the emissions that are avoided by using compost instead of chemical fertiliser are credited to the WMS. Sold compost results in a recycling credit being added to teh recycling section of the model (as is done for the sale of other recycled materials)</t>
  </si>
  <si>
    <t>Energy consumption (kWh/tonne of plant input)</t>
  </si>
  <si>
    <t>This energy consumption is added to the Fuel stream. 30kWh/input tonne is a generic value used as the model default</t>
  </si>
  <si>
    <t>Residue</t>
  </si>
  <si>
    <t>Here, the user specifies how the residue is treated: by incineration or by directly landfilling it</t>
  </si>
  <si>
    <t>The one way distance in km from the biological treatment plant to each of these locations is inserted by the user. With this the corresponding fuel consumption is calculated, assuming a 20T load, and that no return loads are carried.</t>
  </si>
  <si>
    <t>This fuel consumption is added to the Fuel stream, and the transportation costs are added to the costs stream.</t>
  </si>
  <si>
    <t>Sorting residue treatment (%)</t>
  </si>
  <si>
    <t>Compost residue treatment (%)</t>
  </si>
  <si>
    <t>Transport cost ($/tonne)</t>
  </si>
  <si>
    <t>Revenue from Recovered Materials</t>
  </si>
  <si>
    <t>Mass Loss (%)*</t>
  </si>
  <si>
    <t>* due to moisture loss and degradation. Range: 30% to 60%</t>
  </si>
  <si>
    <t>Income  information by the sale of material prior to the composting process is entered here</t>
  </si>
  <si>
    <t>($/tonne)</t>
  </si>
  <si>
    <t>The processing cost is the overall cost for pre-sorting and composting, not including revenues from sale of products, or costs of transporting residues.</t>
  </si>
  <si>
    <t>(If only an inclusive cost is avaialble, this can be inserted if the revenue and other cost boxes in this tab are left blank)</t>
  </si>
  <si>
    <t>These costs and revenues are used to calculate the overall cost of composting</t>
  </si>
  <si>
    <t>Processing ($/tonne plant input)</t>
  </si>
  <si>
    <t>Market price for compost ($/tonne)</t>
  </si>
  <si>
    <t>Biogasification Input and Presort</t>
  </si>
  <si>
    <t>The biogasification plant input is displayed in the first row.</t>
  </si>
  <si>
    <t>Biogasification Process</t>
  </si>
  <si>
    <t>Due to the wide range of biogasification processes available, the model requires the user to input the Mass Loss (due to both moisture loss, and degradation of the organic fraction) of the particular process being modelled.</t>
  </si>
  <si>
    <t>A default value of 60% is used based on De Baere (1993)</t>
  </si>
  <si>
    <t>BG Compost Produced (tonnes)</t>
  </si>
  <si>
    <t>* due to moisture loss and degradation. Range: 40% to 80%. This value is higher than that of composting due to the digestion and pressing of the feedstock prior to composting)</t>
  </si>
  <si>
    <t>This energy consumption is added to the Fuel stream. 50kWh/input tonne is a generic value used as the model default</t>
  </si>
  <si>
    <t>Energy production (kWh/tonne of process input)</t>
  </si>
  <si>
    <t>(default based on ETSU (1995), Perry and Green (1984), and De Baera (1999))</t>
  </si>
  <si>
    <t>(default based on Bergmann and Lentz (1992), De Baera (1993), Schnieder (1992), and Schoen (1992)</t>
  </si>
  <si>
    <t>(If only an inclusive cost is available, this can be inserted if the revenue and other cost boxes in this tab are left blank)</t>
  </si>
  <si>
    <t>The processing cost is the overall cost for pre-sorting and biogasifying not including revenues from sale of products, or costs of transporting residues.</t>
  </si>
  <si>
    <t>Market price for electricity ($/tonne)</t>
  </si>
  <si>
    <t>NB. that outputs are both lower quality compost (as compared to anearobic digestion), and biogas which can be burned to produce electricity</t>
  </si>
  <si>
    <t>Thermal Treatment</t>
  </si>
  <si>
    <t>Thermal Stream Input</t>
  </si>
  <si>
    <t>Non -fe Metal</t>
  </si>
  <si>
    <t>Compost</t>
  </si>
  <si>
    <t>Plastic contamination rate in biowaste (%)</t>
  </si>
  <si>
    <t>Organic material contamination rate in dry recylcables (%)</t>
  </si>
  <si>
    <t>Other material contamination rate in dry recyclables (%)</t>
  </si>
  <si>
    <t>MRF - Amount of dry recyclcable material lost as residue (%)</t>
  </si>
  <si>
    <t>Restwaste Added to Thermal Stream at this Stage</t>
  </si>
  <si>
    <t>The user enters the percentage of the total remaining restwaste stream here. The model then displays the composition of this amount of restwaste</t>
  </si>
  <si>
    <t>Total Material Available for Thermal Treatments</t>
  </si>
  <si>
    <t>The thermal stream input and the added restwaste ffractions are summed here. The new total is then displayed</t>
  </si>
  <si>
    <t>Destination for Material Available for Thermal Treatments</t>
  </si>
  <si>
    <t>Allows user to identify what fraction of the total material available for thermal treatment is sent to one incineration facility or the other (eg. Old or new). If the sum of the two percentages is not zero, the remainder is assumed to go to landfill</t>
  </si>
  <si>
    <t>This allows users to identify systems that may result in the availability of more material suitable for thermal treatment than their existing facilities can treat, and enables them to alter the waste management system accordingly</t>
  </si>
  <si>
    <t>(%)</t>
  </si>
  <si>
    <t>Incineration Process #1</t>
  </si>
  <si>
    <t>Incineration Process #2</t>
  </si>
  <si>
    <t>Incineration Input and Presort</t>
  </si>
  <si>
    <t>This tab calculates and displays the composition of the input to the incineration plant as defined in the previous tab</t>
  </si>
  <si>
    <t>Presort residue (%)</t>
  </si>
  <si>
    <t>Process input (tonnes)</t>
  </si>
  <si>
    <t>NB. Presort residue = % of input stream discarded as residue before thermal treatment. This allows the user to account for unsuitable material such as large metal objects or potentially hazardous material that may damage the process equipmnet or pose a risk to operators</t>
  </si>
  <si>
    <t>Incineration Process</t>
  </si>
  <si>
    <t>Here, the total calorific value of the input material is calculated.</t>
  </si>
  <si>
    <t>No default value for the gross efficiency of energy recovery is given as this depends very much on the technology used.</t>
  </si>
  <si>
    <t>The model uses the figure entered here by the user to calculate the total energy balance of the incinerator and adds this to the fuel stream</t>
  </si>
  <si>
    <t>Total process input (tonnes)</t>
  </si>
  <si>
    <t>Calorific value of process input (GJ/tonne)</t>
  </si>
  <si>
    <t>Gross efficiency of energy recovery (%)*</t>
  </si>
  <si>
    <t>*if energy recovered as electricity only: range is 0-30%</t>
  </si>
  <si>
    <t>if recvored as electricity and steam: range is 0-90%</t>
  </si>
  <si>
    <t>Thermal Treatment Advanced Variables</t>
  </si>
  <si>
    <t>Energy Inputs:</t>
  </si>
  <si>
    <t>Nat. gas (m3/tonne)</t>
  </si>
  <si>
    <t>Electricity (kWh/tonne)</t>
  </si>
  <si>
    <t>pg 395 - IWM-2 assumes that 70kWh of energy is consumed per tonne incinerated, and 0.23m3 of natural gas is consumed per tonne of material incinerated</t>
  </si>
  <si>
    <t>Energy Outputs</t>
  </si>
  <si>
    <t>Cal value (GJ/tonne)</t>
  </si>
  <si>
    <t>Mentioned on pg 396</t>
  </si>
  <si>
    <t>No specific data in book. Data is referenced from Barton J., 1986, "The Application of Mechanical Sorting Technology in Waste Reclamation: Options and Constraints"</t>
  </si>
  <si>
    <t>Solid Residues</t>
  </si>
  <si>
    <t>(tonnes/tonne input)</t>
  </si>
  <si>
    <t>Hazardous*</t>
  </si>
  <si>
    <t>Non-hazardous**</t>
  </si>
  <si>
    <t>*Includes fly ash, filter dust, and gas cleaning residues (pg 401) - IWM-2 assumes that for each tonne of MSW incinerated, 20kg of filter dust and 12kg of slugde residues from the gas-scrubbing system are produced (their sum is 32kg/T)</t>
  </si>
  <si>
    <t>** From bottom ash (no specific mention of this data in book). Data referenced from Barton, J. (1986) "The Application of Mechanical Sorting Technology in Waste Reclamation: Options and Constraints"</t>
  </si>
  <si>
    <t xml:space="preserve">The model calculates the amount of ferrous metal recovered and adds this to the Products stream. </t>
  </si>
  <si>
    <t>The amount of ash or clinker re-used is subtracted from the residue needing disposal</t>
  </si>
  <si>
    <t>Ferrous metal recovery from bottom ash (%)</t>
  </si>
  <si>
    <t>Bottom ash re-used</t>
  </si>
  <si>
    <t>Stessel, R.I., 1996, "Recycling and resource recovery engineering: Principles of waste processing"</t>
  </si>
  <si>
    <t>Distance to hazardous waste landfill (km each way)</t>
  </si>
  <si>
    <t>The model calculates fuel consumption for residue disposal assuming that a 20T load is used and no return load is carried</t>
  </si>
  <si>
    <t xml:space="preserve">Cost entered by user should include any revenue from sales of electricity and ferrous metal, but not the cost of residue transport and disposal. </t>
  </si>
  <si>
    <t>Where revenue includes both electricity and steam generation, it would be appropriate to replace the price of electricity with a weighted price to trake into account the higher price paid for steam (heat) energy</t>
  </si>
  <si>
    <t>Incineration Cost ($/tonne process input)</t>
  </si>
  <si>
    <t>Market prioce for electricity ($/kWh)</t>
  </si>
  <si>
    <t>Transport cost to non-hazardous waste landfill ($/tonne)</t>
  </si>
  <si>
    <t>Transport cost to hazardous waste landfill ($/tonne)</t>
  </si>
  <si>
    <t>Market price for bottom ash ($/tonne)</t>
  </si>
  <si>
    <t>NB. Here, it is assumed that fly ash, filter dust, and gas-cleaning residues are sent to a hazardous landfill, while bottom ash is sent to a non-hazardous waste landfill</t>
  </si>
  <si>
    <t>This tab calculates and displays the composition of the input to the incineration plant as defined in the process inputs tab</t>
  </si>
  <si>
    <t>Distance to non-hazardous waste landfill (km each way)</t>
  </si>
  <si>
    <t>RDF Burning</t>
  </si>
  <si>
    <t>RDF Burning Process</t>
  </si>
  <si>
    <t>Amount of fuel burned (tonnes/yr)</t>
  </si>
  <si>
    <t>*if energy recovered as electricity only: range is 0-30%. If recovered as electricity and steam: range is 0-90%</t>
  </si>
  <si>
    <t>cRDF</t>
  </si>
  <si>
    <t>dRDF</t>
  </si>
  <si>
    <t>The amounts of cRDF and dRDF produced (as calculated earlier in the model) are displayed here.</t>
  </si>
  <si>
    <t>The model uses this information with the user specified process efficiency (no default values exists due to variability of data) to calculate the amount of electricity produced from burning RDF</t>
  </si>
  <si>
    <t>Values assumed by IWM-2 (pg396), REF. ETSU, 1992, "Production and Combustion of c-RDF for On-Site Power Generation'</t>
  </si>
  <si>
    <t>The model calcualtes the fuel consumption for residue disposal assuming that a 20T load is used and that no return load is carried</t>
  </si>
  <si>
    <t>Distance to landfill for non-hazardous waste (km each way)</t>
  </si>
  <si>
    <t>Distance to landfill for hazardous waste (km each way)</t>
  </si>
  <si>
    <t>Processing cost ($/tonne of fuel)</t>
  </si>
  <si>
    <t>Market price for electricity ($/kWh)</t>
  </si>
  <si>
    <t>If the revenue from energy sales exceeds the cost of operating the RDF-fired boiler and power generation plant, this profit should be included as a negative cost.</t>
  </si>
  <si>
    <t>Costs for residue disposal should not be included in processing cost as they are entered in their own dedicated field below</t>
  </si>
  <si>
    <t>PPDF Burning</t>
  </si>
  <si>
    <t>The model displays the amounts of paper and plastic that were not sent for recycling but were recovered in the MRF sorting section.</t>
  </si>
  <si>
    <t>As was the case with the incineration tabs, no default value for the gross efficiency of energy recovery is given as it depends heavily on the technology used.</t>
  </si>
  <si>
    <t>The model uses this data to calculate the amount of electricity that will be produced from burning of the paper and plastic-derived fuel.</t>
  </si>
  <si>
    <t>PPDF Advanced Variables</t>
  </si>
  <si>
    <t>Energy Inputs (ie. energy required to burn PPDF)</t>
  </si>
  <si>
    <t>Nat gas (m3/tonne)</t>
  </si>
  <si>
    <t>REF: ETSU, 1992, Production and Combustion of c-RDF for On-Site Power Generation</t>
  </si>
  <si>
    <t>Energy Outputs (ie. calorific content)</t>
  </si>
  <si>
    <t>Cal Value (GJ/tonne)</t>
  </si>
  <si>
    <t>REF: Barton, J., 1986, "The Application of Mechanical Sorting Technology in Waste Reclamation: Options and Constraints"</t>
  </si>
  <si>
    <t>(Tonnes/Tonne input)</t>
  </si>
  <si>
    <t>* Includes fly ash, filter dust, and gas cleaning residues</t>
  </si>
  <si>
    <t>** Includes only bottom ash</t>
  </si>
  <si>
    <t>This tab describes the information necessary to model the burning of source separated paper and plastic as fuel</t>
  </si>
  <si>
    <t>Landfilling</t>
  </si>
  <si>
    <t>Displays the total amount and composition of residues from the collection, central sorting, biological treatment, and thermal treatment processes</t>
  </si>
  <si>
    <t>Non-Hazardous Landfill Stream input</t>
  </si>
  <si>
    <t>Bottom Ash</t>
  </si>
  <si>
    <t>Landfill_CoarseRDFScreenedMaterials_Paper</t>
  </si>
  <si>
    <t xml:space="preserve">Landfill_MRFProcessResidue_Paper </t>
  </si>
  <si>
    <t>Landfill_CoarseRDFFines_Paper</t>
  </si>
  <si>
    <t>Landfill_CoarseRDFResidue_Paper</t>
  </si>
  <si>
    <t>Landfill_DensifiedRDFScreenedMaterials_Paper</t>
  </si>
  <si>
    <t>Landfill_DensifiedRDFFines_Paper</t>
  </si>
  <si>
    <t>Landfill_DensifiedRDFResidue_Paper</t>
  </si>
  <si>
    <t>Landfill_CompostingPresortResidue_Paper</t>
  </si>
  <si>
    <t>Landfill_BiogasificationPresortResidue_Paper</t>
  </si>
  <si>
    <t>Landfill_BiologicalStreamRemainder_Paper</t>
  </si>
  <si>
    <t>Landfill_Incinerator1PresortResidue_Paper</t>
  </si>
  <si>
    <t>Landfill_Incinerator2PresortResidue_Paper</t>
  </si>
  <si>
    <t>cRDF_GrossPlantInput_Paper</t>
  </si>
  <si>
    <t>cRDF_ScreenedMaterialsToLandfill_Paper</t>
  </si>
  <si>
    <t>S03cRDFFinesPaper</t>
  </si>
  <si>
    <t>S3cRDFResidueBiologicalTreatmentPercent</t>
  </si>
  <si>
    <t>cRDF_FinesProducedToLandfill_Paper</t>
  </si>
  <si>
    <t>dRDF_GrossPlantInput_Paper</t>
  </si>
  <si>
    <t>dRDF_FinesProducedToLandfill_Paper</t>
  </si>
  <si>
    <t>dRDF_ScreenedMaterialsToLandFill_Paper</t>
  </si>
  <si>
    <t>Landfill_BulkyHouseholdWasteResidue_Glass</t>
  </si>
  <si>
    <t>Landfill_MRFProcessResidue_Glass</t>
  </si>
  <si>
    <t>Landfill_CoarseRDFScreenedMaterials_Glass</t>
  </si>
  <si>
    <t>Landfill_CoarseRDFFines_Glass</t>
  </si>
  <si>
    <t>Landfill_CoarseRDFResidue_Glass</t>
  </si>
  <si>
    <t>Landfill_DensifiedRDFScreenedMaterials_Glass</t>
  </si>
  <si>
    <t>Landfill_DensifiedRDFFines_Glass</t>
  </si>
  <si>
    <t>Landfill_DensifiedRDFResidue_Glass</t>
  </si>
  <si>
    <t>Landfill_CompostingPresortResidue_Glass</t>
  </si>
  <si>
    <t>Landfill_BiogasificationPresortResidue_Glass</t>
  </si>
  <si>
    <t>Landfill_BiologicalStreamRemainder_Glass</t>
  </si>
  <si>
    <t>Landfill_Incinerator1PresortResidue_Glass</t>
  </si>
  <si>
    <t>Landfill_Incinerator2PresortResidue_Glass</t>
  </si>
  <si>
    <t>cRDF_GrossPlantInput_Glass</t>
  </si>
  <si>
    <t>cRDF_ScreenedMaterialsToLandfill_Glass</t>
  </si>
  <si>
    <t>S03cRDFFinesGlass</t>
  </si>
  <si>
    <t>cRDF_FinesProducedToLandfill_Glass</t>
  </si>
  <si>
    <t>dRDF_GrossPlantInput_Glass</t>
  </si>
  <si>
    <t>dRDF_ScreenedMaterialsToLandfill_Paper</t>
  </si>
  <si>
    <t>Landfill_PPDFBurningResidue_Ferrous_Metal</t>
  </si>
  <si>
    <t>Landfill_DensifiedRDFBurningResidue_Ferrous_Metal</t>
  </si>
  <si>
    <t>Landfill_CoarseRDFBurningResidue_Ferrous_Metal</t>
  </si>
  <si>
    <t>Landfill_Incinerator2ProcessResidue_Ferrous_Metal</t>
  </si>
  <si>
    <t>Landfill_Incinerator2PresortResidue_Ferrous_Metal</t>
  </si>
  <si>
    <t>Landfill_Incinerator1ProcessResidue_Ferrous_Metal</t>
  </si>
  <si>
    <t>Landfill_Incinerator1PresortResidue_Ferrous_Metal</t>
  </si>
  <si>
    <t>Landfill_BiologicalStreamRemainder_Ferrous_Metal</t>
  </si>
  <si>
    <t>Landfill_BiogasificationProcessResidue_Ferrous_Metal</t>
  </si>
  <si>
    <t>Landfill_BiogasificationPresortResidue_Ferrous_Metal</t>
  </si>
  <si>
    <t>Landfill_CompostingProcessResidue_Ferrous_Metal</t>
  </si>
  <si>
    <t>Landfill_CompostingPresortResidue_Ferrous_Metal</t>
  </si>
  <si>
    <t>Landfill_DensifiedRDFResidue_Ferrous_Metal</t>
  </si>
  <si>
    <t>Landfill_DensifiedRDFFines_Ferrous_Metal</t>
  </si>
  <si>
    <t>Landfill_DensifiedRDFScreenedMaterials_Ferrous_Metal</t>
  </si>
  <si>
    <t>Landfill_CoarseRDFResidue_Ferrous_Metal</t>
  </si>
  <si>
    <t>Landfill_CoarseRDFFines_Ferrous_Metal</t>
  </si>
  <si>
    <t>Landfill_CoarseRDFScreenedMaterials_Ferrous_Metal</t>
  </si>
  <si>
    <t>Landfill_MRFProcessResidue_Ferrous_Metal</t>
  </si>
  <si>
    <t>Landfill_BulkyHouseholdWasteResidue_Ferrous_Metal</t>
  </si>
  <si>
    <t>Landfill_BulkyHouseholdWasteResidue_Non-fe_Metal</t>
  </si>
  <si>
    <t>Landfill_MRFProcessResidue_Non-fe_Metal</t>
  </si>
  <si>
    <t>Landfill_CoarseRDFScreenedMaterials_Non-fe_Metal</t>
  </si>
  <si>
    <t>Landfill_CoarseRDFFines_Non-fe_Metal</t>
  </si>
  <si>
    <t>Landfill_CoarseRDFResidue_Non-fe_Metal</t>
  </si>
  <si>
    <t>Landfill_DensifiedRDFScreenedMaterials_Non-fe_Metal</t>
  </si>
  <si>
    <t>Landfill_DensifiedRDFFines_Non-fe_Metal</t>
  </si>
  <si>
    <t>Landfill_DensifiedRDFResidue_Non-fe_Metal</t>
  </si>
  <si>
    <t>Landfill_CompostingPresortResidue_Non-fe_Metal</t>
  </si>
  <si>
    <t>Landfill_BiogasificationPresortResidue_Non-fe_Metal</t>
  </si>
  <si>
    <t>Landfill_BiologicalStreamRemainder_Non-fe_Metal</t>
  </si>
  <si>
    <t>Landfill_Incinerator1PresortResidue_Non-fe_Metal</t>
  </si>
  <si>
    <t>Landfill_Incinerator2PresortResidue_Non-fe_Metal</t>
  </si>
  <si>
    <t>Landfill_BulkyHouseholdWasteResidue_Film_Plastic</t>
  </si>
  <si>
    <t>Landfill_MRFProcessResidue_Film_Plastic</t>
  </si>
  <si>
    <t>Landfill_CoarseRDFScreenedMaterials_Film_Plastic</t>
  </si>
  <si>
    <t>Landfill_CoarseRDFFines_Film_Plastic</t>
  </si>
  <si>
    <t>Landfill_CoarseRDFResidue_Film_Plastic</t>
  </si>
  <si>
    <t>Landfill_DensifiedRDFScreenedMaterials_Film_Plastic</t>
  </si>
  <si>
    <t>Landfill_DensifiedRDFFines_Film_Plastic</t>
  </si>
  <si>
    <t>Landfill_DensifiedRDFResidue_Film_Plastic</t>
  </si>
  <si>
    <t>Landfill_CompostingPresortResidue_Film_Plastic</t>
  </si>
  <si>
    <t>Landfill_BiogasificationPresortResidue_Film_Plastic</t>
  </si>
  <si>
    <t>Landfill_BiologicalStreamRemainder_Film_Plastic</t>
  </si>
  <si>
    <t>Landfill_Incinerator1PresortResidue_Film_Plastic</t>
  </si>
  <si>
    <t>Landfill_Incinerator2PresortResidue_Film_Plastic</t>
  </si>
  <si>
    <t>Landfill_BulkyHouseholdWasteResidue_Rigid_Plastic</t>
  </si>
  <si>
    <t>Landfill_MRFProcessResidue_Rigid_Plastic</t>
  </si>
  <si>
    <t>Landfill_CoarseRDFScreenedMaterials_Rigid_Plastic</t>
  </si>
  <si>
    <t>Landfill_CoarseRDFFines_Rigid_Plastic</t>
  </si>
  <si>
    <t>Landfill_CoarseRDFResidue_Rigid_Plastic</t>
  </si>
  <si>
    <t>Landfill_DensifiedRDFScreenedMaterials_Rigid_Plastic</t>
  </si>
  <si>
    <t>Landfill_DensifiedRDFFines_Rigid_Plastic</t>
  </si>
  <si>
    <t>Landfill_DensifiedRDFResidue_Rigid_Plastic</t>
  </si>
  <si>
    <t>Landfill_CompostingPresortResidue_Rigid_Plastic</t>
  </si>
  <si>
    <t>Landfill_BiogasificationPresortResidue_Rigid_Plastic</t>
  </si>
  <si>
    <t>Landfill_BiologicalStreamRemainder_Rigid_Plastic</t>
  </si>
  <si>
    <t>Landfill_Incinerator1PresortResidue_Rigid_Plastic</t>
  </si>
  <si>
    <t>Landfill_Incinerator2PresortResidue_Rigid_Plastic</t>
  </si>
  <si>
    <t>Landfill_MRFProcessResidue_Textiles</t>
  </si>
  <si>
    <t>Landfill_CoarseRDFScreenedMaterials_Textiles</t>
  </si>
  <si>
    <t>Landfill_CoarseRDFFines_Textiles</t>
  </si>
  <si>
    <t>Landfill_CoarseRDFResidue_Textiles</t>
  </si>
  <si>
    <t>Landfill_DensifiedRDFScreenedMaterials_Textiles</t>
  </si>
  <si>
    <t>Landfill_DensifiedRDFFines_Textiles</t>
  </si>
  <si>
    <t>Landfill_DensifiedRDFResidue_Textiles</t>
  </si>
  <si>
    <t>Landfill_CompostingPresortResidue_Textiles</t>
  </si>
  <si>
    <t>Landfill_BiogasificationPresortResidue_Textiles</t>
  </si>
  <si>
    <t>Landfill_BiologicalStreamRemainder_Textiles</t>
  </si>
  <si>
    <t>Landfill_Incinerator1PresortResidue_Textiles</t>
  </si>
  <si>
    <t>Landfill_Incinerator2PresortResidue_Textiles</t>
  </si>
  <si>
    <t>Landfill_MRFProcessResidue_Organics</t>
  </si>
  <si>
    <t>Landfill_CoarseRDFScreenedMaterials_Organics</t>
  </si>
  <si>
    <t>Landfill_CoarseRDFFines_Organics</t>
  </si>
  <si>
    <t>Landfill_CoarseRDFResidue_Organics</t>
  </si>
  <si>
    <t>Landfill_DensifiedRDFScreenedMaterials_Organics</t>
  </si>
  <si>
    <t>Landfill_DensifiedRDFFines_Organics</t>
  </si>
  <si>
    <t>Landfill_DensifiedRDFResidue_Organics</t>
  </si>
  <si>
    <t>Landfill_CompostingPresortResidue_Organics</t>
  </si>
  <si>
    <t>Landfill_CompostingProcessResidue_Organics</t>
  </si>
  <si>
    <t>Landfill_BiogasificationPresortResidue_Organics</t>
  </si>
  <si>
    <t>Landfill_BiologicalStreamRemainder_Organics</t>
  </si>
  <si>
    <t>Landfill_Incinerator1PresortResidue_Organics</t>
  </si>
  <si>
    <t>Landfill_Incinerator2PresortResidue_Organics</t>
  </si>
  <si>
    <t>Landfill_BulkyHouseholdWasteResidue_Other</t>
  </si>
  <si>
    <t>Landfill_MRFProcessResidue_Other</t>
  </si>
  <si>
    <t>Landfill_CoarseRDFScreenedMaterials_Other</t>
  </si>
  <si>
    <t>Landfill_CoarseRDFFines_Other</t>
  </si>
  <si>
    <t>Landfill_CoarseRDFResidue_Other</t>
  </si>
  <si>
    <t>Landfill_DensifiedRDFScreenedMaterials_Other</t>
  </si>
  <si>
    <t>Landfill_DensifiedRDFFines_Other</t>
  </si>
  <si>
    <t>Landfill_DensifiedRDFResidue_Other</t>
  </si>
  <si>
    <t>Landfill_CompostingPresortResidue_Other</t>
  </si>
  <si>
    <t>Landfill_BiogasificationPresortResidue_Other</t>
  </si>
  <si>
    <t>Landfill_BiologicalStreamRemainder_Other</t>
  </si>
  <si>
    <t>Landfill_Incinerator1PresortResidue_Other</t>
  </si>
  <si>
    <t>Landfill_Incinerator2PresortResidue_Other</t>
  </si>
  <si>
    <t>Landfill_CompostingProcessResidue_Compost</t>
  </si>
  <si>
    <t>Landfill_BiogasificationProcessResidue_Compost</t>
  </si>
  <si>
    <t>Landfill_Incinerator1PresortResidue_Compost</t>
  </si>
  <si>
    <t>Landfill_Incinerator2PresortResidue_Compost</t>
  </si>
  <si>
    <t>Landfill_Incinerator1ProcessResidue_Bottom_Ash</t>
  </si>
  <si>
    <t>Landfill_Incinerator2ProcessResidue_Bottom_Ash</t>
  </si>
  <si>
    <t>Landfill_CoarseRDFBurningResidue_Bottom_Ash</t>
  </si>
  <si>
    <t>Landfill_DensifiedRDFBurningResidue_Bottom_Ash</t>
  </si>
  <si>
    <t>Landfill_PPDFBurningResidue_Bottom_Ash</t>
  </si>
  <si>
    <t>cRDF_GrossPlantInput_Ferrous_Metal</t>
  </si>
  <si>
    <t>cRDF_ScreenedMaterialsToLandfill_Ferrous_Metal</t>
  </si>
  <si>
    <t>S03cRDFFinesFerrous_Metal</t>
  </si>
  <si>
    <t>dRDF_GrossPlantInput_Ferrous_Metal</t>
  </si>
  <si>
    <t>dRDF_ScreenedMaterialsToLandfill_Ferrous_Metal</t>
  </si>
  <si>
    <t>dRDF_FinesProducedToLandfill_Glass</t>
  </si>
  <si>
    <t>dRDF_ScreenedMaterialsToLandFill_Glass</t>
  </si>
  <si>
    <t>if recovered as electricity and steam: range is 0-90%</t>
  </si>
  <si>
    <t>N/A</t>
  </si>
  <si>
    <t>cRDF_GrossPlantInput_Non-fe_Metal</t>
  </si>
  <si>
    <t>cRDF_ScreenedMaterialsToLandfill_Non-fe_Metal</t>
  </si>
  <si>
    <t>S03cRDFFinesNon-fe_Metal</t>
  </si>
  <si>
    <t>cRDF_FinesProducedToLandfill_Ferrous_Metal</t>
  </si>
  <si>
    <t>cRDF_FinesProducedToLandfill_Non-fe_Metal</t>
  </si>
  <si>
    <t>dRDF_ScreenedMaterialsToLandfill_Non-fe_Metal</t>
  </si>
  <si>
    <t>dRDF_GrossPlantInput_Non-fe_Metal</t>
  </si>
  <si>
    <t>dRDF_FinesProducedToLandfill_Non-fe_Metal</t>
  </si>
  <si>
    <t>dRDF_ScreenedMaterialsToLandFill_Non-fe_Metal</t>
  </si>
  <si>
    <t>dRDF_FinesProducedToLandfill_Ferrous_Metal</t>
  </si>
  <si>
    <t>dRDF_ScreenedMaterialsToLandFill_Ferrous_Metal</t>
  </si>
  <si>
    <t>cRDF_GrossPlantInput_Film_Plastic</t>
  </si>
  <si>
    <t>cRDF_ScreenedMaterialsToLandfill_Film_Plastic</t>
  </si>
  <si>
    <t>S03cRDFFinesFilm_Plastic</t>
  </si>
  <si>
    <t>cRDF_FinesProducedToLandfill_Film_Plastic</t>
  </si>
  <si>
    <t>dRDF_GrossPlantInput_Film_Plastic</t>
  </si>
  <si>
    <t>dRDF_ScreenedMaterialsToLandfill_Film_Plastic</t>
  </si>
  <si>
    <t>dRDF_FinesProducedToLandfill_Film_Plastic</t>
  </si>
  <si>
    <t>dRDF_ScreenedMaterialsToLandFill_Film_Plastic</t>
  </si>
  <si>
    <t>cRDF_GrossPlantInput_Rigid_Plastic</t>
  </si>
  <si>
    <t>S03cRDFFinesRigid_Plastic</t>
  </si>
  <si>
    <t>cRDF_ScreenedMaterialsToLandfill_Rigid_Plastic</t>
  </si>
  <si>
    <t>cRDF_FinesProducedToLandfill_Rigid_Plastic</t>
  </si>
  <si>
    <t>dRDF_GrossPlantInput_Rigid_Plastic</t>
  </si>
  <si>
    <t>dRDF_ScreenedMaterialsToLandfill_Rigid_Plastic</t>
  </si>
  <si>
    <t>dRDF_FinesProducedToLandfill_Rigid_Plastic</t>
  </si>
  <si>
    <t>dRDF_ScreenedMaterialsToLandFill_Rigid_Plastic</t>
  </si>
  <si>
    <t>cRDF_GrossPlantInput_Organics</t>
  </si>
  <si>
    <t>cRDF_ScreenedMaterialsToLandfill_Organics</t>
  </si>
  <si>
    <t>S03cRDFFinesOrganics</t>
  </si>
  <si>
    <t>cRDF_FinesProducedToLandfill_Organics</t>
  </si>
  <si>
    <t>dRDF_GrossPlantInput_Organics</t>
  </si>
  <si>
    <t>dRDF_ScreenedMaterialsToLandfill_Organics</t>
  </si>
  <si>
    <t>dRDF_FinesProducedToLandfill_Organics</t>
  </si>
  <si>
    <t>dRDF_ScreenedMaterialsToLandFill_Organics</t>
  </si>
  <si>
    <t>cRDF_GrossPlantInput_Other</t>
  </si>
  <si>
    <t>cRDF_ScreenedMaterialsToLandfill_Other</t>
  </si>
  <si>
    <t>S03cRDFFinesOther</t>
  </si>
  <si>
    <t>cRDF_FinesProducedToLandfill_Other</t>
  </si>
  <si>
    <t>dRDF_GrossPlantInput_Other</t>
  </si>
  <si>
    <t>dRDF_ScreenedMaterialsToLandfill_Other</t>
  </si>
  <si>
    <t>dRDF_FinesProducedToLandfill_Other</t>
  </si>
  <si>
    <t>dRDF_ScreenedMaterialsToLandFill_Other</t>
  </si>
  <si>
    <t>cRDF_ProcessInput_Paper</t>
  </si>
  <si>
    <t>cRDF_ProcessInput_Glass</t>
  </si>
  <si>
    <t>cRDF_ProcesInput_Ferrous_Metal</t>
  </si>
  <si>
    <t>cRDF_ProcessInput_Non-fe_Metal</t>
  </si>
  <si>
    <t>cRDF_ProcessInput_Film_Plastic</t>
  </si>
  <si>
    <t>cRDF_ProcessInput_Rigid_Plastic</t>
  </si>
  <si>
    <t>cRDF_ProcessInput_Textiles</t>
  </si>
  <si>
    <t>cRDF_ProcessInput_Organics</t>
  </si>
  <si>
    <t>cRDF_ProcessInput_Other</t>
  </si>
  <si>
    <t>RDF Advanced Variables</t>
  </si>
  <si>
    <t>Energy Inputs (ie. energy required to burn RDF)</t>
  </si>
  <si>
    <t>dRDF_ProcessInput_Paper</t>
  </si>
  <si>
    <t>dRDF_ProcessInput_Glass</t>
  </si>
  <si>
    <t>dRDF_ProcessInput_Ferrous_Metal</t>
  </si>
  <si>
    <t>dRDF_ProcessInput_Non-fe_Metal</t>
  </si>
  <si>
    <t>dRDF_ProcessInput_Film_Plastic</t>
  </si>
  <si>
    <t>dRDF_ProcessInput_Rigid_Plastic</t>
  </si>
  <si>
    <t>dRDF_ProcessInput_Textiles</t>
  </si>
  <si>
    <t>dRDF_ProcessInput_Organics</t>
  </si>
  <si>
    <t>dRDF_ProcessInput_Other</t>
  </si>
  <si>
    <t>PPDF_ProcessInput_Fuel</t>
  </si>
  <si>
    <t>Paper and Plastic Dedicated Fuel Burn</t>
  </si>
  <si>
    <t>PPDF_InputFromMRF_Paper</t>
  </si>
  <si>
    <t>PPDF_InputFromMRF_Film_Plastic</t>
  </si>
  <si>
    <t>PPDF_InputFromMRF_Rigid_Plastic</t>
  </si>
  <si>
    <t>Non-Ferrous Metal</t>
  </si>
  <si>
    <t>Note that all values displayed on this sheet have been calculated from user inputs given in previous sheets</t>
  </si>
  <si>
    <t>Untreated Restwaste Remaining at this Stage</t>
  </si>
  <si>
    <t>Restwaste_CollectedHouseholdWaste_Paper</t>
  </si>
  <si>
    <t>Restwaste_CollectedCommercialWaste_Paper</t>
  </si>
  <si>
    <t>Restwaste_KCS1Biowaste_Paper</t>
  </si>
  <si>
    <t>Restwaste_KCS1DryRecyclables_Paper</t>
  </si>
  <si>
    <t>Restwaste_KCS2Biowaste_Paper</t>
  </si>
  <si>
    <t>Restwaste_KCS2DryRecyclables_Paper</t>
  </si>
  <si>
    <t>Restwaste_KCS3Biowaste_Paper</t>
  </si>
  <si>
    <t>Restwaste_KCS3DryRecyclables_Paper</t>
  </si>
  <si>
    <t>Restwaste_KCS4Biowaste_Paper</t>
  </si>
  <si>
    <t>Restwaste_KCS4DryRecyclables_Paper</t>
  </si>
  <si>
    <t>Restwaste_MBCS1SingleMaterialContainers_Paper</t>
  </si>
  <si>
    <t>Restwaste_MBCS1MixedMaterialContainers_Paper</t>
  </si>
  <si>
    <t>Restwaste_MBCS2SingleMaterialContainers_Paper</t>
  </si>
  <si>
    <t>Restwaste_MBCS2MixedMaterialContainers_Paper</t>
  </si>
  <si>
    <t>Restwaste_MBCS3SingleMaterialContainers_Paper</t>
  </si>
  <si>
    <t>Restwaste_MBCS3MixedMaterialContainers_Paper</t>
  </si>
  <si>
    <t>Restwaste_MBCS4SingleMaterialContainers_Paper</t>
  </si>
  <si>
    <t>Restwaste_MBCS4MixedMaterialContainers_Paper</t>
  </si>
  <si>
    <t>Restwaste_CommercialBiowaste_Paper</t>
  </si>
  <si>
    <t>Restwaste_CommercialDryRecyclables_Paper</t>
  </si>
  <si>
    <t>Restwaste_InputToCoarseRDFProduction_Paper</t>
  </si>
  <si>
    <t>Restwaste_InputToDensifiedRDFProduction_Paper</t>
  </si>
  <si>
    <t>Restwaste_MaterialToBiologicalStream_Paper</t>
  </si>
  <si>
    <t>Restwaste_MaterialToThermalStream_Paper</t>
  </si>
  <si>
    <t>N/A for this case</t>
  </si>
  <si>
    <t>Restwaste_CollectedHouseholdWaste_Glass</t>
  </si>
  <si>
    <t>Restwaste_DeliveredHouseholdWaste_Glass</t>
  </si>
  <si>
    <t>Restwaste_CollectedCommercialWaste_Glass</t>
  </si>
  <si>
    <t>Restwaste_KCS1DryRecyclables_Glass</t>
  </si>
  <si>
    <t>Restwaste_KCS2DryRecyclables_Glass</t>
  </si>
  <si>
    <t>Restwaste_KCS3DryRecyclables_Glass</t>
  </si>
  <si>
    <t>Restwaste_KCS4DryRecyclables_Glass</t>
  </si>
  <si>
    <t>Restwaste_MBCS1SingleMaterialContainers_Glass</t>
  </si>
  <si>
    <t>Restwaste_MBCS1MixedMaterialContainers_Glass</t>
  </si>
  <si>
    <t>Restwaste_MBCS2SingleMaterialContainers_Glass</t>
  </si>
  <si>
    <t>Restwaste_MBCS2MixedMaterialContainers_Glass</t>
  </si>
  <si>
    <t>Restwaste_MBCS3SingleMaterialContainers_Glass</t>
  </si>
  <si>
    <t>Restwaste_MBCS3MixedMaterialContainers_Glass</t>
  </si>
  <si>
    <t>Restwaste_MBCS4SingleMaterialContainers_Glass</t>
  </si>
  <si>
    <t>Restwaste_MBCS4MixedMaterialContainers_Glass</t>
  </si>
  <si>
    <t>Restwaste_BulkyHouseholdWasteRecovered_Glass</t>
  </si>
  <si>
    <t>Restwaste_BulkyHouseholdWasteResidue_Glass</t>
  </si>
  <si>
    <t>Restwaste_CommercialDryRecyclables_Glass</t>
  </si>
  <si>
    <t>Restwaste_InputToCoarseRDFProduction_Glass</t>
  </si>
  <si>
    <t>Restwaste_InputToDensifiedRDFProduction_Glass</t>
  </si>
  <si>
    <t>Restwaste_MaterialToBiologicalStream_Glass</t>
  </si>
  <si>
    <t>Restwaste_MaterialToThermalStream_Glass</t>
  </si>
  <si>
    <t>Market Prices ($/Ton)</t>
  </si>
  <si>
    <t>Restwaste_CollectedHouseholdWaste_Ferrous_Metal</t>
  </si>
  <si>
    <t>Restwaste_DeliveredHouseholdWaste_Ferrous_Metal</t>
  </si>
  <si>
    <t>Restwaste_CollectedCommercialWaste_Ferrous_Metal</t>
  </si>
  <si>
    <t>Restwaste_KCS1DryRecyclables_Ferrous_Metal</t>
  </si>
  <si>
    <t>Restwaste_KCS2DryRecyclables_Ferrous_Metal</t>
  </si>
  <si>
    <t>Restwaste_KCS3DryRecyclables_Ferrous_Metal</t>
  </si>
  <si>
    <t>Restwaste_KCS4DryRecyclables_Ferrous_Metal</t>
  </si>
  <si>
    <t>Restwaste_MBCS1SingleMaterialContainers_Ferrous_Metal</t>
  </si>
  <si>
    <t>Restwaste_MBCS1MixedMaterialContainers_Ferrous_Metal</t>
  </si>
  <si>
    <t>Restwaste_MBCS2SingleMaterialContainers_Ferrous_Metal</t>
  </si>
  <si>
    <t>Restwaste_MBCS2MixedMaterialContainers_Ferrous_Metal</t>
  </si>
  <si>
    <t>Restwaste_MBCS3SingleMaterialContainers_Ferrous_Metal</t>
  </si>
  <si>
    <t>Restwaste_MBCS3MixedMaterialContainers_Ferrous_Metal</t>
  </si>
  <si>
    <t>Restwaste_MBCS4SingleMaterialContainers_Ferrous_Metal</t>
  </si>
  <si>
    <t>Restwaste_MBCS4MixedMaterialContainers_Ferrous_Metal</t>
  </si>
  <si>
    <t>Restwaste_BulkyHouseholdWasteRecovered_Ferrous_Metal</t>
  </si>
  <si>
    <t>Restwaste_BulkyHouseholdWasteResidue_Ferrous_Metal</t>
  </si>
  <si>
    <t>Restwaste_CommercialDryRecyclables_Ferrous_Metal</t>
  </si>
  <si>
    <t>Restwaste_InputToCoarseRDFProduction_Ferrous_Metal</t>
  </si>
  <si>
    <t>Restwaste_InputToDensifiedRDFProduction_Ferrous_Metal</t>
  </si>
  <si>
    <t>Restwaste_MaterialToBiologicalStream_Ferrous_Metal</t>
  </si>
  <si>
    <t>Restwaste_MaterialToThermalStream_Ferrous_Metal</t>
  </si>
  <si>
    <t>Restwaste_CollectedHouseholdWaste_Non-fe_Metal</t>
  </si>
  <si>
    <t>Restwaste_DeliveredHouseholdWaste_Non-fe_Metal</t>
  </si>
  <si>
    <t>Restwaste_CollectedCommercialWaste_Non-fe_Metal</t>
  </si>
  <si>
    <t>Restwaste_KCS1DryRecyclables_Non-fe_Metal</t>
  </si>
  <si>
    <t>Restwaste_KCS2DryRecyclables_Non-fe_Metal</t>
  </si>
  <si>
    <t>Restwaste_KCS3DryRecyclables_Non-fe_Metal</t>
  </si>
  <si>
    <t>Restwaste_KCS4DryRecyclables_Non-fe_Metal</t>
  </si>
  <si>
    <t>Restwaste_MBCS1SingleMaterialContainers_Non-fe_Metal</t>
  </si>
  <si>
    <t>Restwaste_MBCS1MixedMaterialContainers_Non-fe_Metal</t>
  </si>
  <si>
    <t>Restwaste_MBCS2SingleMaterialContainers_Non-fe_Metal</t>
  </si>
  <si>
    <t>Restwaste_MBCS2MixedMaterialContainers_Non-fe_Metal</t>
  </si>
  <si>
    <t>Restwaste_MBCS3SingleMaterialContainers_Non-fe_Metal</t>
  </si>
  <si>
    <t>Restwaste_MBCS3MixedMaterialContainers_Non-fe_Metal</t>
  </si>
  <si>
    <t>Restwaste_MBCS4SingleMaterialContainers_Non-fe_Metal</t>
  </si>
  <si>
    <t>Restwaste_MBCS4MixedMaterialContainers_Non-fe_Metal</t>
  </si>
  <si>
    <t>Restwaste_BulkyHouseholdWasteRecovered_Non-fe_Metal</t>
  </si>
  <si>
    <t>Restwaste_BulkyHouseholdWasteResidue_Non-fe_Metal</t>
  </si>
  <si>
    <t>Restwaste_CommercialDryRecyclables_Non-fe_Metal</t>
  </si>
  <si>
    <t>Restwaste_InputToCoarseRDFProduction_Non-fe_Metal</t>
  </si>
  <si>
    <t>Restwaste_InputToDensifiedRDFProduction_Non-fe_Metal</t>
  </si>
  <si>
    <t>Restwaste_MaterialToBiologicalStream_Non-fe_Metal</t>
  </si>
  <si>
    <t>Restwaste_MaterialToThermalStream_Non-fe_Metal</t>
  </si>
  <si>
    <t>Restwaste_CollectedHouseholdWaste_Film_Plastic</t>
  </si>
  <si>
    <t>Restwaste_DeliveredHouseholdWaste_Film_Plastic</t>
  </si>
  <si>
    <t>Restwaste_CollectedCommercialWaste_Film_Plastic</t>
  </si>
  <si>
    <t>Restwaste_KCS1Biowaste_Film_Plastic</t>
  </si>
  <si>
    <t>Restwaste_KCS1DryRecyclables_Film_Plastic</t>
  </si>
  <si>
    <t>Restwaste_KCS2Biowaste_Film_Plastic</t>
  </si>
  <si>
    <t>Restwaste_KCS2DryRecyclables_Film_Plastic</t>
  </si>
  <si>
    <t>Restwaste_KCS3Biowaste_Film_Plastic</t>
  </si>
  <si>
    <t>Restwaste_KCS3DryRecyclables_Film_Plastic</t>
  </si>
  <si>
    <t>Restwaste_KCS4Biowaste_Film_Plastic</t>
  </si>
  <si>
    <t>Restwaste_KCS4DryRecyclables_Film_Plastic</t>
  </si>
  <si>
    <t>Restwaste_MBCS1SingleMaterialContainers_Film_Plastic</t>
  </si>
  <si>
    <t>Restwaste_MBCS1MixedMaterialContainers_Film_Plastic</t>
  </si>
  <si>
    <t>Restwaste_MBCS2SingleMaterialContainers_Film_Plastic</t>
  </si>
  <si>
    <t>Restwaste_MBCS2MixedMaterialContainers_Film_Plastic</t>
  </si>
  <si>
    <t>Restwaste_MBCS3SingleMaterialContainers_Film_Plastic</t>
  </si>
  <si>
    <t>Restwaste_MBCS3MixedMaterialContainers_Film_Plastic</t>
  </si>
  <si>
    <t>Restwaste_MBCS4SingleMaterialContainers_Film_Plastic</t>
  </si>
  <si>
    <t>Restwaste_MBCS4MixedMaterialContainers_Film_Plastic</t>
  </si>
  <si>
    <t>Restwaste_BulkyHouseholdWasteRecovered_Film_Plastic</t>
  </si>
  <si>
    <t>Restwaste_BulkyHouseholdWasteResidue_Film_Plastic</t>
  </si>
  <si>
    <t>Restwaste_CommercialBiowaste_Film_Plastic</t>
  </si>
  <si>
    <t>Restwaste_CommercialDryRecyclables_Film_Plastic</t>
  </si>
  <si>
    <t>Restwaste_InputToCoarseRDFProduction_Film_Plastic</t>
  </si>
  <si>
    <t>Restwaste_InputToDensifiedRDFProduction_Film_Plastic</t>
  </si>
  <si>
    <t>Restwaste_MaterialToBiologicalStream_Film_Plastic</t>
  </si>
  <si>
    <t>Restwaste_MaterialToThermalStream_Film_Plastic</t>
  </si>
  <si>
    <t>Restwaste_CollectedHouseholdWaste_Rigid_Plastic</t>
  </si>
  <si>
    <t>Restwaste_DeliveredHouseholdWaste_Rigid_Plastic</t>
  </si>
  <si>
    <t>Restwaste_CollectedCommercialWaste_Rigid_Plastic</t>
  </si>
  <si>
    <t>Restwaste_KCS1Biowaste_Rigid_Plastic</t>
  </si>
  <si>
    <t>Restwaste_KCS1DryRecyclables_Rigid_Plastic</t>
  </si>
  <si>
    <t>Restwaste_KCS2Biowaste_Rigid_Plastic</t>
  </si>
  <si>
    <t>Restwaste_KCS2DryRecyclables_Rigid_Plastic</t>
  </si>
  <si>
    <t>Restwaste_KCS3Biowaste_Rigid_Plastic</t>
  </si>
  <si>
    <t>Restwaste_KCS3DryRecyclables_Rigid_Plastic</t>
  </si>
  <si>
    <t>Restwaste_KCS4Biowaste_Rigid_Plastic</t>
  </si>
  <si>
    <t>Restwaste_KCS4DryRecyclables_Rigid_Plastic</t>
  </si>
  <si>
    <t>Restwaste_MBCS1SingleMaterialContainers_Rigid_Plastic</t>
  </si>
  <si>
    <t>Restwaste_MBCS1MixedMaterialContainers_Rigid_Plastic</t>
  </si>
  <si>
    <t>Restwaste_MBCS2SingleMaterialContainers_Rigid_Plastic</t>
  </si>
  <si>
    <t>Restwaste_MBCS2MixedMaterialContainers_Rigid_Plastic</t>
  </si>
  <si>
    <t>Restwaste_MBCS3SingleMaterialContainers_Rigid_Plastic</t>
  </si>
  <si>
    <t>Restwaste_MBCS3MixedMaterialContainers_Rigid_Plastic</t>
  </si>
  <si>
    <t>Restwaste_MBCS4SingleMaterialContainers_Rigid_Plastic</t>
  </si>
  <si>
    <t>Restwaste_MBCS4MixedMaterialContainers_Rigid_Plastic</t>
  </si>
  <si>
    <t>Restwaste_BulkyHouseholdWasteRecovered_Rigid_Plastic</t>
  </si>
  <si>
    <t>Restwaste_BulkyHouseholdWasteResidue_Rigid_Plastic</t>
  </si>
  <si>
    <t>Restwaste_CommercialBiowaste_Rigid_Plastic</t>
  </si>
  <si>
    <t>Restwaste_CommercialDryRecyclables_Rigid_Plastic</t>
  </si>
  <si>
    <t>Restwaste_InputToCoarseRDFProduction_Rigid_Plastic</t>
  </si>
  <si>
    <t>Restwaste_InputToDensifiedRDFProduction_Rigid_Plastic</t>
  </si>
  <si>
    <t>Restwaste_MaterialToBiologicalStream_Rigid_Plastic</t>
  </si>
  <si>
    <t>Restwaste_MaterialToThermalStream_Rigid_Plastic</t>
  </si>
  <si>
    <t>Restwaste_CollectedHouseholdWaste_Textiles</t>
  </si>
  <si>
    <t>Restwaste_CollectedCommercialWaste_Textiles</t>
  </si>
  <si>
    <t>Restwaste_KCS1DryRecyclables_Textiles</t>
  </si>
  <si>
    <t>Restwaste_KCS2DryRecyclables_Textiles</t>
  </si>
  <si>
    <t>Restwaste_KCS3DryRecyclables_Textiles</t>
  </si>
  <si>
    <t>Restwaste_KCS4DryRecyclables_Textiles</t>
  </si>
  <si>
    <t>Restwaste_MBCS1SingleMaterialContainers_Textiles</t>
  </si>
  <si>
    <t>Restwaste_MBCS1MixedMaterialContainers_Textiles</t>
  </si>
  <si>
    <t>Restwaste_MBCS2SingleMaterialContainers_Textiles</t>
  </si>
  <si>
    <t>Restwaste_MBCS2MixedMaterialContainers_Textiles</t>
  </si>
  <si>
    <t>Restwaste_MBCS3SingleMaterialContainers_Textiles</t>
  </si>
  <si>
    <t>Restwaste_MBCS3MixedMaterialContainers_Textiles</t>
  </si>
  <si>
    <t>Restwaste_MBCS4SingleMaterialContainers_Textiles</t>
  </si>
  <si>
    <t>Restwaste_MBCS4MixedMaterialContainers_Textiles</t>
  </si>
  <si>
    <t>Restwaste_CommercialDryRecyclables_Textiles</t>
  </si>
  <si>
    <t>Restwaste_InputToCoarseRDFProduction_Textiles</t>
  </si>
  <si>
    <t>Restwaste_InputToDensifiedRDFProduction_Textiles</t>
  </si>
  <si>
    <t>Restwaste_MaterialToBiologicalStream_Textiles</t>
  </si>
  <si>
    <t>Restwaste_MaterialToThermalStream_Textiles</t>
  </si>
  <si>
    <t>Restwaste_CollectedHouseholdWaste_Organics</t>
  </si>
  <si>
    <t>Restwaste_DeliveredHouseholdWaste_Organics</t>
  </si>
  <si>
    <t>Restwaste_CollectedCommercialWaste_Organics</t>
  </si>
  <si>
    <t>Restwaste_DeliveredGardenWaste_Organics</t>
  </si>
  <si>
    <t>Restwaste_KCS1Biowaste_Organics</t>
  </si>
  <si>
    <t>Restwaste_KCS1DryRecyclables_Organics</t>
  </si>
  <si>
    <t>Restwaste_KCS2Biowaste_Organics</t>
  </si>
  <si>
    <t>Restwaste_KCS2DryRecyclables_Organics</t>
  </si>
  <si>
    <t>Restwaste_KCS3Biowaste_Organics</t>
  </si>
  <si>
    <t>Restwaste_KCS3DryRecyclables_Organics</t>
  </si>
  <si>
    <t>Restwaste_KCS4Biowaste_Organics</t>
  </si>
  <si>
    <t>Restwaste_KCS4DryRecyclables_Organics</t>
  </si>
  <si>
    <t>Restwaste_MBCS1SingleMaterialContainers_Organics</t>
  </si>
  <si>
    <t>Restwaste_MBCS1MixedMaterialContainers_Organics</t>
  </si>
  <si>
    <t>Restwaste_MBCS2SingleMaterialContainers_Organics</t>
  </si>
  <si>
    <t>Restwaste_MBCS2MixedMaterialContainers_Organics</t>
  </si>
  <si>
    <t>Restwaste_MBCS3SingleMaterialContainers_Organics</t>
  </si>
  <si>
    <t>Restwaste_MBCS3MixedMaterialContainers_Organics</t>
  </si>
  <si>
    <t>Restwaste_MBCS4SingleMaterialContainers_Organics</t>
  </si>
  <si>
    <t>Restwaste_MBCS4MixedMaterialContainers_Organics</t>
  </si>
  <si>
    <t>Restwaste_CommercialBiowaste_Organics</t>
  </si>
  <si>
    <t>Restwaste_CommercialDryRecyclables_Organics</t>
  </si>
  <si>
    <t>Restwaste_InputToCoarseRDFProduction_Organics</t>
  </si>
  <si>
    <t>Restwaste_InputToDensifiedRDFProduction_Organics</t>
  </si>
  <si>
    <t>Restwaste_MaterialToBiologicalStream_Organics</t>
  </si>
  <si>
    <t>Restwaste_MaterialToThermalStream_Organics</t>
  </si>
  <si>
    <t>Restwaste_CollectedHouseholdWaste_Other</t>
  </si>
  <si>
    <t>Restwaste_DeliveredHouseholdWaste_Other</t>
  </si>
  <si>
    <t>Restwaste_CollectedCommercialWaste_Other</t>
  </si>
  <si>
    <t>Restwaste_KCS1DryRecyclables_Other</t>
  </si>
  <si>
    <t>Restwaste_KCS2DryRecyclables_Other</t>
  </si>
  <si>
    <t>Restwaste_KCS3DryRecyclables_Other</t>
  </si>
  <si>
    <t>Restwaste_KCS4DryRecyclables_Other</t>
  </si>
  <si>
    <t>Restwaste_MBCS1MixedMaterialContainers_Other</t>
  </si>
  <si>
    <t>Restwaste_MBCS2MixedMaterialContainers_Other</t>
  </si>
  <si>
    <t>Restwaste_MBCS3MixedMaterialContainers_Other</t>
  </si>
  <si>
    <t>Restwaste_MBCS4MixedMaterialContainers_Other</t>
  </si>
  <si>
    <t>Restwaste_BulkyHouseholdWasteResidue_Other</t>
  </si>
  <si>
    <t>Restwaste_CommercialBiowaste_Other</t>
  </si>
  <si>
    <t>Restwaste_CommercialDryRecyclables_Other</t>
  </si>
  <si>
    <t>Restwaste_InputToCoarseRDFProduction_Other</t>
  </si>
  <si>
    <t>Restwaste_InputToDensifiedRDFProduction_Other</t>
  </si>
  <si>
    <t>Restwaste_MaterialToBiologicalStream_Other</t>
  </si>
  <si>
    <t>Restwaste_MaterialToThermalStream_Other</t>
  </si>
  <si>
    <t>Total Non-Hazardous Material Available for Landfilling</t>
  </si>
  <si>
    <t>The model displays the composition of the remaining restwaste that has not been diverted into any of the previous treatments. This material is added to the Landfill stream</t>
  </si>
  <si>
    <t>Here, the total amount of non-hazardous material to be landfilled is calculated (by summing the values for each stream from the previous two calculations)</t>
  </si>
  <si>
    <t>Landfill Input</t>
  </si>
  <si>
    <t>Here, the total amount of non-hazardous and hazardous materials entering the landfill are calculated. These are the total values used to calculate air and water emissions, and the final solid waste volume.</t>
  </si>
  <si>
    <t>Note that hazardous waste (fly ash and other gas cleaning residues from the thermal treatment processes) is accounted for separately, and it is assumed that this residual waste will be landfilled directly.</t>
  </si>
  <si>
    <t>Amount (tonnes)</t>
  </si>
  <si>
    <t>Proportion of waste input (%)</t>
  </si>
  <si>
    <t>Non-Hazardous</t>
  </si>
  <si>
    <t>Hazardous</t>
  </si>
  <si>
    <t>Hazardous Waste</t>
  </si>
  <si>
    <t>Landfill_Incinerator2ProcessResidue_Hazardous</t>
  </si>
  <si>
    <t>Landfill_Incinerator1ProcessResidue_Hazardous</t>
  </si>
  <si>
    <t>Landfill_CoarseRDFBurningResidue_Hazardous</t>
  </si>
  <si>
    <t>cRDF_ProcessInput_Fuel</t>
  </si>
  <si>
    <t>dRDF_ProcessInput_Fuel</t>
  </si>
  <si>
    <t>Landfill_DensifiedRDFBurningResidue_Hazardous</t>
  </si>
  <si>
    <t>Landfill_PPDFBurningResidue_Hazardous</t>
  </si>
  <si>
    <t>Transfer Station</t>
  </si>
  <si>
    <t>This screen described any processing operations assoicated with transfer stations</t>
  </si>
  <si>
    <t>Landfill Transfer Station</t>
  </si>
  <si>
    <t>Landfill material sent to transfer station (% of landfill input)</t>
  </si>
  <si>
    <t>Landfill material sent to transfer station (tonnes)</t>
  </si>
  <si>
    <t>Electrical energy consumption of transfer station (kWh/tonne input)</t>
  </si>
  <si>
    <t>Diesel fuel consumption of transfer station (liters/tonne input)</t>
  </si>
  <si>
    <t>Distance to landfill site from transfer station (km each way)</t>
  </si>
  <si>
    <t>Non-Hazardous Landfill Management and Costs</t>
  </si>
  <si>
    <t>Electrical energy consumption of landfill site (kWh/tonne input)</t>
  </si>
  <si>
    <t>Diesel fuel consumption of landfill site (liters/tonne input)</t>
  </si>
  <si>
    <t>Landfill Gas</t>
  </si>
  <si>
    <t>Landfill gas generated (Normal m3)</t>
  </si>
  <si>
    <t>Landfill gas collected (%)</t>
  </si>
  <si>
    <t>Landfill gas released (%)</t>
  </si>
  <si>
    <t>Energy recovered from gas (%)</t>
  </si>
  <si>
    <t>Efficiency of electricity generation</t>
  </si>
  <si>
    <t>ETSU (1996) Landfill gas development guidelines</t>
  </si>
  <si>
    <t>The collection and pre-sorting module covered transport of the residual waste to either a local landfill site of a transfer station (if a distance landfill site is used).</t>
  </si>
  <si>
    <t xml:space="preserve"> If a transfer station is used, the user must input the amount of energy/fuel used at the station per tonne of waste managed. The model calculates the total amounts of energy/fuel consumed to handle all of the waste, and adds this to the fuel/emergy consumption totals within the model.</t>
  </si>
  <si>
    <t>For onward transport to the landfill, the user enters the one-way distance to the landfill site. The model calculates the fuel consumed, assuming a 40tonne truck capacity and that no return load is carried</t>
  </si>
  <si>
    <t>Here, non-hazardous landfilling burdens and costs are accounted for. Landfill gas generation and subsequent energy generation along with leachate collection and treamtnet are also modelled</t>
  </si>
  <si>
    <t>If landfill gas is not collected, the appropriate amount of gas is added to the overall total air emissions. If gas is collected the portion that diffuses out of the site (100% - collection efficiency percentage) is added to the air emissions total.</t>
  </si>
  <si>
    <t>The collected portion is assumed to be burned, whether ina  flare, furnace or gas engine, with the resultant air emissions.</t>
  </si>
  <si>
    <t>If energy is recovered, the appropriate amount of electrical energy is added to the system energy production total.</t>
  </si>
  <si>
    <t>Landfill Gas Advanced Variables</t>
  </si>
  <si>
    <t>Energy Potential (MJ/Normal m3)</t>
  </si>
  <si>
    <t>Gas generated (Normal m3/tonne)</t>
  </si>
  <si>
    <t>Landfill Leachate</t>
  </si>
  <si>
    <t>Leachate generation (m3/tonne)</t>
  </si>
  <si>
    <t>(m3/tonne)</t>
  </si>
  <si>
    <t>Solid waste from leachate treatment (tonnes/m3 leachate treated)</t>
  </si>
  <si>
    <t>Landfill Volume of Waste</t>
  </si>
  <si>
    <t>Industrial Energy</t>
  </si>
  <si>
    <t>Solid waste from leachate treatment</t>
  </si>
  <si>
    <t>Leachate</t>
  </si>
  <si>
    <t>If the site is unlined, or lined but with no leachate collection and treatment system, it is assumed that all of the leachate produced leaks from the site and enters the substrata.</t>
  </si>
  <si>
    <t>The amount of leaked leachate is added to the totals for the water emissions.</t>
  </si>
  <si>
    <t>The amount not collected is assumed to leak from the site, and is again added to the water emissions totals</t>
  </si>
  <si>
    <t>If the site is lined and leachate is collected and treated, the amount collected is calculated using the collection efficiency estimate, and the resulting effluent and residues addfed to the respective totals for water emissions and solid waste.</t>
  </si>
  <si>
    <t>Leachate generated (m3)</t>
  </si>
  <si>
    <t>Leachate collected (%)</t>
  </si>
  <si>
    <t>Leachate released (%)</t>
  </si>
  <si>
    <t>Leachate treatment efficiency (%)</t>
  </si>
  <si>
    <t>Efficiency of collection and treatment process (%)</t>
  </si>
  <si>
    <t>Hazardous Landfill Management and Costs</t>
  </si>
  <si>
    <t>Transfer and transport cost of restwaste ($/tonne)</t>
  </si>
  <si>
    <t>Landfill cost ($/tonne)</t>
  </si>
  <si>
    <t>NB. The cost of landfilling should be inclusive of site purchase, construction, operatoin, gas sales (if appropriate), gas and leachate treatment, site closure, and subsequent monitoring and aftercare.</t>
  </si>
  <si>
    <t>This screen is the same as the previous, except that the model assumes that no landfill gas is generated by a hazardous landfill</t>
  </si>
  <si>
    <t>Materials Recycling</t>
  </si>
  <si>
    <t>Material available for recycling (tonnes)</t>
  </si>
  <si>
    <t>Final Solid Waste avoided* by recycling (%)</t>
  </si>
  <si>
    <t>* A negative value indicates that Final Solid Waste is created</t>
  </si>
  <si>
    <t>Final Solid Waste savings due to recycling** (tonnes)</t>
  </si>
  <si>
    <t>Recycling Processes</t>
  </si>
  <si>
    <t>Here, the model calculates and displays the total amount of material collected by the waste management system for recycling</t>
  </si>
  <si>
    <t>The default values given in the "Final Solid Waste avoided by recycling" are referenced from the textbook (Chapter 22)</t>
  </si>
  <si>
    <t>The term "FSW avoided by recycling" accounts for the avoidance or creation of solid waste during the recycling process</t>
  </si>
  <si>
    <t>The model calculates the final tonnage of recycled materials and subtracts the environmental burdens associated with these materials from the overal environmental burdens of the waste management system being modelled</t>
  </si>
  <si>
    <t>cRDF_FerrousMetalRecovered_Paper</t>
  </si>
  <si>
    <t>cRDF_FerrousMetalRecovered_Glass</t>
  </si>
  <si>
    <t>cRDF_FerrousMetalRecovered_Ferrous_Metal</t>
  </si>
  <si>
    <t>cRDF_FerrousMetalRecovered_Non-fe_Metal</t>
  </si>
  <si>
    <t>cRDF_FerrousMetalRecovered_Film_Plastic</t>
  </si>
  <si>
    <t>cRDF_FerrousMetalRecovered_Rigid_Plastic</t>
  </si>
  <si>
    <t>cRDF_FerrousMetalRecovered_Textiles</t>
  </si>
  <si>
    <t>cRDF_FerrousMetalRecovered_Organics</t>
  </si>
  <si>
    <t>cRDF_FerrousMetalRecovered_Other</t>
  </si>
  <si>
    <t>cRDF_ScreenedMaterialsToLandfill_Textiles</t>
  </si>
  <si>
    <t>cRDF_GrossPlantInput_Textiles</t>
  </si>
  <si>
    <t>S03cRDFFinesTextiles</t>
  </si>
  <si>
    <t>cRDF_FinesProducedToLandfill_Textiles</t>
  </si>
  <si>
    <t>dRDF_GrossPlantInput_Textiles</t>
  </si>
  <si>
    <t>dRDF_ScreenedMaterialsToLandfill_Textiles</t>
  </si>
  <si>
    <t>dRDF_FinesProducedToLandfill_Textiles</t>
  </si>
  <si>
    <t>dRDF_ScreenedMaterialsToLandFill_Textiles</t>
  </si>
  <si>
    <t>dRDF_FerrousMetalRecovered_Paper</t>
  </si>
  <si>
    <t>dRDF_FerrousMetalRecovered_Glass</t>
  </si>
  <si>
    <t>dRDF_FerrousMetalRecovered_Ferrous_Metal</t>
  </si>
  <si>
    <t>dRDF_FerrousMetalRecovered_Non-fe_Metal</t>
  </si>
  <si>
    <t>dRDF_FerrousMetalRecovered_Film_Plastic</t>
  </si>
  <si>
    <t>dRDF_FerrousMetalRecovered_Rigid_Plastic</t>
  </si>
  <si>
    <t>dRDF_FerrousMetalRecovered_Textiles</t>
  </si>
  <si>
    <t>dRDF_FerrousMetalRecovered_Organics</t>
  </si>
  <si>
    <t>dRDF_FerrousMetalRecovered_Other</t>
  </si>
  <si>
    <t>cRDF_Non-FeMetalRecovered_Paper</t>
  </si>
  <si>
    <t>cRDF_Non-FeMetalRecovered_Glass</t>
  </si>
  <si>
    <t>cRDF_Non-FeMetalRecovered_Ferrous_Metal</t>
  </si>
  <si>
    <t>cRDF_Non-FeMetalRecovered_Non-fe_Metal</t>
  </si>
  <si>
    <t>cRDF_Non-FeMetalRecovered_Film_Plastic</t>
  </si>
  <si>
    <t>cRDF_Non-FeMetalRecovered_Rigid_Plastic</t>
  </si>
  <si>
    <t>cRDF_Non-FeMetalRecovered_Textiles</t>
  </si>
  <si>
    <t>cRDF_Non-FeMetalRecovered_Organics</t>
  </si>
  <si>
    <t>cRDF_Non-FeMetalRecovered_Other</t>
  </si>
  <si>
    <t>dRDF_Non-FeMetalRecovered_Paper</t>
  </si>
  <si>
    <t>dRDF_Non-FeMetalRecovered_Glass</t>
  </si>
  <si>
    <t>dRDF_Non-FeMetalRecovered_Ferrous_Metal</t>
  </si>
  <si>
    <t>dRDF_Non-FeMetalRecovered_Non-fe_Metal</t>
  </si>
  <si>
    <t>dRDF_Non-FeMetalRecovered_Film_Plastic</t>
  </si>
  <si>
    <t>dRDF_Non-FeMetalRecovered_Rigid_Plastic</t>
  </si>
  <si>
    <t>dRDF_Non-FeMetalRecovered_Textiles</t>
  </si>
  <si>
    <t>dRDF_Non-FeMetalRecovered_Organics</t>
  </si>
  <si>
    <t>dRDF_Non-FeMetalRecovered_Other</t>
  </si>
  <si>
    <t>Materials_Incinerator1BottomAshReused_Bottom_Ash</t>
  </si>
  <si>
    <t>Materials_Incinerator2BottomAshReused_Bottom_Ash</t>
  </si>
  <si>
    <t>Compost Recycling Credits</t>
  </si>
  <si>
    <t>The model calculates and displays the total amount of compost recycled as a soil improver and adds the appropriate recycling credits to the recycling section of the model</t>
  </si>
  <si>
    <t>Marketable compost produced (tonnes)</t>
  </si>
  <si>
    <t>By Biogasification</t>
  </si>
  <si>
    <t>By Composting</t>
  </si>
  <si>
    <t>Transport from Sorting Facility/Collection Bank to Reprocessing Plant</t>
  </si>
  <si>
    <t xml:space="preserve">Here, the user inputs the average distance (one way) in km to the reprocessing plant for each material. </t>
  </si>
  <si>
    <t>The model calcaultes the energy consumption and emissions, then it calculates the savings in energy consumption associated with recycling of the amount of recovered material predicted in the rest of the model.</t>
  </si>
  <si>
    <t>The energy consumption and emissions from the transport to the reprocessing plant are subtracted to give the actual savings likely from the recycling process.</t>
  </si>
  <si>
    <t>Distance (km each way)</t>
  </si>
  <si>
    <t>Recycling Costs</t>
  </si>
  <si>
    <t>The user inserts the following economic data and the model calculates the additional cost or saving attributable to the recycling of the recovered materials.</t>
  </si>
  <si>
    <t>Default values in the "Recycling Tab" of the "Advanced Variables" screen specify the material loss associated with the recycling of each material.</t>
  </si>
  <si>
    <t>If region-specific data are available, they should be entered here.</t>
  </si>
  <si>
    <t>Transport costs ($/tonne input)</t>
  </si>
  <si>
    <t>Process costs ($/tonne recycled)</t>
  </si>
  <si>
    <t>Recycled price ($/tonne recycled)</t>
  </si>
  <si>
    <t>Advanced Variables</t>
  </si>
  <si>
    <t>This tab contains the fixed parameters referenced throughout the model</t>
  </si>
  <si>
    <t>The user is able to change these variables if more accurate data with respect to the region of interest is available</t>
  </si>
  <si>
    <t>Electricity Generation</t>
  </si>
  <si>
    <t>It should be noted here that the energy emissions data includes the emissions from the generation and supply of electricity to the waste management facilities</t>
  </si>
  <si>
    <t>Fuels and Electricity</t>
  </si>
  <si>
    <t>System area generating grid (%)</t>
  </si>
  <si>
    <t>Hard coal</t>
  </si>
  <si>
    <t>Brown coal</t>
  </si>
  <si>
    <t>Oil</t>
  </si>
  <si>
    <t>Nat. Gas</t>
  </si>
  <si>
    <t>Nuclear</t>
  </si>
  <si>
    <t>Hydro</t>
  </si>
  <si>
    <t>Displaced energy (%)</t>
  </si>
  <si>
    <t>Note that displaced energy refers to the breakdown of the energy generated by the waste management system, and how that is broken down and offset to the individual types of energy production.</t>
  </si>
  <si>
    <t>System Area Generating Efficiency</t>
  </si>
  <si>
    <t>Here, efficiency includes the efficiency of energy generation, production, and supply</t>
  </si>
  <si>
    <t>Overall (weighted total efficiency)</t>
  </si>
  <si>
    <t>Fuel Consumption Data</t>
  </si>
  <si>
    <t>This fuel consumption data applies to the entire waste management collection system, the transport of materials between collection, processing, and final disposal.</t>
  </si>
  <si>
    <t>Default values are supplied, but can be replaced by the user if more accurate data is available</t>
  </si>
  <si>
    <t>Average petrol car (litres/km)</t>
  </si>
  <si>
    <t>Average diesel car (litres/km)</t>
  </si>
  <si>
    <t>Diesel truck (litres/km)</t>
  </si>
  <si>
    <t>The model defaults to a 20-tonne truck being used for collection and transport of all materials within the waste management system.</t>
  </si>
  <si>
    <t>Diesel truck load (tonnes)</t>
  </si>
  <si>
    <t>Gross Calorific Values</t>
  </si>
  <si>
    <t>These values are used to calculate the total energy consumption of each section of the waste management system using:</t>
  </si>
  <si>
    <t>Energy consumption = Gross calorific value x 100/efficiency of generation or production and supply of fuel</t>
  </si>
  <si>
    <t>Electricity (GJ/kWh)</t>
  </si>
  <si>
    <t>Petrol (GJ/litre)</t>
  </si>
  <si>
    <t>Diesel (GJ/litre)</t>
  </si>
  <si>
    <t>Nat. gas (GJ/m3)</t>
  </si>
  <si>
    <t>Production of Other Fuels</t>
  </si>
  <si>
    <t>Here, default values for the efficiency of production and supply of petrol, diesel, and natural gas are given.</t>
  </si>
  <si>
    <t>Petrol</t>
  </si>
  <si>
    <t>Diesel</t>
  </si>
  <si>
    <t>Nat. gas</t>
  </si>
  <si>
    <t>Efficiency (%)</t>
  </si>
  <si>
    <t>Waste Collection</t>
  </si>
  <si>
    <t>Bins and Bags</t>
  </si>
  <si>
    <t>In addition to the organic, other, and plastic contamination numbers given in the Waste Collection tab, data on the collection mechanisms is provieded to allow for the calculation of their environmental burdens.</t>
  </si>
  <si>
    <t>Specifically, data related to collection bins and bags is input, so that their effects can be directly compared.</t>
  </si>
  <si>
    <t>Collection Bins</t>
  </si>
  <si>
    <t>This is converted into an equivalent total usage of material per year for the system area, and then into energy consumption and emissions.</t>
  </si>
  <si>
    <t>It is assumed that the bins are made from injection-moulded polypropylene</t>
  </si>
  <si>
    <t>Bin washing accounts for additional energy consumption and emissions due to the heating of the water used.</t>
  </si>
  <si>
    <t>The user inserts the average number of bin washes carried out per household per year, and the model calculated the total number of bin washes per year.</t>
  </si>
  <si>
    <t>The result of this is converted to electricity consumption using the estimated figure of 0.6kWh per bun washed.</t>
  </si>
  <si>
    <t>Electricity is totalled throughout the solid waste life cycle and converted to primary energy consumption and emissions using generic data.</t>
  </si>
  <si>
    <t>Total weight of bins used (kg/household)</t>
  </si>
  <si>
    <t>Average lifespan of bins (years)</t>
  </si>
  <si>
    <t>Number of bin washes (household/year)</t>
  </si>
  <si>
    <t>Electrical energy used (kWh/bin wash)</t>
  </si>
  <si>
    <t>Collection Bags</t>
  </si>
  <si>
    <t>This section accounts for the upstream impacts of the use of bags )ie. during raw material acquisition, processing, bag manufacture, and transport)</t>
  </si>
  <si>
    <t>The model calculates the total amount of paper and plastic required, and converts this to energy consumption and emissions by multiplying with the generic data for production of paper and plastic given in the materials impact section of the model</t>
  </si>
  <si>
    <t>It is assumed that the paper bags are made from 100% recycled paper, and that the plastic bags are made from LDPE.</t>
  </si>
  <si>
    <t>Additionally, the model assumed that the amounts of waste defined previously already include the refuse sacks and/or bins.</t>
  </si>
  <si>
    <t>Bag weight (g)</t>
  </si>
  <si>
    <t>Biowaste</t>
  </si>
  <si>
    <t>Dry recyclables</t>
  </si>
  <si>
    <t>Bags (household/yr)</t>
  </si>
  <si>
    <t>Household equivalent (kg/year)</t>
  </si>
  <si>
    <t>Plastic LDPE bags used (%)</t>
  </si>
  <si>
    <t>Paper bags used (%)</t>
  </si>
  <si>
    <t>Totals</t>
  </si>
  <si>
    <t>Plastic bins (tonnes/year)</t>
  </si>
  <si>
    <t>Plastic bags (tonnes/year)</t>
  </si>
  <si>
    <t>Paper bags (tonnes/year)</t>
  </si>
  <si>
    <t>Incineration Emissions</t>
  </si>
  <si>
    <t>The emissions from a facility complying with the US Federal Standard (1995) for Municipal Waste Combustors and the emissions from a new facility are presented on this screen.</t>
  </si>
  <si>
    <t>From these figures, the user can decide which data set most closely matches the incineration process they are attempting to model.</t>
  </si>
  <si>
    <t>Incineration Process Advanced Variables</t>
  </si>
  <si>
    <t>US EPA Regulations</t>
  </si>
  <si>
    <t>New Facility</t>
  </si>
  <si>
    <t>Incinerator Emissions in (mg/Normal m3)</t>
  </si>
  <si>
    <t>SO2</t>
  </si>
  <si>
    <t>HCl</t>
  </si>
  <si>
    <t>Dioxins/Furans</t>
  </si>
  <si>
    <t>CO</t>
  </si>
  <si>
    <t>Particulates</t>
  </si>
  <si>
    <t>Emissions Based On:</t>
  </si>
  <si>
    <t>Incineration Process 1:</t>
  </si>
  <si>
    <t>Incineration Process 2:</t>
  </si>
  <si>
    <t>NOx</t>
  </si>
  <si>
    <t>Metal Removal Efficiency of Gas Cleaning Technology</t>
  </si>
  <si>
    <t>Here, default values for the efficiency of metal removal by gas-cleaning technology are given, based on average operating figures from a new facility.</t>
  </si>
  <si>
    <t>The user can edit these values if more accurate data is available</t>
  </si>
  <si>
    <t>Process 1:</t>
  </si>
  <si>
    <t>Process 2:</t>
  </si>
  <si>
    <t>Arsenic</t>
  </si>
  <si>
    <t>Cadmium</t>
  </si>
  <si>
    <t>Chromium</t>
  </si>
  <si>
    <t>Copper</t>
  </si>
  <si>
    <t>Mercury</t>
  </si>
  <si>
    <t>Nickel</t>
  </si>
  <si>
    <t>Lead</t>
  </si>
  <si>
    <t>Zinc</t>
  </si>
  <si>
    <t>Recycling</t>
  </si>
  <si>
    <t>Material Losses</t>
  </si>
  <si>
    <t>These figures are used to calculate the air and water emissions and the recycling process costs (per tonne output) and the price (and hence revenue) for recycled materials (per tonne output)</t>
  </si>
  <si>
    <t>Material losses (%)</t>
  </si>
  <si>
    <t>SI Conversion Factors:</t>
  </si>
  <si>
    <t>GJ to kWh</t>
  </si>
  <si>
    <t>MJ to kWh</t>
  </si>
  <si>
    <t>Global Warming Potentials</t>
  </si>
  <si>
    <t>(over a 100 year time horizon)</t>
  </si>
  <si>
    <t>These values were proposed by the IPCC (1996)</t>
  </si>
  <si>
    <t>CO2 (relative to CO2)</t>
  </si>
  <si>
    <t>CH4 (relative to CO2)</t>
  </si>
  <si>
    <t>N2O (relative to CO2)</t>
  </si>
  <si>
    <t>Note that the user can change the these values according to the time horizon used. The IPCC proposed values are:</t>
  </si>
  <si>
    <t>Over a 500 year time horizon (GWP500)</t>
  </si>
  <si>
    <t>Over a 20 year time horizon (GWP20)</t>
  </si>
  <si>
    <t>Waste Flow Summary</t>
  </si>
  <si>
    <t>Streams</t>
  </si>
  <si>
    <t>This tab provides a detailed mass flow of all components in the Life Cycle Inventory Model</t>
  </si>
  <si>
    <t>Note that all figures are in tonnes</t>
  </si>
  <si>
    <t xml:space="preserve">Description </t>
  </si>
  <si>
    <t>Delivered Garden Waste</t>
  </si>
  <si>
    <t>KCS1 Biowaste</t>
  </si>
  <si>
    <t>KCS1 Dry Recyclables</t>
  </si>
  <si>
    <t>MBCS1 Single Material Containers</t>
  </si>
  <si>
    <t>MBCS1 Mixed Material Containers</t>
  </si>
  <si>
    <t>Bulky Household Waste Recovered</t>
  </si>
  <si>
    <t>Bulky Household Waste Residue</t>
  </si>
  <si>
    <t>Commercial Biowaste</t>
  </si>
  <si>
    <t>Commercial Dry Recyclables</t>
  </si>
  <si>
    <t>Input to Coarse RDF Production</t>
  </si>
  <si>
    <t>Input to Densified RDF Production</t>
  </si>
  <si>
    <t>Material to Biological Stream</t>
  </si>
  <si>
    <t>Material to Thermal Stream</t>
  </si>
  <si>
    <t>Material to Landfill Stream</t>
  </si>
  <si>
    <t>Destination</t>
  </si>
  <si>
    <t>-</t>
  </si>
  <si>
    <t>B</t>
  </si>
  <si>
    <t>S</t>
  </si>
  <si>
    <t>M/B</t>
  </si>
  <si>
    <t>M</t>
  </si>
  <si>
    <t>T/L</t>
  </si>
  <si>
    <t>C</t>
  </si>
  <si>
    <t>D</t>
  </si>
  <si>
    <t>T</t>
  </si>
  <si>
    <t>L</t>
  </si>
  <si>
    <t>S = Sorting, B = Biological, C = cRDF, D = dRDF, T = Thermal, L = Landfill, M = Materials</t>
  </si>
  <si>
    <t>Total Delivered Household Waste (Tonnes/Year)</t>
  </si>
  <si>
    <t>Positive values represent inputs to the system, while negative values represent material being transferred to another process or out of the system.</t>
  </si>
  <si>
    <t>Here, the material to the landfill stream is the summation of all values in each column</t>
  </si>
  <si>
    <t>Sorting</t>
  </si>
  <si>
    <t>MRF Process Recycled</t>
  </si>
  <si>
    <t>MRF Process to PPDF Burning</t>
  </si>
  <si>
    <t>MRF Process Residue to Incinerator</t>
  </si>
  <si>
    <t>MRF Process Residue to Landfill</t>
  </si>
  <si>
    <t>Description</t>
  </si>
  <si>
    <t>Paper and Plastic Derived Fuel (PPDF)</t>
  </si>
  <si>
    <t>Fuel</t>
  </si>
  <si>
    <t>Input from MRF</t>
  </si>
  <si>
    <t>Process Input</t>
  </si>
  <si>
    <t>Material Combusted</t>
  </si>
  <si>
    <t>Process Non-Hazardous Residue</t>
  </si>
  <si>
    <t>Process Hazardous Residue</t>
  </si>
  <si>
    <t>Coarse Refuse Derived Fuel (cRDF)</t>
  </si>
  <si>
    <t>Gross Plant Input</t>
  </si>
  <si>
    <t>Screened Materials to Landfill</t>
  </si>
  <si>
    <t>Ferrous Metal Recovered</t>
  </si>
  <si>
    <t>Non Ferrous Metal Recovered</t>
  </si>
  <si>
    <t>Fines Produced to Biological Treatment</t>
  </si>
  <si>
    <t>Fines Produced to Landfill</t>
  </si>
  <si>
    <t>Residue Produced to Landfill</t>
  </si>
  <si>
    <t>Total input to process</t>
  </si>
  <si>
    <t>Densified Refuse Derived Fuel (dRDF)</t>
  </si>
  <si>
    <t>Fuel Lost Due to Drying and Pelletising</t>
  </si>
  <si>
    <t>Coarse RDF Fines</t>
  </si>
  <si>
    <t>Densified RDF Fines</t>
  </si>
  <si>
    <t>Recovery from Composting Presort</t>
  </si>
  <si>
    <t>Composting Presort Residue to Incinerator</t>
  </si>
  <si>
    <t>Composting Presort Residue to Landfill</t>
  </si>
  <si>
    <t>Marketable Compost Produced by Composting</t>
  </si>
  <si>
    <t>Composting Process Residue to Incinerator</t>
  </si>
  <si>
    <t>Composting Process Residue to Landfill</t>
  </si>
  <si>
    <t>Recovery from Biogasification Presort</t>
  </si>
  <si>
    <t>Biogasification Presort Residue to Incinerator</t>
  </si>
  <si>
    <t>Biogasification Presort Residue to Landfill</t>
  </si>
  <si>
    <t>Biogasification Process Input Lost</t>
  </si>
  <si>
    <t>Marketable Compost Produced by Biogasification</t>
  </si>
  <si>
    <t>Biogasification Process Residue to Incinerator</t>
  </si>
  <si>
    <t>Biogasification Process Residue to Landfill</t>
  </si>
  <si>
    <t>Stream Remainder Sent to Landfill</t>
  </si>
  <si>
    <t>Additional Material from Restwaste</t>
  </si>
  <si>
    <t>MRF Process Residue</t>
  </si>
  <si>
    <t>Composting Presort Residue</t>
  </si>
  <si>
    <t>Composting Process Residue</t>
  </si>
  <si>
    <t>Biogasification Presort Residue</t>
  </si>
  <si>
    <t>Biogasification Process Residue</t>
  </si>
  <si>
    <t>Incinerator1 Material Combusted</t>
  </si>
  <si>
    <t>Incinerator1 Recovery from Bottom Ash</t>
  </si>
  <si>
    <t>Incinerator1 Bottom Ash Reused</t>
  </si>
  <si>
    <t>Incinerator1 Non Hazardous Residue</t>
  </si>
  <si>
    <t>Incinerator1 Hazardous Residue</t>
  </si>
  <si>
    <t>Incinerator1 Presort Residue</t>
  </si>
  <si>
    <t>Incinerator2 Presort Residue</t>
  </si>
  <si>
    <t>Incinerator2 Material Combusted</t>
  </si>
  <si>
    <t>Incinerator2 Recovery from Bottom Ash</t>
  </si>
  <si>
    <t>Incinerator2 Bottom Ash Reused</t>
  </si>
  <si>
    <t>Incinerator2 Non Hazardous Residue</t>
  </si>
  <si>
    <t>Incinerator2 Hazardous Residue</t>
  </si>
  <si>
    <t>Coarse RDF Screened Materials</t>
  </si>
  <si>
    <t>Coarse RDF Residue</t>
  </si>
  <si>
    <t>Densified RDF Screened Materials</t>
  </si>
  <si>
    <t>Densified RDF Residue</t>
  </si>
  <si>
    <t>Biological Stream Remainder</t>
  </si>
  <si>
    <t>Incinerator1 Process Residue</t>
  </si>
  <si>
    <t>Incinerator2 Process Residue</t>
  </si>
  <si>
    <t>Coarse RDF Burning Residue</t>
  </si>
  <si>
    <t>Densified RDF Burning Residue</t>
  </si>
  <si>
    <t>PPDF Burning Residue</t>
  </si>
  <si>
    <t>Restwaste Stream Remainder</t>
  </si>
  <si>
    <t>Materials</t>
  </si>
  <si>
    <t>Coarse RDF Metal Recovered</t>
  </si>
  <si>
    <t>Densified RDF Metal Recovered</t>
  </si>
  <si>
    <t>Compost Produced by Composting</t>
  </si>
  <si>
    <t>Compost Produced by Biogasification</t>
  </si>
  <si>
    <t>Fuels</t>
  </si>
  <si>
    <t>Petrol and Diesel in Liters, Electricity in kWh, Natural Gas in m3</t>
  </si>
  <si>
    <t>Electricity</t>
  </si>
  <si>
    <t>KCS1 System Annual Fuel Consumption</t>
  </si>
  <si>
    <t>MBCS1 Residents Fuel Consumption</t>
  </si>
  <si>
    <t>MBCS1 Single Material Containers Transport to Bulking and Reprocessing</t>
  </si>
  <si>
    <t>MBCS1 Mixed Material Containers Transport to Bulking and MRF</t>
  </si>
  <si>
    <t>Delivered Household Waste Residents Fuel Consumption</t>
  </si>
  <si>
    <t>Bulky Household Waste Residue Transport to Landfill</t>
  </si>
  <si>
    <t>Garden Waste Transport to Biological Treatment Plant</t>
  </si>
  <si>
    <t>Commercial Waste Transport to MRF</t>
  </si>
  <si>
    <t>Commercial Waste Transport to Biological Treatment</t>
  </si>
  <si>
    <t>Commercial Restwaste Transport to Other Treatments</t>
  </si>
  <si>
    <t>Energy Consumed During Bin Washing</t>
  </si>
  <si>
    <t>MRF Processing</t>
  </si>
  <si>
    <t>MRF Residue Transport to Incinerator</t>
  </si>
  <si>
    <t>MRF Residue Transport to Landfill</t>
  </si>
  <si>
    <t>Coarse RDF Biodegradable Fines Transport to Biological Treatment</t>
  </si>
  <si>
    <t>Coarse RDF Biodegradable Fines Transport to Landfill</t>
  </si>
  <si>
    <t>Coarse RDF Processing</t>
  </si>
  <si>
    <t>Coarse RDF Residue Transport to Landfill</t>
  </si>
  <si>
    <t>Densified RDF Biodegradable Fines Transport to Biological Treatment</t>
  </si>
  <si>
    <t>Densified RDF Biodegradable Fines Transport to Landfill</t>
  </si>
  <si>
    <t>Densified RDF Residue Transport to Landfill</t>
  </si>
  <si>
    <t>Densified RDF Processing</t>
  </si>
  <si>
    <t>Composting Process Energy Consumption</t>
  </si>
  <si>
    <t>Composting Residue Transport to Incinerator</t>
  </si>
  <si>
    <t>Composting Residue Transport to Landfill</t>
  </si>
  <si>
    <t>Biogasification Process Energy Consumption</t>
  </si>
  <si>
    <t>Biogasification Process Energy Generated</t>
  </si>
  <si>
    <t>Biogasification Residue Transport to Incinerator</t>
  </si>
  <si>
    <t>Biogasification Residue Transport to Landfill</t>
  </si>
  <si>
    <t>Incinerator1 Energy Consumption</t>
  </si>
  <si>
    <t>Incinerator1 Energy Generation</t>
  </si>
  <si>
    <t>Incinerator1 Non-Hazardous Residue Transport to Landfill</t>
  </si>
  <si>
    <t>Incinerator1 Hazardous Residue Transport to Landfill</t>
  </si>
  <si>
    <t>Incinerator2 Energy Consumption</t>
  </si>
  <si>
    <t>Incinerator2 Energy Generation</t>
  </si>
  <si>
    <t>Incinerator2 Non-Hazardous Residue Transport to Landfill</t>
  </si>
  <si>
    <t>Incinerator2 Hazardous Residue Transport to Landfill</t>
  </si>
  <si>
    <t>Coarse RDF Burning Energy Consumption</t>
  </si>
  <si>
    <t>Coarse RDF Burning Energy Generated</t>
  </si>
  <si>
    <t>Coarse RDF Burning Non-Hazardous Residue Transport to Landfill</t>
  </si>
  <si>
    <t>Coarse RDF Burning Hazardous Residue Transport to Landfill</t>
  </si>
  <si>
    <t>Densified RDF Burning Energy Consumption</t>
  </si>
  <si>
    <t>Densified RDF Burning Energy Generated</t>
  </si>
  <si>
    <t>Densified RDF Burning Non-Hazardous Residue Transport to Landfill</t>
  </si>
  <si>
    <t>Densified RDF Burning Hazardous Residue Transport to Landfill</t>
  </si>
  <si>
    <t>PPDF Burning Energy Consumption</t>
  </si>
  <si>
    <t>PPDF Burning Energy Generated</t>
  </si>
  <si>
    <t>PPDF Burning Non-Hazardous Residue Transport to Landfill</t>
  </si>
  <si>
    <t>PPDF Burning Hazardous Residue Transport to Landfill</t>
  </si>
  <si>
    <t>Landfill Non-Hazardous Transfer Station Fuel Consumption</t>
  </si>
  <si>
    <t>Landfill Hazardous Transfer Station Fuel Consumption</t>
  </si>
  <si>
    <t>Non-Hazardous Landfill Site Fuel Consumption</t>
  </si>
  <si>
    <t>Hazardous Landfill Site Fuel Consumption</t>
  </si>
  <si>
    <t>Electricity Generated from Landfill Gas</t>
  </si>
  <si>
    <t>Recyclable Material Transport to Reprocessing Plant</t>
  </si>
  <si>
    <t>Bulky Household Waste Transport to Bulking and Reprocessing</t>
  </si>
  <si>
    <t>Bulky Household Waste Residue Transport to Incinerator</t>
  </si>
  <si>
    <t>Total diesel fuel consumption including transport on to RDF, incinerator, transfer station or  landfill (Litres/Yr)</t>
  </si>
  <si>
    <t>Landfill Non-Hazardous Transport from Transfer Station to Landfill</t>
  </si>
  <si>
    <t>Landfill Hazardous Transport from Transfer Station to Landfill</t>
  </si>
  <si>
    <t>All figures in $. Negative values indicate income</t>
  </si>
  <si>
    <t>KCS1 Annual Cost</t>
  </si>
  <si>
    <t>MBCS1 Mixed Material Collection and Transport</t>
  </si>
  <si>
    <t>Bulky Household Waste Revenue from Recovered Material</t>
  </si>
  <si>
    <t>Delivered Household Waste Collection and Transport</t>
  </si>
  <si>
    <t>Commercial Waste Dry Recyclables Collection</t>
  </si>
  <si>
    <t>Commercial Waste Restwaste Collection</t>
  </si>
  <si>
    <t>Commercial Waste Biowaste Collection</t>
  </si>
  <si>
    <t>MRF Residue Trasnport to Incinerator Cost</t>
  </si>
  <si>
    <t>MRF Residue Transport to Landfill Cost</t>
  </si>
  <si>
    <t>MRF Processing Cost</t>
  </si>
  <si>
    <t>MRF Revenue from Sale of Materials</t>
  </si>
  <si>
    <t>Coarse RDF Processing Cost</t>
  </si>
  <si>
    <t>Coarse RDF Residue Transport to Biological Treatment</t>
  </si>
  <si>
    <t>Coarse RDF Revenue from Recovered Ferrous Metal</t>
  </si>
  <si>
    <t>Coarse RDF Revenue from Recovered Non-Ferrous Metal</t>
  </si>
  <si>
    <t>Densified RDF Processing Cost</t>
  </si>
  <si>
    <t>Densified RDF Residue Transport to Biological Treatment</t>
  </si>
  <si>
    <t>Densified RDF Revenue from Recovered Ferrous Metal</t>
  </si>
  <si>
    <t>Densified RDF Revenue from Recovered Non-Ferrous Metal</t>
  </si>
  <si>
    <t>Composting Process Cost</t>
  </si>
  <si>
    <t>Composting Revenue from Sale of Compost</t>
  </si>
  <si>
    <t>Composting Revenue from Sale of Recovered Material</t>
  </si>
  <si>
    <t>Composting Process Residue Transport to Incinerator</t>
  </si>
  <si>
    <t>Composting Process Residue Transport to Landfill</t>
  </si>
  <si>
    <t>Biogasification Process Cost</t>
  </si>
  <si>
    <t>Biogasification Process Residue Transport to Incinerator</t>
  </si>
  <si>
    <t>Biogasification Process Residue Transport to Landfill</t>
  </si>
  <si>
    <t>Biogasification Revenue from Sale of Compost</t>
  </si>
  <si>
    <t>Biogasification Revenue from Sale of Recovered Material</t>
  </si>
  <si>
    <t>Biogasification Revenue from Sale of Electricity</t>
  </si>
  <si>
    <t>Incinerator1 Process Cost</t>
  </si>
  <si>
    <t>Incinerator1 Process Residue Transport to Non-Hazardous Landfill</t>
  </si>
  <si>
    <t>Incinerator1 Process Residue Transport to Hazardous Landfill</t>
  </si>
  <si>
    <t>Incinerator1 Revenue from Sale of Electricity</t>
  </si>
  <si>
    <t>Incinerator1 Revenue from Sale of Reused Bottom Ash</t>
  </si>
  <si>
    <t>Incinerator2 Process Cost</t>
  </si>
  <si>
    <t>Incinerator2 Process Residue Transport to Non-Hazardous Landfill</t>
  </si>
  <si>
    <t>Incinerator2 Process Residue Transport to Hazardous Landfill</t>
  </si>
  <si>
    <t>Incinerator2 Revenue from Sale of Electricity</t>
  </si>
  <si>
    <t>Incinerator2 Revenue from Sale of Reused Bottom Ash</t>
  </si>
  <si>
    <t>Coarse RDF Burning Cost</t>
  </si>
  <si>
    <t>Coarse RDF Burning Residue Transport to Non-Hazardous Landfill</t>
  </si>
  <si>
    <t>Coarse RDF Burning Residue Transport to Hazardous Landfill</t>
  </si>
  <si>
    <t>Coarse RDF Burning Revenue from Sale of Electricity</t>
  </si>
  <si>
    <t>Densified RDF Burning Cost</t>
  </si>
  <si>
    <t>Densified RDF Burning Residue Transport to Non-Hazardous Landfill</t>
  </si>
  <si>
    <t>Densified RDF Burning Residue Transport to Hazardous Landfill</t>
  </si>
  <si>
    <t>Densified RDF Burning Revenue from Sale of Electricity</t>
  </si>
  <si>
    <t>PPDF RDF Burning Cost</t>
  </si>
  <si>
    <t>PPDF RDF Burning Residue Transport to Non-Hazardous Landfill</t>
  </si>
  <si>
    <t>PPDF RDF Burning Residue Transport to Hazardous Landfill</t>
  </si>
  <si>
    <t>PPDF RDF Burning Revenue from Sale of Electricity</t>
  </si>
  <si>
    <t>Non-Hazardous Landfill Transfer and Transport Cost</t>
  </si>
  <si>
    <t>Non-Hazardous Landfill Cost</t>
  </si>
  <si>
    <t>Hazardous Landfill Transfer and Transport Cost</t>
  </si>
  <si>
    <t>Hazardous Landfill Cost</t>
  </si>
  <si>
    <t>Revenue from Sale of Electricity Generated from Landfill Gas</t>
  </si>
  <si>
    <t>Recycling Transport Costs</t>
  </si>
  <si>
    <t>Recycling Process Costs</t>
  </si>
  <si>
    <t>Revenue from Sale of Recycled Materials</t>
  </si>
  <si>
    <t>Household Collected Waste</t>
  </si>
  <si>
    <t>Household Delivered Waste</t>
  </si>
  <si>
    <t>Commercial Collected Waste</t>
  </si>
  <si>
    <t>Total Waste Input</t>
  </si>
  <si>
    <t>Combusted</t>
  </si>
  <si>
    <t>Sorting (KSCS and Mixed MBCS)</t>
  </si>
  <si>
    <t>Single Material Collection Banks (Single MBCS)</t>
  </si>
  <si>
    <t>Biological</t>
  </si>
  <si>
    <t>Incinerators</t>
  </si>
  <si>
    <t>Compost Process Input Lost</t>
  </si>
  <si>
    <t>Total Amounts</t>
  </si>
  <si>
    <t>% of Total Waste Input</t>
  </si>
  <si>
    <t>- dRDF fuel lost due to drying and pelletising</t>
  </si>
  <si>
    <t>- Composting process input lost due to moisture loss and degradation</t>
  </si>
  <si>
    <t>- Biogasification process input lost due to moisture loss and degradation</t>
  </si>
  <si>
    <t>Where applicable, "Combusted" figures include:</t>
  </si>
  <si>
    <t>Results</t>
  </si>
  <si>
    <t>Emissions generated (solid waste, air emissions, water emissions) are in black type</t>
  </si>
  <si>
    <t>Offsets (revenue, energy produced, reductions/savings in solid waste, air emissions, water emissions) are in red type</t>
  </si>
  <si>
    <t>Rows showing Totals )for Costs, Fuels/Energy, and Final Solid Waste) are highlighted in yellow text on a blue background</t>
  </si>
  <si>
    <t>Units</t>
  </si>
  <si>
    <t>$</t>
  </si>
  <si>
    <t>Outgoings</t>
  </si>
  <si>
    <t>Revenue</t>
  </si>
  <si>
    <t>Cost/Household</t>
  </si>
  <si>
    <t>Cost/Person</t>
  </si>
  <si>
    <t>Collection</t>
  </si>
  <si>
    <t>Thermal</t>
  </si>
  <si>
    <t>This table presents the Costs, Revenue, and Total Costs of each phase of the waste management system, as well as providing a Cost/Household and a Cost/Person.</t>
  </si>
  <si>
    <t>but the relative differences in costs between the different scenarios can be used as simple guidelines)</t>
  </si>
  <si>
    <t>The absolute costs presented in the model should not be considered as 100% accurate (eg. For determining fees for waste management services),</t>
  </si>
  <si>
    <t>kWh</t>
  </si>
  <si>
    <t>Liters</t>
  </si>
  <si>
    <t>m3</t>
  </si>
  <si>
    <t>GJ</t>
  </si>
  <si>
    <t>Elec-Consumed</t>
  </si>
  <si>
    <t>Elec-Generated</t>
  </si>
  <si>
    <t>Elec-Recycling</t>
  </si>
  <si>
    <t>Nat-Gas</t>
  </si>
  <si>
    <t>The user inserts the average total weight of bins used per household, and the average lifespan of the bins used.</t>
  </si>
  <si>
    <t>MRF Model Data (Table 22.7)</t>
  </si>
  <si>
    <t>Metal-Ferrous</t>
  </si>
  <si>
    <t>Metal-Aluminium</t>
  </si>
  <si>
    <t>Plastic-Film (LDPE)</t>
  </si>
  <si>
    <t>Plastic-Rigid (HDPE)</t>
  </si>
  <si>
    <t>Energy Consumption (GJ)</t>
  </si>
  <si>
    <t>Air Emissions (g)</t>
  </si>
  <si>
    <t>CO2</t>
  </si>
  <si>
    <t>CH4</t>
  </si>
  <si>
    <t>Nox</t>
  </si>
  <si>
    <t>N2O</t>
  </si>
  <si>
    <t>Sox</t>
  </si>
  <si>
    <t>HF</t>
  </si>
  <si>
    <t>H2S</t>
  </si>
  <si>
    <t>Chlorinated HC</t>
  </si>
  <si>
    <t>Ammonia</t>
  </si>
  <si>
    <t>Water Emissions (g)</t>
  </si>
  <si>
    <t>Biological Oxygen Demand (BOD)</t>
  </si>
  <si>
    <t>Chemical Oxygen Demand (COD)</t>
  </si>
  <si>
    <t>Suspended Solids</t>
  </si>
  <si>
    <t>Total Organic Compounds</t>
  </si>
  <si>
    <t>Adsorbable Organic Halides (AOX)</t>
  </si>
  <si>
    <t>Chlorinated HCs</t>
  </si>
  <si>
    <t>Dioxins/Furans (TEQ)</t>
  </si>
  <si>
    <t>Phenol</t>
  </si>
  <si>
    <t>Aluminium</t>
  </si>
  <si>
    <t>Ammonium</t>
  </si>
  <si>
    <t>Barium</t>
  </si>
  <si>
    <t>Chloride</t>
  </si>
  <si>
    <t>Cyanide</t>
  </si>
  <si>
    <t>Fluoride</t>
  </si>
  <si>
    <t>Iron</t>
  </si>
  <si>
    <t>Nitrate</t>
  </si>
  <si>
    <t>Phosphate</t>
  </si>
  <si>
    <t>Sulphate</t>
  </si>
  <si>
    <t>Sulphide</t>
  </si>
  <si>
    <t>Solid Waste (kg)</t>
  </si>
  <si>
    <t>HC</t>
  </si>
  <si>
    <t>Final Solid Waste</t>
  </si>
  <si>
    <t>Industrial-Energy</t>
  </si>
  <si>
    <t>Industrial-Bins</t>
  </si>
  <si>
    <t>Industrial-Bags</t>
  </si>
  <si>
    <t>Leachate Treatment</t>
  </si>
  <si>
    <t>Recycling Credits</t>
  </si>
  <si>
    <t>tonnes</t>
  </si>
  <si>
    <t>Energy consumption and emissions of recycling</t>
  </si>
  <si>
    <t>Note: a negative value indicates a saving in a given emission when compared to the production of virgin material</t>
  </si>
  <si>
    <t>Hard Coal</t>
  </si>
  <si>
    <t>Brown Coal</t>
  </si>
  <si>
    <t>Natural Gas</t>
  </si>
  <si>
    <t>Emissions Related to Production and Use of Various Fuels</t>
  </si>
  <si>
    <t>Natural Gas (m3)</t>
  </si>
  <si>
    <t>(From Table 5.7)</t>
  </si>
  <si>
    <t>(From Table 5.6)</t>
  </si>
  <si>
    <t>Efficiency (Generation and Supply)</t>
  </si>
  <si>
    <t>Emissions to Air (g)</t>
  </si>
  <si>
    <t>g</t>
  </si>
  <si>
    <t>Solid Waste and Emissions of Energy Production by Energy Source (per kWh)</t>
  </si>
  <si>
    <t>Manganese</t>
  </si>
  <si>
    <t>Emissions to Water (g)</t>
  </si>
  <si>
    <t>Phenols</t>
  </si>
  <si>
    <t>Petrol (L)</t>
  </si>
  <si>
    <t>Diesel (L)</t>
  </si>
  <si>
    <t>Energy Thermal</t>
  </si>
  <si>
    <t>Efficiency (production and supply)</t>
  </si>
  <si>
    <t>NOx (as NO2)</t>
  </si>
  <si>
    <t>SOx (as SO2)</t>
  </si>
  <si>
    <t>(From IWM-2 Code)</t>
  </si>
  <si>
    <t>TotalHC</t>
  </si>
  <si>
    <t>Note that two versions of this table are presented below as there is a discrepancy between the data presented in the "Solid Waste Management - A Life Cycle Inventory" textbook, and the data used in the IWM2 model</t>
  </si>
  <si>
    <t>Solid Waste (g)</t>
  </si>
  <si>
    <t>ResultsEmissions_Solidwaste_EGRecycling</t>
  </si>
  <si>
    <t>(Random value not referenced in IWM-2)</t>
  </si>
  <si>
    <t>Air and Water Emissions Data for Waste Collection Bags and Bins Production (Table 17.2)</t>
  </si>
  <si>
    <t>Note: All units in a per tonne basis</t>
  </si>
  <si>
    <t>Virgin LPDE</t>
  </si>
  <si>
    <t>Bag Production</t>
  </si>
  <si>
    <t>Total for LDPE Bags</t>
  </si>
  <si>
    <t>Virgin PP</t>
  </si>
  <si>
    <t>LDPE - Low Desnity Polyethylene</t>
  </si>
  <si>
    <t>PP - Polypropylene</t>
  </si>
  <si>
    <t>Injection Moulding of Bins</t>
  </si>
  <si>
    <t>Total for PP Bins</t>
  </si>
  <si>
    <t>Paper Bags (Unbleached sulphate pulp)</t>
  </si>
  <si>
    <t>Air Emissions</t>
  </si>
  <si>
    <t>SOx</t>
  </si>
  <si>
    <t>Total HC</t>
  </si>
  <si>
    <t>Source</t>
  </si>
  <si>
    <t>Haberstatter (1991)</t>
  </si>
  <si>
    <t>BUWAL (1998)</t>
  </si>
  <si>
    <t>Calculated</t>
  </si>
  <si>
    <t>Haberstatter (1998)</t>
  </si>
  <si>
    <t>Phophate</t>
  </si>
  <si>
    <t>Volume (to Landfill)</t>
  </si>
  <si>
    <t>GWP represents CO2, CH4, and N2O combined as a Global Warming Potential and is included as an example of an internationally agreed impact category.</t>
  </si>
  <si>
    <t>This does not imply that GWP is the only of the most important impact category</t>
  </si>
  <si>
    <t>GWP</t>
  </si>
  <si>
    <t>Discrepancy betweem IWM-2 and textbook data</t>
  </si>
  <si>
    <t>all values are 0 in model</t>
  </si>
  <si>
    <t>Recycled data are per tonne of recovered material sent for reprocessing</t>
  </si>
  <si>
    <t>Note that 32, and 44 are listed in IWM-2. However, the textbook on page 385 states that this number should be 320kg/tonne of compost input, and 440kg per tonne of biogasification input</t>
  </si>
  <si>
    <t>The order of magnitude of these numbers has been validated by: "Carbon dioxide and ammonia emissions during composting</t>
  </si>
  <si>
    <t>of mixed paper, yard waste and food waste" by Komilis and Ham</t>
  </si>
  <si>
    <t>The zero values for CH4 emissions from composting and biogasification presented here are questionable (these values are used in IWM-2)</t>
  </si>
  <si>
    <t>Values used in IWM-2 (not consistent with Table 19.3 of textbook)</t>
  </si>
  <si>
    <t>Values used in IWM-2 (not consistent with Table 19.3 of textbook - off by a factor of 10)</t>
  </si>
  <si>
    <t>PPDF Plastic</t>
  </si>
  <si>
    <t>PPDF Paper</t>
  </si>
  <si>
    <t>cDRF</t>
  </si>
  <si>
    <t>Based on Table 20.3 of Textbook</t>
  </si>
  <si>
    <t>Air emission factors of Incineration based on US Federal Regulations</t>
  </si>
  <si>
    <t>Fe-Metal</t>
  </si>
  <si>
    <t>NOx (as NO)</t>
  </si>
  <si>
    <t>Particulate Matter</t>
  </si>
  <si>
    <t>Based on Table 20.4 of Textbook</t>
  </si>
  <si>
    <t>Air emission factors of Incineration based on the performance of a new facility</t>
  </si>
  <si>
    <t>From Table 20.1 of textbook</t>
  </si>
  <si>
    <t>Emission Factors for CO2 and Flue Gas from Thermal Treatment</t>
  </si>
  <si>
    <t>CO2 emission factors (kg/tonne)</t>
  </si>
  <si>
    <t>Flue gas (dry std m3/tonne)</t>
  </si>
  <si>
    <t>Uncontrolled Emission Factors (kg metal/tonne waste component) and air pollution control removal efficiency)</t>
  </si>
  <si>
    <t>From Table 20.5 of textbook</t>
  </si>
  <si>
    <t>Removal Efficiency (%)</t>
  </si>
  <si>
    <t>New Incinerator</t>
  </si>
  <si>
    <t>Metals (kg/tonne)</t>
  </si>
  <si>
    <t>Landfill Flare Exhaust</t>
  </si>
  <si>
    <t>Landfill Gas Content</t>
  </si>
  <si>
    <t>Roughly similar to value in Table 21.6 under gaseous component for Site A</t>
  </si>
  <si>
    <t>Roughly similar to value in Table 21.6 under gaseous component for Site A (under particulates - maybe a one line offset in transcription?)</t>
  </si>
  <si>
    <t>No reference to this data</t>
  </si>
  <si>
    <t>Mentioned in page 416 of text</t>
  </si>
  <si>
    <t>Composting (from biological processing)</t>
  </si>
  <si>
    <t>Composting (from recycling ie. production of compost/fertilizer)</t>
  </si>
  <si>
    <t>Bottom Ash (recycling)</t>
  </si>
  <si>
    <t>No textbook reference</t>
  </si>
  <si>
    <t>Water Emissions</t>
  </si>
  <si>
    <t>(Currently, IWM-2 data is entered here)</t>
  </si>
  <si>
    <t>To get textbook value</t>
  </si>
  <si>
    <t>multiply by 1000</t>
  </si>
  <si>
    <t>multiply by 1000000</t>
  </si>
  <si>
    <t>Completely different numbers in text book (shown to the right</t>
  </si>
  <si>
    <t>Appears to be switched with Aluminium</t>
  </si>
  <si>
    <t>Numbers in this column are referenced to an internal Proctor and Gamble report - Mentioned in Table 19.9 of textbook</t>
  </si>
  <si>
    <t>Composition of Landfill Leachates from MSW, bottom ash, and biologically treated material</t>
  </si>
  <si>
    <t>From Table 21.7 of textbook</t>
  </si>
  <si>
    <t>Note that: Leachate arising from hazardous (fly ash) and non-hazardous (bottom ash) are assumed to be equal (pg 424 of textbook)</t>
  </si>
  <si>
    <t>Note that: Leachate components are assumed to arise equally for all MSW input material (pg 422 of textbook). This is due to the fact that leachate composition varies with the initial input, the stage of decomposition, along with the levels of organic matter. This makes prediction of the contributions of individual components of the waste stream very difficult</t>
  </si>
  <si>
    <t>Hazardous Ash</t>
  </si>
  <si>
    <t>This value is a factor of 10 greater than that listed in Table 21.7 of the textbook</t>
  </si>
  <si>
    <t>Note that: The above guidelines apply for all elemental species with the exception of those that are organic (ie. BOD and COD - these are treated the same)</t>
  </si>
  <si>
    <t>No reference to this in Table 21.7 of textbook</t>
  </si>
  <si>
    <t>Note that: Emissions arising from compost correspond to the compost/biogas residues listed in Table 21.7 of the textbook</t>
  </si>
  <si>
    <t>Numbers may be off by a factor of 10 due to use of term (ng = nanogram?) in textbook</t>
  </si>
  <si>
    <t>Numbers are different to those listed in Table 21.7 of textbook</t>
  </si>
  <si>
    <t>MSW and compost numbers are a factor of 10 greater as listed in Table 21.7 of textbook</t>
  </si>
  <si>
    <t>Same numbers as listed under Chlorine in Table 21.7 of textbook. Highlighted cells are an order of magnitude less than that listed in Table 21.7 of textbook</t>
  </si>
  <si>
    <t>Same numbers as listed under Fluorine in Table 21.7 of textbook. Highlighted cells are an order of magnitude less than that listed in Table 21.7 of textbook</t>
  </si>
  <si>
    <t>Discrepancy between values in IWM-2 and listed in textbook. IWM-2 values are entered here</t>
  </si>
  <si>
    <t>Typical measure of air emissions</t>
  </si>
  <si>
    <t>Coded?</t>
  </si>
  <si>
    <t>TotalResidentialWaste</t>
  </si>
  <si>
    <t>TotalCommercialWaste</t>
  </si>
  <si>
    <t>TotalDeliveredWaste</t>
  </si>
  <si>
    <t>WasteSorting.m</t>
  </si>
  <si>
    <t>Commercial Contamination Rates</t>
  </si>
  <si>
    <t>MRFSorting.m</t>
  </si>
</sst>
</file>

<file path=xl/styles.xml><?xml version="1.0" encoding="utf-8"?>
<styleSheet xmlns="http://schemas.openxmlformats.org/spreadsheetml/2006/main">
  <numFmts count="6">
    <numFmt numFmtId="44" formatCode="_(&quot;$&quot;* #,##0.00_);_(&quot;$&quot;* \(#,##0.00\);_(&quot;$&quot;* &quot;-&quot;??_);_(@_)"/>
    <numFmt numFmtId="164" formatCode="0.0%"/>
    <numFmt numFmtId="165" formatCode="0.0"/>
    <numFmt numFmtId="166" formatCode="0.000000"/>
    <numFmt numFmtId="167" formatCode="&quot;$&quot;#,##0.00"/>
    <numFmt numFmtId="168" formatCode="0.0000"/>
  </numFmts>
  <fonts count="11">
    <font>
      <sz val="11"/>
      <color theme="1"/>
      <name val="Calibri"/>
      <family val="2"/>
      <scheme val="minor"/>
    </font>
    <font>
      <sz val="11"/>
      <color indexed="8"/>
      <name val="Calibri"/>
      <family val="2"/>
    </font>
    <font>
      <b/>
      <sz val="11"/>
      <color indexed="8"/>
      <name val="Calibri"/>
      <family val="2"/>
    </font>
    <font>
      <u/>
      <sz val="11"/>
      <color indexed="8"/>
      <name val="Calibri"/>
      <family val="2"/>
    </font>
    <font>
      <sz val="8"/>
      <name val="Calibri"/>
      <family val="2"/>
    </font>
    <font>
      <b/>
      <sz val="11"/>
      <color theme="1"/>
      <name val="Calibri"/>
      <family val="2"/>
      <scheme val="minor"/>
    </font>
    <font>
      <u/>
      <sz val="11"/>
      <color theme="1"/>
      <name val="Calibri"/>
      <family val="2"/>
      <scheme val="minor"/>
    </font>
    <font>
      <b/>
      <u/>
      <sz val="11"/>
      <color theme="1"/>
      <name val="Calibri"/>
      <family val="2"/>
      <scheme val="minor"/>
    </font>
    <font>
      <b/>
      <sz val="11"/>
      <name val="Calibri"/>
      <family val="2"/>
      <scheme val="minor"/>
    </font>
    <font>
      <sz val="11"/>
      <name val="Calibri"/>
      <family val="2"/>
      <scheme val="minor"/>
    </font>
    <font>
      <sz val="11"/>
      <color rgb="FFFFFF00"/>
      <name val="Calibri"/>
      <family val="2"/>
      <scheme val="minor"/>
    </font>
  </fonts>
  <fills count="12">
    <fill>
      <patternFill patternType="none"/>
    </fill>
    <fill>
      <patternFill patternType="gray125"/>
    </fill>
    <fill>
      <patternFill patternType="solid">
        <fgColor indexed="50"/>
        <bgColor indexed="64"/>
      </patternFill>
    </fill>
    <fill>
      <patternFill patternType="solid">
        <fgColor indexed="10"/>
        <bgColor indexed="64"/>
      </patternFill>
    </fill>
    <fill>
      <patternFill patternType="solid">
        <fgColor indexed="55"/>
        <bgColor indexed="64"/>
      </patternFill>
    </fill>
    <fill>
      <patternFill patternType="solid">
        <fgColor indexed="5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3" tint="0.39997558519241921"/>
        <bgColor indexed="64"/>
      </patternFill>
    </fill>
    <fill>
      <patternFill patternType="solid">
        <fgColor rgb="FFFFC00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3">
    <xf numFmtId="0" fontId="0" fillId="0" borderId="0" xfId="0"/>
    <xf numFmtId="0" fontId="2" fillId="0" borderId="0" xfId="0" applyFont="1"/>
    <xf numFmtId="0" fontId="0" fillId="0" borderId="0" xfId="0" applyFont="1"/>
    <xf numFmtId="0" fontId="0" fillId="2" borderId="0" xfId="0" applyFont="1" applyFill="1"/>
    <xf numFmtId="0" fontId="0" fillId="2" borderId="0" xfId="0" applyFill="1"/>
    <xf numFmtId="0" fontId="2" fillId="2" borderId="0" xfId="0" applyFont="1" applyFill="1"/>
    <xf numFmtId="0" fontId="2" fillId="0" borderId="1" xfId="0" applyFont="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0" xfId="2" applyFont="1" applyBorder="1"/>
    <xf numFmtId="9" fontId="0" fillId="0" borderId="5" xfId="0" applyNumberFormat="1" applyBorder="1"/>
    <xf numFmtId="9" fontId="0" fillId="0" borderId="7" xfId="2" applyFont="1" applyBorder="1"/>
    <xf numFmtId="0" fontId="0" fillId="0" borderId="4" xfId="0" applyFont="1" applyBorder="1"/>
    <xf numFmtId="0" fontId="0" fillId="2" borderId="4" xfId="0" applyFont="1" applyFill="1" applyBorder="1"/>
    <xf numFmtId="0" fontId="0" fillId="2" borderId="5" xfId="0" applyFill="1" applyBorder="1"/>
    <xf numFmtId="0" fontId="2" fillId="0" borderId="4" xfId="0" applyFont="1" applyBorder="1"/>
    <xf numFmtId="9" fontId="0" fillId="0" borderId="5" xfId="2" applyFont="1" applyBorder="1"/>
    <xf numFmtId="0" fontId="0" fillId="0" borderId="6" xfId="0" applyFont="1" applyBorder="1"/>
    <xf numFmtId="9" fontId="0" fillId="0" borderId="8" xfId="2" applyFont="1" applyBorder="1"/>
    <xf numFmtId="0" fontId="2" fillId="2" borderId="1" xfId="0" applyFont="1" applyFill="1" applyBorder="1"/>
    <xf numFmtId="0" fontId="2" fillId="2" borderId="5" xfId="0" applyFont="1" applyFill="1" applyBorder="1"/>
    <xf numFmtId="0" fontId="0" fillId="2" borderId="0" xfId="0" applyFill="1" applyBorder="1"/>
    <xf numFmtId="0" fontId="0" fillId="3" borderId="0" xfId="0" applyFill="1" applyBorder="1"/>
    <xf numFmtId="0" fontId="0" fillId="2" borderId="7" xfId="0" applyFill="1" applyBorder="1"/>
    <xf numFmtId="0" fontId="2" fillId="2" borderId="8" xfId="0" applyFont="1" applyFill="1" applyBorder="1"/>
    <xf numFmtId="0" fontId="0" fillId="0" borderId="1" xfId="0" applyFont="1" applyBorder="1"/>
    <xf numFmtId="9" fontId="0" fillId="0" borderId="7" xfId="0" applyNumberFormat="1" applyBorder="1"/>
    <xf numFmtId="0" fontId="0" fillId="0" borderId="7" xfId="2" applyNumberFormat="1" applyFont="1" applyBorder="1"/>
    <xf numFmtId="0" fontId="0" fillId="0" borderId="8" xfId="2" applyNumberFormat="1" applyFont="1" applyBorder="1"/>
    <xf numFmtId="0" fontId="0" fillId="0" borderId="1" xfId="0" applyBorder="1"/>
    <xf numFmtId="164" fontId="0" fillId="0" borderId="0" xfId="2" applyNumberFormat="1" applyFont="1" applyBorder="1"/>
    <xf numFmtId="0" fontId="3" fillId="0" borderId="4" xfId="0" applyFont="1" applyBorder="1"/>
    <xf numFmtId="44" fontId="0" fillId="0" borderId="0" xfId="1" applyFont="1" applyBorder="1"/>
    <xf numFmtId="0" fontId="0" fillId="4" borderId="0" xfId="0" applyFill="1" applyBorder="1"/>
    <xf numFmtId="0" fontId="0" fillId="0" borderId="0" xfId="2" applyNumberFormat="1" applyFont="1" applyBorder="1"/>
    <xf numFmtId="0" fontId="0" fillId="0" borderId="0" xfId="0" applyNumberFormat="1" applyBorder="1"/>
    <xf numFmtId="0" fontId="0" fillId="2" borderId="4" xfId="0" applyFill="1" applyBorder="1"/>
    <xf numFmtId="0" fontId="0" fillId="2" borderId="0" xfId="0" applyNumberFormat="1" applyFill="1" applyBorder="1"/>
    <xf numFmtId="0" fontId="0" fillId="2" borderId="5" xfId="0" applyNumberFormat="1" applyFill="1" applyBorder="1"/>
    <xf numFmtId="0" fontId="0" fillId="2" borderId="6" xfId="0" applyFill="1" applyBorder="1"/>
    <xf numFmtId="0" fontId="0" fillId="2" borderId="8" xfId="0" applyFill="1" applyBorder="1"/>
    <xf numFmtId="0" fontId="0" fillId="0" borderId="4" xfId="0" applyFill="1" applyBorder="1"/>
    <xf numFmtId="9" fontId="0" fillId="0" borderId="0" xfId="2" applyNumberFormat="1" applyFont="1" applyBorder="1"/>
    <xf numFmtId="0" fontId="0" fillId="0" borderId="0" xfId="0" applyFill="1" applyBorder="1"/>
    <xf numFmtId="0" fontId="2" fillId="0" borderId="4" xfId="0" applyFont="1" applyFill="1" applyBorder="1"/>
    <xf numFmtId="0" fontId="0" fillId="0" borderId="4" xfId="0" applyFont="1" applyFill="1" applyBorder="1"/>
    <xf numFmtId="10" fontId="0" fillId="0" borderId="0" xfId="2" applyNumberFormat="1" applyFont="1" applyBorder="1"/>
    <xf numFmtId="165" fontId="0" fillId="0" borderId="0" xfId="0" applyNumberFormat="1" applyBorder="1"/>
    <xf numFmtId="2" fontId="0" fillId="0" borderId="0" xfId="0" applyNumberFormat="1" applyBorder="1"/>
    <xf numFmtId="0" fontId="0" fillId="5" borderId="0" xfId="0" applyFill="1" applyBorder="1"/>
    <xf numFmtId="9" fontId="0" fillId="2" borderId="0" xfId="2" applyFont="1" applyFill="1" applyBorder="1"/>
    <xf numFmtId="164" fontId="0" fillId="2" borderId="0" xfId="2" applyNumberFormat="1" applyFont="1" applyFill="1" applyBorder="1"/>
    <xf numFmtId="10" fontId="0" fillId="0" borderId="0" xfId="0" applyNumberFormat="1" applyBorder="1"/>
    <xf numFmtId="2" fontId="0" fillId="2" borderId="0" xfId="0" applyNumberFormat="1" applyFill="1" applyBorder="1"/>
    <xf numFmtId="0" fontId="2" fillId="0" borderId="0" xfId="0" applyFont="1"/>
    <xf numFmtId="0" fontId="0" fillId="0" borderId="0" xfId="0" applyFill="1"/>
    <xf numFmtId="0" fontId="5" fillId="0" borderId="0" xfId="0" applyFont="1"/>
    <xf numFmtId="9" fontId="0" fillId="0" borderId="0" xfId="2" applyFont="1" applyFill="1" applyBorder="1"/>
    <xf numFmtId="0" fontId="5" fillId="0" borderId="4" xfId="0" applyFont="1" applyBorder="1"/>
    <xf numFmtId="0" fontId="5" fillId="0" borderId="0" xfId="0" applyFont="1" applyBorder="1"/>
    <xf numFmtId="0" fontId="0" fillId="0" borderId="4" xfId="0" applyNumberFormat="1" applyBorder="1"/>
    <xf numFmtId="0" fontId="0" fillId="0" borderId="0" xfId="0" quotePrefix="1" applyBorder="1"/>
    <xf numFmtId="0" fontId="0" fillId="0" borderId="0" xfId="0" applyFont="1" applyBorder="1"/>
    <xf numFmtId="0" fontId="0" fillId="6" borderId="0" xfId="0" applyFill="1" applyBorder="1"/>
    <xf numFmtId="165" fontId="0" fillId="6" borderId="0" xfId="0" applyNumberFormat="1" applyFill="1" applyBorder="1"/>
    <xf numFmtId="164" fontId="0" fillId="6" borderId="0" xfId="2" applyNumberFormat="1" applyFont="1" applyFill="1" applyBorder="1"/>
    <xf numFmtId="9" fontId="0" fillId="6" borderId="0" xfId="0" applyNumberFormat="1" applyFill="1" applyBorder="1"/>
    <xf numFmtId="9" fontId="0" fillId="6" borderId="0" xfId="2" applyFont="1" applyFill="1" applyBorder="1"/>
    <xf numFmtId="0" fontId="0" fillId="6" borderId="0" xfId="0" quotePrefix="1" applyFill="1" applyBorder="1"/>
    <xf numFmtId="0" fontId="6" fillId="0" borderId="1" xfId="0" applyFont="1" applyBorder="1"/>
    <xf numFmtId="0" fontId="6" fillId="0" borderId="4" xfId="0" applyFont="1" applyBorder="1"/>
    <xf numFmtId="0" fontId="0" fillId="0" borderId="5" xfId="0" applyFill="1" applyBorder="1"/>
    <xf numFmtId="0" fontId="5" fillId="0" borderId="2" xfId="0" applyFont="1" applyBorder="1"/>
    <xf numFmtId="0" fontId="5" fillId="0" borderId="3" xfId="0" applyFont="1" applyBorder="1"/>
    <xf numFmtId="2" fontId="0" fillId="6" borderId="0" xfId="0" applyNumberFormat="1" applyFill="1" applyBorder="1"/>
    <xf numFmtId="164" fontId="0" fillId="0" borderId="0" xfId="2" applyNumberFormat="1" applyFont="1" applyFill="1" applyBorder="1"/>
    <xf numFmtId="0" fontId="0" fillId="6" borderId="7" xfId="0" applyFill="1" applyBorder="1"/>
    <xf numFmtId="9" fontId="0" fillId="0" borderId="0" xfId="0" applyNumberFormat="1" applyBorder="1"/>
    <xf numFmtId="164" fontId="0" fillId="6" borderId="0" xfId="0" applyNumberFormat="1" applyFill="1" applyBorder="1"/>
    <xf numFmtId="166" fontId="0" fillId="0" borderId="0" xfId="0" applyNumberFormat="1" applyBorder="1"/>
    <xf numFmtId="0" fontId="7" fillId="0" borderId="1" xfId="0" applyFont="1" applyBorder="1"/>
    <xf numFmtId="0" fontId="6" fillId="0" borderId="0" xfId="0" applyFont="1" applyBorder="1"/>
    <xf numFmtId="0" fontId="0" fillId="0" borderId="6" xfId="0" applyFill="1" applyBorder="1"/>
    <xf numFmtId="0" fontId="5" fillId="0" borderId="5" xfId="0" applyFont="1" applyBorder="1"/>
    <xf numFmtId="0" fontId="0" fillId="0" borderId="9" xfId="0" applyBorder="1"/>
    <xf numFmtId="0" fontId="0" fillId="0" borderId="10" xfId="0" applyBorder="1"/>
    <xf numFmtId="0" fontId="0" fillId="0" borderId="11" xfId="0" applyBorder="1"/>
    <xf numFmtId="0" fontId="5" fillId="0" borderId="1" xfId="0" applyFont="1" applyBorder="1"/>
    <xf numFmtId="0" fontId="0" fillId="7" borderId="0" xfId="0" applyFill="1" applyBorder="1"/>
    <xf numFmtId="0" fontId="0" fillId="7" borderId="0" xfId="0" applyFill="1"/>
    <xf numFmtId="0" fontId="5" fillId="0" borderId="2" xfId="0" applyFont="1" applyFill="1" applyBorder="1"/>
    <xf numFmtId="0" fontId="5" fillId="0" borderId="3" xfId="0" applyFont="1" applyFill="1" applyBorder="1"/>
    <xf numFmtId="2" fontId="0" fillId="0" borderId="7" xfId="0" applyNumberFormat="1" applyBorder="1"/>
    <xf numFmtId="167" fontId="0" fillId="0" borderId="5" xfId="1" applyNumberFormat="1" applyFont="1" applyBorder="1"/>
    <xf numFmtId="167" fontId="0" fillId="0" borderId="8" xfId="1" applyNumberFormat="1" applyFont="1" applyBorder="1"/>
    <xf numFmtId="0" fontId="0" fillId="8" borderId="0" xfId="0" applyFill="1"/>
    <xf numFmtId="2" fontId="0" fillId="0" borderId="5" xfId="0" applyNumberFormat="1" applyBorder="1"/>
    <xf numFmtId="0" fontId="5" fillId="0" borderId="13" xfId="0" applyFont="1" applyFill="1" applyBorder="1"/>
    <xf numFmtId="0" fontId="0" fillId="0" borderId="14" xfId="0" applyFill="1" applyBorder="1"/>
    <xf numFmtId="0" fontId="0" fillId="0" borderId="15" xfId="0" applyFill="1" applyBorder="1"/>
    <xf numFmtId="0" fontId="5" fillId="0" borderId="13" xfId="0" applyFont="1" applyBorder="1"/>
    <xf numFmtId="0" fontId="0" fillId="0" borderId="15" xfId="0" applyBorder="1"/>
    <xf numFmtId="2" fontId="0" fillId="7" borderId="12" xfId="0" applyNumberFormat="1" applyFill="1" applyBorder="1"/>
    <xf numFmtId="0" fontId="0" fillId="7" borderId="12" xfId="0" applyFill="1" applyBorder="1"/>
    <xf numFmtId="0" fontId="5" fillId="9" borderId="13" xfId="0" applyFont="1" applyFill="1" applyBorder="1"/>
    <xf numFmtId="0" fontId="0" fillId="9" borderId="15" xfId="0" applyFill="1" applyBorder="1"/>
    <xf numFmtId="0" fontId="8" fillId="0" borderId="13" xfId="0" applyFont="1" applyFill="1" applyBorder="1"/>
    <xf numFmtId="0" fontId="9" fillId="0" borderId="15" xfId="0" applyFont="1" applyFill="1" applyBorder="1"/>
    <xf numFmtId="2" fontId="0" fillId="6" borderId="12" xfId="0" applyNumberFormat="1" applyFill="1" applyBorder="1"/>
    <xf numFmtId="10" fontId="0" fillId="6" borderId="12" xfId="2" applyNumberFormat="1" applyFont="1" applyFill="1" applyBorder="1"/>
    <xf numFmtId="0" fontId="0" fillId="6" borderId="12" xfId="0" applyFill="1" applyBorder="1"/>
    <xf numFmtId="49" fontId="0" fillId="0" borderId="0" xfId="0" applyNumberFormat="1"/>
    <xf numFmtId="167" fontId="0" fillId="0" borderId="0" xfId="0" applyNumberFormat="1" applyBorder="1"/>
    <xf numFmtId="167" fontId="10" fillId="10" borderId="0" xfId="0" applyNumberFormat="1" applyFont="1" applyFill="1" applyBorder="1"/>
    <xf numFmtId="0" fontId="5" fillId="0" borderId="6" xfId="0" applyFont="1" applyBorder="1"/>
    <xf numFmtId="167" fontId="0" fillId="0" borderId="7" xfId="0" applyNumberFormat="1" applyBorder="1"/>
    <xf numFmtId="167" fontId="0" fillId="0" borderId="5" xfId="0" applyNumberFormat="1" applyBorder="1"/>
    <xf numFmtId="167" fontId="10" fillId="10" borderId="5" xfId="0" applyNumberFormat="1" applyFont="1" applyFill="1" applyBorder="1"/>
    <xf numFmtId="167" fontId="0" fillId="0" borderId="8" xfId="0" applyNumberFormat="1" applyBorder="1"/>
    <xf numFmtId="0" fontId="0" fillId="0" borderId="5" xfId="0" applyNumberFormat="1" applyBorder="1"/>
    <xf numFmtId="0" fontId="5" fillId="0" borderId="0" xfId="0" applyFont="1" applyFill="1" applyBorder="1"/>
    <xf numFmtId="0" fontId="10" fillId="10" borderId="7" xfId="0" applyFont="1" applyFill="1" applyBorder="1"/>
    <xf numFmtId="2" fontId="10" fillId="10" borderId="7" xfId="0" applyNumberFormat="1" applyFont="1" applyFill="1" applyBorder="1"/>
    <xf numFmtId="2" fontId="10" fillId="10" borderId="8" xfId="0" applyNumberFormat="1" applyFont="1" applyFill="1" applyBorder="1"/>
    <xf numFmtId="164" fontId="0" fillId="0" borderId="5" xfId="0" applyNumberFormat="1" applyBorder="1"/>
    <xf numFmtId="164" fontId="0" fillId="0" borderId="5" xfId="2" applyNumberFormat="1" applyFont="1" applyBorder="1"/>
    <xf numFmtId="0" fontId="0" fillId="0" borderId="0" xfId="0" applyFont="1" applyFill="1" applyBorder="1"/>
    <xf numFmtId="0" fontId="0" fillId="0" borderId="5" xfId="0" applyFont="1" applyBorder="1"/>
    <xf numFmtId="0" fontId="5" fillId="0" borderId="7" xfId="0" applyFont="1" applyBorder="1"/>
    <xf numFmtId="0" fontId="5" fillId="0" borderId="8" xfId="0" applyFont="1" applyBorder="1"/>
    <xf numFmtId="0" fontId="10" fillId="10" borderId="0" xfId="0" applyFont="1" applyFill="1" applyBorder="1"/>
    <xf numFmtId="2" fontId="10" fillId="10" borderId="5" xfId="0" applyNumberFormat="1" applyFont="1" applyFill="1" applyBorder="1"/>
    <xf numFmtId="168" fontId="0" fillId="0" borderId="7" xfId="0" applyNumberFormat="1" applyBorder="1"/>
    <xf numFmtId="2" fontId="0" fillId="0" borderId="8" xfId="0" applyNumberFormat="1" applyBorder="1"/>
    <xf numFmtId="0" fontId="0" fillId="11" borderId="0" xfId="0" applyFill="1" applyBorder="1"/>
    <xf numFmtId="0" fontId="0" fillId="11" borderId="5" xfId="0" applyFill="1" applyBorder="1"/>
    <xf numFmtId="11" fontId="0" fillId="0" borderId="0" xfId="0" applyNumberFormat="1"/>
    <xf numFmtId="164" fontId="0" fillId="0" borderId="0" xfId="2" applyNumberFormat="1" applyFont="1"/>
    <xf numFmtId="4" fontId="0" fillId="0" borderId="0" xfId="0" applyNumberFormat="1" applyBorder="1"/>
    <xf numFmtId="4" fontId="0" fillId="0" borderId="7" xfId="0" applyNumberFormat="1" applyBorder="1"/>
    <xf numFmtId="0" fontId="0" fillId="11" borderId="0" xfId="0" applyFill="1"/>
    <xf numFmtId="4" fontId="0" fillId="0" borderId="5" xfId="0" applyNumberFormat="1" applyBorder="1"/>
    <xf numFmtId="4" fontId="0" fillId="0" borderId="8" xfId="0" applyNumberFormat="1" applyBorder="1"/>
    <xf numFmtId="0" fontId="0" fillId="11" borderId="4" xfId="0" applyFill="1" applyBorder="1"/>
    <xf numFmtId="4" fontId="0" fillId="6" borderId="0" xfId="0" applyNumberFormat="1" applyFill="1" applyBorder="1"/>
    <xf numFmtId="4" fontId="0" fillId="6" borderId="5" xfId="0" applyNumberFormat="1" applyFill="1" applyBorder="1"/>
    <xf numFmtId="0" fontId="0" fillId="6" borderId="0" xfId="0" applyFill="1"/>
  </cellXfs>
  <cellStyles count="3">
    <cellStyle name="Currency" xfId="1" builtinId="4"/>
    <cellStyle name="Normal" xfId="0" builtinId="0"/>
    <cellStyle name="Percent" xfId="2" builtinId="5"/>
  </cellStyles>
  <dxfs count="57">
    <dxf>
      <font>
        <color theme="0" tint="-0.499984740745262"/>
      </font>
    </dxf>
    <dxf>
      <font>
        <condense val="0"/>
        <extend val="0"/>
        <color rgb="FF9C0006"/>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lor theme="0" tint="-0.499984740745262"/>
      </font>
    </dxf>
    <dxf>
      <font>
        <condense val="0"/>
        <extend val="0"/>
        <color rgb="FF9C0006"/>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K48"/>
  <sheetViews>
    <sheetView zoomScale="60" zoomScaleNormal="60" workbookViewId="0">
      <selection activeCell="A50" sqref="A50"/>
    </sheetView>
  </sheetViews>
  <sheetFormatPr defaultRowHeight="15"/>
  <cols>
    <col min="1" max="1" width="52.140625" customWidth="1"/>
    <col min="2" max="2" width="9.85546875" bestFit="1" customWidth="1"/>
    <col min="3" max="4" width="15.5703125" bestFit="1" customWidth="1"/>
    <col min="5" max="5" width="14.7109375" bestFit="1" customWidth="1"/>
    <col min="6" max="7" width="14" bestFit="1" customWidth="1"/>
    <col min="9" max="9" width="10.42578125" bestFit="1" customWidth="1"/>
    <col min="11" max="11" width="13.140625" customWidth="1"/>
  </cols>
  <sheetData>
    <row r="1" spans="1:9">
      <c r="A1" s="1" t="s">
        <v>0</v>
      </c>
    </row>
    <row r="2" spans="1:9">
      <c r="A2" s="1"/>
      <c r="B2" t="s">
        <v>36</v>
      </c>
    </row>
    <row r="3" spans="1:9">
      <c r="A3" s="5"/>
      <c r="B3" t="s">
        <v>35</v>
      </c>
    </row>
    <row r="4" spans="1:9" ht="15.75" thickBot="1">
      <c r="A4" s="1"/>
    </row>
    <row r="5" spans="1:9">
      <c r="A5" s="6" t="s">
        <v>19</v>
      </c>
      <c r="B5" s="8"/>
    </row>
    <row r="6" spans="1:9">
      <c r="A6" s="9" t="s">
        <v>20</v>
      </c>
      <c r="B6" s="11">
        <v>500000</v>
      </c>
    </row>
    <row r="7" spans="1:9">
      <c r="A7" s="18" t="s">
        <v>21</v>
      </c>
      <c r="B7" s="11">
        <v>2</v>
      </c>
    </row>
    <row r="8" spans="1:9">
      <c r="A8" s="19" t="s">
        <v>22</v>
      </c>
      <c r="B8" s="20">
        <f>B6/B7</f>
        <v>250000</v>
      </c>
    </row>
    <row r="9" spans="1:9">
      <c r="A9" s="21"/>
      <c r="B9" s="11"/>
    </row>
    <row r="10" spans="1:9">
      <c r="A10" s="18" t="s">
        <v>23</v>
      </c>
      <c r="B10" s="11"/>
    </row>
    <row r="11" spans="1:9">
      <c r="A11" s="18" t="s">
        <v>24</v>
      </c>
      <c r="B11" s="22">
        <v>0.9</v>
      </c>
    </row>
    <row r="12" spans="1:9" ht="15.75" thickBot="1">
      <c r="A12" s="23" t="s">
        <v>25</v>
      </c>
      <c r="B12" s="24">
        <v>0.1</v>
      </c>
    </row>
    <row r="13" spans="1:9" ht="15.75" thickBot="1">
      <c r="A13" s="1"/>
    </row>
    <row r="14" spans="1:9">
      <c r="A14" s="6" t="s">
        <v>1</v>
      </c>
      <c r="B14" s="7"/>
      <c r="C14" s="7"/>
      <c r="D14" s="7"/>
      <c r="E14" s="7"/>
      <c r="F14" s="7"/>
      <c r="G14" s="7"/>
      <c r="H14" s="7"/>
      <c r="I14" s="8"/>
    </row>
    <row r="15" spans="1:9">
      <c r="A15" s="9" t="s">
        <v>2</v>
      </c>
      <c r="B15" s="10">
        <v>340</v>
      </c>
      <c r="C15" s="10"/>
      <c r="D15" s="10"/>
      <c r="E15" s="10"/>
      <c r="F15" s="10"/>
      <c r="G15" s="10"/>
      <c r="H15" s="10"/>
      <c r="I15" s="11"/>
    </row>
    <row r="16" spans="1:9">
      <c r="A16" s="9"/>
      <c r="B16" s="10" t="s">
        <v>4</v>
      </c>
      <c r="C16" s="10" t="s">
        <v>5</v>
      </c>
      <c r="D16" s="10" t="s">
        <v>6</v>
      </c>
      <c r="E16" s="10" t="s">
        <v>7</v>
      </c>
      <c r="F16" s="10" t="s">
        <v>8</v>
      </c>
      <c r="G16" s="10" t="s">
        <v>9</v>
      </c>
      <c r="H16" s="10" t="s">
        <v>10</v>
      </c>
      <c r="I16" s="11" t="s">
        <v>11</v>
      </c>
    </row>
    <row r="17" spans="1:9">
      <c r="A17" s="9" t="s">
        <v>3</v>
      </c>
      <c r="B17" s="15">
        <v>0.37</v>
      </c>
      <c r="C17" s="15">
        <v>0.09</v>
      </c>
      <c r="D17" s="15">
        <v>7.0000000000000007E-2</v>
      </c>
      <c r="E17" s="15">
        <v>0.1</v>
      </c>
      <c r="F17" s="15">
        <v>0.02</v>
      </c>
      <c r="G17" s="15">
        <v>0.19</v>
      </c>
      <c r="H17" s="15">
        <v>0.16</v>
      </c>
      <c r="I17" s="16">
        <f>SUM(B17:H17)</f>
        <v>1</v>
      </c>
    </row>
    <row r="18" spans="1:9">
      <c r="A18" s="9"/>
      <c r="B18" s="10"/>
      <c r="C18" s="10"/>
      <c r="D18" s="10"/>
      <c r="E18" s="10"/>
      <c r="F18" s="10"/>
      <c r="G18" s="10"/>
      <c r="H18" s="10"/>
      <c r="I18" s="11"/>
    </row>
    <row r="19" spans="1:9">
      <c r="A19" s="9" t="s">
        <v>12</v>
      </c>
      <c r="B19" s="10" t="s">
        <v>14</v>
      </c>
      <c r="C19" s="10" t="s">
        <v>15</v>
      </c>
      <c r="D19" s="10"/>
      <c r="E19" s="10"/>
      <c r="F19" s="10"/>
      <c r="G19" s="10"/>
      <c r="H19" s="10"/>
      <c r="I19" s="11"/>
    </row>
    <row r="20" spans="1:9">
      <c r="A20" s="9" t="s">
        <v>13</v>
      </c>
      <c r="B20" s="15">
        <v>0.9</v>
      </c>
      <c r="C20" s="15">
        <v>0.1</v>
      </c>
      <c r="D20" s="10"/>
      <c r="E20" s="10"/>
      <c r="F20" s="10"/>
      <c r="G20" s="10"/>
      <c r="H20" s="10"/>
      <c r="I20" s="11"/>
    </row>
    <row r="21" spans="1:9">
      <c r="A21" s="9"/>
      <c r="B21" s="10"/>
      <c r="C21" s="10"/>
      <c r="D21" s="10"/>
      <c r="E21" s="10"/>
      <c r="F21" s="10"/>
      <c r="G21" s="10"/>
      <c r="H21" s="10"/>
      <c r="I21" s="11"/>
    </row>
    <row r="22" spans="1:9">
      <c r="A22" s="9" t="s">
        <v>16</v>
      </c>
      <c r="B22" s="10" t="s">
        <v>17</v>
      </c>
      <c r="C22" s="10" t="s">
        <v>18</v>
      </c>
      <c r="D22" s="10"/>
      <c r="E22" s="10"/>
      <c r="F22" s="10"/>
      <c r="G22" s="10"/>
      <c r="H22" s="10"/>
      <c r="I22" s="11"/>
    </row>
    <row r="23" spans="1:9" ht="15.75" thickBot="1">
      <c r="A23" s="12" t="s">
        <v>13</v>
      </c>
      <c r="B23" s="17">
        <v>0.5</v>
      </c>
      <c r="C23" s="17">
        <v>0.5</v>
      </c>
      <c r="D23" s="13"/>
      <c r="E23" s="13"/>
      <c r="F23" s="13"/>
      <c r="G23" s="13"/>
      <c r="H23" s="13"/>
      <c r="I23" s="14"/>
    </row>
    <row r="24" spans="1:9" ht="15.75" thickBot="1"/>
    <row r="25" spans="1:9">
      <c r="A25" s="6" t="s">
        <v>26</v>
      </c>
      <c r="B25" s="7"/>
      <c r="C25" s="7"/>
      <c r="D25" s="7"/>
      <c r="E25" s="7"/>
      <c r="F25" s="7"/>
      <c r="G25" s="8"/>
    </row>
    <row r="26" spans="1:9">
      <c r="A26" s="9" t="s">
        <v>27</v>
      </c>
      <c r="B26" s="10" t="s">
        <v>5</v>
      </c>
      <c r="C26" s="10" t="s">
        <v>29</v>
      </c>
      <c r="D26" s="10" t="s">
        <v>30</v>
      </c>
      <c r="E26" s="10" t="s">
        <v>31</v>
      </c>
      <c r="F26" s="10" t="s">
        <v>32</v>
      </c>
      <c r="G26" s="11" t="s">
        <v>10</v>
      </c>
    </row>
    <row r="27" spans="1:9">
      <c r="A27" s="9" t="s">
        <v>28</v>
      </c>
      <c r="B27" s="10">
        <v>5</v>
      </c>
      <c r="C27" s="10">
        <v>10</v>
      </c>
      <c r="D27" s="10">
        <v>5</v>
      </c>
      <c r="E27" s="10">
        <v>1</v>
      </c>
      <c r="F27" s="10">
        <v>1</v>
      </c>
      <c r="G27" s="11">
        <v>0</v>
      </c>
    </row>
    <row r="28" spans="1:9">
      <c r="A28" s="9"/>
      <c r="B28" s="10"/>
      <c r="C28" s="10"/>
      <c r="D28" s="10"/>
      <c r="E28" s="10"/>
      <c r="F28" s="10"/>
      <c r="G28" s="11"/>
    </row>
    <row r="29" spans="1:9">
      <c r="A29" s="9" t="s">
        <v>33</v>
      </c>
      <c r="B29" s="10"/>
      <c r="C29" s="10"/>
      <c r="D29" s="10"/>
      <c r="E29" s="10"/>
      <c r="F29" s="10"/>
      <c r="G29" s="11"/>
    </row>
    <row r="30" spans="1:9" ht="15.75" thickBot="1">
      <c r="A30" s="12" t="s">
        <v>28</v>
      </c>
      <c r="B30" s="13">
        <v>0</v>
      </c>
      <c r="C30" s="13"/>
      <c r="D30" s="13"/>
      <c r="E30" s="13"/>
      <c r="F30" s="13"/>
      <c r="G30" s="14"/>
    </row>
    <row r="31" spans="1:9" ht="15.75" thickBot="1"/>
    <row r="32" spans="1:9">
      <c r="A32" s="6" t="s">
        <v>34</v>
      </c>
      <c r="B32" s="7"/>
      <c r="C32" s="7"/>
      <c r="D32" s="7"/>
      <c r="E32" s="7"/>
      <c r="F32" s="7"/>
      <c r="G32" s="7"/>
      <c r="H32" s="7"/>
      <c r="I32" s="8"/>
    </row>
    <row r="33" spans="1:11">
      <c r="A33" s="9" t="s">
        <v>37</v>
      </c>
      <c r="B33" s="10">
        <v>10000</v>
      </c>
      <c r="C33" s="10"/>
      <c r="D33" s="10"/>
      <c r="E33" s="10"/>
      <c r="F33" s="10"/>
      <c r="G33" s="10"/>
      <c r="H33" s="10"/>
      <c r="I33" s="11"/>
    </row>
    <row r="34" spans="1:11">
      <c r="A34" s="9"/>
      <c r="B34" s="10" t="s">
        <v>4</v>
      </c>
      <c r="C34" s="10" t="s">
        <v>5</v>
      </c>
      <c r="D34" s="10" t="s">
        <v>6</v>
      </c>
      <c r="E34" s="10" t="s">
        <v>7</v>
      </c>
      <c r="F34" s="10" t="s">
        <v>8</v>
      </c>
      <c r="G34" s="10" t="s">
        <v>9</v>
      </c>
      <c r="H34" s="10" t="s">
        <v>10</v>
      </c>
      <c r="I34" s="11" t="s">
        <v>11</v>
      </c>
    </row>
    <row r="35" spans="1:11">
      <c r="A35" s="9" t="s">
        <v>3</v>
      </c>
      <c r="B35" s="15">
        <v>0.2</v>
      </c>
      <c r="C35" s="15">
        <v>0.1</v>
      </c>
      <c r="D35" s="15">
        <v>0.2</v>
      </c>
      <c r="E35" s="15">
        <v>0.1</v>
      </c>
      <c r="F35" s="15">
        <v>0.05</v>
      </c>
      <c r="G35" s="15">
        <v>0.25</v>
      </c>
      <c r="H35" s="15">
        <v>0.1</v>
      </c>
      <c r="I35" s="16">
        <f>SUM(B35:H35)</f>
        <v>1</v>
      </c>
    </row>
    <row r="36" spans="1:11">
      <c r="A36" s="9"/>
      <c r="B36" s="10"/>
      <c r="C36" s="10"/>
      <c r="D36" s="10"/>
      <c r="E36" s="10"/>
      <c r="F36" s="10"/>
      <c r="G36" s="10"/>
      <c r="H36" s="10"/>
      <c r="I36" s="11"/>
    </row>
    <row r="37" spans="1:11">
      <c r="A37" s="9" t="s">
        <v>12</v>
      </c>
      <c r="B37" s="10" t="s">
        <v>14</v>
      </c>
      <c r="C37" s="10" t="s">
        <v>15</v>
      </c>
      <c r="D37" s="10"/>
      <c r="E37" s="10"/>
      <c r="F37" s="10"/>
      <c r="G37" s="10"/>
      <c r="H37" s="10"/>
      <c r="I37" s="11"/>
    </row>
    <row r="38" spans="1:11">
      <c r="A38" s="9" t="s">
        <v>13</v>
      </c>
      <c r="B38" s="15">
        <v>0.9</v>
      </c>
      <c r="C38" s="15">
        <v>0.1</v>
      </c>
      <c r="D38" s="10"/>
      <c r="E38" s="10"/>
      <c r="F38" s="10"/>
      <c r="G38" s="10"/>
      <c r="H38" s="10"/>
      <c r="I38" s="11"/>
    </row>
    <row r="39" spans="1:11">
      <c r="A39" s="9"/>
      <c r="B39" s="10"/>
      <c r="C39" s="10"/>
      <c r="D39" s="10"/>
      <c r="E39" s="10"/>
      <c r="F39" s="10"/>
      <c r="G39" s="10"/>
      <c r="H39" s="10"/>
      <c r="I39" s="11"/>
    </row>
    <row r="40" spans="1:11">
      <c r="A40" s="9" t="s">
        <v>16</v>
      </c>
      <c r="B40" s="10" t="s">
        <v>17</v>
      </c>
      <c r="C40" s="10" t="s">
        <v>18</v>
      </c>
      <c r="D40" s="10"/>
      <c r="E40" s="10"/>
      <c r="F40" s="10"/>
      <c r="G40" s="10"/>
      <c r="H40" s="10"/>
      <c r="I40" s="11"/>
    </row>
    <row r="41" spans="1:11" ht="15.75" thickBot="1">
      <c r="A41" s="12" t="s">
        <v>13</v>
      </c>
      <c r="B41" s="17">
        <v>0.5</v>
      </c>
      <c r="C41" s="17">
        <v>0.5</v>
      </c>
      <c r="D41" s="13"/>
      <c r="E41" s="13"/>
      <c r="F41" s="13"/>
      <c r="G41" s="13"/>
      <c r="H41" s="13"/>
      <c r="I41" s="14"/>
    </row>
    <row r="42" spans="1:11" ht="15.75" thickBot="1"/>
    <row r="43" spans="1:11">
      <c r="A43" s="25" t="s">
        <v>38</v>
      </c>
      <c r="B43" s="7"/>
      <c r="C43" s="7"/>
      <c r="D43" s="7"/>
      <c r="E43" s="7"/>
      <c r="F43" s="7"/>
      <c r="G43" s="7"/>
      <c r="H43" s="7"/>
      <c r="I43" s="7"/>
      <c r="J43" s="7"/>
      <c r="K43" s="8"/>
    </row>
    <row r="44" spans="1:11">
      <c r="A44" s="9"/>
      <c r="B44" s="10" t="s">
        <v>4</v>
      </c>
      <c r="C44" s="10" t="s">
        <v>5</v>
      </c>
      <c r="D44" s="10" t="s">
        <v>29</v>
      </c>
      <c r="E44" s="10" t="s">
        <v>30</v>
      </c>
      <c r="F44" s="10" t="s">
        <v>31</v>
      </c>
      <c r="G44" s="10" t="s">
        <v>32</v>
      </c>
      <c r="H44" s="10" t="s">
        <v>8</v>
      </c>
      <c r="I44" s="10" t="s">
        <v>9</v>
      </c>
      <c r="J44" s="10" t="s">
        <v>10</v>
      </c>
      <c r="K44" s="26" t="s">
        <v>11</v>
      </c>
    </row>
    <row r="45" spans="1:11">
      <c r="A45" s="9" t="s">
        <v>39</v>
      </c>
      <c r="B45" s="27">
        <f>B6*B15*B17/1000+B35*B33</f>
        <v>64900</v>
      </c>
      <c r="C45" s="27">
        <f>B6*B15*C17/1000+B27*B8/1000+B33*C35</f>
        <v>17550</v>
      </c>
      <c r="D45" s="27">
        <f>B6*B15*D17*B20/1000+B8*C27/1000+B33*D35*B38</f>
        <v>15010.000000000002</v>
      </c>
      <c r="E45" s="27">
        <f>B6*B15*D17*C20/1000+B8*D27/1000+B33*D35*C38</f>
        <v>2640</v>
      </c>
      <c r="F45" s="27">
        <f>B6*B15*E17*B23/1000+B8*F27/1000+B33*E35*B41</f>
        <v>9250</v>
      </c>
      <c r="G45" s="27">
        <f>B6*B15*E17*C23/1000+B8*F27/1000+B33*E35*C41</f>
        <v>9250</v>
      </c>
      <c r="H45" s="27">
        <f>B6*B15*F17/1000+B33*F35</f>
        <v>3900</v>
      </c>
      <c r="I45" s="27">
        <f>B6*B15*G17/1000+B8*B30/1000+B33*G35</f>
        <v>34800</v>
      </c>
      <c r="J45" s="27">
        <f>B6*B15*H17/1000+B33*H35</f>
        <v>28200</v>
      </c>
      <c r="K45" s="26">
        <f>SUM(B45:J45)</f>
        <v>185500</v>
      </c>
    </row>
    <row r="46" spans="1:11">
      <c r="A46" s="9" t="s">
        <v>50</v>
      </c>
      <c r="B46" s="27">
        <f>B17*$B$15*$B$7</f>
        <v>251.6</v>
      </c>
      <c r="C46" s="27">
        <f>C17*$B$15*$B$7</f>
        <v>61.199999999999996</v>
      </c>
      <c r="D46" s="27">
        <f>D17*$B$15*$B$7*B20</f>
        <v>42.84</v>
      </c>
      <c r="E46" s="27">
        <f>D17*$B$15*$B$7*C20</f>
        <v>4.7600000000000007</v>
      </c>
      <c r="F46" s="27">
        <f>E17*$B$15*$B$7*B23</f>
        <v>34</v>
      </c>
      <c r="G46" s="27">
        <f>E17*$B$15*$B$7*C23</f>
        <v>34</v>
      </c>
      <c r="H46" s="27">
        <f>F17*$B$15*$B$7</f>
        <v>13.6</v>
      </c>
      <c r="I46" s="27">
        <f>G17*$B$15*$B$7</f>
        <v>129.19999999999999</v>
      </c>
      <c r="J46" s="28">
        <f>H17*$B$15*$B$7</f>
        <v>108.8</v>
      </c>
      <c r="K46" s="26">
        <f>SUM(B46:I46)</f>
        <v>571.20000000000005</v>
      </c>
    </row>
    <row r="47" spans="1:11">
      <c r="A47" s="9" t="s">
        <v>84</v>
      </c>
      <c r="B47" s="27">
        <f>B33*B35</f>
        <v>2000</v>
      </c>
      <c r="C47" s="27">
        <f>B33*C35</f>
        <v>1000</v>
      </c>
      <c r="D47" s="27">
        <f>B33*D35*B38</f>
        <v>1800</v>
      </c>
      <c r="E47" s="27">
        <f>B33*D35*C38</f>
        <v>200</v>
      </c>
      <c r="F47" s="27">
        <f>B33*E35*B41</f>
        <v>500</v>
      </c>
      <c r="G47" s="27">
        <f>B33*E35*C41</f>
        <v>500</v>
      </c>
      <c r="H47" s="27">
        <f>B33*F35</f>
        <v>500</v>
      </c>
      <c r="I47" s="28">
        <f>B33*G35</f>
        <v>2500</v>
      </c>
      <c r="J47" s="28">
        <f>B33*H35</f>
        <v>1000</v>
      </c>
      <c r="K47" s="26">
        <f>SUM(B47:H47)</f>
        <v>6500</v>
      </c>
    </row>
    <row r="48" spans="1:11" ht="15.75" thickBot="1">
      <c r="A48" s="88" t="s">
        <v>1081</v>
      </c>
      <c r="B48" s="13"/>
      <c r="C48" s="82">
        <f>B27/1000*$B$8</f>
        <v>1250</v>
      </c>
      <c r="D48" s="82">
        <f t="shared" ref="D48:G48" si="0">C27/1000*$B$8</f>
        <v>2500</v>
      </c>
      <c r="E48" s="82">
        <f t="shared" si="0"/>
        <v>1250</v>
      </c>
      <c r="F48" s="82">
        <f t="shared" si="0"/>
        <v>250</v>
      </c>
      <c r="G48" s="82">
        <f t="shared" si="0"/>
        <v>250</v>
      </c>
      <c r="H48" s="13"/>
      <c r="I48" s="82">
        <f>B30*$B$8</f>
        <v>0</v>
      </c>
      <c r="J48" s="82">
        <f>G27/1000*$B$8</f>
        <v>0</v>
      </c>
      <c r="K48" s="30">
        <f>SUM(B48:H48)</f>
        <v>5500</v>
      </c>
    </row>
  </sheetData>
  <phoneticPr fontId="4" type="noConversion"/>
  <pageMargins left="0.7" right="0.7" top="0.75" bottom="0.75" header="0.3" footer="0.3"/>
  <pageSetup orientation="portrait" r:id="rId1"/>
  <ignoredErrors>
    <ignoredError sqref="D46" formula="1"/>
  </ignoredErrors>
</worksheet>
</file>

<file path=xl/worksheets/sheet10.xml><?xml version="1.0" encoding="utf-8"?>
<worksheet xmlns="http://schemas.openxmlformats.org/spreadsheetml/2006/main" xmlns:r="http://schemas.openxmlformats.org/officeDocument/2006/relationships">
  <dimension ref="A1:Q44"/>
  <sheetViews>
    <sheetView zoomScale="70" zoomScaleNormal="70" workbookViewId="0">
      <selection activeCell="A6" sqref="A6"/>
    </sheetView>
  </sheetViews>
  <sheetFormatPr defaultRowHeight="15"/>
  <cols>
    <col min="1" max="1" width="9.5703125" bestFit="1" customWidth="1"/>
    <col min="4" max="4" width="4.85546875" customWidth="1"/>
    <col min="6" max="6" width="4.5703125" customWidth="1"/>
    <col min="7" max="7" width="10.140625" customWidth="1"/>
    <col min="8" max="8" width="5.140625" customWidth="1"/>
    <col min="9" max="9" width="9.85546875" customWidth="1"/>
    <col min="10" max="10" width="4.28515625" customWidth="1"/>
  </cols>
  <sheetData>
    <row r="1" spans="1:16">
      <c r="A1" s="62" t="s">
        <v>1050</v>
      </c>
    </row>
    <row r="2" spans="1:16" ht="15.75" thickBot="1"/>
    <row r="3" spans="1:16" ht="15.75" thickBot="1">
      <c r="A3" s="109">
        <f>Streams!L10</f>
        <v>170000</v>
      </c>
      <c r="B3" t="s">
        <v>1282</v>
      </c>
    </row>
    <row r="4" spans="1:16" ht="15.75" thickBot="1">
      <c r="A4" s="109">
        <f>Streams!L11</f>
        <v>5500</v>
      </c>
      <c r="B4" t="s">
        <v>1283</v>
      </c>
    </row>
    <row r="5" spans="1:16" ht="15.75" thickBot="1">
      <c r="A5" s="109">
        <f>Streams!L12</f>
        <v>10000</v>
      </c>
      <c r="B5" t="s">
        <v>1284</v>
      </c>
    </row>
    <row r="6" spans="1:16" ht="15.75" thickBot="1">
      <c r="A6" s="109">
        <f>SUM(A3:A5)</f>
        <v>185500</v>
      </c>
      <c r="B6" t="s">
        <v>1285</v>
      </c>
      <c r="L6" s="62" t="s">
        <v>1153</v>
      </c>
      <c r="N6" s="62" t="s">
        <v>1286</v>
      </c>
      <c r="O6" s="62"/>
      <c r="P6" s="62" t="s">
        <v>79</v>
      </c>
    </row>
    <row r="7" spans="1:16" ht="15.75" thickBot="1">
      <c r="A7" s="101"/>
    </row>
    <row r="8" spans="1:16" ht="15.75" thickBot="1">
      <c r="A8" s="101"/>
      <c r="B8" s="101"/>
      <c r="C8" s="101"/>
      <c r="D8" s="103" t="s">
        <v>1288</v>
      </c>
      <c r="E8" s="104"/>
      <c r="F8" s="104"/>
      <c r="G8" s="104"/>
      <c r="H8" s="104"/>
      <c r="I8" s="105"/>
      <c r="J8" s="101"/>
      <c r="K8" s="101"/>
      <c r="L8" s="109">
        <f>-Streams!L16</f>
        <v>23750</v>
      </c>
    </row>
    <row r="9" spans="1:16" ht="15.75" thickBot="1">
      <c r="A9" s="101"/>
    </row>
    <row r="10" spans="1:16" ht="15.75" thickBot="1">
      <c r="A10" s="109">
        <f>A6-L8</f>
        <v>161750</v>
      </c>
    </row>
    <row r="11" spans="1:16" ht="15.75" thickBot="1">
      <c r="A11" s="101"/>
    </row>
    <row r="12" spans="1:16" ht="15.75" thickBot="1">
      <c r="A12" s="101"/>
      <c r="B12" s="109">
        <f>Streams!L30+Streams!L31</f>
        <v>23750</v>
      </c>
      <c r="C12" s="101"/>
      <c r="D12" s="103" t="s">
        <v>1287</v>
      </c>
      <c r="E12" s="104"/>
      <c r="F12" s="104"/>
      <c r="G12" s="105"/>
      <c r="H12" s="101"/>
      <c r="I12" s="101"/>
      <c r="J12" s="101"/>
      <c r="K12" s="101"/>
      <c r="L12" s="108">
        <f>-Streams!L32</f>
        <v>15793.75</v>
      </c>
    </row>
    <row r="13" spans="1:16" ht="15.75" thickBot="1">
      <c r="A13" s="101"/>
      <c r="D13" s="101"/>
      <c r="F13" s="101"/>
      <c r="J13" s="101"/>
    </row>
    <row r="14" spans="1:16" ht="15.75" thickBot="1">
      <c r="A14" s="101"/>
      <c r="D14" s="101"/>
      <c r="F14" s="109">
        <f>-Streams!L33</f>
        <v>0</v>
      </c>
      <c r="J14" s="101"/>
      <c r="K14" s="101"/>
      <c r="L14" s="101"/>
      <c r="M14" s="101"/>
      <c r="N14" s="101"/>
      <c r="O14" s="101"/>
      <c r="P14" s="109">
        <f>-Streams!L35</f>
        <v>7956.25</v>
      </c>
    </row>
    <row r="15" spans="1:16" ht="15.75" thickBot="1">
      <c r="A15" s="101"/>
      <c r="D15" s="101"/>
      <c r="F15" s="101"/>
    </row>
    <row r="16" spans="1:16" ht="15.75" thickBot="1">
      <c r="A16" s="101"/>
      <c r="D16" s="101"/>
      <c r="F16" s="106" t="s">
        <v>341</v>
      </c>
      <c r="G16" s="107"/>
      <c r="H16" s="101"/>
      <c r="I16" s="101"/>
      <c r="J16" s="101"/>
      <c r="K16" s="101"/>
      <c r="L16" s="101"/>
      <c r="M16" s="101"/>
      <c r="N16" s="109">
        <f>Streams!G41</f>
        <v>0</v>
      </c>
    </row>
    <row r="17" spans="1:16" ht="15.75" thickBot="1">
      <c r="A17" s="101"/>
      <c r="D17" s="101"/>
      <c r="J17" s="101"/>
    </row>
    <row r="18" spans="1:16" ht="15.75" thickBot="1">
      <c r="A18" s="101"/>
      <c r="D18" s="101"/>
      <c r="J18" s="101"/>
      <c r="K18" s="101"/>
      <c r="L18" s="101"/>
      <c r="M18" s="101"/>
      <c r="N18" s="101"/>
      <c r="O18" s="101"/>
      <c r="P18" s="109">
        <f>Streams!O142</f>
        <v>0</v>
      </c>
    </row>
    <row r="19" spans="1:16" ht="15.75" thickBot="1">
      <c r="A19" s="101"/>
    </row>
    <row r="20" spans="1:16" ht="15.75" thickBot="1">
      <c r="A20" s="101"/>
      <c r="B20" s="109">
        <f>Streams!L54+Streams!L69</f>
        <v>0</v>
      </c>
      <c r="C20" s="101"/>
      <c r="D20" s="101"/>
      <c r="E20" s="101"/>
      <c r="F20" s="101"/>
      <c r="G20" s="110" t="s">
        <v>325</v>
      </c>
      <c r="H20" s="111"/>
      <c r="I20" s="101"/>
      <c r="J20" s="101"/>
      <c r="K20" s="101"/>
      <c r="L20" s="109">
        <f>Streams!M49+Streams!M50+Streams!M63+Streams!M64</f>
        <v>0</v>
      </c>
    </row>
    <row r="21" spans="1:16" ht="15.75" thickBot="1">
      <c r="A21" s="101"/>
      <c r="G21" s="61"/>
      <c r="H21" s="101"/>
      <c r="J21" s="101"/>
    </row>
    <row r="22" spans="1:16" ht="15.75" thickBot="1">
      <c r="A22" s="101"/>
      <c r="D22" s="101"/>
      <c r="H22" s="101"/>
      <c r="J22" s="101"/>
      <c r="K22" s="101"/>
      <c r="L22" s="101"/>
      <c r="M22" s="101"/>
      <c r="N22" s="109">
        <f>Streams!L55+Streams!L70</f>
        <v>0</v>
      </c>
    </row>
    <row r="23" spans="1:16" ht="15.75" thickBot="1">
      <c r="A23" s="101"/>
      <c r="D23" s="101"/>
      <c r="H23" s="109">
        <f>Streams!L80+Streams!L81</f>
        <v>0</v>
      </c>
      <c r="J23" s="101"/>
    </row>
    <row r="24" spans="1:16" ht="15.75" thickBot="1">
      <c r="A24" s="101"/>
      <c r="D24" s="101"/>
      <c r="H24" s="101"/>
      <c r="J24" s="101"/>
      <c r="K24" s="101"/>
      <c r="L24" s="101"/>
      <c r="M24" s="101"/>
      <c r="N24" s="101"/>
      <c r="O24" s="101"/>
      <c r="P24" s="109">
        <f>SUM(Streams!O125:O130)</f>
        <v>0</v>
      </c>
    </row>
    <row r="25" spans="1:16" ht="15.75" thickBot="1">
      <c r="A25" s="101"/>
      <c r="H25" s="101"/>
    </row>
    <row r="26" spans="1:16" ht="15.75" thickBot="1">
      <c r="A26" s="101"/>
      <c r="B26" s="109">
        <f>SUM(Streams!L76:L79,Streams!L82)</f>
        <v>30000</v>
      </c>
      <c r="C26" s="101"/>
      <c r="D26" s="101"/>
      <c r="E26" s="101"/>
      <c r="F26" s="101"/>
      <c r="G26" s="101"/>
      <c r="H26" s="112" t="s">
        <v>1289</v>
      </c>
      <c r="I26" s="113"/>
      <c r="J26" s="101"/>
      <c r="K26" s="101"/>
      <c r="L26" s="109">
        <f>-(Streams!L87+Streams!L94)</f>
        <v>13893.75</v>
      </c>
    </row>
    <row r="27" spans="1:16" ht="15.75" thickBot="1">
      <c r="A27" s="101"/>
      <c r="H27" s="101"/>
      <c r="J27" s="101"/>
    </row>
    <row r="28" spans="1:16" ht="15.75" thickBot="1">
      <c r="A28" s="101"/>
      <c r="D28" s="101"/>
      <c r="H28" s="101"/>
      <c r="J28" s="101"/>
      <c r="K28" s="101"/>
      <c r="L28" s="101"/>
      <c r="M28" s="101"/>
      <c r="N28" s="109">
        <f>-(Streams!L86+Streams!L93)</f>
        <v>13893.75</v>
      </c>
    </row>
    <row r="29" spans="1:16" ht="15.75" thickBot="1">
      <c r="A29" s="101"/>
      <c r="D29" s="101"/>
      <c r="H29" s="109">
        <f>Streams!L84+Streams!L88+Streams!L91+Streams!L95</f>
        <v>0</v>
      </c>
      <c r="J29" s="101"/>
    </row>
    <row r="30" spans="1:16" ht="15.75" thickBot="1">
      <c r="A30" s="101"/>
      <c r="D30" s="101"/>
      <c r="H30" s="101"/>
      <c r="J30" s="101"/>
      <c r="K30" s="101"/>
      <c r="L30" s="101"/>
      <c r="M30" s="101"/>
      <c r="N30" s="101"/>
      <c r="O30" s="101"/>
      <c r="P30" s="109">
        <f>-(Streams!L85+Streams!L89+Streams!L92+Streams!L96+Streams!L97)</f>
        <v>2212.5</v>
      </c>
    </row>
    <row r="31" spans="1:16" ht="15.75" thickBot="1">
      <c r="A31" s="101"/>
      <c r="D31" s="101"/>
      <c r="H31" s="101"/>
    </row>
    <row r="32" spans="1:16" ht="15.75" thickBot="1">
      <c r="A32" s="101"/>
      <c r="B32" s="109">
        <f>Streams!M107</f>
        <v>102500</v>
      </c>
      <c r="C32" s="101"/>
      <c r="D32" s="109">
        <f>Streams!M102</f>
        <v>0</v>
      </c>
      <c r="E32" s="101"/>
      <c r="F32" s="101"/>
      <c r="G32" s="101"/>
      <c r="H32" s="110" t="s">
        <v>1290</v>
      </c>
      <c r="I32" s="111"/>
      <c r="J32" s="101"/>
      <c r="K32" s="101"/>
      <c r="L32" s="109">
        <f>-(Streams!M110+Streams!M111+Streams!M116+Streams!M117)</f>
        <v>3928.2750000000001</v>
      </c>
    </row>
    <row r="33" spans="1:17" ht="15.75" thickBot="1">
      <c r="A33" s="101"/>
      <c r="J33" s="101"/>
    </row>
    <row r="34" spans="1:17" ht="15.75" thickBot="1">
      <c r="A34" s="101"/>
      <c r="J34" s="101"/>
      <c r="K34" s="101"/>
      <c r="L34" s="101"/>
      <c r="M34" s="101"/>
      <c r="N34" s="109">
        <f>-(Streams!M109+Streams!M115)</f>
        <v>73804.818749999991</v>
      </c>
    </row>
    <row r="35" spans="1:17" ht="15.75" thickBot="1">
      <c r="A35" s="101"/>
      <c r="J35" s="101"/>
    </row>
    <row r="36" spans="1:17" ht="15.75" thickBot="1">
      <c r="A36" s="101"/>
      <c r="J36" s="101"/>
      <c r="K36" s="101"/>
      <c r="L36" s="101"/>
      <c r="M36" s="101"/>
      <c r="N36" s="101"/>
      <c r="O36" s="101"/>
      <c r="P36" s="109">
        <f>SUM(Streams!O136:O139)</f>
        <v>24766.90625</v>
      </c>
    </row>
    <row r="37" spans="1:17" ht="15.75" thickBot="1">
      <c r="A37" s="101"/>
    </row>
    <row r="38" spans="1:17" ht="15.75" thickBot="1">
      <c r="A38" s="101"/>
      <c r="B38" s="101"/>
      <c r="C38" s="101"/>
      <c r="D38" s="101"/>
      <c r="E38" s="101"/>
      <c r="F38" s="101"/>
      <c r="G38" s="101"/>
      <c r="H38" s="101"/>
      <c r="I38" s="101"/>
      <c r="J38" s="101"/>
      <c r="K38" s="101"/>
      <c r="L38" s="101"/>
      <c r="M38" s="101"/>
      <c r="N38" s="101"/>
      <c r="O38" s="101"/>
      <c r="P38" s="109">
        <f>Streams!O123</f>
        <v>5500</v>
      </c>
    </row>
    <row r="39" spans="1:17" s="61" customFormat="1" ht="15.75" thickBot="1">
      <c r="P39" s="49"/>
    </row>
    <row r="40" spans="1:17" ht="15.75" thickBot="1">
      <c r="A40" t="s">
        <v>1297</v>
      </c>
      <c r="H40" s="35"/>
      <c r="I40" s="7"/>
      <c r="J40" s="7"/>
      <c r="K40" s="7"/>
      <c r="L40" s="7"/>
      <c r="M40" s="7"/>
      <c r="N40" s="7"/>
      <c r="O40" s="7"/>
      <c r="P40" s="7"/>
      <c r="Q40" s="8"/>
    </row>
    <row r="41" spans="1:17" ht="15.75" thickBot="1">
      <c r="A41" s="117" t="s">
        <v>1294</v>
      </c>
      <c r="H41" s="9"/>
      <c r="I41" s="10"/>
      <c r="J41" s="65" t="s">
        <v>1292</v>
      </c>
      <c r="K41" s="10"/>
      <c r="L41" s="114">
        <f>SUM(L8,L12,L20,L26,L32)</f>
        <v>57365.775000000001</v>
      </c>
      <c r="M41" s="10"/>
      <c r="N41" s="116">
        <f>SUM(N16,N22,N28,N34)</f>
        <v>87698.568749999991</v>
      </c>
      <c r="O41" s="10"/>
      <c r="P41" s="116">
        <f>SUM(P14,P18,P24,P30,P36,P38)</f>
        <v>40435.65625</v>
      </c>
      <c r="Q41" s="11"/>
    </row>
    <row r="42" spans="1:17" ht="15.75" thickBot="1">
      <c r="A42" s="117" t="s">
        <v>1295</v>
      </c>
      <c r="H42" s="9"/>
      <c r="I42" s="10"/>
      <c r="J42" s="10"/>
      <c r="K42" s="10"/>
      <c r="L42" s="10"/>
      <c r="M42" s="10"/>
      <c r="N42" s="10"/>
      <c r="O42" s="10"/>
      <c r="P42" s="10"/>
      <c r="Q42" s="11"/>
    </row>
    <row r="43" spans="1:17" ht="15.75" thickBot="1">
      <c r="A43" s="117" t="s">
        <v>1296</v>
      </c>
      <c r="H43" s="9"/>
      <c r="I43" s="65" t="s">
        <v>1293</v>
      </c>
      <c r="J43" s="10"/>
      <c r="K43" s="10"/>
      <c r="L43" s="115">
        <f>L41/$A$6</f>
        <v>0.30924946091644206</v>
      </c>
      <c r="M43" s="58"/>
      <c r="N43" s="115">
        <f>N41/$A$6</f>
        <v>0.47276856469002693</v>
      </c>
      <c r="O43" s="58"/>
      <c r="P43" s="115">
        <f>P41/$A$6</f>
        <v>0.21798197439353101</v>
      </c>
      <c r="Q43" s="11"/>
    </row>
    <row r="44" spans="1:17" ht="15.75" thickBot="1">
      <c r="H44" s="12"/>
      <c r="I44" s="13"/>
      <c r="J44" s="13"/>
      <c r="K44" s="13"/>
      <c r="L44" s="13"/>
      <c r="M44" s="13"/>
      <c r="N44" s="13"/>
      <c r="O44" s="13"/>
      <c r="P44" s="13"/>
      <c r="Q44" s="1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U106"/>
  <sheetViews>
    <sheetView topLeftCell="B4" zoomScale="80" zoomScaleNormal="80" workbookViewId="0">
      <selection activeCell="G42" sqref="G42"/>
    </sheetView>
  </sheetViews>
  <sheetFormatPr defaultRowHeight="15"/>
  <cols>
    <col min="1" max="1" width="34.28515625" customWidth="1"/>
    <col min="2" max="2" width="12.140625" bestFit="1" customWidth="1"/>
    <col min="3" max="3" width="17.42578125" bestFit="1" customWidth="1"/>
    <col min="4" max="4" width="14.85546875" bestFit="1" customWidth="1"/>
    <col min="5" max="5" width="16.42578125" bestFit="1" customWidth="1"/>
    <col min="6" max="6" width="18.140625" bestFit="1" customWidth="1"/>
    <col min="7" max="7" width="16.42578125" bestFit="1" customWidth="1"/>
    <col min="8" max="8" width="22.7109375" bestFit="1" customWidth="1"/>
    <col min="9" max="9" width="17.42578125" bestFit="1" customWidth="1"/>
    <col min="10" max="10" width="10.28515625" bestFit="1" customWidth="1"/>
    <col min="11" max="11" width="13" bestFit="1" customWidth="1"/>
    <col min="13" max="14" width="12.42578125" bestFit="1" customWidth="1"/>
    <col min="15" max="15" width="14.85546875" bestFit="1" customWidth="1"/>
    <col min="16" max="16" width="18.42578125" bestFit="1" customWidth="1"/>
    <col min="17" max="17" width="15.7109375" bestFit="1" customWidth="1"/>
    <col min="18" max="18" width="16.28515625" bestFit="1" customWidth="1"/>
    <col min="19" max="19" width="11.7109375" bestFit="1" customWidth="1"/>
    <col min="20" max="20" width="12.140625" bestFit="1" customWidth="1"/>
    <col min="21" max="21" width="13.42578125" bestFit="1" customWidth="1"/>
  </cols>
  <sheetData>
    <row r="1" spans="1:9">
      <c r="A1" s="62" t="s">
        <v>1298</v>
      </c>
    </row>
    <row r="2" spans="1:9">
      <c r="A2" t="s">
        <v>1299</v>
      </c>
    </row>
    <row r="3" spans="1:9">
      <c r="A3" t="s">
        <v>1300</v>
      </c>
    </row>
    <row r="5" spans="1:9">
      <c r="A5" t="s">
        <v>1301</v>
      </c>
    </row>
    <row r="7" spans="1:9">
      <c r="A7" s="62" t="s">
        <v>174</v>
      </c>
    </row>
    <row r="8" spans="1:9">
      <c r="A8" t="s">
        <v>1310</v>
      </c>
    </row>
    <row r="9" spans="1:9">
      <c r="A9" t="s">
        <v>1312</v>
      </c>
    </row>
    <row r="10" spans="1:9">
      <c r="A10" t="s">
        <v>1311</v>
      </c>
    </row>
    <row r="11" spans="1:9" ht="15.75" thickBot="1"/>
    <row r="12" spans="1:9">
      <c r="A12" s="93"/>
      <c r="B12" s="78" t="s">
        <v>1302</v>
      </c>
      <c r="C12" s="78" t="s">
        <v>1308</v>
      </c>
      <c r="D12" s="78" t="s">
        <v>1084</v>
      </c>
      <c r="E12" s="78" t="s">
        <v>1289</v>
      </c>
      <c r="F12" s="78" t="s">
        <v>1309</v>
      </c>
      <c r="G12" s="78" t="s">
        <v>79</v>
      </c>
      <c r="H12" s="78" t="s">
        <v>1034</v>
      </c>
      <c r="I12" s="79" t="s">
        <v>11</v>
      </c>
    </row>
    <row r="13" spans="1:9">
      <c r="A13" s="64" t="s">
        <v>1304</v>
      </c>
      <c r="B13" s="10" t="s">
        <v>1303</v>
      </c>
      <c r="C13" s="118">
        <f>Streams!E228+Streams!E230+Streams!E232+Streams!E233+Streams!E234+Streams!E235</f>
        <v>7000000</v>
      </c>
      <c r="D13" s="118">
        <f>Streams!E236+Streams!E237+Streams!E238+Streams!E240+Streams!E241+Streams!E242+Streams!E245+Streams!E246+Streams!E247</f>
        <v>55456.25</v>
      </c>
      <c r="E13" s="118">
        <f>Streams!E250+Streams!E251+Streams!E252+Streams!E255+Streams!E256+Streams!E257</f>
        <v>62212.5</v>
      </c>
      <c r="F13" s="118">
        <f>SUM(Streams!E261:E263)+SUM(Streams!E266:E268)+SUM(Streams!E271:E273)+SUM(Streams!E275:E277)+SUM(Streams!E279:E281)</f>
        <v>4124766.90625</v>
      </c>
      <c r="G13" s="118">
        <f>SUM(Streams!E283:E286)</f>
        <v>1099451.40625</v>
      </c>
      <c r="H13" s="118">
        <f>SUM(Streams!E288:E289)</f>
        <v>120730.92600000001</v>
      </c>
      <c r="I13" s="122">
        <f>SUM(C13:H13)</f>
        <v>12462617.988500001</v>
      </c>
    </row>
    <row r="14" spans="1:9">
      <c r="A14" s="64" t="s">
        <v>1305</v>
      </c>
      <c r="B14" s="10" t="s">
        <v>1303</v>
      </c>
      <c r="C14" s="118">
        <f>Streams!E229+Streams!E231</f>
        <v>-423750</v>
      </c>
      <c r="D14" s="118">
        <f>Streams!E239</f>
        <v>0</v>
      </c>
      <c r="E14" s="118">
        <f>Streams!E253+Streams!E254+SUM(Streams!E258:E260)+Streams!E243+Streams!E244+Streams!E248+Streams!E249</f>
        <v>0</v>
      </c>
      <c r="F14" s="118">
        <f>Streams!E264+Streams!E265+Streams!E269+Streams!E270+Streams!E274+Streams!E278+Streams!E282</f>
        <v>-432971.90124749998</v>
      </c>
      <c r="G14" s="118">
        <f>Streams!E287</f>
        <v>-98671.061250000013</v>
      </c>
      <c r="H14" s="118">
        <f>Streams!E290</f>
        <v>0</v>
      </c>
      <c r="I14" s="122">
        <f t="shared" ref="I14:I17" si="0">SUM(C14:H14)</f>
        <v>-955392.9624975</v>
      </c>
    </row>
    <row r="15" spans="1:9">
      <c r="A15" s="64" t="s">
        <v>11</v>
      </c>
      <c r="B15" s="10" t="s">
        <v>1303</v>
      </c>
      <c r="C15" s="119">
        <f>C13+C14</f>
        <v>6576250</v>
      </c>
      <c r="D15" s="119">
        <f t="shared" ref="D15:H15" si="1">D13+D14</f>
        <v>55456.25</v>
      </c>
      <c r="E15" s="119">
        <f t="shared" si="1"/>
        <v>62212.5</v>
      </c>
      <c r="F15" s="119">
        <f t="shared" si="1"/>
        <v>3691795.0050025</v>
      </c>
      <c r="G15" s="119">
        <f t="shared" si="1"/>
        <v>1000780.345</v>
      </c>
      <c r="H15" s="119">
        <f t="shared" si="1"/>
        <v>120730.92600000001</v>
      </c>
      <c r="I15" s="123">
        <f t="shared" si="0"/>
        <v>11507225.026002502</v>
      </c>
    </row>
    <row r="16" spans="1:9">
      <c r="A16" s="64" t="s">
        <v>1306</v>
      </c>
      <c r="B16" s="10" t="s">
        <v>1303</v>
      </c>
      <c r="C16" s="118">
        <f>C15/'Waste Input'!$B$8</f>
        <v>26.305</v>
      </c>
      <c r="D16" s="118">
        <f>D15/'Waste Input'!$B$8</f>
        <v>0.22182499999999999</v>
      </c>
      <c r="E16" s="118">
        <f>E15/'Waste Input'!$B$8</f>
        <v>0.24884999999999999</v>
      </c>
      <c r="F16" s="118">
        <f>F15/'Waste Input'!$B$8</f>
        <v>14.767180020010001</v>
      </c>
      <c r="G16" s="118">
        <f>G15/'Waste Input'!$B$8</f>
        <v>4.0031213799999996</v>
      </c>
      <c r="H16" s="118">
        <f>H15/'Waste Input'!$B$8</f>
        <v>0.48292370400000001</v>
      </c>
      <c r="I16" s="122">
        <f t="shared" si="0"/>
        <v>46.028900104010006</v>
      </c>
    </row>
    <row r="17" spans="1:20" ht="15.75" thickBot="1">
      <c r="A17" s="120" t="s">
        <v>1307</v>
      </c>
      <c r="B17" s="13" t="s">
        <v>1303</v>
      </c>
      <c r="C17" s="121">
        <f>C15/'Waste Input'!$B$6</f>
        <v>13.1525</v>
      </c>
      <c r="D17" s="121">
        <f>D15/'Waste Input'!$B$6</f>
        <v>0.1109125</v>
      </c>
      <c r="E17" s="121">
        <f>E15/'Waste Input'!$B$6</f>
        <v>0.12442499999999999</v>
      </c>
      <c r="F17" s="121">
        <f>F15/'Waste Input'!$B$6</f>
        <v>7.3835900100050003</v>
      </c>
      <c r="G17" s="121">
        <f>G15/'Waste Input'!$B$6</f>
        <v>2.0015606899999998</v>
      </c>
      <c r="H17" s="121">
        <f>H15/'Waste Input'!$B$6</f>
        <v>0.241461852</v>
      </c>
      <c r="I17" s="124">
        <f t="shared" si="0"/>
        <v>23.014450052005003</v>
      </c>
    </row>
    <row r="19" spans="1:20">
      <c r="A19" s="62" t="s">
        <v>1158</v>
      </c>
    </row>
    <row r="21" spans="1:20" ht="15.75" thickBot="1"/>
    <row r="22" spans="1:20">
      <c r="A22" s="35"/>
      <c r="B22" s="78" t="s">
        <v>1302</v>
      </c>
      <c r="C22" s="78" t="s">
        <v>1308</v>
      </c>
      <c r="D22" s="78" t="s">
        <v>1084</v>
      </c>
      <c r="E22" s="78" t="s">
        <v>1289</v>
      </c>
      <c r="F22" s="78" t="s">
        <v>1309</v>
      </c>
      <c r="G22" s="78" t="s">
        <v>79</v>
      </c>
      <c r="H22" s="78" t="s">
        <v>1034</v>
      </c>
      <c r="I22" s="79" t="s">
        <v>11</v>
      </c>
    </row>
    <row r="23" spans="1:20">
      <c r="A23" s="64" t="s">
        <v>1317</v>
      </c>
      <c r="B23" s="10" t="s">
        <v>1313</v>
      </c>
      <c r="C23" s="10">
        <f>Streams!G177+'Advanced Variables'!D88*'Advanced Variables'!I389*'Advanced Variables'!$B$105+'Advanced Variables'!D89*'Advanced Variables'!F389*'Advanced Variables'!$B$105+'Advanced Variables'!D90*'Advanced Variables'!J389*'Advanced Variables'!$B$105</f>
        <v>0</v>
      </c>
      <c r="D23" s="10">
        <f>Streams!G178+Streams!G184+Streams!G188</f>
        <v>593750</v>
      </c>
      <c r="E23" s="10">
        <f>Streams!G189+Streams!G192</f>
        <v>900000</v>
      </c>
      <c r="F23" s="10">
        <f>Streams!G196+Streams!G200+Streams!G204+Streams!G208+Streams!G212</f>
        <v>7175000</v>
      </c>
      <c r="G23" s="10">
        <f>Streams!G216+Streams!G217+Streams!G220+Streams!G221</f>
        <v>0</v>
      </c>
      <c r="H23" s="10" t="s">
        <v>513</v>
      </c>
      <c r="I23" s="125">
        <f t="shared" ref="I23:I29" si="2">SUM(C23:H23)</f>
        <v>8668750</v>
      </c>
    </row>
    <row r="24" spans="1:20">
      <c r="A24" s="64" t="s">
        <v>1318</v>
      </c>
      <c r="B24" s="10" t="s">
        <v>1313</v>
      </c>
      <c r="C24" s="10" t="s">
        <v>513</v>
      </c>
      <c r="D24" s="10" t="s">
        <v>513</v>
      </c>
      <c r="E24" s="10">
        <f>Streams!G193</f>
        <v>0</v>
      </c>
      <c r="F24" s="10">
        <f>Streams!G197+Streams!G201+Streams!G205+Streams!G209+Streams!G213</f>
        <v>-72161983.54124999</v>
      </c>
      <c r="G24" s="54">
        <f>Streams!G222</f>
        <v>-1644517.6875000002</v>
      </c>
      <c r="H24" s="10" t="s">
        <v>513</v>
      </c>
      <c r="I24" s="125">
        <f t="shared" si="2"/>
        <v>-73806501.22874999</v>
      </c>
    </row>
    <row r="25" spans="1:20">
      <c r="A25" s="64" t="s">
        <v>1319</v>
      </c>
      <c r="B25" s="10" t="s">
        <v>1313</v>
      </c>
      <c r="C25" s="10" t="s">
        <v>513</v>
      </c>
      <c r="D25" s="10" t="s">
        <v>513</v>
      </c>
      <c r="E25" s="10" t="s">
        <v>513</v>
      </c>
      <c r="F25" s="10" t="s">
        <v>513</v>
      </c>
      <c r="G25" s="10" t="s">
        <v>513</v>
      </c>
      <c r="H25" s="10">
        <f>SUMPRODUCT(-('Materials Recycling'!G10:M10),(1-'Advanced Variables'!C99:I99),('Advanced Variables'!C135:I135)*'Advanced Variables'!$B$105)-'Materials Recycling'!H32*'Advanced Variables'!J135-'Materials Recycling'!N10*(1-'Advanced Variables'!J99)*'Advanced Variables'!K135</f>
        <v>-165959409.3785426</v>
      </c>
      <c r="I25" s="102">
        <f t="shared" si="2"/>
        <v>-165959409.3785426</v>
      </c>
    </row>
    <row r="26" spans="1:20">
      <c r="A26" s="64" t="s">
        <v>970</v>
      </c>
      <c r="B26" s="10" t="s">
        <v>1314</v>
      </c>
      <c r="C26" s="10">
        <f>Streams!E166+Streams!E169</f>
        <v>355500</v>
      </c>
      <c r="D26" s="10" t="s">
        <v>513</v>
      </c>
      <c r="E26" s="10" t="s">
        <v>513</v>
      </c>
      <c r="F26" s="10" t="s">
        <v>513</v>
      </c>
      <c r="G26" s="10" t="s">
        <v>513</v>
      </c>
      <c r="H26" s="10" t="s">
        <v>513</v>
      </c>
      <c r="I26" s="125">
        <f t="shared" si="2"/>
        <v>355500</v>
      </c>
    </row>
    <row r="27" spans="1:20">
      <c r="A27" s="64" t="s">
        <v>971</v>
      </c>
      <c r="B27" s="10" t="s">
        <v>1314</v>
      </c>
      <c r="C27" s="10">
        <f>SUM(Streams!F165:F176)</f>
        <v>574000</v>
      </c>
      <c r="D27" s="10">
        <f>SUM(Streams!F178:F183,Streams!F185:F187)</f>
        <v>1305.44</v>
      </c>
      <c r="E27" s="10">
        <f>SUM(Streams!F190:F191,Streams!F194:F195)</f>
        <v>728.16000000000008</v>
      </c>
      <c r="F27" s="54">
        <f>SUM(Streams!F198:F199,Streams!F202:F203,Streams!F206:F207,Streams!F210:F211,Streams!F214:F215)</f>
        <v>4063.92</v>
      </c>
      <c r="G27" s="10">
        <f>SUM(Streams!F216:F221)</f>
        <v>22293.393749999999</v>
      </c>
      <c r="H27" s="54">
        <f>Streams!F223</f>
        <v>36858.344000000005</v>
      </c>
      <c r="I27" s="125">
        <f t="shared" si="2"/>
        <v>639249.25775000011</v>
      </c>
    </row>
    <row r="28" spans="1:20">
      <c r="A28" s="64" t="s">
        <v>1320</v>
      </c>
      <c r="B28" s="10" t="s">
        <v>1315</v>
      </c>
      <c r="C28" s="10" t="s">
        <v>513</v>
      </c>
      <c r="D28" s="10">
        <f>Streams!H178+Streams!H184+Streams!H188</f>
        <v>0</v>
      </c>
      <c r="E28" s="10" t="s">
        <v>513</v>
      </c>
      <c r="F28" s="10">
        <f>Streams!H196+Streams!H200+Streams!H204+Streams!H208+Streams!H212</f>
        <v>23575</v>
      </c>
      <c r="G28" s="10" t="s">
        <v>513</v>
      </c>
      <c r="H28" s="10" t="s">
        <v>513</v>
      </c>
      <c r="I28" s="125">
        <f t="shared" si="2"/>
        <v>23575</v>
      </c>
    </row>
    <row r="29" spans="1:20" ht="15.75" thickBot="1">
      <c r="A29" s="120" t="s">
        <v>11</v>
      </c>
      <c r="B29" s="13" t="s">
        <v>1316</v>
      </c>
      <c r="C29" s="127">
        <f>1/'Advanced Variables'!$K$20*'Advanced Variables'!$C$39*C23+1/'Advanced Variables'!$B$48*C26*'Advanced Variables'!$C$40+1/'Advanced Variables'!$B$49*'Advanced Variables'!$C$41*C27</f>
        <v>48041.017805205462</v>
      </c>
      <c r="D29" s="127">
        <f>1/'Advanced Variables'!$K$20*'Advanced Variables'!$C$39*D23+1/'Advanced Variables'!$B$49*'Advanced Variables'!$C$41*D27</f>
        <v>6031.0133968783412</v>
      </c>
      <c r="E29" s="127">
        <f>1/'Advanced Variables'!$K$20*'Advanced Variables'!$C$39*(E23+E24)+1/'Advanced Variables'!$B$49*'Advanced Variables'!$C$41*E27</f>
        <v>9078.9095379717783</v>
      </c>
      <c r="F29" s="128">
        <f>1/'Advanced Variables'!$K$20*'Advanced Variables'!$C$39*(F23+F24)+1/'Advanced Variables'!$B$49*'Advanced Variables'!$C$41*F27+1/'Advanced Variables'!$B$50*'Advanced Variables'!$C$42*F28</f>
        <v>-651540.0098929574</v>
      </c>
      <c r="G29" s="128">
        <f>1/'Advanced Variables'!$K$20*'Advanced Variables'!$C$39*(G23+G24)+1/'Advanced Variables'!$B$49*'Advanced Variables'!$C$41*G27</f>
        <v>-15402.378516848923</v>
      </c>
      <c r="H29" s="128">
        <f>H25*1/'Advanced Variables'!$K$20*'Advanced Variables'!$C$39+1/'Advanced Variables'!$B$49*'Advanced Variables'!$C$41*H27</f>
        <v>-1665546.4951601878</v>
      </c>
      <c r="I29" s="129">
        <f t="shared" si="2"/>
        <v>-2269337.9428299386</v>
      </c>
    </row>
    <row r="31" spans="1:20">
      <c r="K31" s="10"/>
      <c r="L31" s="10"/>
      <c r="M31" s="10"/>
      <c r="N31" s="10"/>
      <c r="O31" s="49"/>
      <c r="P31" s="49"/>
      <c r="Q31" s="49"/>
      <c r="R31" s="10"/>
      <c r="S31" s="10"/>
      <c r="T31" s="10"/>
    </row>
    <row r="32" spans="1:20">
      <c r="K32" s="10"/>
      <c r="L32" s="15"/>
      <c r="M32" s="15"/>
      <c r="N32" s="36"/>
      <c r="O32" s="36"/>
      <c r="P32" s="15"/>
      <c r="Q32" s="15"/>
      <c r="R32" s="15"/>
      <c r="S32" s="10"/>
      <c r="T32" s="10"/>
    </row>
    <row r="33" spans="1:20" ht="15.75" thickBot="1">
      <c r="A33" s="62" t="s">
        <v>1360</v>
      </c>
      <c r="K33" s="10"/>
      <c r="L33" s="10"/>
      <c r="M33" s="10"/>
      <c r="N33" s="10"/>
      <c r="O33" s="10"/>
      <c r="P33" s="10"/>
      <c r="Q33" s="10"/>
      <c r="R33" s="10"/>
      <c r="S33" s="10"/>
      <c r="T33" s="10"/>
    </row>
    <row r="34" spans="1:20">
      <c r="A34" s="93"/>
      <c r="B34" s="78" t="s">
        <v>1302</v>
      </c>
      <c r="C34" s="78" t="s">
        <v>1308</v>
      </c>
      <c r="D34" s="78" t="s">
        <v>1084</v>
      </c>
      <c r="E34" s="78" t="s">
        <v>1289</v>
      </c>
      <c r="F34" s="78" t="s">
        <v>1309</v>
      </c>
      <c r="G34" s="78" t="s">
        <v>79</v>
      </c>
      <c r="H34" s="78" t="s">
        <v>1034</v>
      </c>
      <c r="I34" s="79" t="s">
        <v>11</v>
      </c>
      <c r="K34" s="10"/>
      <c r="L34" s="10"/>
      <c r="M34" s="10"/>
      <c r="N34" s="10"/>
      <c r="O34" s="10"/>
      <c r="P34" s="10"/>
      <c r="Q34" s="10"/>
      <c r="R34" s="10"/>
      <c r="S34" s="10"/>
      <c r="T34" s="10"/>
    </row>
    <row r="35" spans="1:20">
      <c r="A35" s="9" t="s">
        <v>802</v>
      </c>
      <c r="B35" s="10" t="s">
        <v>1366</v>
      </c>
      <c r="C35" s="10" t="s">
        <v>513</v>
      </c>
      <c r="D35" s="10">
        <f>SUM(Streams!O124:O130)</f>
        <v>7956.25</v>
      </c>
      <c r="E35" s="10">
        <f>SUM(Streams!O131:O135)</f>
        <v>2212.5</v>
      </c>
      <c r="F35" s="54">
        <f>SUM(Streams!O136,Streams!M137,Streams!O138,Streams!M139:M142)</f>
        <v>21486.90625</v>
      </c>
      <c r="G35" s="10">
        <f>Streams!O123+Streams!O143</f>
        <v>5500</v>
      </c>
      <c r="H35" s="10" t="s">
        <v>513</v>
      </c>
      <c r="I35" s="102">
        <f>SUM(C35:H35)</f>
        <v>37155.65625</v>
      </c>
      <c r="K35" s="10"/>
      <c r="L35" s="15"/>
      <c r="M35" s="15"/>
      <c r="N35" s="10"/>
      <c r="O35" s="10"/>
      <c r="P35" s="10"/>
      <c r="Q35" s="10"/>
      <c r="R35" s="10"/>
      <c r="S35" s="10"/>
      <c r="T35" s="10"/>
    </row>
    <row r="36" spans="1:20">
      <c r="A36" s="9" t="s">
        <v>803</v>
      </c>
      <c r="B36" s="10" t="s">
        <v>1366</v>
      </c>
      <c r="C36" s="10" t="s">
        <v>513</v>
      </c>
      <c r="D36" s="10" t="s">
        <v>513</v>
      </c>
      <c r="E36" s="10" t="s">
        <v>513</v>
      </c>
      <c r="F36" s="10">
        <f>SUM(Streams!N137,Streams!N139:N142)</f>
        <v>3279.9999999999995</v>
      </c>
      <c r="G36" s="10" t="s">
        <v>513</v>
      </c>
      <c r="H36" s="10" t="s">
        <v>513</v>
      </c>
      <c r="I36" s="102">
        <f t="shared" ref="I36:I43" si="3">SUM(C36:H36)</f>
        <v>3279.9999999999995</v>
      </c>
      <c r="K36" s="10"/>
      <c r="L36" s="10"/>
      <c r="M36" s="10"/>
      <c r="N36" s="10"/>
      <c r="O36" s="10"/>
      <c r="P36" s="10"/>
      <c r="Q36" s="10"/>
      <c r="R36" s="10"/>
      <c r="S36" s="10"/>
      <c r="T36" s="10"/>
    </row>
    <row r="37" spans="1:20">
      <c r="A37" s="9" t="s">
        <v>1361</v>
      </c>
      <c r="B37" s="10" t="s">
        <v>1366</v>
      </c>
      <c r="C37" s="10">
        <f>C23*SUMPRODUCT('Advanced Variables'!E11:J11,1/('Advanced Variables'!D199:I199),'Advanced Variables'!D255:I255)/1000000+Results!C26*'Advanced Variables'!E378/1000000+Results!C27*'Advanced Variables'!F378/1000000</f>
        <v>5.1559499999999998</v>
      </c>
      <c r="D37" s="54">
        <f>D23*SUMPRODUCT('Advanced Variables'!E11:J11,1/('Advanced Variables'!D199:I199),'Advanced Variables'!D255:I255)/1000000+Results!D27*'Advanced Variables'!F378/1000000+D28*'Advanced Variables'!D378/1000000</f>
        <v>32.991129832310939</v>
      </c>
      <c r="E37" s="10">
        <f>E23*SUMPRODUCT('Advanced Variables'!E11:J11,1/('Advanced Variables'!D199:I199),'Advanced Variables'!D255:I255)/1000000+E24*SUMPRODUCT('Advanced Variables'!E12:J12,(1/'Advanced Variables'!D199:I199)/1000000,'Advanced Variables'!D255:I255)+E27*'Advanced Variables'!F378/1000000</f>
        <v>50.000478835166049</v>
      </c>
      <c r="F37" s="10">
        <f>F23*SUMPRODUCT('Advanced Variables'!E11:J11,1/('Advanced Variables'!D199:I199),'Advanced Variables'!D255:I255)/1000000+F24*SUMPRODUCT('Advanced Variables'!E12:J12,(1/'Advanced Variables'!D199:I199)/1000000,'Advanced Variables'!D255:I255)+F27*'Advanced Variables'!F378/1000000+F28*'Advanced Variables'!D378/1000000</f>
        <v>-3610.0289616121358</v>
      </c>
      <c r="G37" s="54">
        <f>G23*SUMPRODUCT('Advanced Variables'!E11:J11,1/('Advanced Variables'!D199:I199),'Advanced Variables'!D255:I255)/1000000+G24*SUMPRODUCT('Advanced Variables'!E12:J12,(1/'Advanced Variables'!D199:I199)/1000000,'Advanced Variables'!D255:I255)+G27*'Advanced Variables'!F378/1000000</f>
        <v>-91.228312363962559</v>
      </c>
      <c r="H37" s="10">
        <f>H25*'Advanced Variables'!K191/1000000+Results!H27*'Advanced Variables'!F378/1000000</f>
        <v>-9219.0800403373651</v>
      </c>
      <c r="I37" s="102">
        <f t="shared" si="3"/>
        <v>-12832.189755645986</v>
      </c>
      <c r="K37" s="10"/>
      <c r="L37" s="10"/>
      <c r="M37" s="10"/>
      <c r="N37" s="10"/>
      <c r="O37" s="10"/>
      <c r="P37" s="10"/>
      <c r="Q37" s="10"/>
      <c r="R37" s="10"/>
      <c r="S37" s="10"/>
      <c r="T37" s="10"/>
    </row>
    <row r="38" spans="1:20">
      <c r="A38" s="9" t="s">
        <v>1362</v>
      </c>
      <c r="B38" s="10" t="s">
        <v>1366</v>
      </c>
      <c r="C38" s="10">
        <f>'Advanced Variables'!D88*'Advanced Variables'!I444/1000</f>
        <v>0</v>
      </c>
      <c r="D38" s="10" t="s">
        <v>513</v>
      </c>
      <c r="E38" s="10" t="s">
        <v>513</v>
      </c>
      <c r="F38" s="10" t="s">
        <v>513</v>
      </c>
      <c r="G38" s="10" t="s">
        <v>513</v>
      </c>
      <c r="H38" s="10" t="s">
        <v>513</v>
      </c>
      <c r="I38" s="102">
        <f t="shared" si="3"/>
        <v>0</v>
      </c>
      <c r="K38" s="10"/>
      <c r="L38" s="15"/>
      <c r="M38" s="15"/>
      <c r="N38" s="10"/>
      <c r="O38" s="10"/>
      <c r="P38" s="10"/>
      <c r="Q38" s="10"/>
      <c r="R38" s="10"/>
      <c r="S38" s="10"/>
      <c r="T38" s="10"/>
    </row>
    <row r="39" spans="1:20">
      <c r="A39" s="9" t="s">
        <v>1363</v>
      </c>
      <c r="B39" s="10" t="s">
        <v>1366</v>
      </c>
      <c r="C39" s="10">
        <f>'Advanced Variables'!D89*'Advanced Variables'!F444/1000+'Advanced Variables'!D90*'Advanced Variables'!J444/1000</f>
        <v>0</v>
      </c>
      <c r="D39" s="10" t="s">
        <v>513</v>
      </c>
      <c r="E39" s="10" t="s">
        <v>513</v>
      </c>
      <c r="F39" s="10" t="s">
        <v>513</v>
      </c>
      <c r="G39" s="10" t="s">
        <v>513</v>
      </c>
      <c r="H39" s="10" t="s">
        <v>513</v>
      </c>
      <c r="I39" s="102">
        <f t="shared" si="3"/>
        <v>0</v>
      </c>
    </row>
    <row r="40" spans="1:20">
      <c r="A40" s="9" t="s">
        <v>1364</v>
      </c>
      <c r="B40" s="10" t="s">
        <v>1366</v>
      </c>
      <c r="C40" s="10" t="s">
        <v>513</v>
      </c>
      <c r="D40" s="10" t="s">
        <v>513</v>
      </c>
      <c r="E40" s="10" t="s">
        <v>513</v>
      </c>
      <c r="F40" s="10" t="s">
        <v>513</v>
      </c>
      <c r="G40" s="54">
        <f>(Landfilling!D164*Landfilling!D165+Landfilling!D189*Landfilling!D190)*Landfilling!$F$117</f>
        <v>79.420215234374993</v>
      </c>
      <c r="H40" s="10" t="s">
        <v>513</v>
      </c>
      <c r="I40" s="102">
        <f t="shared" si="3"/>
        <v>79.420215234374993</v>
      </c>
    </row>
    <row r="41" spans="1:20">
      <c r="A41" s="9" t="s">
        <v>1365</v>
      </c>
      <c r="B41" s="10" t="s">
        <v>1366</v>
      </c>
      <c r="C41" s="10" t="s">
        <v>513</v>
      </c>
      <c r="D41" s="10" t="s">
        <v>513</v>
      </c>
      <c r="E41" s="10" t="s">
        <v>513</v>
      </c>
      <c r="F41" s="10" t="s">
        <v>513</v>
      </c>
      <c r="G41" s="10" t="s">
        <v>513</v>
      </c>
      <c r="H41" s="10">
        <f>-SUM('Materials Recycling'!G12:N12)</f>
        <v>-43729.005425000003</v>
      </c>
      <c r="I41" s="102">
        <f t="shared" si="3"/>
        <v>-43729.005425000003</v>
      </c>
    </row>
    <row r="42" spans="1:20">
      <c r="A42" s="9" t="s">
        <v>11</v>
      </c>
      <c r="B42" s="10" t="s">
        <v>1366</v>
      </c>
      <c r="C42" s="136">
        <f>SUM(C35:C41)</f>
        <v>5.1559499999999998</v>
      </c>
      <c r="D42" s="136">
        <f t="shared" ref="D42:H42" si="4">SUM(D35:D41)</f>
        <v>7989.2411298323113</v>
      </c>
      <c r="E42" s="136">
        <f t="shared" si="4"/>
        <v>2262.5004788351662</v>
      </c>
      <c r="F42" s="136">
        <f t="shared" si="4"/>
        <v>21156.877288387863</v>
      </c>
      <c r="G42" s="136">
        <f t="shared" si="4"/>
        <v>5488.1919028704124</v>
      </c>
      <c r="H42" s="136">
        <f t="shared" si="4"/>
        <v>-52948.085465337368</v>
      </c>
      <c r="I42" s="137">
        <f t="shared" si="3"/>
        <v>-16046.118715411612</v>
      </c>
    </row>
    <row r="43" spans="1:20" ht="15.75" thickBot="1">
      <c r="A43" s="12" t="s">
        <v>1415</v>
      </c>
      <c r="B43" s="13" t="s">
        <v>1315</v>
      </c>
      <c r="C43" s="138">
        <f>C37*Landfilling!D124+'Advanced Variables'!D88*'Advanced Variables'!I444/1000*Landfilling!H121+'Advanced Variables'!D89*'Advanced Variables'!F444/1000*Landfilling!G121+'Advanced Variables'!D90*'Advanced Variables'!J444/1000*Landfilling!C121</f>
        <v>3.4544865000000002</v>
      </c>
      <c r="D43" s="13">
        <f>SUM(SUMPRODUCT(Streams!C124:K124,Landfilling!C121:K121),SUMPRODUCT(Streams!C125:K125,Landfilling!C121:K121),SUMPRODUCT(Streams!C126:K126,Landfilling!C121:K121),SUMPRODUCT(Streams!C127:K127,Landfilling!C121:K121),SUMPRODUCT(Streams!C128:K128,Landfilling!C121:K121),SUMPRODUCT(Streams!C129:K129,Landfilling!C121:K121),SUMPRODUCT(Streams!C130:K130,Landfilling!C121:K121),Results!D37*Landfilling!D124)</f>
        <v>6958.2915569876486</v>
      </c>
      <c r="E43" s="13">
        <f>SUM(SUMPRODUCT(Streams!C131:K131,Landfilling!C121:K121),Streams!L132*Landfilling!L121,SUMPRODUCT(Streams!C133:K133,Landfilling!C121:K121),Streams!L134*Landfilling!L121,SUMPRODUCT(Streams!C135:K135,Landfilling!C121:K121)+Results!E37*Landfilling!D124)</f>
        <v>2377.9628208195613</v>
      </c>
      <c r="F43" s="98">
        <f>SUM(SUMPRODUCT(Streams!C136:L136,Landfilling!C121:L121),Streams!M137*Landfilling!M121,SUMPRODUCT(Streams!C138:L138,Landfilling!C121:L121),Landfilling!M121*SUM(Streams!M139:M142),Landfilling!C124*SUM(Streams!N137,Streams!N139:N142),F37*Landfilling!D124)</f>
        <v>17455.107783219868</v>
      </c>
      <c r="G43" s="98">
        <f>SUM(SUMPRODUCT(Streams!D123:H123,Landfilling!D121:H121),Streams!K123*Landfilling!K121,SUMPRODUCT(Streams!C143:K143,Landfilling!C121:K121),Results!G37*Landfilling!D124,Results!G40*Landfilling!E124)</f>
        <v>3147.0334696263012</v>
      </c>
      <c r="H43" s="98">
        <f>H37*Landfilling!D124-SUMPRODUCT('Materials Recycling'!G12:M12,Landfilling!C121:I121)-'Materials Recycling'!N12*Landfilling!M121</f>
        <v>-37818.020550526038</v>
      </c>
      <c r="I43" s="139">
        <f t="shared" si="3"/>
        <v>-7876.1704333726593</v>
      </c>
    </row>
    <row r="46" spans="1:20">
      <c r="A46" s="62" t="s">
        <v>1406</v>
      </c>
    </row>
    <row r="47" spans="1:20">
      <c r="A47" t="s">
        <v>1416</v>
      </c>
    </row>
    <row r="48" spans="1:20">
      <c r="A48" t="s">
        <v>1417</v>
      </c>
    </row>
    <row r="49" spans="1:21" ht="15.75" thickBot="1"/>
    <row r="50" spans="1:21">
      <c r="A50" s="93"/>
      <c r="B50" s="78" t="s">
        <v>1302</v>
      </c>
      <c r="C50" s="78" t="s">
        <v>1308</v>
      </c>
      <c r="D50" s="78" t="s">
        <v>1084</v>
      </c>
      <c r="E50" s="78" t="s">
        <v>1289</v>
      </c>
      <c r="F50" s="78" t="s">
        <v>1309</v>
      </c>
      <c r="G50" s="78" t="s">
        <v>79</v>
      </c>
      <c r="H50" s="78" t="s">
        <v>1034</v>
      </c>
      <c r="I50" s="79" t="s">
        <v>11</v>
      </c>
      <c r="K50" s="10"/>
      <c r="L50" s="10"/>
      <c r="M50" s="10"/>
      <c r="N50" s="10"/>
      <c r="O50" s="10"/>
      <c r="P50" s="10"/>
      <c r="Q50" s="10"/>
      <c r="R50" s="10"/>
      <c r="S50" s="10"/>
      <c r="T50" s="10"/>
    </row>
    <row r="51" spans="1:21">
      <c r="A51" s="9" t="s">
        <v>1016</v>
      </c>
      <c r="B51" s="10" t="s">
        <v>1378</v>
      </c>
      <c r="C51" s="144">
        <f>$C$26*'Advanced Variables'!E325+$C$27*'Advanced Variables'!F325+$C$23*SUMPRODUCT('Advanced Variables'!$E$11:$J$11,1/'Advanced Variables'!$E$20:$J$20,'Advanced Variables'!D202:I202)+'Advanced Variables'!$D$88*'Advanced Variables'!I392+'Advanced Variables'!$D$89*'Advanced Variables'!F392+'Advanced Variables'!$D$90*'Advanced Variables'!J392</f>
        <v>890635.8</v>
      </c>
      <c r="D51" s="144">
        <f>$D$23*SUMPRODUCT('Advanced Variables'!$E$11:$J$11,1/'Advanced Variables'!$E$20:$J$20,'Advanced Variables'!D202:I202)+$D$27*'Advanced Variables'!F325+$D$28*'Advanced Variables'!G202</f>
        <v>304940.40738300001</v>
      </c>
      <c r="E51" s="144">
        <f>$E$23*SUMPRODUCT('Advanced Variables'!$E$11:$J$11,1/'Advanced Variables'!$E$20:$J$20,'Advanced Variables'!D202:I202)+$E$27*'Advanced Variables'!F325+$E$24*SUMPRODUCT('Advanced Variables'!$E$12:$J$12,1/'Advanced Variables'!$E$20:$J$20,'Advanced Variables'!D202:I202)+('Biological Treatment'!$C$44+'Biological Treatment'!$J$44)*'Advanced Variables'!J138+('Biological Treatment'!$C$97+'Biological Treatment'!$J$97)*'Advanced Variables'!P138</f>
        <v>460670.69851200003</v>
      </c>
      <c r="F51" s="144">
        <f>$F$23*SUMPRODUCT('Advanced Variables'!$E$11:$J$11,1/'Advanced Variables'!$E$20:$J$20,'Advanced Variables'!D202:I202)+$F$24*SUMPRODUCT('Advanced Variables'!$E$12:$J$12,1/'Advanced Variables'!$E$20:$J$20,'Advanced Variables'!D202:I202)+$F$27*'Advanced Variables'!F325+$F$28*'Advanced Variables'!D325+Streams!$C$39*'Advanced Variables'!L138+(Streams!$D$39+Streams!$E$39)*'Advanced Variables'!M138+Streams!$L$54*'Advanced Variables'!N138+Streams!$L$69*'Advanced Variables'!O138+IF('Thermal Treatment'!$C$271="US EPA Regulations",SUMPRODUCT('Thermal Treatment'!$D$38:$M$38,'Advanced Variables'!D456:M456),SUMPRODUCT('Thermal Treatment'!$D$38:$M$38,'Advanced Variables'!D468:M468))+IF('Thermal Treatment'!$C$272="US EPA Regulations",SUMPRODUCT('Thermal Treatment'!$D$108:$M$108,'Advanced Variables'!D456:M456),SUMPRODUCT('Thermal Treatment'!$D$108:$M$108,'Advanced Variables'!D468:M468))</f>
        <v>-33178802.651445325</v>
      </c>
      <c r="G51" s="144">
        <f>$G$23*SUMPRODUCT('Advanced Variables'!$E$11:$J$11,1/'Advanced Variables'!$E$20:$J$20,'Advanced Variables'!D202:I202)+$G$24*SUMPRODUCT('Advanced Variables'!$E$12:$J$12,1/'Advanced Variables'!$E$20:$J$20,'Advanced Variables'!D202:I202)+$G$27*'Advanced Variables'!F325+Landfilling!$D$154*Landfilling!$D$155*'Advanced Variables'!R138+Landfilling!$D$154*Landfilling!$D$156*'Advanced Variables'!T138</f>
        <v>-807677.02018321888</v>
      </c>
      <c r="H51" s="144">
        <f>$H$27*'Advanced Variables'!F325-SUMPRODUCT('Materials Recycling'!$G$10:$M$10,(1-'Advanced Variables'!$C$99:$I$99),'Advanced Variables'!C138:I138)-'Materials Recycling'!$H$32*'Advanced Variables'!U138-'Materials Recycling'!$N$10*(1-'Advanced Variables'!$J$99)*'Advanced Variables'!K138</f>
        <v>-33855136.371114202</v>
      </c>
      <c r="I51" s="147">
        <f t="shared" ref="I51:I74" si="5">SUM(C51:H51)</f>
        <v>-66185369.136847749</v>
      </c>
    </row>
    <row r="52" spans="1:21">
      <c r="A52" s="9" t="s">
        <v>1015</v>
      </c>
      <c r="B52" s="10" t="s">
        <v>1378</v>
      </c>
      <c r="C52" s="144">
        <f>$C$26*'Advanced Variables'!E326+$C$27*'Advanced Variables'!F326+$C$23*SUMPRODUCT('Advanced Variables'!$E$11:$J$11,1/'Advanced Variables'!$E$20:$J$20,'Advanced Variables'!D203:I203)+'Advanced Variables'!$D$88*'Advanced Variables'!I393+'Advanced Variables'!$D$89*'Advanced Variables'!F393+'Advanced Variables'!$D$90*'Advanced Variables'!J393</f>
        <v>32614939.5</v>
      </c>
      <c r="D52" s="144">
        <f>$D$23*SUMPRODUCT('Advanced Variables'!$E$11:$J$11,1/'Advanced Variables'!$E$20:$J$20,'Advanced Variables'!D203:I203)+$D$27*'Advanced Variables'!F326+$D$28*'Advanced Variables'!G203</f>
        <v>57368.585182499999</v>
      </c>
      <c r="E52" s="144">
        <f>$E$23*SUMPRODUCT('Advanced Variables'!$E$11:$J$11,1/'Advanced Variables'!$E$20:$J$20,'Advanced Variables'!D203:I203)+$E$27*'Advanced Variables'!F326+$E$24*SUMPRODUCT('Advanced Variables'!$E$12:$J$12,1/'Advanced Variables'!$E$20:$J$20,'Advanced Variables'!D203:I203)+('Biological Treatment'!$C$44+'Biological Treatment'!$J$44)*'Advanced Variables'!J139+('Biological Treatment'!$C$97+'Biological Treatment'!$J$97)*'Advanced Variables'!P139</f>
        <v>66263.566680000004</v>
      </c>
      <c r="F52" s="144">
        <f>$F$23*SUMPRODUCT('Advanced Variables'!$E$11:$J$11,1/'Advanced Variables'!$E$20:$J$20,'Advanced Variables'!D203:I203)+$F$24*SUMPRODUCT('Advanced Variables'!$E$12:$J$12,1/'Advanced Variables'!$E$20:$J$20,'Advanced Variables'!D203:I203)+$F$27*'Advanced Variables'!F326+$F$28*'Advanced Variables'!D326+Streams!$C$39*'Advanced Variables'!L139+(Streams!$D$39+Streams!$E$39)*'Advanced Variables'!M139+Streams!$L$54*'Advanced Variables'!N139+Streams!$L$69*'Advanced Variables'!O139+IF('Thermal Treatment'!$C$271="US EPA Regulations",SUMPRODUCT('Thermal Treatment'!$D$38:$M$38,'Advanced Variables'!D455:M455),SUMPRODUCT('Thermal Treatment'!$D$38:$M$38,'Advanced Variables'!D467:M467))+IF('Thermal Treatment'!$C$272="US EPA Regulations",SUMPRODUCT('Thermal Treatment'!$D$108:$M$108,'Advanced Variables'!D455:M455),SUMPRODUCT('Thermal Treatment'!$D$108:$M$108,'Advanced Variables'!D467:M467))</f>
        <v>-3760104.9634019313</v>
      </c>
      <c r="G52" s="144">
        <f>$G$23*SUMPRODUCT('Advanced Variables'!$E$11:$J$11,1/'Advanced Variables'!$E$20:$J$20,'Advanced Variables'!D203:I203)+$G$24*SUMPRODUCT('Advanced Variables'!$E$12:$J$12,1/'Advanced Variables'!$E$20:$J$20,'Advanced Variables'!D203:I203)+$G$27*'Advanced Variables'!F326+Landfilling!$D$154*Landfilling!$D$155*'Advanced Variables'!R139+Landfilling!$D$154*Landfilling!$D$156*'Advanced Variables'!T139</f>
        <v>1147745.5188197969</v>
      </c>
      <c r="H52" s="144">
        <f>$H$27*'Advanced Variables'!F326-SUMPRODUCT('Materials Recycling'!$G$10:$M$10,(1-'Advanced Variables'!$C$99:$I$99),'Advanced Variables'!C139:I139)-'Materials Recycling'!$H$32*'Advanced Variables'!U139-'Materials Recycling'!$N$10*(1-'Advanced Variables'!$J$99)*'Advanced Variables'!K139</f>
        <v>-206605955.40223801</v>
      </c>
      <c r="I52" s="147">
        <f t="shared" si="5"/>
        <v>-176479743.19495764</v>
      </c>
    </row>
    <row r="53" spans="1:21">
      <c r="A53" s="9" t="s">
        <v>1329</v>
      </c>
      <c r="B53" s="10" t="s">
        <v>1378</v>
      </c>
      <c r="C53" s="144">
        <f>$C$26*'Advanced Variables'!E327+$C$27*'Advanced Variables'!F327+$C$23*SUMPRODUCT('Advanced Variables'!$E$11:$J$11,1/'Advanced Variables'!$E$20:$J$20,'Advanced Variables'!D204:I204)+'Advanced Variables'!$D$88*'Advanced Variables'!I394+'Advanced Variables'!$D$89*'Advanced Variables'!F394+'Advanced Variables'!$D$90*'Advanced Variables'!J394</f>
        <v>2792121900</v>
      </c>
      <c r="D53" s="144">
        <f>$D$23*SUMPRODUCT('Advanced Variables'!$E$11:$J$11,1/'Advanced Variables'!$E$20:$J$20,'Advanced Variables'!D204:I204)+$D$27*'Advanced Variables'!F327+$D$28*'Advanced Variables'!G204</f>
        <v>258575355.80149999</v>
      </c>
      <c r="E53" s="144">
        <f>$E$23*SUMPRODUCT('Advanced Variables'!$E$11:$J$11,1/'Advanced Variables'!$E$20:$J$20,'Advanced Variables'!D204:I204)+$E$27*'Advanced Variables'!F327+$E$24*SUMPRODUCT('Advanced Variables'!$E$12:$J$12,1/'Advanced Variables'!$E$20:$J$20,'Advanced Variables'!D204:I204)+('Biological Treatment'!$C$44+'Biological Treatment'!$J$44)*'Advanced Variables'!J140+('Biological Treatment'!$C$97+'Biological Treatment'!$J$97)*'Advanced Variables'!P140</f>
        <v>9280174456.2959995</v>
      </c>
      <c r="F53" s="144">
        <f>$F$23*SUMPRODUCT('Advanced Variables'!$E$11:$J$11,1/'Advanced Variables'!$E$20:$J$20,'Advanced Variables'!D204:I204)+$F$24*SUMPRODUCT('Advanced Variables'!$E$12:$J$12,1/'Advanced Variables'!$E$20:$J$20,'Advanced Variables'!D204:I204)+$F$27*'Advanced Variables'!F327+$F$28*'Advanced Variables'!D327+Streams!$C$39*'Advanced Variables'!L140+(Streams!$D$39+Streams!$E$39)*'Advanced Variables'!M140+Streams!$L$54*'Advanced Variables'!N140+Streams!$L$69*'Advanced Variables'!O140+SUMPRODUCT(1000*('Advanced Variables'!D474:M474),'Thermal Treatment'!$D$38:$M$38)+SUMPRODUCT(1000*('Advanced Variables'!D474:M474),'Thermal Treatment'!$D$108:$M$108)</f>
        <v>97213240762.425964</v>
      </c>
      <c r="G53" s="144">
        <f>$G$23*SUMPRODUCT('Advanced Variables'!$E$11:$J$11,1/'Advanced Variables'!$E$20:$J$20,'Advanced Variables'!D204:I204)+$G$24*SUMPRODUCT('Advanced Variables'!$E$12:$J$12,1/'Advanced Variables'!$E$20:$J$20,'Advanced Variables'!D204:I204)+$G$27*'Advanced Variables'!F327+Landfilling!$D$154*Landfilling!$D$155*'Advanced Variables'!R140+Landfilling!$D$154*Landfilling!$D$156*'Advanced Variables'!T140</f>
        <v>1621360831.9805131</v>
      </c>
      <c r="H53" s="144">
        <f>$H$27*'Advanced Variables'!F327-SUMPRODUCT('Materials Recycling'!$G$10:$M$10,(1-'Advanced Variables'!$C$99:$I$99),'Advanced Variables'!C140:I140)-'Materials Recycling'!$H$32*'Advanced Variables'!U140-'Materials Recycling'!$N$10*(1-'Advanced Variables'!$J$99)*'Advanced Variables'!K140</f>
        <v>-33803117965.958599</v>
      </c>
      <c r="I53" s="147">
        <f t="shared" si="5"/>
        <v>77362355340.54538</v>
      </c>
    </row>
    <row r="54" spans="1:21">
      <c r="A54" s="9" t="s">
        <v>1330</v>
      </c>
      <c r="B54" s="10" t="s">
        <v>1378</v>
      </c>
      <c r="C54" s="144">
        <f>$C$26*'Advanced Variables'!E328+$C$27*'Advanced Variables'!F328+$C$23*SUMPRODUCT('Advanced Variables'!$E$11:$J$11,1/'Advanced Variables'!$E$20:$J$20,'Advanced Variables'!D205:I205)+'Advanced Variables'!$D$88*'Advanced Variables'!I395+'Advanced Variables'!$D$89*'Advanced Variables'!F395+'Advanced Variables'!$D$90*'Advanced Variables'!J395</f>
        <v>3506820.4499999997</v>
      </c>
      <c r="D54" s="144">
        <f>$D$23*SUMPRODUCT('Advanced Variables'!$E$11:$J$11,1/'Advanced Variables'!$E$20:$J$20,'Advanced Variables'!D205:I205)+$D$27*'Advanced Variables'!F328+$D$28*'Advanced Variables'!G205</f>
        <v>607553.590402</v>
      </c>
      <c r="E54" s="144">
        <f>$E$23*SUMPRODUCT('Advanced Variables'!$E$11:$J$11,1/'Advanced Variables'!$E$20:$J$20,'Advanced Variables'!D205:I205)+$E$27*'Advanced Variables'!F328+$E$24*SUMPRODUCT('Advanced Variables'!$E$12:$J$12,1/'Advanced Variables'!$E$20:$J$20,'Advanced Variables'!D205:I205)+('Biological Treatment'!$C$44+'Biological Treatment'!$J$44)*'Advanced Variables'!J141+('Biological Treatment'!$C$97+'Biological Treatment'!$J$97)*'Advanced Variables'!P141</f>
        <v>916332.58972799999</v>
      </c>
      <c r="F54" s="10" t="s">
        <v>513</v>
      </c>
      <c r="G54" s="144">
        <f>$G$23*SUMPRODUCT('Advanced Variables'!$E$11:$J$11,1/'Advanced Variables'!$E$20:$J$20,'Advanced Variables'!D205:I205)+$G$24*SUMPRODUCT('Advanced Variables'!$E$12:$J$12,1/'Advanced Variables'!$E$20:$J$20,'Advanced Variables'!D205:I205)+$G$27*'Advanced Variables'!F328+Landfilling!$D$154*Landfilling!$D$155*'Advanced Variables'!R141+Landfilling!$D$154*Landfilling!$D$156*'Advanced Variables'!T141</f>
        <v>46230785.524527229</v>
      </c>
      <c r="H54" s="144">
        <f>$H$27*'Advanced Variables'!F328-SUMPRODUCT('Materials Recycling'!$G$10:$M$10,(1-'Advanced Variables'!$C$99:$I$99),'Advanced Variables'!C141:I141)-'Materials Recycling'!$H$32*'Advanced Variables'!U141-'Materials Recycling'!$N$10*(1-'Advanced Variables'!$J$99)*'Advanced Variables'!K141</f>
        <v>-96427937.254594818</v>
      </c>
      <c r="I54" s="147">
        <f t="shared" si="5"/>
        <v>-45166445.099937588</v>
      </c>
    </row>
    <row r="55" spans="1:21">
      <c r="A55" s="9" t="s">
        <v>1020</v>
      </c>
      <c r="B55" s="10" t="s">
        <v>1378</v>
      </c>
      <c r="C55" s="144">
        <f>$C$26*'Advanced Variables'!E329+$C$27*'Advanced Variables'!F329+$C$23*SUMPRODUCT('Advanced Variables'!$E$11:$J$11,1/'Advanced Variables'!$E$20:$J$20,'Advanced Variables'!D206:I206)+'Advanced Variables'!$D$88*'Advanced Variables'!I396+'Advanced Variables'!$D$89*'Advanced Variables'!F396+'Advanced Variables'!$D$90*'Advanced Variables'!J396</f>
        <v>41412598.5</v>
      </c>
      <c r="D55" s="144">
        <f>$D$23*SUMPRODUCT('Advanced Variables'!$E$11:$J$11,1/'Advanced Variables'!$E$20:$J$20,'Advanced Variables'!D206:I206)+$D$27*'Advanced Variables'!F329+$D$28*'Advanced Variables'!G206</f>
        <v>617171.34303500003</v>
      </c>
      <c r="E55" s="144">
        <f>$E$23*SUMPRODUCT('Advanced Variables'!$E$11:$J$11,1/'Advanced Variables'!$E$20:$J$20,'Advanced Variables'!D206:I206)+$E$27*'Advanced Variables'!F329+$E$24*SUMPRODUCT('Advanced Variables'!$E$12:$J$12,1/'Advanced Variables'!$E$20:$J$20,'Advanced Variables'!D206:I206)+('Biological Treatment'!$C$44+'Biological Treatment'!$J$44)*'Advanced Variables'!J142+('Biological Treatment'!$C$97+'Biological Treatment'!$J$97)*'Advanced Variables'!P142</f>
        <v>867638.60424000002</v>
      </c>
      <c r="F55" s="144">
        <f>$F$23*SUMPRODUCT('Advanced Variables'!$E$11:$J$11,1/'Advanced Variables'!$E$20:$J$20,'Advanced Variables'!D206:I206)+$F$24*SUMPRODUCT('Advanced Variables'!$E$12:$J$12,1/'Advanced Variables'!$E$20:$J$20,'Advanced Variables'!D206:I206)+$F$27*'Advanced Variables'!F329+$F$28*'Advanced Variables'!D329+Streams!$C$39*'Advanced Variables'!L142+(Streams!$D$39+Streams!$E$39)*'Advanced Variables'!M142+Streams!$L$54*'Advanced Variables'!N142+Streams!$L$69*'Advanced Variables'!O142+IF('Thermal Treatment'!$C$271="US EPA Regulations",SUMPRODUCT('Thermal Treatment'!$D$38:$M$38,'Advanced Variables'!D453:M453),SUMPRODUCT('Thermal Treatment'!$D$38:$M$38,'Advanced Variables'!D465:M465))+IF('Thermal Treatment'!$C$272="US EPA Regulations",SUMPRODUCT('Thermal Treatment'!$D$108:$M$108,'Advanced Variables'!D453:M453),SUMPRODUCT('Thermal Treatment'!$D$108:$M$108,'Advanced Variables'!D465:M465))</f>
        <v>-59417799.847170703</v>
      </c>
      <c r="G55" s="144">
        <f>$G$23*SUMPRODUCT('Advanced Variables'!$E$11:$J$11,1/'Advanced Variables'!$E$20:$J$20,'Advanced Variables'!D206:I206)+$G$24*SUMPRODUCT('Advanced Variables'!$E$12:$J$12,1/'Advanced Variables'!$E$20:$J$20,'Advanced Variables'!D206:I206)+$G$27*'Advanced Variables'!F329+Landfilling!$D$154*Landfilling!$D$155*'Advanced Variables'!R142+Landfilling!$D$154*Landfilling!$D$156*'Advanced Variables'!T142</f>
        <v>-193910.41817094386</v>
      </c>
      <c r="H55" s="144">
        <f>$H$27*'Advanced Variables'!F329-SUMPRODUCT('Materials Recycling'!$G$10:$M$10,(1-'Advanced Variables'!$C$99:$I$99),'Advanced Variables'!C142:I142)-'Materials Recycling'!$H$32*'Advanced Variables'!U142-'Materials Recycling'!$N$10*(1-'Advanced Variables'!$J$99)*'Advanced Variables'!K142</f>
        <v>-75604362.398683995</v>
      </c>
      <c r="I55" s="147">
        <f t="shared" si="5"/>
        <v>-92318664.216750652</v>
      </c>
    </row>
    <row r="56" spans="1:21">
      <c r="A56" s="18" t="s">
        <v>1418</v>
      </c>
      <c r="B56" s="10" t="s">
        <v>1378</v>
      </c>
      <c r="C56" s="150">
        <f>C53*'Advanced Variables'!$C$112+Results!C54*'Advanced Variables'!$C$113+Results!C57*'Advanced Variables'!$C$114</f>
        <v>2865803628.4730697</v>
      </c>
      <c r="D56" s="150">
        <f>D53*'Advanced Variables'!$C$112+Results!D54*'Advanced Variables'!$C$113+Results!D57*'Advanced Variables'!$C$114</f>
        <v>272095936.65494311</v>
      </c>
      <c r="E56" s="150">
        <f>E53*'Advanced Variables'!$C$112+Results!E54*'Advanced Variables'!$C$113+Results!E57*'Advanced Variables'!$C$114</f>
        <v>9300572376.5037231</v>
      </c>
      <c r="F56" s="150">
        <f>F53*'Advanced Variables'!$C$112</f>
        <v>97213240762.425964</v>
      </c>
      <c r="G56" s="150">
        <f>G53*'Advanced Variables'!$C$112+Results!G54*'Advanced Variables'!$C$113+Results!G57*'Advanced Variables'!$C$114</f>
        <v>2590097514.245708</v>
      </c>
      <c r="H56" s="150">
        <f>H53*'Advanced Variables'!$C$112+Results!H54*'Advanced Variables'!$C$113+Results!H57*'Advanced Variables'!$C$114</f>
        <v>-36021038262.710052</v>
      </c>
      <c r="I56" s="151">
        <f t="shared" si="5"/>
        <v>76220771955.593369</v>
      </c>
      <c r="J56" t="s">
        <v>1480</v>
      </c>
    </row>
    <row r="57" spans="1:21">
      <c r="A57" s="18" t="s">
        <v>1332</v>
      </c>
      <c r="B57" s="10" t="s">
        <v>1378</v>
      </c>
      <c r="C57" s="144">
        <f>$C$26*'Advanced Variables'!E330+$C$27*'Advanced Variables'!F330+$C$23*SUMPRODUCT('Advanced Variables'!$E$11:$J$11,1/'Advanced Variables'!$E$20:$J$20,'Advanced Variables'!D207:I207)+'Advanced Variables'!$D$88*'Advanced Variables'!I397+'Advanced Variables'!$D$89*'Advanced Variables'!F397+'Advanced Variables'!$D$90*'Advanced Variables'!J397</f>
        <v>124.19039700000002</v>
      </c>
      <c r="D57" s="144">
        <f>$D$23*SUMPRODUCT('Advanced Variables'!$E$11:$J$11,1/'Advanced Variables'!$E$20:$J$20,'Advanced Variables'!D207:I207)+$D$27*'Advanced Variables'!F330+$D$28*'Advanced Variables'!G207</f>
        <v>2457.9208225843195</v>
      </c>
      <c r="E57" s="144">
        <f>$E$23*SUMPRODUCT('Advanced Variables'!$E$11:$J$11,1/'Advanced Variables'!$E$20:$J$20,'Advanced Variables'!D207:I207)+$E$27*'Advanced Variables'!F330+$E$24*SUMPRODUCT('Advanced Variables'!$E$12:$J$12,1/'Advanced Variables'!$E$20:$J$20,'Advanced Variables'!D207:I207)+('Biological Treatment'!$C$44+'Biological Treatment'!$J$44)*'Advanced Variables'!J143+('Biological Treatment'!$C$97+'Biological Treatment'!$J$97)*'Advanced Variables'!P143</f>
        <v>3725.5994304364799</v>
      </c>
      <c r="F57" s="10" t="s">
        <v>513</v>
      </c>
      <c r="G57" s="144">
        <f>$G$23*SUMPRODUCT('Advanced Variables'!$E$11:$J$11,1/'Advanced Variables'!$E$20:$J$20,'Advanced Variables'!D207:I207)+$G$24*SUMPRODUCT('Advanced Variables'!$E$12:$J$12,1/'Advanced Variables'!$E$20:$J$20,'Advanced Variables'!D207:I207)+$G$27*'Advanced Variables'!F330+Landfilling!$D$154*Landfilling!$D$155*'Advanced Variables'!R143+Landfilling!$D$154*Landfilling!$D$156*'Advanced Variables'!T143</f>
        <v>-6805.850806055475</v>
      </c>
      <c r="H57" s="144">
        <f>$H$27*'Advanced Variables'!F330-SUMPRODUCT('Materials Recycling'!$G$10:$M$10,(1-'Advanced Variables'!$C$99:$I$99),'Advanced Variables'!C143:I143)-'Materials Recycling'!$H$32*'Advanced Variables'!U143-'Materials Recycling'!$N$10*(1-'Advanced Variables'!$J$99)*'Advanced Variables'!K143</f>
        <v>-622366.4980805231</v>
      </c>
      <c r="I57" s="147">
        <f t="shared" si="5"/>
        <v>-622864.63823655783</v>
      </c>
    </row>
    <row r="58" spans="1:21">
      <c r="A58" s="9" t="s">
        <v>1407</v>
      </c>
      <c r="B58" s="10" t="s">
        <v>1378</v>
      </c>
      <c r="C58" s="144">
        <f>$C$26*'Advanced Variables'!E331+$C$27*'Advanced Variables'!F331+$C$23*SUMPRODUCT('Advanced Variables'!$E$11:$J$11,1/'Advanced Variables'!$E$20:$J$20,'Advanced Variables'!D208:I208)+'Advanced Variables'!$D$88*'Advanced Variables'!I398+'Advanced Variables'!$D$89*'Advanced Variables'!F398+'Advanced Variables'!$D$90*'Advanced Variables'!J398</f>
        <v>4349546.8499999996</v>
      </c>
      <c r="D58" s="144">
        <f>$D$23*SUMPRODUCT('Advanced Variables'!$E$11:$J$11,1/'Advanced Variables'!$E$20:$J$20,'Advanced Variables'!D208:I208)+$D$27*'Advanced Variables'!F331+$D$28*'Advanced Variables'!G208</f>
        <v>1346557.1227859999</v>
      </c>
      <c r="E58" s="144">
        <f>$E$23*SUMPRODUCT('Advanced Variables'!$E$11:$J$11,1/'Advanced Variables'!$E$20:$J$20,'Advanced Variables'!D208:I208)+$E$27*'Advanced Variables'!F331+$E$24*SUMPRODUCT('Advanced Variables'!$E$12:$J$12,1/'Advanced Variables'!$E$20:$J$20,'Advanced Variables'!D208:I208)+('Biological Treatment'!$C$44+'Biological Treatment'!$J$44)*'Advanced Variables'!J144+('Biological Treatment'!$C$97+'Biological Treatment'!$J$97)*'Advanced Variables'!P144</f>
        <v>2035413.8303040001</v>
      </c>
      <c r="F58" s="144">
        <f>$F$23*SUMPRODUCT('Advanced Variables'!$E$11:$J$11,1/'Advanced Variables'!$E$20:$J$20,'Advanced Variables'!D208:I208)+$F$24*SUMPRODUCT('Advanced Variables'!$E$12:$J$12,1/'Advanced Variables'!$E$20:$J$20,'Advanced Variables'!D208:I208)+$F$27*'Advanced Variables'!F331+$F$28*'Advanced Variables'!D331+Streams!$C$39*'Advanced Variables'!L144+(Streams!$D$39+Streams!$E$39)*'Advanced Variables'!M144+Streams!$L$54*'Advanced Variables'!N144+Streams!$L$69*'Advanced Variables'!O144+IF('Thermal Treatment'!$C$271="US EPA Regulations",SUMPRODUCT('Thermal Treatment'!$D$38:$M$38,'Advanced Variables'!D451:M451),SUMPRODUCT('Thermal Treatment'!$D$38:$M$38,'Advanced Variables'!D463:M463))+IF('Thermal Treatment'!$C$272="US EPA Regulations",SUMPRODUCT('Thermal Treatment'!$D$108:$M$108,'Advanced Variables'!D451:M451),SUMPRODUCT('Thermal Treatment'!$D$108:$M$108,'Advanced Variables'!D463:M463))</f>
        <v>-146640658.07898581</v>
      </c>
      <c r="G58" s="144">
        <f>$G$23*SUMPRODUCT('Advanced Variables'!$E$11:$J$11,1/'Advanced Variables'!$E$20:$J$20,'Advanced Variables'!D208:I208)+$G$24*SUMPRODUCT('Advanced Variables'!$E$12:$J$12,1/'Advanced Variables'!$E$20:$J$20,'Advanced Variables'!D208:I208)+$G$27*'Advanced Variables'!F331+Landfilling!$D$154*Landfilling!$D$155*'Advanced Variables'!R144+Landfilling!$D$154*Landfilling!$D$156*'Advanced Variables'!T144</f>
        <v>-3584450.1310961628</v>
      </c>
      <c r="H58" s="144">
        <f>$H$27*'Advanced Variables'!F331-SUMPRODUCT('Materials Recycling'!$G$10:$M$10,(1-'Advanced Variables'!$C$99:$I$99),'Advanced Variables'!C144:I144)-'Materials Recycling'!$H$32*'Advanced Variables'!U144-'Materials Recycling'!$N$10*(1-'Advanced Variables'!$J$99)*'Advanced Variables'!K144</f>
        <v>-156976320.28777641</v>
      </c>
      <c r="I58" s="147">
        <f t="shared" si="5"/>
        <v>-299469910.69476837</v>
      </c>
    </row>
    <row r="59" spans="1:21">
      <c r="A59" s="9" t="s">
        <v>1013</v>
      </c>
      <c r="B59" s="10" t="s">
        <v>1378</v>
      </c>
      <c r="C59" s="144">
        <f>$C$26*'Advanced Variables'!E332+$C$27*'Advanced Variables'!F332+$C$23*SUMPRODUCT('Advanced Variables'!$E$11:$J$11,1/'Advanced Variables'!$E$20:$J$20,'Advanced Variables'!D209:I209)+'Advanced Variables'!$D$88*'Advanced Variables'!I399+'Advanced Variables'!$D$89*'Advanced Variables'!F399+'Advanced Variables'!$D$90*'Advanced Variables'!J399</f>
        <v>8284.9794000000002</v>
      </c>
      <c r="D59" s="144">
        <f>$D$23*SUMPRODUCT('Advanced Variables'!$E$11:$J$11,1/'Advanced Variables'!$E$20:$J$20,'Advanced Variables'!D209:I209)+$D$27*'Advanced Variables'!F332+$D$28*'Advanced Variables'!G209</f>
        <v>45207.931977114007</v>
      </c>
      <c r="E59" s="144">
        <f>$E$23*SUMPRODUCT('Advanced Variables'!$E$11:$J$11,1/'Advanced Variables'!$E$20:$J$20,'Advanced Variables'!D209:I209)+$E$27*'Advanced Variables'!F332+$E$24*SUMPRODUCT('Advanced Variables'!$E$12:$J$12,1/'Advanced Variables'!$E$20:$J$20,'Advanced Variables'!D209:I209)+('Biological Treatment'!$C$44+'Biological Treatment'!$J$44)*'Advanced Variables'!J145+('Biological Treatment'!$C$97+'Biological Treatment'!$J$97)*'Advanced Variables'!P145</f>
        <v>68517.996643296006</v>
      </c>
      <c r="F59" s="144">
        <f>$F$23*SUMPRODUCT('Advanced Variables'!$E$11:$J$11,1/'Advanced Variables'!$E$20:$J$20,'Advanced Variables'!D209:I209)+$F$24*SUMPRODUCT('Advanced Variables'!$E$12:$J$12,1/'Advanced Variables'!$E$20:$J$20,'Advanced Variables'!D209:I209)+$F$27*'Advanced Variables'!F332+$F$28*'Advanced Variables'!D332+Streams!$C$39*'Advanced Variables'!L145+(Streams!$D$39+Streams!$E$39)*'Advanced Variables'!M145+Streams!$L$54*'Advanced Variables'!N145+Streams!$L$69*'Advanced Variables'!O145+IF('Thermal Treatment'!$C$271="US EPA Regulations",SUMPRODUCT('Thermal Treatment'!$D$38:$M$38,'Advanced Variables'!D452:M452),SUMPRODUCT('Thermal Treatment'!$D$38:$M$38,'Advanced Variables'!D464:M464))+IF('Thermal Treatment'!$C$272="US EPA Regulations",SUMPRODUCT('Thermal Treatment'!$D$108:$M$108,'Advanced Variables'!D452:M452),SUMPRODUCT('Thermal Treatment'!$D$108:$M$108,'Advanced Variables'!D464:M464))</f>
        <v>-4925810.7885070872</v>
      </c>
      <c r="G59" s="144">
        <f>$G$23*SUMPRODUCT('Advanced Variables'!$E$11:$J$11,1/'Advanced Variables'!$E$20:$J$20,'Advanced Variables'!D209:I209)+$G$24*SUMPRODUCT('Advanced Variables'!$E$12:$J$12,1/'Advanced Variables'!$E$20:$J$20,'Advanced Variables'!D209:I209)+$G$27*'Advanced Variables'!F332+Landfilling!$D$154*Landfilling!$D$155*'Advanced Variables'!R145+Landfilling!$D$154*Landfilling!$D$156*'Advanced Variables'!T145</f>
        <v>-103995.95327772484</v>
      </c>
      <c r="H59" s="144">
        <f>$H$27*'Advanced Variables'!F332-SUMPRODUCT('Materials Recycling'!$G$10:$M$10,(1-'Advanced Variables'!$C$99:$I$99),'Advanced Variables'!C145:I145)-'Materials Recycling'!$H$32*'Advanced Variables'!U145-'Materials Recycling'!$N$10*(1-'Advanced Variables'!$J$99)*'Advanced Variables'!K145</f>
        <v>-639281.68189423357</v>
      </c>
      <c r="I59" s="147">
        <f t="shared" si="5"/>
        <v>-5547077.5156586356</v>
      </c>
    </row>
    <row r="60" spans="1:21">
      <c r="A60" s="9" t="s">
        <v>1334</v>
      </c>
      <c r="B60" s="10" t="s">
        <v>1378</v>
      </c>
      <c r="C60" s="144">
        <f>$C$26*'Advanced Variables'!E333+$C$27*'Advanced Variables'!F333+$C$23*SUMPRODUCT('Advanced Variables'!$E$11:$J$11,1/'Advanced Variables'!$E$20:$J$20,'Advanced Variables'!D210:I210)+'Advanced Variables'!$D$88*'Advanced Variables'!I400+'Advanced Variables'!$D$89*'Advanced Variables'!F400+'Advanced Variables'!$D$90*'Advanced Variables'!J400</f>
        <v>0.86573922000000003</v>
      </c>
      <c r="D60" s="144">
        <f>$D$23*SUMPRODUCT('Advanced Variables'!$E$11:$J$11,1/'Advanced Variables'!$E$20:$J$20,'Advanced Variables'!D210:I210)+$D$27*'Advanced Variables'!F333+$D$28*'Advanced Variables'!G210</f>
        <v>4441.5727723188829</v>
      </c>
      <c r="E60" s="144">
        <f>$E$23*SUMPRODUCT('Advanced Variables'!$E$11:$J$11,1/'Advanced Variables'!$E$20:$J$20,'Advanced Variables'!D210:I210)+$E$27*'Advanced Variables'!F333+$E$24*SUMPRODUCT('Advanced Variables'!$E$12:$J$12,1/'Advanced Variables'!$E$20:$J$20,'Advanced Variables'!D210:I210)+('Biological Treatment'!$C$44+'Biological Treatment'!$J$44)*'Advanced Variables'!J146+('Biological Treatment'!$C$97+'Biological Treatment'!$J$97)*'Advanced Variables'!P146</f>
        <v>6732.4884491389248</v>
      </c>
      <c r="F60" s="10" t="s">
        <v>513</v>
      </c>
      <c r="G60" s="144">
        <f>$G$23*SUMPRODUCT('Advanced Variables'!$E$11:$J$11,1/'Advanced Variables'!$E$20:$J$20,'Advanced Variables'!D210:I210)+$G$24*SUMPRODUCT('Advanced Variables'!$E$12:$J$12,1/'Advanced Variables'!$E$20:$J$20,'Advanced Variables'!D210:I210)+$G$27*'Advanced Variables'!F333+Landfilling!$D$154*Landfilling!$D$155*'Advanced Variables'!R146+Landfilling!$D$154*Landfilling!$D$156*'Advanced Variables'!T146</f>
        <v>-10696.521003052438</v>
      </c>
      <c r="H60" s="144">
        <f>$H$27*'Advanced Variables'!F333-SUMPRODUCT('Materials Recycling'!$G$10:$M$10,(1-'Advanced Variables'!$C$99:$I$99),'Advanced Variables'!C146:I146)-'Materials Recycling'!$H$32*'Advanced Variables'!U146-'Materials Recycling'!$N$10*(1-'Advanced Variables'!$J$99)*'Advanced Variables'!K146</f>
        <v>148629.05439709386</v>
      </c>
      <c r="I60" s="147">
        <f t="shared" si="5"/>
        <v>149107.46035471922</v>
      </c>
    </row>
    <row r="61" spans="1:21">
      <c r="A61" s="18" t="s">
        <v>1335</v>
      </c>
      <c r="B61" s="10" t="s">
        <v>1378</v>
      </c>
      <c r="C61" s="144">
        <f>$C$26*'Advanced Variables'!E334+$C$27*'Advanced Variables'!F334+$C$23*SUMPRODUCT('Advanced Variables'!$E$11:$J$11,1/'Advanced Variables'!$E$20:$J$20,'Advanced Variables'!D211:I211)+'Advanced Variables'!$D$88*'Advanced Variables'!I401+'Advanced Variables'!$D$89*'Advanced Variables'!F401+'Advanced Variables'!$D$90*'Advanced Variables'!J401</f>
        <v>0</v>
      </c>
      <c r="D61" s="144">
        <f>$D$23*SUMPRODUCT('Advanced Variables'!$E$11:$J$11,1/'Advanced Variables'!$E$20:$J$20,'Advanced Variables'!D211:I211)+$D$27*'Advanced Variables'!F334+$D$28*'Advanced Variables'!G211</f>
        <v>0</v>
      </c>
      <c r="E61" s="144">
        <f>$E$23*SUMPRODUCT('Advanced Variables'!$E$11:$J$11,1/'Advanced Variables'!$E$20:$J$20,'Advanced Variables'!D211:I211)+$E$27*'Advanced Variables'!F334+$E$24*SUMPRODUCT('Advanced Variables'!$E$12:$J$12,1/'Advanced Variables'!$E$20:$J$20,'Advanced Variables'!D211:I211)+('Biological Treatment'!$C$44+'Biological Treatment'!$J$44)*'Advanced Variables'!J147+('Biological Treatment'!$C$97+'Biological Treatment'!$J$97)*'Advanced Variables'!P147</f>
        <v>0</v>
      </c>
      <c r="F61" s="10" t="s">
        <v>513</v>
      </c>
      <c r="G61" s="144">
        <f>$G$23*SUMPRODUCT('Advanced Variables'!$E$11:$J$11,1/'Advanced Variables'!$E$20:$J$20,'Advanced Variables'!D211:I211)+$G$24*SUMPRODUCT('Advanced Variables'!$E$12:$J$12,1/'Advanced Variables'!$E$20:$J$20,'Advanced Variables'!D211:I211)+$G$27*'Advanced Variables'!F334+Landfilling!$D$154*Landfilling!$D$155*'Advanced Variables'!R147+Landfilling!$D$154*Landfilling!$D$156*'Advanced Variables'!T147</f>
        <v>24705.254687499997</v>
      </c>
      <c r="H61" s="144">
        <f>$H$27*'Advanced Variables'!F334-SUMPRODUCT('Materials Recycling'!$G$10:$M$10,(1-'Advanced Variables'!$C$99:$I$99),'Advanced Variables'!C147:I147)-'Materials Recycling'!$H$32*'Advanced Variables'!U147-'Materials Recycling'!$N$10*(1-'Advanced Variables'!$J$99)*'Advanced Variables'!K147</f>
        <v>-52158.741200000011</v>
      </c>
      <c r="I61" s="147">
        <f t="shared" si="5"/>
        <v>-27453.486512500014</v>
      </c>
      <c r="J61" s="62"/>
      <c r="K61" s="62"/>
      <c r="L61" s="62"/>
      <c r="M61" s="62"/>
      <c r="N61" s="62"/>
      <c r="O61" s="62"/>
      <c r="P61" s="62"/>
      <c r="Q61" s="62"/>
      <c r="R61" s="62"/>
      <c r="S61" s="62"/>
      <c r="T61" s="62"/>
      <c r="U61" s="62"/>
    </row>
    <row r="62" spans="1:21">
      <c r="A62" s="18" t="s">
        <v>1408</v>
      </c>
      <c r="B62" s="10" t="s">
        <v>1378</v>
      </c>
      <c r="C62" s="144">
        <f>$C$26*'Advanced Variables'!E335+$C$27*'Advanced Variables'!F335+$C$23*SUMPRODUCT('Advanced Variables'!$E$11:$J$11,1/'Advanced Variables'!$E$20:$J$20,'Advanced Variables'!D212:I212)+'Advanced Variables'!$D$88*'Advanced Variables'!I402+'Advanced Variables'!$D$89*'Advanced Variables'!F402+'Advanced Variables'!$D$90*'Advanced Variables'!J402</f>
        <v>0</v>
      </c>
      <c r="D62" s="144">
        <f>$D$23*SUMPRODUCT('Advanced Variables'!$E$11:$J$11,1/'Advanced Variables'!$E$20:$J$20,'Advanced Variables'!D212:I212)+$D$27*'Advanced Variables'!F335+$D$28*'Advanced Variables'!G212</f>
        <v>0</v>
      </c>
      <c r="E62" s="144">
        <f>$E$23*SUMPRODUCT('Advanced Variables'!$E$11:$J$11,1/'Advanced Variables'!$E$20:$J$20,'Advanced Variables'!D212:I212)+$E$27*'Advanced Variables'!F335+$E$24*SUMPRODUCT('Advanced Variables'!$E$12:$J$12,1/'Advanced Variables'!$E$20:$J$20,'Advanced Variables'!D212:I212)+('Biological Treatment'!$C$44+'Biological Treatment'!$J$44)*'Advanced Variables'!J148+('Biological Treatment'!$C$97+'Biological Treatment'!$J$97)*'Advanced Variables'!P148</f>
        <v>0</v>
      </c>
      <c r="F62" s="10" t="s">
        <v>513</v>
      </c>
      <c r="G62" s="144">
        <f>$G$23*SUMPRODUCT('Advanced Variables'!$E$11:$J$11,1/'Advanced Variables'!$E$20:$J$20,'Advanced Variables'!D212:I212)+$G$24*SUMPRODUCT('Advanced Variables'!$E$12:$J$12,1/'Advanced Variables'!$E$20:$J$20,'Advanced Variables'!D212:I212)+$G$27*'Advanced Variables'!F335+Landfilling!$D$154*Landfilling!$D$155*'Advanced Variables'!R148+Landfilling!$D$154*Landfilling!$D$156*'Advanced Variables'!T148</f>
        <v>309165.62499999994</v>
      </c>
      <c r="H62" s="144">
        <f>$H$27*'Advanced Variables'!F335-SUMPRODUCT('Materials Recycling'!$G$10:$M$10,(1-'Advanced Variables'!$C$99:$I$99),'Advanced Variables'!C148:I148)-'Materials Recycling'!$H$32*'Advanced Variables'!U148-'Materials Recycling'!$N$10*(1-'Advanced Variables'!$J$99)*'Advanced Variables'!K148</f>
        <v>0</v>
      </c>
      <c r="I62" s="147">
        <f t="shared" si="5"/>
        <v>309165.62499999994</v>
      </c>
    </row>
    <row r="63" spans="1:21">
      <c r="A63" s="18" t="s">
        <v>1336</v>
      </c>
      <c r="B63" s="10" t="s">
        <v>1378</v>
      </c>
      <c r="C63" s="144">
        <f>$C$26*'Advanced Variables'!E336+$C$27*'Advanced Variables'!F336+$C$23*SUMPRODUCT('Advanced Variables'!$E$11:$J$11,1/'Advanced Variables'!$E$20:$J$20,'Advanced Variables'!D213:I213)+'Advanced Variables'!$D$88*'Advanced Variables'!I403+'Advanced Variables'!$D$89*'Advanced Variables'!F403+'Advanced Variables'!$D$90*'Advanced Variables'!J403</f>
        <v>2.1930621000000001E-2</v>
      </c>
      <c r="D63" s="144">
        <f>$D$23*SUMPRODUCT('Advanced Variables'!$E$11:$J$11,1/'Advanced Variables'!$E$20:$J$20,'Advanced Variables'!D213:I213)+$D$27*'Advanced Variables'!F336+$D$28*'Advanced Variables'!G213</f>
        <v>0.18385897136789286</v>
      </c>
      <c r="E63" s="144">
        <f>$E$23*SUMPRODUCT('Advanced Variables'!$E$11:$J$11,1/'Advanced Variables'!$E$20:$J$20,'Advanced Variables'!D213:I213)+$E$27*'Advanced Variables'!F336+$E$24*SUMPRODUCT('Advanced Variables'!$E$12:$J$12,1/'Advanced Variables'!$E$20:$J$20,'Advanced Variables'!D213:I213)+('Biological Treatment'!$C$44+'Biological Treatment'!$J$44)*'Advanced Variables'!J149+('Biological Treatment'!$C$97+'Biological Treatment'!$J$97)*'Advanced Variables'!P149</f>
        <v>0.27866985284816775</v>
      </c>
      <c r="F63" s="10" t="s">
        <v>513</v>
      </c>
      <c r="G63" s="144">
        <f>$G$23*SUMPRODUCT('Advanced Variables'!$E$11:$J$11,1/'Advanced Variables'!$E$20:$J$20,'Advanced Variables'!D213:I213)+$G$24*SUMPRODUCT('Advanced Variables'!$E$12:$J$12,1/'Advanced Variables'!$E$20:$J$20,'Advanced Variables'!D213:I213)+$G$27*'Advanced Variables'!F336+Landfilling!$D$154*Landfilling!$D$155*'Advanced Variables'!R149+Landfilling!$D$154*Landfilling!$D$156*'Advanced Variables'!T149</f>
        <v>15214.334961563854</v>
      </c>
      <c r="H63" s="144">
        <f>$H$27*'Advanced Variables'!F336-SUMPRODUCT('Materials Recycling'!$G$10:$M$10,(1-'Advanced Variables'!$C$99:$I$99),'Advanced Variables'!C149:I149)-'Materials Recycling'!$H$32*'Advanced Variables'!U149-'Materials Recycling'!$N$10*(1-'Advanced Variables'!$J$99)*'Advanced Variables'!K149</f>
        <v>6.3779678457600013E-4</v>
      </c>
      <c r="I63" s="147">
        <f t="shared" si="5"/>
        <v>15214.820058805853</v>
      </c>
    </row>
    <row r="64" spans="1:21">
      <c r="A64" s="9" t="s">
        <v>1014</v>
      </c>
      <c r="B64" s="10" t="s">
        <v>1378</v>
      </c>
      <c r="C64" s="144">
        <f>$C$26*'Advanced Variables'!E337+$C$27*'Advanced Variables'!F337+$C$23*SUMPRODUCT('Advanced Variables'!$E$11:$J$11,1/'Advanced Variables'!$E$20:$J$20,'Advanced Variables'!D214:I214)+'Advanced Variables'!$D$88*'Advanced Variables'!I404+'Advanced Variables'!$D$89*'Advanced Variables'!F404+'Advanced Variables'!$D$90*'Advanced Variables'!J404</f>
        <v>0</v>
      </c>
      <c r="D64" s="144">
        <f>$D$23*SUMPRODUCT('Advanced Variables'!$E$11:$J$11,1/'Advanced Variables'!$E$20:$J$20,'Advanced Variables'!D214:I214)+$D$27*'Advanced Variables'!F337+$D$28*'Advanced Variables'!G214</f>
        <v>0</v>
      </c>
      <c r="E64" s="144">
        <f>$E$23*SUMPRODUCT('Advanced Variables'!$E$11:$J$11,1/'Advanced Variables'!$E$20:$J$20,'Advanced Variables'!D214:I214)+$E$27*'Advanced Variables'!F337+$E$24*SUMPRODUCT('Advanced Variables'!$E$12:$J$12,1/'Advanced Variables'!$E$20:$J$20,'Advanced Variables'!D214:I214)+('Biological Treatment'!$C$44+'Biological Treatment'!$J$44)*'Advanced Variables'!J150+('Biological Treatment'!$C$97+'Biological Treatment'!$J$97)*'Advanced Variables'!P150</f>
        <v>0</v>
      </c>
      <c r="F64" s="144">
        <f>$F$23*SUMPRODUCT('Advanced Variables'!$E$11:$J$11,1/'Advanced Variables'!$E$20:$J$20,'Advanced Variables'!D214:I214)+$F$24*SUMPRODUCT('Advanced Variables'!$E$12:$J$12,1/'Advanced Variables'!$E$20:$J$20,'Advanced Variables'!D214:I214)+$F$27*'Advanced Variables'!F337+$F$28*'Advanced Variables'!D337+Streams!$C$39*'Advanced Variables'!L150+(Streams!$D$39+Streams!$E$39)*'Advanced Variables'!M150+Streams!$L$54*'Advanced Variables'!N150+Streams!$L$69*'Advanced Variables'!O150+IF('Thermal Treatment'!$C$271="US EPA Regulations",SUMPRODUCT('Thermal Treatment'!$D$38:$M$38,'Advanced Variables'!D454:M454),SUMPRODUCT('Thermal Treatment'!$D$38:$M$38,'Advanced Variables'!D466:M466))+IF('Thermal Treatment'!$C$272="US EPA Regulations",SUMPRODUCT('Thermal Treatment'!$D$108:$M$108,'Advanced Variables'!D454:M454),SUMPRODUCT('Thermal Treatment'!$D$108:$M$108,'Advanced Variables'!D466:M466))</f>
        <v>6.6985098750000005E-3</v>
      </c>
      <c r="G64" s="144">
        <f>$G$23*SUMPRODUCT('Advanced Variables'!$E$11:$J$11,1/'Advanced Variables'!$E$20:$J$20,'Advanced Variables'!D214:I214)+$G$24*SUMPRODUCT('Advanced Variables'!$E$12:$J$12,1/'Advanced Variables'!$E$20:$J$20,'Advanced Variables'!D214:I214)+$G$27*'Advanced Variables'!F337+Landfilling!$D$154*Landfilling!$D$155*'Advanced Variables'!R150+Landfilling!$D$154*Landfilling!$D$156*'Advanced Variables'!T150</f>
        <v>8.7637499999999998E-4</v>
      </c>
      <c r="H64" s="144">
        <f>$H$27*'Advanced Variables'!F337-SUMPRODUCT('Materials Recycling'!$G$10:$M$10,(1-'Advanced Variables'!$C$99:$I$99),'Advanced Variables'!C150:I150)-'Materials Recycling'!$H$32*'Advanced Variables'!U150-'Materials Recycling'!$N$10*(1-'Advanced Variables'!$J$99)*'Advanced Variables'!K150</f>
        <v>-1.4282775E-4</v>
      </c>
      <c r="I64" s="147">
        <f t="shared" si="5"/>
        <v>7.4320571249999997E-3</v>
      </c>
    </row>
    <row r="65" spans="1:9">
      <c r="A65" s="18" t="s">
        <v>1337</v>
      </c>
      <c r="B65" s="10" t="s">
        <v>1378</v>
      </c>
      <c r="C65" s="144">
        <f>$C$26*'Advanced Variables'!E338+$C$27*'Advanced Variables'!F338+$C$23*SUMPRODUCT('Advanced Variables'!$E$11:$J$11,1/'Advanced Variables'!$E$20:$J$20,'Advanced Variables'!D215:I215)+'Advanced Variables'!$D$88*'Advanced Variables'!I405+'Advanced Variables'!$D$89*'Advanced Variables'!F405+'Advanced Variables'!$D$90*'Advanced Variables'!J405</f>
        <v>0.10251681600000001</v>
      </c>
      <c r="D65" s="144">
        <f>$D$23*SUMPRODUCT('Advanced Variables'!$E$11:$J$11,1/'Advanced Variables'!$E$20:$J$20,'Advanced Variables'!D215:I215)+$D$27*'Advanced Variables'!F338+$D$28*'Advanced Variables'!G215</f>
        <v>718.22148202519304</v>
      </c>
      <c r="E65" s="144">
        <f>$E$23*SUMPRODUCT('Advanced Variables'!$E$11:$J$11,1/'Advanced Variables'!$E$20:$J$20,'Advanced Variables'!D215:I215)+$E$27*'Advanced Variables'!F338+$E$24*SUMPRODUCT('Advanced Variables'!$E$12:$J$12,1/'Advanced Variables'!$E$20:$J$20,'Advanced Variables'!D215:I215)+('Biological Treatment'!$C$44+'Biological Treatment'!$J$44)*'Advanced Variables'!J151+('Biological Treatment'!$C$97+'Biological Treatment'!$J$97)*'Advanced Variables'!P151</f>
        <v>1088.6724596974695</v>
      </c>
      <c r="F65" s="10" t="s">
        <v>513</v>
      </c>
      <c r="G65" s="144">
        <f>$G$23*SUMPRODUCT('Advanced Variables'!$E$11:$J$11,1/'Advanced Variables'!$E$20:$J$20,'Advanced Variables'!D215:I215)+$G$24*SUMPRODUCT('Advanced Variables'!$E$12:$J$12,1/'Advanced Variables'!$E$20:$J$20,'Advanced Variables'!D215:I215)+$G$27*'Advanced Variables'!F338+Landfilling!$D$154*Landfilling!$D$155*'Advanced Variables'!R151+Landfilling!$D$154*Landfilling!$D$156*'Advanced Variables'!T151</f>
        <v>-1989.2659697351571</v>
      </c>
      <c r="H65" s="144">
        <f>$H$27*'Advanced Variables'!F338-SUMPRODUCT('Materials Recycling'!$G$10:$M$10,(1-'Advanced Variables'!$C$99:$I$99),'Advanced Variables'!C151:I151)-'Materials Recycling'!$H$32*'Advanced Variables'!U151-'Materials Recycling'!$N$10*(1-'Advanced Variables'!$J$99)*'Advanced Variables'!K151</f>
        <v>530049.99594179448</v>
      </c>
      <c r="I65" s="147">
        <f t="shared" si="5"/>
        <v>529867.72643059795</v>
      </c>
    </row>
    <row r="66" spans="1:9">
      <c r="A66" s="18" t="s">
        <v>1026</v>
      </c>
      <c r="B66" s="10" t="s">
        <v>1378</v>
      </c>
      <c r="C66" s="144">
        <f>$C$26*'Advanced Variables'!E339+$C$27*'Advanced Variables'!F339+$C$23*SUMPRODUCT('Advanced Variables'!$E$11:$J$11,1/'Advanced Variables'!$E$20:$J$20,'Advanced Variables'!D216:I216)+'Advanced Variables'!$D$88*'Advanced Variables'!I406+'Advanced Variables'!$D$89*'Advanced Variables'!F406+'Advanced Variables'!$D$90*'Advanced Variables'!J406</f>
        <v>0</v>
      </c>
      <c r="D66" s="144">
        <f>$D$23*SUMPRODUCT('Advanced Variables'!$E$11:$J$11,1/'Advanced Variables'!$E$20:$J$20,'Advanced Variables'!D216:I216)+$D$27*'Advanced Variables'!F339+$D$28*'Advanced Variables'!G216</f>
        <v>0</v>
      </c>
      <c r="E66" s="144">
        <f>$E$23*SUMPRODUCT('Advanced Variables'!$E$11:$J$11,1/'Advanced Variables'!$E$20:$J$20,'Advanced Variables'!D216:I216)+$E$27*'Advanced Variables'!F339+$E$24*SUMPRODUCT('Advanced Variables'!$E$12:$J$12,1/'Advanced Variables'!$E$20:$J$20,'Advanced Variables'!D216:I216)+('Biological Treatment'!$C$44+'Biological Treatment'!$J$44)*'Advanced Variables'!J152+('Biological Treatment'!$C$97+'Biological Treatment'!$J$97)*'Advanced Variables'!P152</f>
        <v>0</v>
      </c>
      <c r="F66" s="144">
        <f>$F$23*SUMPRODUCT('Advanced Variables'!$E$11:$J$11,1/'Advanced Variables'!$E$20:$J$20,'Advanced Variables'!D216:I216)+$F$24*SUMPRODUCT('Advanced Variables'!$E$12:$J$12,1/'Advanced Variables'!$E$20:$J$20,'Advanced Variables'!D216:I216)+$F$27*'Advanced Variables'!F339+$F$28*'Advanced Variables'!D339+Streams!$C$39*'Advanced Variables'!L152+(Streams!$D$39+Streams!$E$39)*'Advanced Variables'!M152+Streams!$L$54*'Advanced Variables'!N152+Streams!$L$69*'Advanced Variables'!O152+SUMPRODUCT(('Advanced Variables'!D483:M483)*1000,'Thermal Treatment'!$D$38:$M$38)*(1-'Thermal Treatment'!B278)+SUMPRODUCT(('Advanced Variables'!D483:M483)*1000,'Thermal Treatment'!$D$108:$M$108)*(1-'Thermal Treatment'!B279)</f>
        <v>74.982099687500067</v>
      </c>
      <c r="G66" s="144">
        <f>$G$23*SUMPRODUCT('Advanced Variables'!$E$11:$J$11,1/'Advanced Variables'!$E$20:$J$20,'Advanced Variables'!D216:I216)+$G$24*SUMPRODUCT('Advanced Variables'!$E$12:$J$12,1/'Advanced Variables'!$E$20:$J$20,'Advanced Variables'!D216:I216)+$G$27*'Advanced Variables'!F339+Landfilling!$D$154*Landfilling!$D$155*'Advanced Variables'!R152+Landfilling!$D$154*Landfilling!$D$156*'Advanced Variables'!T152</f>
        <v>0</v>
      </c>
      <c r="H66" s="144">
        <f>$H$27*'Advanced Variables'!F339-SUMPRODUCT('Materials Recycling'!$G$10:$M$10,(1-'Advanced Variables'!$C$99:$I$99),'Advanced Variables'!C152:I152)-'Materials Recycling'!$H$32*'Advanced Variables'!U152-'Materials Recycling'!$N$10*(1-'Advanced Variables'!$J$99)*'Advanced Variables'!K152</f>
        <v>-622702.71562499995</v>
      </c>
      <c r="I66" s="147">
        <f t="shared" si="5"/>
        <v>-622627.73352531251</v>
      </c>
    </row>
    <row r="67" spans="1:9">
      <c r="A67" s="18" t="s">
        <v>1027</v>
      </c>
      <c r="B67" s="10" t="s">
        <v>1378</v>
      </c>
      <c r="C67" s="144">
        <f>$C$26*'Advanced Variables'!E340+$C$27*'Advanced Variables'!F340+$C$23*SUMPRODUCT('Advanced Variables'!$E$11:$J$11,1/'Advanced Variables'!$E$20:$J$20,'Advanced Variables'!D217:I217)+'Advanced Variables'!$D$88*'Advanced Variables'!I407+'Advanced Variables'!$D$89*'Advanced Variables'!F407+'Advanced Variables'!$D$90*'Advanced Variables'!J407</f>
        <v>5.9754009000000002E-5</v>
      </c>
      <c r="D67" s="144">
        <f>$D$23*SUMPRODUCT('Advanced Variables'!$E$11:$J$11,1/'Advanced Variables'!$E$20:$J$20,'Advanced Variables'!D217:I217)+$D$27*'Advanced Variables'!F340+$D$28*'Advanced Variables'!G217</f>
        <v>5.3077420695202804</v>
      </c>
      <c r="E67" s="144">
        <f>$E$23*SUMPRODUCT('Advanced Variables'!$E$11:$J$11,1/'Advanced Variables'!$E$20:$J$20,'Advanced Variables'!D217:I217)+$E$27*'Advanced Variables'!F340+$E$24*SUMPRODUCT('Advanced Variables'!$E$12:$J$12,1/'Advanced Variables'!$E$20:$J$20,'Advanced Variables'!D217:I217)+('Biological Treatment'!$C$44+'Biological Treatment'!$J$44)*'Advanced Variables'!J153+('Biological Treatment'!$C$97+'Biological Treatment'!$J$97)*'Advanced Variables'!P153</f>
        <v>8.045419521346739</v>
      </c>
      <c r="F67" s="144">
        <f>$F$23*SUMPRODUCT('Advanced Variables'!$E$11:$J$11,1/'Advanced Variables'!$E$20:$J$20,'Advanced Variables'!D217:I217)+$F$24*SUMPRODUCT('Advanced Variables'!$E$12:$J$12,1/'Advanced Variables'!$E$20:$J$20,'Advanced Variables'!D217:I217)+$F$27*'Advanced Variables'!F340+$F$28*'Advanced Variables'!D340+Streams!$C$39*'Advanced Variables'!L153+(Streams!$D$39+Streams!$E$39)*'Advanced Variables'!M153+Streams!$L$54*'Advanced Variables'!N153+Streams!$L$69*'Advanced Variables'!O153+SUMPRODUCT(('Advanced Variables'!D484:M484)*1000,'Thermal Treatment'!$D$38:$M$38)*(1-'Thermal Treatment'!C278)+SUMPRODUCT(('Advanced Variables'!D484:M484)*1000,'Thermal Treatment'!$D$108:$M$108)*(1-'Thermal Treatment'!C279)</f>
        <v>-179.32765463525266</v>
      </c>
      <c r="G67" s="144">
        <f>$G$23*SUMPRODUCT('Advanced Variables'!$E$11:$J$11,1/'Advanced Variables'!$E$20:$J$20,'Advanced Variables'!D217:I217)+$G$24*SUMPRODUCT('Advanced Variables'!$E$12:$J$12,1/'Advanced Variables'!$E$20:$J$20,'Advanced Variables'!D217:I217)+$G$27*'Advanced Variables'!F340+Landfilling!$D$154*Landfilling!$D$155*'Advanced Variables'!R153+Landfilling!$D$154*Landfilling!$D$156*'Advanced Variables'!T153</f>
        <v>-14.009004352538435</v>
      </c>
      <c r="H67" s="144">
        <f>$H$27*'Advanced Variables'!F340-SUMPRODUCT('Materials Recycling'!$G$10:$M$10,(1-'Advanced Variables'!$C$99:$I$99),'Advanced Variables'!C153:I153)-'Materials Recycling'!$H$32*'Advanced Variables'!U153-'Materials Recycling'!$N$10*(1-'Advanced Variables'!$J$99)*'Advanced Variables'!K153</f>
        <v>-974.30298691946098</v>
      </c>
      <c r="I67" s="147">
        <f t="shared" si="5"/>
        <v>-1154.2864245623759</v>
      </c>
    </row>
    <row r="68" spans="1:9">
      <c r="A68" s="18" t="s">
        <v>1028</v>
      </c>
      <c r="B68" s="10" t="s">
        <v>1378</v>
      </c>
      <c r="C68" s="144">
        <f>$C$26*'Advanced Variables'!E341+$C$27*'Advanced Variables'!F341+$C$23*SUMPRODUCT('Advanced Variables'!$E$11:$J$11,1/'Advanced Variables'!$E$20:$J$20,'Advanced Variables'!D218:I218)+'Advanced Variables'!$D$88*'Advanced Variables'!I408+'Advanced Variables'!$D$89*'Advanced Variables'!F408+'Advanced Variables'!$D$90*'Advanced Variables'!J408</f>
        <v>0</v>
      </c>
      <c r="D68" s="144">
        <f>$D$23*SUMPRODUCT('Advanced Variables'!$E$11:$J$11,1/'Advanced Variables'!$E$20:$J$20,'Advanced Variables'!D218:I218)+$D$27*'Advanced Variables'!F341+$D$28*'Advanced Variables'!G218</f>
        <v>0</v>
      </c>
      <c r="E68" s="144">
        <f>$E$23*SUMPRODUCT('Advanced Variables'!$E$11:$J$11,1/'Advanced Variables'!$E$20:$J$20,'Advanced Variables'!D218:I218)+$E$27*'Advanced Variables'!F341+$E$24*SUMPRODUCT('Advanced Variables'!$E$12:$J$12,1/'Advanced Variables'!$E$20:$J$20,'Advanced Variables'!D218:I218)+('Biological Treatment'!$C$44+'Biological Treatment'!$J$44)*'Advanced Variables'!J154+('Biological Treatment'!$C$97+'Biological Treatment'!$J$97)*'Advanced Variables'!P154</f>
        <v>0</v>
      </c>
      <c r="F68" s="144">
        <f>$F$23*SUMPRODUCT('Advanced Variables'!$E$11:$J$11,1/'Advanced Variables'!$E$20:$J$20,'Advanced Variables'!D218:I218)+$F$24*SUMPRODUCT('Advanced Variables'!$E$12:$J$12,1/'Advanced Variables'!$E$20:$J$20,'Advanced Variables'!D218:I218)+$F$27*'Advanced Variables'!F341+$F$28*'Advanced Variables'!D341+Streams!$C$39*'Advanced Variables'!L154+(Streams!$D$39+Streams!$E$39)*'Advanced Variables'!M154+Streams!$L$54*'Advanced Variables'!N154+Streams!$L$69*'Advanced Variables'!O154+SUMPRODUCT(('Advanced Variables'!D485:M485)*1000,'Thermal Treatment'!$D$38:$M$38)*(1-'Thermal Treatment'!D278)+SUMPRODUCT(('Advanced Variables'!D485:M485)*1000,'Thermal Treatment'!$D$108:$M$108)*(1-'Thermal Treatment'!D279)</f>
        <v>446.8017750000003</v>
      </c>
      <c r="G68" s="144">
        <f>$G$23*SUMPRODUCT('Advanced Variables'!$E$11:$J$11,1/'Advanced Variables'!$E$20:$J$20,'Advanced Variables'!D218:I218)+$G$24*SUMPRODUCT('Advanced Variables'!$E$12:$J$12,1/'Advanced Variables'!$E$20:$J$20,'Advanced Variables'!D218:I218)+$G$27*'Advanced Variables'!F341+Landfilling!$D$154*Landfilling!$D$155*'Advanced Variables'!R154+Landfilling!$D$154*Landfilling!$D$156*'Advanced Variables'!T154</f>
        <v>8.1539390624999986E-2</v>
      </c>
      <c r="H68" s="144">
        <f>$H$27*'Advanced Variables'!F341-SUMPRODUCT('Materials Recycling'!$G$10:$M$10,(1-'Advanced Variables'!$C$99:$I$99),'Advanced Variables'!C154:I154)-'Materials Recycling'!$H$32*'Advanced Variables'!U154-'Materials Recycling'!$N$10*(1-'Advanced Variables'!$J$99)*'Advanced Variables'!K154</f>
        <v>458.91227500000008</v>
      </c>
      <c r="I68" s="147">
        <f t="shared" si="5"/>
        <v>905.79558939062531</v>
      </c>
    </row>
    <row r="69" spans="1:9">
      <c r="A69" s="18" t="s">
        <v>1029</v>
      </c>
      <c r="B69" s="10" t="s">
        <v>1378</v>
      </c>
      <c r="C69" s="144">
        <f>$C$26*'Advanced Variables'!E342+$C$27*'Advanced Variables'!F342+$C$23*SUMPRODUCT('Advanced Variables'!$E$11:$J$11,1/'Advanced Variables'!$E$20:$J$20,'Advanced Variables'!D219:I219)+'Advanced Variables'!$D$88*'Advanced Variables'!I409+'Advanced Variables'!$D$89*'Advanced Variables'!F409+'Advanced Variables'!$D$90*'Advanced Variables'!J409</f>
        <v>0</v>
      </c>
      <c r="D69" s="144">
        <f>$D$23*SUMPRODUCT('Advanced Variables'!$E$11:$J$11,1/'Advanced Variables'!$E$20:$J$20,'Advanced Variables'!D219:I219)+$D$27*'Advanced Variables'!F342+$D$28*'Advanced Variables'!G219</f>
        <v>0</v>
      </c>
      <c r="E69" s="144">
        <f>$E$23*SUMPRODUCT('Advanced Variables'!$E$11:$J$11,1/'Advanced Variables'!$E$20:$J$20,'Advanced Variables'!D219:I219)+$E$27*'Advanced Variables'!F342+$E$24*SUMPRODUCT('Advanced Variables'!$E$12:$J$12,1/'Advanced Variables'!$E$20:$J$20,'Advanced Variables'!D219:I219)+('Biological Treatment'!$C$44+'Biological Treatment'!$J$44)*'Advanced Variables'!J155+('Biological Treatment'!$C$97+'Biological Treatment'!$J$97)*'Advanced Variables'!P155</f>
        <v>0</v>
      </c>
      <c r="F69" s="144">
        <f>$F$23*SUMPRODUCT('Advanced Variables'!$E$11:$J$11,1/'Advanced Variables'!$E$20:$J$20,'Advanced Variables'!D219:I219)+$F$24*SUMPRODUCT('Advanced Variables'!$E$12:$J$12,1/'Advanced Variables'!$E$20:$J$20,'Advanced Variables'!D219:I219)+$F$27*'Advanced Variables'!F342+$F$28*'Advanced Variables'!D342+Streams!$C$39*'Advanced Variables'!L155+(Streams!$D$39+Streams!$E$39)*'Advanced Variables'!M155+Streams!$L$54*'Advanced Variables'!N155+Streams!$L$69*'Advanced Variables'!O155+SUMPRODUCT(('Advanced Variables'!D486:M486)*1000,'Thermal Treatment'!$D$38:$M$38)*(1-'Thermal Treatment'!E278)+SUMPRODUCT(('Advanced Variables'!D486:M486)*1000,'Thermal Treatment'!$D$108:$M$108)*(1-'Thermal Treatment'!E279)</f>
        <v>2787.9485625000025</v>
      </c>
      <c r="G69" s="144">
        <f>$G$23*SUMPRODUCT('Advanced Variables'!$E$11:$J$11,1/'Advanced Variables'!$E$20:$J$20,'Advanced Variables'!D219:I219)+$G$24*SUMPRODUCT('Advanced Variables'!$E$12:$J$12,1/'Advanced Variables'!$E$20:$J$20,'Advanced Variables'!D219:I219)+$G$27*'Advanced Variables'!F342+Landfilling!$D$154*Landfilling!$D$155*'Advanced Variables'!R155+Landfilling!$D$154*Landfilling!$D$156*'Advanced Variables'!T155</f>
        <v>0</v>
      </c>
      <c r="H69" s="144">
        <f>$H$27*'Advanced Variables'!F342-SUMPRODUCT('Materials Recycling'!$G$10:$M$10,(1-'Advanced Variables'!$C$99:$I$99),'Advanced Variables'!C155:I155)-'Materials Recycling'!$H$32*'Advanced Variables'!U155-'Materials Recycling'!$N$10*(1-'Advanced Variables'!$J$99)*'Advanced Variables'!K155</f>
        <v>2630.7485100000004</v>
      </c>
      <c r="I69" s="147">
        <f t="shared" si="5"/>
        <v>5418.6970725000028</v>
      </c>
    </row>
    <row r="70" spans="1:9">
      <c r="A70" s="18" t="s">
        <v>1032</v>
      </c>
      <c r="B70" s="10" t="s">
        <v>1378</v>
      </c>
      <c r="C70" s="144">
        <f>$C$26*'Advanced Variables'!E343+$C$27*'Advanced Variables'!F343+$C$23*SUMPRODUCT('Advanced Variables'!$E$11:$J$11,1/'Advanced Variables'!$E$20:$J$20,'Advanced Variables'!D220:I220)+'Advanced Variables'!$D$88*'Advanced Variables'!I410+'Advanced Variables'!$D$89*'Advanced Variables'!F410+'Advanced Variables'!$D$90*'Advanced Variables'!J410</f>
        <v>1.19640222</v>
      </c>
      <c r="D70" s="144">
        <f>$D$23*SUMPRODUCT('Advanced Variables'!$E$11:$J$11,1/'Advanced Variables'!$E$20:$J$20,'Advanced Variables'!D220:I220)+$D$27*'Advanced Variables'!F343+$D$28*'Advanced Variables'!G220</f>
        <v>54.452266010113199</v>
      </c>
      <c r="E70" s="144">
        <f>$E$23*SUMPRODUCT('Advanced Variables'!$E$11:$J$11,1/'Advanced Variables'!$E$20:$J$20,'Advanced Variables'!D220:I220)+$E$27*'Advanced Variables'!F343+$E$24*SUMPRODUCT('Advanced Variables'!$E$12:$J$12,1/'Advanced Variables'!$E$20:$J$20,'Advanced Variables'!D220:I220)+('Biological Treatment'!$C$44+'Biological Treatment'!$J$44)*'Advanced Variables'!J156+('Biological Treatment'!$C$97+'Biological Treatment'!$J$97)*'Advanced Variables'!P156</f>
        <v>82.537969937644803</v>
      </c>
      <c r="F70" s="144">
        <f>$F$23*SUMPRODUCT('Advanced Variables'!$E$11:$J$11,1/'Advanced Variables'!$E$20:$J$20,'Advanced Variables'!D220:I220)+$F$24*SUMPRODUCT('Advanced Variables'!$E$12:$J$12,1/'Advanced Variables'!$E$20:$J$20,'Advanced Variables'!D220:I220)+$F$27*'Advanced Variables'!F343+$F$28*'Advanced Variables'!D343+Streams!$C$39*'Advanced Variables'!L156+(Streams!$D$39+Streams!$E$39)*'Advanced Variables'!M156+Streams!$L$54*'Advanced Variables'!N156+Streams!$L$69*'Advanced Variables'!O156+SUMPRODUCT(('Advanced Variables'!D489:M489)*1000,'Thermal Treatment'!$D$38:$M$38)*(1-'Thermal Treatment'!H278)+SUMPRODUCT(('Advanced Variables'!D489:M489)*1000,'Thermal Treatment'!$D$108:$M$108)*(1-'Thermal Treatment'!H279)</f>
        <v>-4045.5935017350021</v>
      </c>
      <c r="G70" s="144">
        <f>$G$23*SUMPRODUCT('Advanced Variables'!$E$11:$J$11,1/'Advanced Variables'!$E$20:$J$20,'Advanced Variables'!D220:I220)+$G$24*SUMPRODUCT('Advanced Variables'!$E$12:$J$12,1/'Advanced Variables'!$E$20:$J$20,'Advanced Variables'!D220:I220)+$G$27*'Advanced Variables'!F343+Landfilling!$D$154*Landfilling!$D$155*'Advanced Variables'!R156+Landfilling!$D$154*Landfilling!$D$156*'Advanced Variables'!T156</f>
        <v>-150.18294777265447</v>
      </c>
      <c r="H70" s="144">
        <f>$H$27*'Advanced Variables'!F343-SUMPRODUCT('Materials Recycling'!$G$10:$M$10,(1-'Advanced Variables'!$C$99:$I$99),'Advanced Variables'!C156:I156)-'Materials Recycling'!$H$32*'Advanced Variables'!U156-'Materials Recycling'!$N$10*(1-'Advanced Variables'!$J$99)*'Advanced Variables'!K156</f>
        <v>523216.79725951375</v>
      </c>
      <c r="I70" s="147">
        <f t="shared" si="5"/>
        <v>519159.20744817384</v>
      </c>
    </row>
    <row r="71" spans="1:9">
      <c r="A71" s="18" t="s">
        <v>1380</v>
      </c>
      <c r="B71" s="10" t="s">
        <v>1378</v>
      </c>
      <c r="C71" s="144">
        <f>$C$26*'Advanced Variables'!E344+$C$27*'Advanced Variables'!F344+$C$23*SUMPRODUCT('Advanced Variables'!$E$11:$J$11,1/'Advanced Variables'!$E$20:$J$20,'Advanced Variables'!D221:I221)+'Advanced Variables'!$D$88*'Advanced Variables'!I411+'Advanced Variables'!$D$89*'Advanced Variables'!F411+'Advanced Variables'!$D$90*'Advanced Variables'!J411</f>
        <v>3.1266166499999996E-3</v>
      </c>
      <c r="D71" s="144">
        <f>$D$23*SUMPRODUCT('Advanced Variables'!$E$11:$J$11,1/'Advanced Variables'!$E$20:$J$20,'Advanced Variables'!D221:I221)+$D$27*'Advanced Variables'!F344+$D$28*'Advanced Variables'!G221</f>
        <v>23.455872536414624</v>
      </c>
      <c r="E71" s="144">
        <f>$E$23*SUMPRODUCT('Advanced Variables'!$E$11:$J$11,1/'Advanced Variables'!$E$20:$J$20,'Advanced Variables'!D221:I221)+$E$27*'Advanced Variables'!F344+$E$24*SUMPRODUCT('Advanced Variables'!$E$12:$J$12,1/'Advanced Variables'!$E$20:$J$20,'Advanced Variables'!D221:I221)+('Biological Treatment'!$C$44+'Biological Treatment'!$J$44)*'Advanced Variables'!J157+('Biological Treatment'!$C$97+'Biological Treatment'!$J$97)*'Advanced Variables'!P157</f>
        <v>35.554161598263939</v>
      </c>
      <c r="F71" s="10" t="s">
        <v>513</v>
      </c>
      <c r="G71" s="144">
        <f>$G$23*SUMPRODUCT('Advanced Variables'!$E$11:$J$11,1/'Advanced Variables'!$E$20:$J$20,'Advanced Variables'!D221:I221)+$G$24*SUMPRODUCT('Advanced Variables'!$E$12:$J$12,1/'Advanced Variables'!$E$20:$J$20,'Advanced Variables'!D221:I221)+$G$27*'Advanced Variables'!F344+Landfilling!$D$154*Landfilling!$D$155*'Advanced Variables'!R157+Landfilling!$D$154*Landfilling!$D$156*'Advanced Variables'!T157</f>
        <v>-64.965994561236428</v>
      </c>
      <c r="H71" s="144">
        <f>$H$27*'Advanced Variables'!F344-SUMPRODUCT('Materials Recycling'!$G$10:$M$10,(1-'Advanced Variables'!$C$99:$I$99),'Advanced Variables'!C157:I157)-'Materials Recycling'!$H$32*'Advanced Variables'!U157-'Materials Recycling'!$N$10*(1-'Advanced Variables'!$J$99)*'Advanced Variables'!K157</f>
        <v>9.1025366342399995E-5</v>
      </c>
      <c r="I71" s="147">
        <f t="shared" si="5"/>
        <v>-5.9527427845415231</v>
      </c>
    </row>
    <row r="72" spans="1:9">
      <c r="A72" s="18" t="s">
        <v>1030</v>
      </c>
      <c r="B72" s="10" t="s">
        <v>1378</v>
      </c>
      <c r="C72" s="144">
        <f>$C$26*'Advanced Variables'!E345+$C$27*'Advanced Variables'!F345+$C$23*SUMPRODUCT('Advanced Variables'!$E$11:$J$11,1/'Advanced Variables'!$E$20:$J$20,'Advanced Variables'!D222:I222)+'Advanced Variables'!$D$88*'Advanced Variables'!I412+'Advanced Variables'!$D$89*'Advanced Variables'!F412+'Advanced Variables'!$D$90*'Advanced Variables'!J412</f>
        <v>4.7438168999999993E-6</v>
      </c>
      <c r="D72" s="144">
        <f>$D$23*SUMPRODUCT('Advanced Variables'!$E$11:$J$11,1/'Advanced Variables'!$E$20:$J$20,'Advanced Variables'!D222:I222)+$D$27*'Advanced Variables'!F345+$D$28*'Advanced Variables'!G222</f>
        <v>7.1607247539366865</v>
      </c>
      <c r="E72" s="144">
        <f>$E$23*SUMPRODUCT('Advanced Variables'!$E$11:$J$11,1/'Advanced Variables'!$E$20:$J$20,'Advanced Variables'!D222:I222)+$E$27*'Advanced Variables'!F345+$E$24*SUMPRODUCT('Advanced Variables'!$E$12:$J$12,1/'Advanced Variables'!$E$20:$J$20,'Advanced Variables'!D222:I222)+('Biological Treatment'!$C$44+'Biological Treatment'!$J$44)*'Advanced Variables'!J158+('Biological Treatment'!$C$97+'Biological Treatment'!$J$97)*'Advanced Variables'!P158</f>
        <v>10.854151202195842</v>
      </c>
      <c r="F72" s="144">
        <f>$F$23*SUMPRODUCT('Advanced Variables'!$E$11:$J$11,1/'Advanced Variables'!$E$20:$J$20,'Advanced Variables'!D222:I222)+$F$24*SUMPRODUCT('Advanced Variables'!$E$12:$J$12,1/'Advanced Variables'!$E$20:$J$20,'Advanced Variables'!D222:I222)+$F$27*'Advanced Variables'!F345+$F$28*'Advanced Variables'!D345+Streams!$C$39*'Advanced Variables'!L158+(Streams!$D$39+Streams!$E$39)*'Advanced Variables'!M158+Streams!$L$54*'Advanced Variables'!N158+Streams!$L$69*'Advanced Variables'!O158+SUMPRODUCT(('Advanced Variables'!D487:M487)*1000,'Thermal Treatment'!$D$38:$M$38)*(1-'Thermal Treatment'!F278)+SUMPRODUCT(('Advanced Variables'!D487:M487)*1000,'Thermal Treatment'!$D$108:$M$108)*(1-'Thermal Treatment'!F279)</f>
        <v>3387.1811619415421</v>
      </c>
      <c r="G72" s="144">
        <f>$G$23*SUMPRODUCT('Advanced Variables'!$E$11:$J$11,1/'Advanced Variables'!$E$20:$J$20,'Advanced Variables'!D222:I222)+$G$24*SUMPRODUCT('Advanced Variables'!$E$12:$J$12,1/'Advanced Variables'!$E$20:$J$20,'Advanced Variables'!D222:I222)+$G$27*'Advanced Variables'!F345+Landfilling!$D$154*Landfilling!$D$155*'Advanced Variables'!R158+Landfilling!$D$154*Landfilling!$D$156*'Advanced Variables'!T158</f>
        <v>-19.828093466899794</v>
      </c>
      <c r="H72" s="144">
        <f>$H$27*'Advanced Variables'!F345-SUMPRODUCT('Materials Recycling'!$G$10:$M$10,(1-'Advanced Variables'!$C$99:$I$99),'Advanced Variables'!C158:I158)-'Materials Recycling'!$H$32*'Advanced Variables'!U158-'Materials Recycling'!$N$10*(1-'Advanced Variables'!$J$99)*'Advanced Variables'!K158</f>
        <v>-10.414472888849964</v>
      </c>
      <c r="I72" s="147">
        <f t="shared" si="5"/>
        <v>3374.953476285742</v>
      </c>
    </row>
    <row r="73" spans="1:9">
      <c r="A73" s="18" t="s">
        <v>1031</v>
      </c>
      <c r="B73" s="10" t="s">
        <v>1378</v>
      </c>
      <c r="C73" s="144">
        <f>$C$26*'Advanced Variables'!E346+$C$27*'Advanced Variables'!F346+$C$23*SUMPRODUCT('Advanced Variables'!$E$11:$J$11,1/'Advanced Variables'!$E$20:$J$20,'Advanced Variables'!D223:I223)+'Advanced Variables'!$D$88*'Advanced Variables'!I413+'Advanced Variables'!$D$89*'Advanced Variables'!F413+'Advanced Variables'!$D$90*'Advanced Variables'!J413</f>
        <v>1.7593255499999998</v>
      </c>
      <c r="D73" s="144">
        <f>$D$23*SUMPRODUCT('Advanced Variables'!$E$11:$J$11,1/'Advanced Variables'!$E$20:$J$20,'Advanced Variables'!D223:I223)+$D$27*'Advanced Variables'!F346+$D$28*'Advanced Variables'!G223</f>
        <v>339.33742019040795</v>
      </c>
      <c r="E73" s="144">
        <f>$E$23*SUMPRODUCT('Advanced Variables'!$E$11:$J$11,1/'Advanced Variables'!$E$20:$J$20,'Advanced Variables'!D223:I223)+$E$27*'Advanced Variables'!F346+$E$24*SUMPRODUCT('Advanced Variables'!$E$12:$J$12,1/'Advanced Variables'!$E$20:$J$20,'Advanced Variables'!D223:I223)+('Biological Treatment'!$C$44+'Biological Treatment'!$J$44)*'Advanced Variables'!J159+('Biological Treatment'!$C$97+'Biological Treatment'!$J$97)*'Advanced Variables'!P159</f>
        <v>514.36227216211194</v>
      </c>
      <c r="F73" s="144">
        <f>$F$23*SUMPRODUCT('Advanced Variables'!$E$11:$J$11,1/'Advanced Variables'!$E$20:$J$20,'Advanced Variables'!D223:I223)+$F$24*SUMPRODUCT('Advanced Variables'!$E$12:$J$12,1/'Advanced Variables'!$E$20:$J$20,'Advanced Variables'!D223:I223)+$F$27*'Advanced Variables'!F346+$F$28*'Advanced Variables'!D346+Streams!$C$39*'Advanced Variables'!L159+(Streams!$D$39+Streams!$E$39)*'Advanced Variables'!M159+Streams!$L$54*'Advanced Variables'!N159+Streams!$L$69*'Advanced Variables'!O159+SUMPRODUCT(('Advanced Variables'!D488:M488)*1000,'Thermal Treatment'!$D$38:$M$38)*(1-'Thermal Treatment'!G278)+SUMPRODUCT(('Advanced Variables'!D488:M488)*1000,'Thermal Treatment'!$D$108:$M$108)*(1-'Thermal Treatment'!G279)</f>
        <v>-35843.346948450744</v>
      </c>
      <c r="G73" s="144">
        <f>$G$23*SUMPRODUCT('Advanced Variables'!$E$11:$J$11,1/'Advanced Variables'!$E$20:$J$20,'Advanced Variables'!D223:I223)+$G$24*SUMPRODUCT('Advanced Variables'!$E$12:$J$12,1/'Advanced Variables'!$E$20:$J$20,'Advanced Variables'!D223:I223)+$G$27*'Advanced Variables'!F346+Landfilling!$D$154*Landfilling!$D$155*'Advanced Variables'!R159+Landfilling!$D$154*Landfilling!$D$156*'Advanced Variables'!T159</f>
        <v>-939.8299523368388</v>
      </c>
      <c r="H73" s="144">
        <f>$H$27*'Advanced Variables'!F346-SUMPRODUCT('Materials Recycling'!$G$10:$M$10,(1-'Advanced Variables'!$C$99:$I$99),'Advanced Variables'!C159:I159)-'Materials Recycling'!$H$32*'Advanced Variables'!U159-'Materials Recycling'!$N$10*(1-'Advanced Variables'!$J$99)*'Advanced Variables'!K159</f>
        <v>-22212.902993704498</v>
      </c>
      <c r="I73" s="147">
        <f t="shared" si="5"/>
        <v>-58140.620876589564</v>
      </c>
    </row>
    <row r="74" spans="1:9" ht="15.75" thickBot="1">
      <c r="A74" s="23" t="s">
        <v>1033</v>
      </c>
      <c r="B74" s="13" t="s">
        <v>1378</v>
      </c>
      <c r="C74" s="145">
        <f>$C$26*'Advanced Variables'!E347+$C$27*'Advanced Variables'!F347+$C$23*SUMPRODUCT('Advanced Variables'!$E$11:$J$11,1/'Advanced Variables'!$E$20:$J$20,'Advanced Variables'!D224:I224)+'Advanced Variables'!$D$88*'Advanced Variables'!I414+'Advanced Variables'!$D$89*'Advanced Variables'!F414+'Advanced Variables'!$D$90*'Advanced Variables'!J414</f>
        <v>0.84777150000000001</v>
      </c>
      <c r="D74" s="145">
        <f>$D$23*SUMPRODUCT('Advanced Variables'!$E$11:$J$11,1/'Advanced Variables'!$E$20:$J$20,'Advanced Variables'!D224:I224)+$D$27*'Advanced Variables'!F347+$D$28*'Advanced Variables'!G224</f>
        <v>78.277769805039995</v>
      </c>
      <c r="E74" s="145">
        <f>$E$23*SUMPRODUCT('Advanced Variables'!$E$11:$J$11,1/'Advanced Variables'!$E$20:$J$20,'Advanced Variables'!D224:I224)+$E$27*'Advanced Variables'!F347+$E$24*SUMPRODUCT('Advanced Variables'!$E$12:$J$12,1/'Advanced Variables'!$E$20:$J$20,'Advanced Variables'!D224:I224)+('Biological Treatment'!$C$44+'Biological Treatment'!$J$44)*'Advanced Variables'!J160+('Biological Treatment'!$C$97+'Biological Treatment'!$J$97)*'Advanced Variables'!P160</f>
        <v>118.65141140255999</v>
      </c>
      <c r="F74" s="145">
        <f>$F$23*SUMPRODUCT('Advanced Variables'!$E$11:$J$11,1/'Advanced Variables'!$E$20:$J$20,'Advanced Variables'!D224:I224)+$F$24*SUMPRODUCT('Advanced Variables'!$E$12:$J$12,1/'Advanced Variables'!$E$20:$J$20,'Advanced Variables'!D224:I224)+$F$27*'Advanced Variables'!F347+$F$28*'Advanced Variables'!D347+Streams!$C$39*'Advanced Variables'!L160+(Streams!$D$39+Streams!$E$39)*'Advanced Variables'!M160+Streams!$L$54*'Advanced Variables'!N160+Streams!$L$69*'Advanced Variables'!O160+SUMPRODUCT(('Advanced Variables'!D490:M490)*1000,'Thermal Treatment'!$D$38:$M$38)*(1-'Thermal Treatment'!I278)+SUMPRODUCT(('Advanced Variables'!D490:M490)*1000,'Thermal Treatment'!$D$108:$M$108)*(1-'Thermal Treatment'!I279)</f>
        <v>-480.26367586844663</v>
      </c>
      <c r="G74" s="145">
        <f>$G$23*SUMPRODUCT('Advanced Variables'!$E$11:$J$11,1/'Advanced Variables'!$E$20:$J$20,'Advanced Variables'!D224:I224)+$G$24*SUMPRODUCT('Advanced Variables'!$E$12:$J$12,1/'Advanced Variables'!$E$20:$J$20,'Advanced Variables'!D224:I224)+$G$27*'Advanced Variables'!F347+Landfilling!$D$154*Landfilling!$D$155*'Advanced Variables'!R160+Landfilling!$D$154*Landfilling!$D$156*'Advanced Variables'!T160</f>
        <v>-207.510689550135</v>
      </c>
      <c r="H74" s="145">
        <f>$H$27*'Advanced Variables'!F347-SUMPRODUCT('Materials Recycling'!$G$10:$M$10,(1-'Advanced Variables'!$C$99:$I$99),'Advanced Variables'!C160:I160)-'Materials Recycling'!$H$32*'Advanced Variables'!U160-'Materials Recycling'!$N$10*(1-'Advanced Variables'!$J$99)*'Advanced Variables'!K160</f>
        <v>-3271.3088823396965</v>
      </c>
      <c r="I74" s="148">
        <f t="shared" si="5"/>
        <v>-3761.3062950506783</v>
      </c>
    </row>
    <row r="77" spans="1:9">
      <c r="A77" s="62" t="s">
        <v>1457</v>
      </c>
    </row>
    <row r="78" spans="1:9" ht="15.75" thickBot="1"/>
    <row r="79" spans="1:9">
      <c r="A79" s="93"/>
      <c r="B79" s="78" t="s">
        <v>1302</v>
      </c>
      <c r="C79" s="78" t="s">
        <v>1308</v>
      </c>
      <c r="D79" s="78" t="s">
        <v>1084</v>
      </c>
      <c r="E79" s="78" t="s">
        <v>1289</v>
      </c>
      <c r="F79" s="78" t="s">
        <v>1309</v>
      </c>
      <c r="G79" s="78" t="s">
        <v>79</v>
      </c>
      <c r="H79" s="78" t="s">
        <v>1034</v>
      </c>
      <c r="I79" s="79" t="s">
        <v>11</v>
      </c>
    </row>
    <row r="80" spans="1:9">
      <c r="A80" s="9" t="s">
        <v>1339</v>
      </c>
      <c r="B80" s="10" t="s">
        <v>1378</v>
      </c>
      <c r="C80" s="144">
        <f>$C$26*'Advanced Variables'!E350+$C$27*'Advanced Variables'!F350+$C$23*SUMPRODUCT('Advanced Variables'!$E$11:$J$11,1/'Advanced Variables'!$E$20:$J$20,'Advanced Variables'!D227:I227)+'Advanced Variables'!$D$88*'Advanced Variables'!I417+'Advanced Variables'!$D$89*'Advanced Variables'!F417+'Advanced Variables'!$D$90*'Advanced Variables'!J417</f>
        <v>3.7640096999999999</v>
      </c>
      <c r="D80" s="144">
        <f>$D$23*SUMPRODUCT('Advanced Variables'!$E$11:$J$11,1/'Advanced Variables'!$E$20:$J$20,'Advanced Variables'!D227:I227)+$D$27*'Advanced Variables'!F350+$D$28*'Advanced Variables'!G227</f>
        <v>59.572485122431999</v>
      </c>
      <c r="E80" s="144">
        <f>$E$23*SUMPRODUCT('Advanced Variables'!$E$11:$J$11,1/'Advanced Variables'!$E$20:$J$20,'Advanced Variables'!D227:I227)+$E$27*'Advanced Variables'!F350+$E$24*SUMPRODUCT('Advanced Variables'!$E$12:$J$12,1/'Advanced Variables'!$E$20:$J$20,'Advanced Variables'!D227:I227)+('Biological Treatment'!$C$44+'Biological Treatment'!$J$44)*'Advanced Variables'!J163+('Biological Treatment'!$C$97+'Biological Treatment'!$J$97)*'Advanced Variables'!P163</f>
        <v>2250877.7941773399</v>
      </c>
      <c r="F80" s="10" t="s">
        <v>513</v>
      </c>
      <c r="G80" s="144">
        <f>$G$23*SUMPRODUCT('Advanced Variables'!$E$11:$J$11,1/'Advanced Variables'!$E$20:$J$20,'Advanced Variables'!D227:I227)+$G$24*SUMPRODUCT('Advanced Variables'!$E$12:$J$12,1/'Advanced Variables'!$E$20:$J$20,'Advanced Variables'!D227:I227)+$G$27*'Advanced Variables'!F350+(1-Landfilling!$J$191)*Landfilling!$D$189*'Advanced Variables'!O501+(1-Landfilling!$J$166)*(SUMPRODUCT(Landfilling!$B$85:$D$85,Landfilling!$C$115:$E$115,'Advanced Variables'!D501:F501)+SUMPRODUCT(Landfilling!$E$85:$F$85,Landfilling!$E$115:$F$115,'Advanced Variables'!G501:H501)+SUMPRODUCT(Landfilling!$G$85:$L$85,Landfilling!$F$115:$K$115,'Advanced Variables'!I501:N501))</f>
        <v>244692.7319560255</v>
      </c>
      <c r="H80" s="144">
        <f>$H$27*'Advanced Variables'!F350-SUMPRODUCT('Materials Recycling'!$G$10:$M$10,(1-'Advanced Variables'!$C$99:$I$99),'Advanced Variables'!C163:I163)-'Materials Recycling'!$H$32*'Advanced Variables'!U163-'Materials Recycling'!$N$10*(1-'Advanced Variables'!$J$99)*'Advanced Variables'!K163</f>
        <v>16762497.006078163</v>
      </c>
      <c r="I80" s="147">
        <f t="shared" ref="I80:I106" si="6">SUM(C80:H80)</f>
        <v>19258130.868706353</v>
      </c>
    </row>
    <row r="81" spans="1:9">
      <c r="A81" s="9" t="s">
        <v>1340</v>
      </c>
      <c r="B81" s="10" t="s">
        <v>1378</v>
      </c>
      <c r="C81" s="144">
        <f>$C$26*'Advanced Variables'!E351+$C$27*'Advanced Variables'!F351+$C$23*SUMPRODUCT('Advanced Variables'!$E$11:$J$11,1/'Advanced Variables'!$E$20:$J$20,'Advanced Variables'!D228:I228)+'Advanced Variables'!$D$88*'Advanced Variables'!I418+'Advanced Variables'!$D$89*'Advanced Variables'!F418+'Advanced Variables'!$D$90*'Advanced Variables'!J418</f>
        <v>122.95401</v>
      </c>
      <c r="D81" s="144">
        <f>$D$23*SUMPRODUCT('Advanced Variables'!$E$11:$J$11,1/'Advanced Variables'!$E$20:$J$20,'Advanced Variables'!D228:I228)+$D$27*'Advanced Variables'!F351+$D$28*'Advanced Variables'!G228</f>
        <v>1187.7270164555998</v>
      </c>
      <c r="E81" s="144">
        <f>$E$23*SUMPRODUCT('Advanced Variables'!$E$11:$J$11,1/'Advanced Variables'!$E$20:$J$20,'Advanced Variables'!D228:I228)+$E$27*'Advanced Variables'!F351+$E$24*SUMPRODUCT('Advanced Variables'!$E$12:$J$12,1/'Advanced Variables'!$E$20:$J$20,'Advanced Variables'!D228:I228)+('Biological Treatment'!$C$44+'Biological Treatment'!$J$44)*'Advanced Variables'!J164+('Biological Treatment'!$C$97+'Biological Treatment'!$J$97)*'Advanced Variables'!P164</f>
        <v>3808687.6749763582</v>
      </c>
      <c r="F81" s="10" t="s">
        <v>513</v>
      </c>
      <c r="G81" s="144">
        <f>$G$23*SUMPRODUCT('Advanced Variables'!$E$11:$J$11,1/'Advanced Variables'!$E$20:$J$20,'Advanced Variables'!D228:I228)+$G$24*SUMPRODUCT('Advanced Variables'!$E$12:$J$12,1/'Advanced Variables'!$E$20:$J$20,'Advanced Variables'!D228:I228)+$G$27*'Advanced Variables'!F351+(1-Landfilling!$J$191)*Landfilling!$D$189*'Advanced Variables'!O502+(1-Landfilling!$J$166)*(SUMPRODUCT(Landfilling!$B$85:$D$85,Landfilling!$C$115:$E$115,'Advanced Variables'!D502:F502)+SUMPRODUCT(Landfilling!$E$85:$F$85,Landfilling!$E$115:$F$115,'Advanced Variables'!G502:H502)+SUMPRODUCT(Landfilling!$G$85:$L$85,Landfilling!$F$115:$K$115,'Advanced Variables'!I502:N502))</f>
        <v>241571.46342456737</v>
      </c>
      <c r="H81" s="144">
        <f>$H$27*'Advanced Variables'!F351-SUMPRODUCT('Materials Recycling'!$G$10:$M$10,(1-'Advanced Variables'!$C$99:$I$99),'Advanced Variables'!C164:I164)-'Materials Recycling'!$H$32*'Advanced Variables'!U164-'Materials Recycling'!$N$10*(1-'Advanced Variables'!$J$99)*'Advanced Variables'!K164</f>
        <v>-544257826.46465254</v>
      </c>
      <c r="I81" s="147">
        <f t="shared" si="6"/>
        <v>-540206256.64522517</v>
      </c>
    </row>
    <row r="82" spans="1:9">
      <c r="A82" s="9" t="s">
        <v>1341</v>
      </c>
      <c r="B82" s="10" t="s">
        <v>1378</v>
      </c>
      <c r="C82" s="144">
        <f>$C$26*'Advanced Variables'!E352+$C$27*'Advanced Variables'!F352+$C$23*SUMPRODUCT('Advanced Variables'!$E$11:$J$11,1/'Advanced Variables'!$E$20:$J$20,'Advanced Variables'!D229:I229)+'Advanced Variables'!$D$88*'Advanced Variables'!I419+'Advanced Variables'!$D$89*'Advanced Variables'!F419+'Advanced Variables'!$D$90*'Advanced Variables'!J419</f>
        <v>2416196.7000000002</v>
      </c>
      <c r="D82" s="144">
        <f>$D$23*SUMPRODUCT('Advanced Variables'!$E$11:$J$11,1/'Advanced Variables'!$E$20:$J$20,'Advanced Variables'!D229:I229)+$D$27*'Advanced Variables'!F352+$D$28*'Advanced Variables'!G229</f>
        <v>86277.708402000004</v>
      </c>
      <c r="E82" s="144">
        <f>$E$23*SUMPRODUCT('Advanced Variables'!$E$11:$J$11,1/'Advanced Variables'!$E$20:$J$20,'Advanced Variables'!D229:I229)+$E$27*'Advanced Variables'!F352+$E$24*SUMPRODUCT('Advanced Variables'!$E$12:$J$12,1/'Advanced Variables'!$E$20:$J$20,'Advanced Variables'!D229:I229)+('Biological Treatment'!$C$44+'Biological Treatment'!$J$44)*'Advanced Variables'!J165+('Biological Treatment'!$C$97+'Biological Treatment'!$J$97)*'Advanced Variables'!P165</f>
        <v>127501.23772800001</v>
      </c>
      <c r="F82" s="10" t="s">
        <v>513</v>
      </c>
      <c r="G82" s="144">
        <f>$G$23*SUMPRODUCT('Advanced Variables'!$E$11:$J$11,1/'Advanced Variables'!$E$20:$J$20,'Advanced Variables'!D229:I229)+$G$24*SUMPRODUCT('Advanced Variables'!$E$12:$J$12,1/'Advanced Variables'!$E$20:$J$20,'Advanced Variables'!D229:I229)+$G$27*'Advanced Variables'!F352+(1-Landfilling!$J$191)*Landfilling!$D$189*'Advanced Variables'!O503+(1-Landfilling!$J$166)*(SUMPRODUCT(Landfilling!$B$85:$D$85,Landfilling!$C$115:$E$115,'Advanced Variables'!D503:F503)+SUMPRODUCT(Landfilling!$E$85:$F$85,Landfilling!$E$115:$F$115,'Advanced Variables'!G503:H503)+SUMPRODUCT(Landfilling!$G$85:$L$85,Landfilling!$F$115:$K$115,'Advanced Variables'!I503:N503))</f>
        <v>-170026.63441622627</v>
      </c>
      <c r="H82" s="144">
        <f>$H$27*'Advanced Variables'!F352-SUMPRODUCT('Materials Recycling'!$G$10:$M$10,(1-'Advanced Variables'!$C$99:$I$99),'Advanced Variables'!C165:I165)-'Materials Recycling'!$H$32*'Advanced Variables'!U165-'Materials Recycling'!$N$10*(1-'Advanced Variables'!$J$99)*'Advanced Variables'!K165</f>
        <v>-40511038.262044802</v>
      </c>
      <c r="I82" s="147">
        <f t="shared" si="6"/>
        <v>-38051089.250331029</v>
      </c>
    </row>
    <row r="83" spans="1:9">
      <c r="A83" s="9" t="s">
        <v>1342</v>
      </c>
      <c r="B83" s="10" t="s">
        <v>1378</v>
      </c>
      <c r="C83" s="144">
        <f>$C$26*'Advanced Variables'!E353+$C$27*'Advanced Variables'!F353+$C$23*SUMPRODUCT('Advanced Variables'!$E$11:$J$11,1/'Advanced Variables'!$E$20:$J$20,'Advanced Variables'!D230:I230)+'Advanced Variables'!$D$88*'Advanced Variables'!I420+'Advanced Variables'!$D$89*'Advanced Variables'!F420+'Advanced Variables'!$D$90*'Advanced Variables'!J420</f>
        <v>394.50273000000004</v>
      </c>
      <c r="D83" s="144">
        <f>$D$23*SUMPRODUCT('Advanced Variables'!$E$11:$J$11,1/'Advanced Variables'!$E$20:$J$20,'Advanced Variables'!D230:I230)+$D$27*'Advanced Variables'!F353+$D$28*'Advanced Variables'!G230</f>
        <v>18632.3315745088</v>
      </c>
      <c r="E83" s="144">
        <f>$E$23*SUMPRODUCT('Advanced Variables'!$E$11:$J$11,1/'Advanced Variables'!$E$20:$J$20,'Advanced Variables'!D230:I230)+$E$27*'Advanced Variables'!F353+$E$24*SUMPRODUCT('Advanced Variables'!$E$12:$J$12,1/'Advanced Variables'!$E$20:$J$20,'Advanced Variables'!D230:I230)+('Biological Treatment'!$C$44+'Biological Treatment'!$J$44)*'Advanced Variables'!J166+('Biological Treatment'!$C$97+'Biological Treatment'!$J$97)*'Advanced Variables'!P166</f>
        <v>28242.163662163199</v>
      </c>
      <c r="F83" s="10" t="s">
        <v>513</v>
      </c>
      <c r="G83" s="144">
        <f>$G$23*SUMPRODUCT('Advanced Variables'!$E$11:$J$11,1/'Advanced Variables'!$E$20:$J$20,'Advanced Variables'!D230:I230)+$G$24*SUMPRODUCT('Advanced Variables'!$E$12:$J$12,1/'Advanced Variables'!$E$20:$J$20,'Advanced Variables'!D230:I230)+$G$27*'Advanced Variables'!F353+(1-Landfilling!$J$191)*Landfilling!$D$189*'Advanced Variables'!O504+(1-Landfilling!$J$166)*(SUMPRODUCT(Landfilling!$B$85:$D$85,Landfilling!$C$115:$E$115,'Advanced Variables'!D504:F504)+SUMPRODUCT(Landfilling!$E$85:$F$85,Landfilling!$E$115:$F$115,'Advanced Variables'!G504:H504)+SUMPRODUCT(Landfilling!$G$85:$L$85,Landfilling!$F$115:$K$115,'Advanced Variables'!I504:N504))</f>
        <v>-51120.040402610721</v>
      </c>
      <c r="H83" s="144">
        <f>$H$27*'Advanced Variables'!F353-SUMPRODUCT('Materials Recycling'!$G$10:$M$10,(1-'Advanced Variables'!$C$99:$I$99),'Advanced Variables'!C166:I166)-'Materials Recycling'!$H$32*'Advanced Variables'!U166-'Materials Recycling'!$N$10*(1-'Advanced Variables'!$J$99)*'Advanced Variables'!K166</f>
        <v>34406895.563450001</v>
      </c>
      <c r="I83" s="147">
        <f t="shared" si="6"/>
        <v>34403044.521014065</v>
      </c>
    </row>
    <row r="84" spans="1:9">
      <c r="A84" s="9" t="s">
        <v>1343</v>
      </c>
      <c r="B84" s="10" t="s">
        <v>1378</v>
      </c>
      <c r="C84" s="144">
        <f>$C$26*'Advanced Variables'!E354+$C$27*'Advanced Variables'!F354+$C$23*SUMPRODUCT('Advanced Variables'!$E$11:$J$11,1/'Advanced Variables'!$E$20:$J$20,'Advanced Variables'!D231:I231)+'Advanced Variables'!$D$88*'Advanced Variables'!I421+'Advanced Variables'!$D$89*'Advanced Variables'!F421+'Advanced Variables'!$D$90*'Advanced Variables'!J421</f>
        <v>1.644549E-4</v>
      </c>
      <c r="D84" s="144">
        <f>$D$23*SUMPRODUCT('Advanced Variables'!$E$11:$J$11,1/'Advanced Variables'!$E$20:$J$20,'Advanced Variables'!D231:I231)+$D$27*'Advanced Variables'!F354+$D$28*'Advanced Variables'!G231</f>
        <v>3.2210872763874634</v>
      </c>
      <c r="E84" s="144">
        <f>$E$23*SUMPRODUCT('Advanced Variables'!$E$11:$J$11,1/'Advanced Variables'!$E$20:$J$20,'Advanced Variables'!D231:I231)+$E$27*'Advanced Variables'!F354+$E$24*SUMPRODUCT('Advanced Variables'!$E$12:$J$12,1/'Advanced Variables'!$E$20:$J$20,'Advanced Variables'!D231:I231)+('Biological Treatment'!$C$44+'Biological Treatment'!$J$44)*'Advanced Variables'!J167+('Biological Treatment'!$C$97+'Biological Treatment'!$J$97)*'Advanced Variables'!P167</f>
        <v>4.8824899615056951</v>
      </c>
      <c r="F84" s="10" t="s">
        <v>513</v>
      </c>
      <c r="G84" s="144">
        <f>$G$23*SUMPRODUCT('Advanced Variables'!$E$11:$J$11,1/'Advanced Variables'!$E$20:$J$20,'Advanced Variables'!D231:I231)+$G$24*SUMPRODUCT('Advanced Variables'!$E$12:$J$12,1/'Advanced Variables'!$E$20:$J$20,'Advanced Variables'!D231:I231)+$G$27*'Advanced Variables'!F354+(1-Landfilling!$J$191)*Landfilling!$D$189*'Advanced Variables'!O505+(1-Landfilling!$J$166)*(SUMPRODUCT(Landfilling!$B$85:$D$85,Landfilling!$C$115:$E$115,'Advanced Variables'!D505:F505)+SUMPRODUCT(Landfilling!$E$85:$F$85,Landfilling!$E$115:$F$115,'Advanced Variables'!G505:H505)+SUMPRODUCT(Landfilling!$G$85:$L$85,Landfilling!$F$115:$K$115,'Advanced Variables'!I505:N505))</f>
        <v>458.25815769751819</v>
      </c>
      <c r="H84" s="144">
        <f>$H$27*'Advanced Variables'!F354-SUMPRODUCT('Materials Recycling'!$G$10:$M$10,(1-'Advanced Variables'!$C$99:$I$99),'Advanced Variables'!C167:I167)-'Materials Recycling'!$H$32*'Advanced Variables'!U167-'Materials Recycling'!$N$10*(1-'Advanced Variables'!$J$99)*'Advanced Variables'!K167</f>
        <v>-5633825.8049051939</v>
      </c>
      <c r="I84" s="147">
        <f t="shared" si="6"/>
        <v>-5633359.443005804</v>
      </c>
    </row>
    <row r="85" spans="1:9">
      <c r="A85" s="9" t="s">
        <v>1344</v>
      </c>
      <c r="B85" s="10" t="s">
        <v>1378</v>
      </c>
      <c r="C85" s="144">
        <f>$C$26*'Advanced Variables'!E355+$C$27*'Advanced Variables'!F355+$C$23*SUMPRODUCT('Advanced Variables'!$E$11:$J$11,1/'Advanced Variables'!$E$20:$J$20,'Advanced Variables'!D232:I232)+'Advanced Variables'!$D$88*'Advanced Variables'!I422+'Advanced Variables'!$D$89*'Advanced Variables'!F422+'Advanced Variables'!$D$90*'Advanced Variables'!J422</f>
        <v>3.7093276499999998E-5</v>
      </c>
      <c r="D85" s="144">
        <f>$D$23*SUMPRODUCT('Advanced Variables'!$E$11:$J$11,1/'Advanced Variables'!$E$20:$J$20,'Advanced Variables'!D232:I232)+$D$27*'Advanced Variables'!F355+$D$28*'Advanced Variables'!G232</f>
        <v>0.98313522127568376</v>
      </c>
      <c r="E85" s="144">
        <f>$E$23*SUMPRODUCT('Advanced Variables'!$E$11:$J$11,1/'Advanced Variables'!$E$20:$J$20,'Advanced Variables'!D232:I232)+$E$27*'Advanced Variables'!F355+$E$24*SUMPRODUCT('Advanced Variables'!$E$12:$J$12,1/'Advanced Variables'!$E$20:$J$20,'Advanced Variables'!D232:I232)+('Biological Treatment'!$C$44+'Biological Treatment'!$J$44)*'Advanced Variables'!J168+('Biological Treatment'!$C$97+'Biological Treatment'!$J$97)*'Advanced Variables'!P168</f>
        <v>1.4902259692982458</v>
      </c>
      <c r="F85" s="10" t="s">
        <v>513</v>
      </c>
      <c r="G85" s="144">
        <f>$G$23*SUMPRODUCT('Advanced Variables'!$E$11:$J$11,1/'Advanced Variables'!$E$20:$J$20,'Advanced Variables'!D232:I232)+$G$24*SUMPRODUCT('Advanced Variables'!$E$12:$J$12,1/'Advanced Variables'!$E$20:$J$20,'Advanced Variables'!D232:I232)+$G$27*'Advanced Variables'!F355+(1-Landfilling!$J$191)*Landfilling!$D$189*'Advanced Variables'!O506+(1-Landfilling!$J$166)*(SUMPRODUCT(Landfilling!$B$85:$D$85,Landfilling!$C$115:$E$115,'Advanced Variables'!D506:F506)+SUMPRODUCT(Landfilling!$E$85:$F$85,Landfilling!$E$115:$F$115,'Advanced Variables'!G506:H506)+SUMPRODUCT(Landfilling!$G$85:$L$85,Landfilling!$F$115:$K$115,'Advanced Variables'!I506:N506))</f>
        <v>241.36959050778032</v>
      </c>
      <c r="H85" s="144">
        <f>$H$27*'Advanced Variables'!F355-SUMPRODUCT('Materials Recycling'!$G$10:$M$10,(1-'Advanced Variables'!$C$99:$I$99),'Advanced Variables'!C168:I168)-'Materials Recycling'!$H$32*'Advanced Variables'!U168-'Materials Recycling'!$N$10*(1-'Advanced Variables'!$J$99)*'Advanced Variables'!K168</f>
        <v>4728.621052233033</v>
      </c>
      <c r="I85" s="147">
        <f t="shared" si="6"/>
        <v>4972.4640410246639</v>
      </c>
    </row>
    <row r="86" spans="1:9">
      <c r="A86" s="9" t="s">
        <v>1345</v>
      </c>
      <c r="B86" s="10" t="s">
        <v>1378</v>
      </c>
      <c r="C86" s="144">
        <f>$C$26*'Advanced Variables'!E356+$C$27*'Advanced Variables'!F356+$C$23*SUMPRODUCT('Advanced Variables'!$E$11:$J$11,1/'Advanced Variables'!$E$20:$J$20,'Advanced Variables'!D233:I233)+'Advanced Variables'!$D$88*'Advanced Variables'!I423+'Advanced Variables'!$D$89*'Advanced Variables'!F423+'Advanced Variables'!$D$90*'Advanced Variables'!J423</f>
        <v>0</v>
      </c>
      <c r="D86" s="144">
        <f>$D$23*SUMPRODUCT('Advanced Variables'!$E$11:$J$11,1/'Advanced Variables'!$E$20:$J$20,'Advanced Variables'!D233:I233)+$D$27*'Advanced Variables'!F356+$D$28*'Advanced Variables'!G233</f>
        <v>0</v>
      </c>
      <c r="E86" s="144">
        <f>$E$23*SUMPRODUCT('Advanced Variables'!$E$11:$J$11,1/'Advanced Variables'!$E$20:$J$20,'Advanced Variables'!D233:I233)+$E$27*'Advanced Variables'!F356+$E$24*SUMPRODUCT('Advanced Variables'!$E$12:$J$12,1/'Advanced Variables'!$E$20:$J$20,'Advanced Variables'!D233:I233)+('Biological Treatment'!$C$44+'Biological Treatment'!$J$44)*'Advanced Variables'!J169+('Biological Treatment'!$C$97+'Biological Treatment'!$J$97)*'Advanced Variables'!P169</f>
        <v>0</v>
      </c>
      <c r="F86" s="10" t="s">
        <v>513</v>
      </c>
      <c r="G86" s="144">
        <f>$G$23*SUMPRODUCT('Advanced Variables'!$E$11:$J$11,1/'Advanced Variables'!$E$20:$J$20,'Advanced Variables'!D233:I233)+$G$24*SUMPRODUCT('Advanced Variables'!$E$12:$J$12,1/'Advanced Variables'!$E$20:$J$20,'Advanced Variables'!D233:I233)+$G$27*'Advanced Variables'!F356+(1-Landfilling!$J$191)*Landfilling!$D$189*'Advanced Variables'!O507+(1-Landfilling!$J$166)*(SUMPRODUCT(Landfilling!$B$85:$D$85,Landfilling!$C$115:$E$115,'Advanced Variables'!D507:F507)+SUMPRODUCT(Landfilling!$E$85:$F$85,Landfilling!$E$115:$F$115,'Advanced Variables'!G507:H507)+SUMPRODUCT(Landfilling!$G$85:$L$85,Landfilling!$F$115:$K$115,'Advanced Variables'!I507:N507))</f>
        <v>9.9129622125000027E-5</v>
      </c>
      <c r="H86" s="144">
        <f>$H$27*'Advanced Variables'!F356-SUMPRODUCT('Materials Recycling'!$G$10:$M$10,(1-'Advanced Variables'!$C$99:$I$99),'Advanced Variables'!C169:I169)-'Materials Recycling'!$H$32*'Advanced Variables'!U169-'Materials Recycling'!$N$10*(1-'Advanced Variables'!$J$99)*'Advanced Variables'!K169</f>
        <v>0</v>
      </c>
      <c r="I86" s="147">
        <f t="shared" si="6"/>
        <v>9.9129622125000027E-5</v>
      </c>
    </row>
    <row r="87" spans="1:9">
      <c r="A87" s="9" t="s">
        <v>1346</v>
      </c>
      <c r="B87" s="10" t="s">
        <v>1378</v>
      </c>
      <c r="C87" s="144">
        <f>$C$26*'Advanced Variables'!E357+$C$27*'Advanced Variables'!F357+$C$23*SUMPRODUCT('Advanced Variables'!$E$11:$J$11,1/'Advanced Variables'!$E$20:$J$20,'Advanced Variables'!D234:I234)+'Advanced Variables'!$D$88*'Advanced Variables'!I424+'Advanced Variables'!$D$89*'Advanced Variables'!F424+'Advanced Variables'!$D$90*'Advanced Variables'!J424</f>
        <v>5.5865109000000001E-3</v>
      </c>
      <c r="D87" s="144">
        <f>$D$23*SUMPRODUCT('Advanced Variables'!$E$11:$J$11,1/'Advanced Variables'!$E$20:$J$20,'Advanced Variables'!D234:I234)+$D$27*'Advanced Variables'!F357+$D$28*'Advanced Variables'!G234</f>
        <v>136.44537997214363</v>
      </c>
      <c r="E87" s="144">
        <f>$E$23*SUMPRODUCT('Advanced Variables'!$E$11:$J$11,1/'Advanced Variables'!$E$20:$J$20,'Advanced Variables'!D234:I234)+$E$27*'Advanced Variables'!F357+$E$24*SUMPRODUCT('Advanced Variables'!$E$12:$J$12,1/'Advanced Variables'!$E$20:$J$20,'Advanced Variables'!D234:I234)+('Biological Treatment'!$C$44+'Biological Treatment'!$J$44)*'Advanced Variables'!J170+('Biological Treatment'!$C$97+'Biological Treatment'!$J$97)*'Advanced Variables'!P170</f>
        <v>206.82246308889447</v>
      </c>
      <c r="F87" s="10" t="s">
        <v>513</v>
      </c>
      <c r="G87" s="144">
        <f>$G$23*SUMPRODUCT('Advanced Variables'!$E$11:$J$11,1/'Advanced Variables'!$E$20:$J$20,'Advanced Variables'!D234:I234)+$G$24*SUMPRODUCT('Advanced Variables'!$E$12:$J$12,1/'Advanced Variables'!$E$20:$J$20,'Advanced Variables'!D234:I234)+$G$27*'Advanced Variables'!F357+(1-Landfilling!$J$191)*Landfilling!$D$189*'Advanced Variables'!O508+(1-Landfilling!$J$166)*(SUMPRODUCT(Landfilling!$B$85:$D$85,Landfilling!$C$115:$E$115,'Advanced Variables'!D508:F508)+SUMPRODUCT(Landfilling!$E$85:$F$85,Landfilling!$E$115:$F$115,'Advanced Variables'!G508:H508)+SUMPRODUCT(Landfilling!$G$85:$L$85,Landfilling!$F$115:$K$115,'Advanced Variables'!I508:N508))</f>
        <v>-286.80421343091774</v>
      </c>
      <c r="H87" s="144">
        <f>$H$27*'Advanced Variables'!F357-SUMPRODUCT('Materials Recycling'!$G$10:$M$10,(1-'Advanced Variables'!$C$99:$I$99),'Advanced Variables'!C170:I170)-'Materials Recycling'!$H$32*'Advanced Variables'!U170-'Materials Recycling'!$N$10*(1-'Advanced Variables'!$J$99)*'Advanced Variables'!K170</f>
        <v>-20066.967185842295</v>
      </c>
      <c r="I87" s="147">
        <f t="shared" si="6"/>
        <v>-20010.497969701275</v>
      </c>
    </row>
    <row r="88" spans="1:9">
      <c r="A88" s="9" t="s">
        <v>1347</v>
      </c>
      <c r="B88" s="10" t="s">
        <v>1378</v>
      </c>
      <c r="C88" s="144">
        <f>$C$26*'Advanced Variables'!E358+$C$27*'Advanced Variables'!F358+$C$23*SUMPRODUCT('Advanced Variables'!$E$11:$J$11,1/'Advanced Variables'!$E$20:$J$20,'Advanced Variables'!D235:I235)+'Advanced Variables'!$D$88*'Advanced Variables'!I425+'Advanced Variables'!$D$89*'Advanced Variables'!F425+'Advanced Variables'!$D$90*'Advanced Variables'!J425</f>
        <v>91.720574999999997</v>
      </c>
      <c r="D88" s="144">
        <f>$D$23*SUMPRODUCT('Advanced Variables'!$E$11:$J$11,1/'Advanced Variables'!$E$20:$J$20,'Advanced Variables'!D235:I235)+$D$27*'Advanced Variables'!F358+$D$28*'Advanced Variables'!G235</f>
        <v>107665.54940085199</v>
      </c>
      <c r="E88" s="144">
        <f>$E$23*SUMPRODUCT('Advanced Variables'!$E$11:$J$11,1/'Advanced Variables'!$E$20:$J$20,'Advanced Variables'!D235:I235)+$E$27*'Advanced Variables'!F358+$E$24*SUMPRODUCT('Advanced Variables'!$E$12:$J$12,1/'Advanced Variables'!$E$20:$J$20,'Advanced Variables'!D235:I235)+('Biological Treatment'!$C$44+'Biological Treatment'!$J$44)*'Advanced Variables'!J171+('Biological Treatment'!$C$97+'Biological Treatment'!$J$97)*'Advanced Variables'!P171</f>
        <v>163198.180398528</v>
      </c>
      <c r="F88" s="10" t="s">
        <v>513</v>
      </c>
      <c r="G88" s="144">
        <f>$G$23*SUMPRODUCT('Advanced Variables'!$E$11:$J$11,1/'Advanced Variables'!$E$20:$J$20,'Advanced Variables'!D235:I235)+$G$24*SUMPRODUCT('Advanced Variables'!$E$12:$J$12,1/'Advanced Variables'!$E$20:$J$20,'Advanced Variables'!D235:I235)+$G$27*'Advanced Variables'!F358+(1-Landfilling!$J$191)*Landfilling!$D$189*'Advanced Variables'!O509+(1-Landfilling!$J$166)*(SUMPRODUCT(Landfilling!$B$85:$D$85,Landfilling!$C$115:$E$115,'Advanced Variables'!D509:F509)+SUMPRODUCT(Landfilling!$E$85:$F$85,Landfilling!$E$115:$F$115,'Advanced Variables'!G509:H509)+SUMPRODUCT(Landfilling!$G$85:$L$85,Landfilling!$F$115:$K$115,'Advanced Variables'!I509:N509))</f>
        <v>-298200.16785704065</v>
      </c>
      <c r="H88" s="144">
        <f>$H$27*'Advanced Variables'!F358-SUMPRODUCT('Materials Recycling'!$G$10:$M$10,(1-'Advanced Variables'!$C$99:$I$99),'Advanced Variables'!C171:I171)-'Materials Recycling'!$H$32*'Advanced Variables'!U171-'Materials Recycling'!$N$10*(1-'Advanced Variables'!$J$99)*'Advanced Variables'!K171</f>
        <v>-17670926.789678928</v>
      </c>
      <c r="I88" s="147">
        <f t="shared" si="6"/>
        <v>-17698171.507161587</v>
      </c>
    </row>
    <row r="89" spans="1:9">
      <c r="A89" s="9" t="s">
        <v>1348</v>
      </c>
      <c r="B89" s="10" t="s">
        <v>1378</v>
      </c>
      <c r="C89" s="144">
        <f>$C$26*'Advanced Variables'!E359+$C$27*'Advanced Variables'!F359+$C$23*SUMPRODUCT('Advanced Variables'!$E$11:$J$11,1/'Advanced Variables'!$E$20:$J$20,'Advanced Variables'!D236:I236)+'Advanced Variables'!$D$88*'Advanced Variables'!I426+'Advanced Variables'!$D$89*'Advanced Variables'!F426+'Advanced Variables'!$D$90*'Advanced Variables'!J426</f>
        <v>15261.804</v>
      </c>
      <c r="D89" s="144">
        <f>$D$23*SUMPRODUCT('Advanced Variables'!$E$11:$J$11,1/'Advanced Variables'!$E$20:$J$20,'Advanced Variables'!D236:I236)+$D$27*'Advanced Variables'!F359+$D$28*'Advanced Variables'!G236</f>
        <v>2096.3523522400001</v>
      </c>
      <c r="E89" s="144">
        <f>$E$23*SUMPRODUCT('Advanced Variables'!$E$11:$J$11,1/'Advanced Variables'!$E$20:$J$20,'Advanced Variables'!D236:I236)+$E$27*'Advanced Variables'!F359+$E$24*SUMPRODUCT('Advanced Variables'!$E$12:$J$12,1/'Advanced Variables'!$E$20:$J$20,'Advanced Variables'!D236:I236)+('Biological Treatment'!$C$44+'Biological Treatment'!$J$44)*'Advanced Variables'!J172+('Biological Treatment'!$C$97+'Biological Treatment'!$J$97)*'Advanced Variables'!P172</f>
        <v>392187.50142336002</v>
      </c>
      <c r="F89" s="10" t="s">
        <v>513</v>
      </c>
      <c r="G89" s="144">
        <f>$G$23*SUMPRODUCT('Advanced Variables'!$E$11:$J$11,1/'Advanced Variables'!$E$20:$J$20,'Advanced Variables'!D236:I236)+$G$24*SUMPRODUCT('Advanced Variables'!$E$12:$J$12,1/'Advanced Variables'!$E$20:$J$20,'Advanced Variables'!D236:I236)+$G$27*'Advanced Variables'!F359+(1-Landfilling!$J$191)*Landfilling!$D$189*'Advanced Variables'!O510+(1-Landfilling!$J$166)*(SUMPRODUCT(Landfilling!$B$85:$D$85,Landfilling!$C$115:$E$115,'Advanced Variables'!D510:F510)+SUMPRODUCT(Landfilling!$E$85:$F$85,Landfilling!$E$115:$F$115,'Advanced Variables'!G510:H510)+SUMPRODUCT(Landfilling!$G$85:$L$85,Landfilling!$F$115:$K$115,'Advanced Variables'!I510:N510))</f>
        <v>-632.2605120551234</v>
      </c>
      <c r="H89" s="144">
        <f>$H$27*'Advanced Variables'!F359-SUMPRODUCT('Materials Recycling'!$G$10:$M$10,(1-'Advanced Variables'!$C$99:$I$99),'Advanced Variables'!C172:I172)-'Materials Recycling'!$H$32*'Advanced Variables'!U172-'Materials Recycling'!$N$10*(1-'Advanced Variables'!$J$99)*'Advanced Variables'!K172</f>
        <v>-265063.08490097604</v>
      </c>
      <c r="I89" s="147">
        <f t="shared" si="6"/>
        <v>143850.31236256886</v>
      </c>
    </row>
    <row r="90" spans="1:9">
      <c r="A90" s="9" t="s">
        <v>1026</v>
      </c>
      <c r="B90" s="10" t="s">
        <v>1378</v>
      </c>
      <c r="C90" s="144">
        <f>$C$26*'Advanced Variables'!E360+$C$27*'Advanced Variables'!F360+$C$23*SUMPRODUCT('Advanced Variables'!$E$11:$J$11,1/'Advanced Variables'!$E$20:$J$20,'Advanced Variables'!D237:I237)+'Advanced Variables'!$D$88*'Advanced Variables'!I427+'Advanced Variables'!$D$89*'Advanced Variables'!F427+'Advanced Variables'!$D$90*'Advanced Variables'!J427</f>
        <v>6.3318156E-2</v>
      </c>
      <c r="D90" s="144">
        <f>$D$23*SUMPRODUCT('Advanced Variables'!$E$11:$J$11,1/'Advanced Variables'!$E$20:$J$20,'Advanced Variables'!D237:I237)+$D$27*'Advanced Variables'!F360+$D$28*'Advanced Variables'!G237</f>
        <v>215.15157195188337</v>
      </c>
      <c r="E90" s="144">
        <f>$E$23*SUMPRODUCT('Advanced Variables'!$E$11:$J$11,1/'Advanced Variables'!$E$20:$J$20,'Advanced Variables'!D237:I237)+$E$27*'Advanced Variables'!F360+$E$24*SUMPRODUCT('Advanced Variables'!$E$12:$J$12,1/'Advanced Variables'!$E$20:$J$20,'Advanced Variables'!D237:I237)+('Biological Treatment'!$C$44+'Biological Treatment'!$J$44)*'Advanced Variables'!J173+('Biological Treatment'!$C$97+'Biological Treatment'!$J$97)*'Advanced Variables'!P173</f>
        <v>326.12441279445511</v>
      </c>
      <c r="F90" s="10" t="s">
        <v>513</v>
      </c>
      <c r="G90" s="144">
        <f>$G$23*SUMPRODUCT('Advanced Variables'!$E$11:$J$11,1/'Advanced Variables'!$E$20:$J$20,'Advanced Variables'!D237:I237)+$G$24*SUMPRODUCT('Advanced Variables'!$E$12:$J$12,1/'Advanced Variables'!$E$20:$J$20,'Advanced Variables'!D237:I237)+$G$27*'Advanced Variables'!F360+(1-Landfilling!$J$191)*Landfilling!$D$189*'Advanced Variables'!O511+(1-Landfilling!$J$166)*(SUMPRODUCT(Landfilling!$B$85:$D$85,Landfilling!$C$115:$E$115,'Advanced Variables'!D511:F511)+SUMPRODUCT(Landfilling!$E$85:$F$85,Landfilling!$E$115:$F$115,'Advanced Variables'!G511:H511)+SUMPRODUCT(Landfilling!$G$85:$L$85,Landfilling!$F$115:$K$115,'Advanced Variables'!I511:N511))</f>
        <v>-591.89234011447206</v>
      </c>
      <c r="H90" s="144">
        <f>$H$27*'Advanced Variables'!F360-SUMPRODUCT('Materials Recycling'!$G$10:$M$10,(1-'Advanced Variables'!$C$99:$I$99),'Advanced Variables'!C173:I173)-'Materials Recycling'!$H$32*'Advanced Variables'!U173-'Materials Recycling'!$N$10*(1-'Advanced Variables'!$J$99)*'Advanced Variables'!K173</f>
        <v>-36231.867173191757</v>
      </c>
      <c r="I90" s="147">
        <f t="shared" si="6"/>
        <v>-36282.420210403892</v>
      </c>
    </row>
    <row r="91" spans="1:9">
      <c r="A91" s="9" t="s">
        <v>1349</v>
      </c>
      <c r="B91" s="10" t="s">
        <v>1378</v>
      </c>
      <c r="C91" s="144">
        <f>$C$26*'Advanced Variables'!E361+$C$27*'Advanced Variables'!F361+$C$23*SUMPRODUCT('Advanced Variables'!$E$11:$J$11,1/'Advanced Variables'!$E$20:$J$20,'Advanced Variables'!D238:I238)+'Advanced Variables'!$D$88*'Advanced Variables'!I428+'Advanced Variables'!$D$89*'Advanced Variables'!F428+'Advanced Variables'!$D$90*'Advanced Variables'!J428</f>
        <v>107.06508000000001</v>
      </c>
      <c r="D91" s="144">
        <f>$D$23*SUMPRODUCT('Advanced Variables'!$E$11:$J$11,1/'Advanced Variables'!$E$20:$J$20,'Advanced Variables'!D238:I238)+$D$27*'Advanced Variables'!F361+$D$28*'Advanced Variables'!G238</f>
        <v>10777.8847016048</v>
      </c>
      <c r="E91" s="144">
        <f>$E$23*SUMPRODUCT('Advanced Variables'!$E$11:$J$11,1/'Advanced Variables'!$E$20:$J$20,'Advanced Variables'!D238:I238)+$E$27*'Advanced Variables'!F361+$E$24*SUMPRODUCT('Advanced Variables'!$E$12:$J$12,1/'Advanced Variables'!$E$20:$J$20,'Advanced Variables'!D238:I238)+('Biological Treatment'!$C$44+'Biological Treatment'!$J$44)*'Advanced Variables'!J174+('Biological Treatment'!$C$97+'Biological Treatment'!$J$97)*'Advanced Variables'!P174</f>
        <v>16336.8592083072</v>
      </c>
      <c r="F91" s="10" t="s">
        <v>513</v>
      </c>
      <c r="G91" s="144">
        <f>$G$23*SUMPRODUCT('Advanced Variables'!$E$11:$J$11,1/'Advanced Variables'!$E$20:$J$20,'Advanced Variables'!D238:I238)+$G$24*SUMPRODUCT('Advanced Variables'!$E$12:$J$12,1/'Advanced Variables'!$E$20:$J$20,'Advanced Variables'!D238:I238)+$G$27*'Advanced Variables'!F361+(1-Landfilling!$J$191)*Landfilling!$D$189*'Advanced Variables'!O512+(1-Landfilling!$J$166)*(SUMPRODUCT(Landfilling!$B$85:$D$85,Landfilling!$C$115:$E$115,'Advanced Variables'!D512:F512)+SUMPRODUCT(Landfilling!$E$85:$F$85,Landfilling!$E$115:$F$115,'Advanced Variables'!G512:H512)+SUMPRODUCT(Landfilling!$G$85:$L$85,Landfilling!$F$115:$K$115,'Advanced Variables'!I512:N512))</f>
        <v>-29848.65476680125</v>
      </c>
      <c r="H91" s="144">
        <f>$H$27*'Advanced Variables'!F361-SUMPRODUCT('Materials Recycling'!$G$10:$M$10,(1-'Advanced Variables'!$C$99:$I$99),'Advanced Variables'!C174:I174)-'Materials Recycling'!$H$32*'Advanced Variables'!U174-'Materials Recycling'!$N$10*(1-'Advanced Variables'!$J$99)*'Advanced Variables'!K174</f>
        <v>-1650218.8431807635</v>
      </c>
      <c r="I91" s="147">
        <f t="shared" si="6"/>
        <v>-1652845.6889576528</v>
      </c>
    </row>
    <row r="92" spans="1:9">
      <c r="A92" s="9" t="s">
        <v>1027</v>
      </c>
      <c r="B92" s="10" t="s">
        <v>1378</v>
      </c>
      <c r="C92" s="144">
        <f>$C$26*'Advanced Variables'!E362+$C$27*'Advanced Variables'!F362+$C$23*SUMPRODUCT('Advanced Variables'!$E$11:$J$11,1/'Advanced Variables'!$E$20:$J$20,'Advanced Variables'!D239:I239)+'Advanced Variables'!$D$88*'Advanced Variables'!I429+'Advanced Variables'!$D$89*'Advanced Variables'!F429+'Advanced Variables'!$D$90*'Advanced Variables'!J429</f>
        <v>4.6757712000000001E-5</v>
      </c>
      <c r="D92" s="144">
        <f>$D$23*SUMPRODUCT('Advanced Variables'!$E$11:$J$11,1/'Advanced Variables'!$E$20:$J$20,'Advanced Variables'!D239:I239)+$D$27*'Advanced Variables'!F362+$D$28*'Advanced Variables'!G239</f>
        <v>7.0065101290617751</v>
      </c>
      <c r="E92" s="144">
        <f>$E$23*SUMPRODUCT('Advanced Variables'!$E$11:$J$11,1/'Advanced Variables'!$E$20:$J$20,'Advanced Variables'!D239:I239)+$E$27*'Advanced Variables'!F362+$E$24*SUMPRODUCT('Advanced Variables'!$E$12:$J$12,1/'Advanced Variables'!$E$20:$J$20,'Advanced Variables'!D239:I239)+('Biological Treatment'!$C$44+'Biological Treatment'!$J$44)*'Advanced Variables'!J175+('Biological Treatment'!$C$97+'Biological Treatment'!$J$97)*'Advanced Variables'!P175</f>
        <v>10.620394237127423</v>
      </c>
      <c r="F92" s="10" t="s">
        <v>513</v>
      </c>
      <c r="G92" s="144">
        <f>$G$23*SUMPRODUCT('Advanced Variables'!$E$11:$J$11,1/'Advanced Variables'!$E$20:$J$20,'Advanced Variables'!D239:I239)+$G$24*SUMPRODUCT('Advanced Variables'!$E$12:$J$12,1/'Advanced Variables'!$E$20:$J$20,'Advanced Variables'!D239:I239)+$G$27*'Advanced Variables'!F362+(1-Landfilling!$J$191)*Landfilling!$D$189*'Advanced Variables'!O513+(1-Landfilling!$J$166)*(SUMPRODUCT(Landfilling!$B$85:$D$85,Landfilling!$C$115:$E$115,'Advanced Variables'!D513:F513)+SUMPRODUCT(Landfilling!$E$85:$F$85,Landfilling!$E$115:$F$115,'Advanced Variables'!G513:H513)+SUMPRODUCT(Landfilling!$G$85:$L$85,Landfilling!$F$115:$K$115,'Advanced Variables'!I513:N513))</f>
        <v>-16.036602111270316</v>
      </c>
      <c r="H92" s="144">
        <f>$H$27*'Advanced Variables'!F362-SUMPRODUCT('Materials Recycling'!$G$10:$M$10,(1-'Advanced Variables'!$C$99:$I$99),'Advanced Variables'!C175:I175)-'Materials Recycling'!$H$32*'Advanced Variables'!U175-'Materials Recycling'!$N$10*(1-'Advanced Variables'!$J$99)*'Advanced Variables'!K175</f>
        <v>-1510.2316484706666</v>
      </c>
      <c r="I92" s="147">
        <f t="shared" si="6"/>
        <v>-1508.6412994580357</v>
      </c>
    </row>
    <row r="93" spans="1:9">
      <c r="A93" s="9" t="s">
        <v>1350</v>
      </c>
      <c r="B93" s="10" t="s">
        <v>1378</v>
      </c>
      <c r="C93" s="144">
        <f>$C$26*'Advanced Variables'!E363+$C$27*'Advanced Variables'!F363+$C$23*SUMPRODUCT('Advanced Variables'!$E$11:$J$11,1/'Advanced Variables'!$E$20:$J$20,'Advanced Variables'!D240:I240)+'Advanced Variables'!$D$88*'Advanced Variables'!I430+'Advanced Variables'!$D$89*'Advanced Variables'!F430+'Advanced Variables'!$D$90*'Advanced Variables'!J430</f>
        <v>22557747</v>
      </c>
      <c r="D93" s="144">
        <f>$D$23*SUMPRODUCT('Advanced Variables'!$E$11:$J$11,1/'Advanced Variables'!$E$20:$J$20,'Advanced Variables'!D240:I240)+$D$27*'Advanced Variables'!F363+$D$28*'Advanced Variables'!G240</f>
        <v>1217805.08232</v>
      </c>
      <c r="E93" s="144">
        <f>$E$23*SUMPRODUCT('Advanced Variables'!$E$11:$J$11,1/'Advanced Variables'!$E$20:$J$20,'Advanced Variables'!D240:I240)+$E$27*'Advanced Variables'!F363+$E$24*SUMPRODUCT('Advanced Variables'!$E$12:$J$12,1/'Advanced Variables'!$E$20:$J$20,'Advanced Variables'!D240:I240)+('Biological Treatment'!$C$44+'Biological Treatment'!$J$44)*'Advanced Variables'!J176+('Biological Treatment'!$C$97+'Biological Treatment'!$J$97)*'Advanced Variables'!P176</f>
        <v>1815261.1084799999</v>
      </c>
      <c r="F93" s="10" t="s">
        <v>513</v>
      </c>
      <c r="G93" s="144">
        <f>$G$23*SUMPRODUCT('Advanced Variables'!$E$11:$J$11,1/'Advanced Variables'!$E$20:$J$20,'Advanced Variables'!D240:I240)+$G$24*SUMPRODUCT('Advanced Variables'!$E$12:$J$12,1/'Advanced Variables'!$E$20:$J$20,'Advanced Variables'!D240:I240)+$G$27*'Advanced Variables'!F363+(1-Landfilling!$J$191)*Landfilling!$D$189*'Advanced Variables'!O514+(1-Landfilling!$J$166)*(SUMPRODUCT(Landfilling!$B$85:$D$85,Landfilling!$C$115:$E$115,'Advanced Variables'!D514:F514)+SUMPRODUCT(Landfilling!$E$85:$F$85,Landfilling!$E$115:$F$115,'Advanced Variables'!G514:H514)+SUMPRODUCT(Landfilling!$G$85:$L$85,Landfilling!$F$115:$K$115,'Advanced Variables'!I514:N514))</f>
        <v>-2663485.0230692816</v>
      </c>
      <c r="H93" s="144">
        <f>$H$27*'Advanced Variables'!F363-SUMPRODUCT('Materials Recycling'!$G$10:$M$10,(1-'Advanced Variables'!$C$99:$I$99),'Advanced Variables'!C176:I176)-'Materials Recycling'!$H$32*'Advanced Variables'!U176-'Materials Recycling'!$N$10*(1-'Advanced Variables'!$J$99)*'Advanced Variables'!K176</f>
        <v>88261957.825631991</v>
      </c>
      <c r="I93" s="147">
        <f t="shared" si="6"/>
        <v>111189285.99336271</v>
      </c>
    </row>
    <row r="94" spans="1:9">
      <c r="A94" s="9" t="s">
        <v>1028</v>
      </c>
      <c r="B94" s="10" t="s">
        <v>1378</v>
      </c>
      <c r="C94" s="144">
        <f>$C$26*'Advanced Variables'!E364+$C$27*'Advanced Variables'!F364+$C$23*SUMPRODUCT('Advanced Variables'!$E$11:$J$11,1/'Advanced Variables'!$E$20:$J$20,'Advanced Variables'!D241:I241)+'Advanced Variables'!$D$88*'Advanced Variables'!I431+'Advanced Variables'!$D$89*'Advanced Variables'!F431+'Advanced Variables'!$D$90*'Advanced Variables'!J431</f>
        <v>0.50745751500000003</v>
      </c>
      <c r="D94" s="144">
        <f>$D$23*SUMPRODUCT('Advanced Variables'!$E$11:$J$11,1/'Advanced Variables'!$E$20:$J$20,'Advanced Variables'!D241:I241)+$D$27*'Advanced Variables'!F364+$D$28*'Advanced Variables'!G241</f>
        <v>1070.9446873280383</v>
      </c>
      <c r="E94" s="144">
        <f>$E$23*SUMPRODUCT('Advanced Variables'!$E$11:$J$11,1/'Advanced Variables'!$E$20:$J$20,'Advanced Variables'!D241:I241)+$E$27*'Advanced Variables'!F364+$E$24*SUMPRODUCT('Advanced Variables'!$E$12:$J$12,1/'Advanced Variables'!$E$20:$J$20,'Advanced Variables'!D241:I241)+('Biological Treatment'!$C$44+'Biological Treatment'!$J$44)*'Advanced Variables'!J177+('Biological Treatment'!$C$97+'Biological Treatment'!$J$97)*'Advanced Variables'!P177</f>
        <v>1623.3260494392575</v>
      </c>
      <c r="F94" s="10" t="s">
        <v>513</v>
      </c>
      <c r="G94" s="144">
        <f>$G$23*SUMPRODUCT('Advanced Variables'!$E$11:$J$11,1/'Advanced Variables'!$E$20:$J$20,'Advanced Variables'!D241:I241)+$G$24*SUMPRODUCT('Advanced Variables'!$E$12:$J$12,1/'Advanced Variables'!$E$20:$J$20,'Advanced Variables'!D241:I241)+$G$27*'Advanced Variables'!F364+(1-Landfilling!$J$191)*Landfilling!$D$189*'Advanced Variables'!O515+(1-Landfilling!$J$166)*(SUMPRODUCT(Landfilling!$B$85:$D$85,Landfilling!$C$115:$E$115,'Advanced Variables'!D515:F515)+SUMPRODUCT(Landfilling!$E$85:$F$85,Landfilling!$E$115:$F$115,'Advanced Variables'!G515:H515)+SUMPRODUCT(Landfilling!$G$85:$L$85,Landfilling!$F$115:$K$115,'Advanced Variables'!I515:N515))</f>
        <v>-2943.5793143146284</v>
      </c>
      <c r="H94" s="144">
        <f>$H$27*'Advanced Variables'!F364-SUMPRODUCT('Materials Recycling'!$G$10:$M$10,(1-'Advanced Variables'!$C$99:$I$99),'Advanced Variables'!C177:I177)-'Materials Recycling'!$H$32*'Advanced Variables'!U177-'Materials Recycling'!$N$10*(1-'Advanced Variables'!$J$99)*'Advanced Variables'!K177</f>
        <v>-183086.65496705062</v>
      </c>
      <c r="I94" s="147">
        <f t="shared" si="6"/>
        <v>-183335.45608708294</v>
      </c>
    </row>
    <row r="95" spans="1:9">
      <c r="A95" s="9" t="s">
        <v>1029</v>
      </c>
      <c r="B95" s="10" t="s">
        <v>1378</v>
      </c>
      <c r="C95" s="144">
        <f>$C$26*'Advanced Variables'!E365+$C$27*'Advanced Variables'!F365+$C$23*SUMPRODUCT('Advanced Variables'!$E$11:$J$11,1/'Advanced Variables'!$E$20:$J$20,'Advanced Variables'!D242:I242)+'Advanced Variables'!$D$88*'Advanced Variables'!I432+'Advanced Variables'!$D$89*'Advanced Variables'!F432+'Advanced Variables'!$D$90*'Advanced Variables'!J432</f>
        <v>0.150540915</v>
      </c>
      <c r="D95" s="144">
        <f>$D$23*SUMPRODUCT('Advanced Variables'!$E$11:$J$11,1/'Advanced Variables'!$E$20:$J$20,'Advanced Variables'!D242:I242)+$D$27*'Advanced Variables'!F365+$D$28*'Advanced Variables'!G242</f>
        <v>529.44023219526241</v>
      </c>
      <c r="E95" s="144">
        <f>$E$23*SUMPRODUCT('Advanced Variables'!$E$11:$J$11,1/'Advanced Variables'!$E$20:$J$20,'Advanced Variables'!D242:I242)+$E$27*'Advanced Variables'!F365+$E$24*SUMPRODUCT('Advanced Variables'!$E$12:$J$12,1/'Advanced Variables'!$E$20:$J$20,'Advanced Variables'!D242:I242)+('Biological Treatment'!$C$44+'Biological Treatment'!$J$44)*'Advanced Variables'!J178+('Biological Treatment'!$C$97+'Biological Treatment'!$J$97)*'Advanced Variables'!P178</f>
        <v>802.51975336959356</v>
      </c>
      <c r="F95" s="10" t="s">
        <v>513</v>
      </c>
      <c r="G95" s="144">
        <f>$G$23*SUMPRODUCT('Advanced Variables'!$E$11:$J$11,1/'Advanced Variables'!$E$20:$J$20,'Advanced Variables'!D242:I242)+$G$24*SUMPRODUCT('Advanced Variables'!$E$12:$J$12,1/'Advanced Variables'!$E$20:$J$20,'Advanced Variables'!D242:I242)+$G$27*'Advanced Variables'!F365+(1-Landfilling!$J$191)*Landfilling!$D$189*'Advanced Variables'!O516+(1-Landfilling!$J$166)*(SUMPRODUCT(Landfilling!$B$85:$D$85,Landfilling!$C$115:$E$115,'Advanced Variables'!D516:F516)+SUMPRODUCT(Landfilling!$E$85:$F$85,Landfilling!$E$115:$F$115,'Advanced Variables'!G516:H516)+SUMPRODUCT(Landfilling!$G$85:$L$85,Landfilling!$F$115:$K$115,'Advanced Variables'!I516:N516))</f>
        <v>-1405.6451896732922</v>
      </c>
      <c r="H95" s="144">
        <f>$H$27*'Advanced Variables'!F365-SUMPRODUCT('Materials Recycling'!$G$10:$M$10,(1-'Advanced Variables'!$C$99:$I$99),'Advanced Variables'!C178:I178)-'Materials Recycling'!$H$32*'Advanced Variables'!U178-'Materials Recycling'!$N$10*(1-'Advanced Variables'!$J$99)*'Advanced Variables'!K178</f>
        <v>-75840.718342589491</v>
      </c>
      <c r="I95" s="147">
        <f t="shared" si="6"/>
        <v>-75914.253005782928</v>
      </c>
    </row>
    <row r="96" spans="1:9">
      <c r="A96" s="9" t="s">
        <v>1351</v>
      </c>
      <c r="B96" s="10" t="s">
        <v>1378</v>
      </c>
      <c r="C96" s="144">
        <f>$C$26*'Advanced Variables'!E366+$C$27*'Advanced Variables'!F366+$C$23*SUMPRODUCT('Advanced Variables'!$E$11:$J$11,1/'Advanced Variables'!$E$20:$J$20,'Advanced Variables'!D243:I243)+'Advanced Variables'!$D$88*'Advanced Variables'!I433+'Advanced Variables'!$D$89*'Advanced Variables'!F433+'Advanced Variables'!$D$90*'Advanced Variables'!J433</f>
        <v>1.65203685E-4</v>
      </c>
      <c r="D96" s="144">
        <f>$D$23*SUMPRODUCT('Advanced Variables'!$E$11:$J$11,1/'Advanced Variables'!$E$20:$J$20,'Advanced Variables'!D243:I243)+$D$27*'Advanced Variables'!F366+$D$28*'Advanced Variables'!G243</f>
        <v>7.0791906431090332</v>
      </c>
      <c r="E96" s="144">
        <f>$E$23*SUMPRODUCT('Advanced Variables'!$E$11:$J$11,1/'Advanced Variables'!$E$20:$J$20,'Advanced Variables'!D243:I243)+$E$27*'Advanced Variables'!F366+$E$24*SUMPRODUCT('Advanced Variables'!$E$12:$J$12,1/'Advanced Variables'!$E$20:$J$20,'Advanced Variables'!D243:I243)+('Biological Treatment'!$C$44+'Biological Treatment'!$J$44)*'Advanced Variables'!J179+('Biological Treatment'!$C$97+'Biological Treatment'!$J$97)*'Advanced Variables'!P179</f>
        <v>10.730562432117349</v>
      </c>
      <c r="F96" s="10" t="s">
        <v>513</v>
      </c>
      <c r="G96" s="144">
        <f>$G$23*SUMPRODUCT('Advanced Variables'!$E$11:$J$11,1/'Advanced Variables'!$E$20:$J$20,'Advanced Variables'!D243:I243)+$G$24*SUMPRODUCT('Advanced Variables'!$E$12:$J$12,1/'Advanced Variables'!$E$20:$J$20,'Advanced Variables'!D243:I243)+$G$27*'Advanced Variables'!F366+(1-Landfilling!$J$191)*Landfilling!$D$189*'Advanced Variables'!O517+(1-Landfilling!$J$166)*(SUMPRODUCT(Landfilling!$B$85:$D$85,Landfilling!$C$115:$E$115,'Advanced Variables'!D517:F517)+SUMPRODUCT(Landfilling!$E$85:$F$85,Landfilling!$E$115:$F$115,'Advanced Variables'!G517:H517)+SUMPRODUCT(Landfilling!$G$85:$L$85,Landfilling!$F$115:$K$115,'Advanced Variables'!I517:N517))</f>
        <v>-19.607328731942953</v>
      </c>
      <c r="H96" s="144">
        <f>$H$27*'Advanced Variables'!F366-SUMPRODUCT('Materials Recycling'!$G$10:$M$10,(1-'Advanced Variables'!$C$99:$I$99),'Advanced Variables'!C179:I179)-'Materials Recycling'!$H$32*'Advanced Variables'!U179-'Materials Recycling'!$N$10*(1-'Advanced Variables'!$J$99)*'Advanced Variables'!K179</f>
        <v>-16001622.018462613</v>
      </c>
      <c r="I96" s="147">
        <f t="shared" si="6"/>
        <v>-16001623.815873066</v>
      </c>
    </row>
    <row r="97" spans="1:9">
      <c r="A97" s="9" t="s">
        <v>1352</v>
      </c>
      <c r="B97" s="10" t="s">
        <v>1378</v>
      </c>
      <c r="C97" s="144">
        <f>$C$26*'Advanced Variables'!E367+$C$27*'Advanced Variables'!F367+$C$23*SUMPRODUCT('Advanced Variables'!$E$11:$J$11,1/'Advanced Variables'!$E$20:$J$20,'Advanced Variables'!D244:I244)+'Advanced Variables'!$D$88*'Advanced Variables'!I434+'Advanced Variables'!$D$89*'Advanced Variables'!F434+'Advanced Variables'!$D$90*'Advanced Variables'!J434</f>
        <v>0</v>
      </c>
      <c r="D97" s="144">
        <f>$D$23*SUMPRODUCT('Advanced Variables'!$E$11:$J$11,1/'Advanced Variables'!$E$20:$J$20,'Advanced Variables'!D244:I244)+$D$27*'Advanced Variables'!F367+$D$28*'Advanced Variables'!G244</f>
        <v>0</v>
      </c>
      <c r="E97" s="144">
        <f>$E$23*SUMPRODUCT('Advanced Variables'!$E$11:$J$11,1/'Advanced Variables'!$E$20:$J$20,'Advanced Variables'!D244:I244)+$E$27*'Advanced Variables'!F367+$E$24*SUMPRODUCT('Advanced Variables'!$E$12:$J$12,1/'Advanced Variables'!$E$20:$J$20,'Advanced Variables'!D244:I244)+('Biological Treatment'!$C$44+'Biological Treatment'!$J$44)*'Advanced Variables'!J180+('Biological Treatment'!$C$97+'Biological Treatment'!$J$97)*'Advanced Variables'!P180</f>
        <v>0</v>
      </c>
      <c r="F97" s="10" t="s">
        <v>513</v>
      </c>
      <c r="G97" s="144">
        <f>$G$23*SUMPRODUCT('Advanced Variables'!$E$11:$J$11,1/'Advanced Variables'!$E$20:$J$20,'Advanced Variables'!D244:I244)+$G$24*SUMPRODUCT('Advanced Variables'!$E$12:$J$12,1/'Advanced Variables'!$E$20:$J$20,'Advanced Variables'!D244:I244)+$G$27*'Advanced Variables'!F367+(1-Landfilling!$J$191)*Landfilling!$D$189*'Advanced Variables'!O518+(1-Landfilling!$J$166)*(SUMPRODUCT(Landfilling!$B$85:$D$85,Landfilling!$C$115:$E$115,'Advanced Variables'!D518:F518)+SUMPRODUCT(Landfilling!$E$85:$F$85,Landfilling!$E$115:$F$115,'Advanced Variables'!G518:H518)+SUMPRODUCT(Landfilling!$G$85:$L$85,Landfilling!$F$115:$K$115,'Advanced Variables'!I518:N518))</f>
        <v>444.11887453125007</v>
      </c>
      <c r="H97" s="144">
        <f>$H$27*'Advanced Variables'!F367-SUMPRODUCT('Materials Recycling'!$G$10:$M$10,(1-'Advanced Variables'!$C$99:$I$99),'Advanced Variables'!C180:I180)-'Materials Recycling'!$H$32*'Advanced Variables'!U180-'Materials Recycling'!$N$10*(1-'Advanced Variables'!$J$99)*'Advanced Variables'!K180</f>
        <v>-2574.5</v>
      </c>
      <c r="I97" s="147">
        <f t="shared" si="6"/>
        <v>-2130.3811254687498</v>
      </c>
    </row>
    <row r="98" spans="1:9">
      <c r="A98" s="9" t="s">
        <v>1353</v>
      </c>
      <c r="B98" s="10" t="s">
        <v>1378</v>
      </c>
      <c r="C98" s="144">
        <f>$C$26*'Advanced Variables'!E368+$C$27*'Advanced Variables'!F368+$C$23*SUMPRODUCT('Advanced Variables'!$E$11:$J$11,1/'Advanced Variables'!$E$20:$J$20,'Advanced Variables'!D245:I245)+'Advanced Variables'!$D$88*'Advanced Variables'!I435+'Advanced Variables'!$D$89*'Advanced Variables'!F435+'Advanced Variables'!$D$90*'Advanced Variables'!J435</f>
        <v>30373.212</v>
      </c>
      <c r="D98" s="144">
        <f>$D$23*SUMPRODUCT('Advanced Variables'!$E$11:$J$11,1/'Advanced Variables'!$E$20:$J$20,'Advanced Variables'!D245:I245)+$D$27*'Advanced Variables'!F368+$D$28*'Advanced Variables'!G245</f>
        <v>144200.00031172001</v>
      </c>
      <c r="E98" s="144">
        <f>$E$23*SUMPRODUCT('Advanced Variables'!$E$11:$J$11,1/'Advanced Variables'!$E$20:$J$20,'Advanced Variables'!D245:I245)+$E$27*'Advanced Variables'!F368+$E$24*SUMPRODUCT('Advanced Variables'!$E$12:$J$12,1/'Advanced Variables'!$E$20:$J$20,'Advanced Variables'!D245:I245)+('Biological Treatment'!$C$44+'Biological Treatment'!$J$44)*'Advanced Variables'!J181+('Biological Treatment'!$C$97+'Biological Treatment'!$J$97)*'Advanced Variables'!P181</f>
        <v>218544.59179008001</v>
      </c>
      <c r="F98" s="10" t="s">
        <v>513</v>
      </c>
      <c r="G98" s="144">
        <f>$G$23*SUMPRODUCT('Advanced Variables'!$E$11:$J$11,1/'Advanced Variables'!$E$20:$J$20,'Advanced Variables'!D245:I245)+$G$24*SUMPRODUCT('Advanced Variables'!$E$12:$J$12,1/'Advanced Variables'!$E$20:$J$20,'Advanced Variables'!D245:I245)+$G$27*'Advanced Variables'!F368+(1-Landfilling!$J$191)*Landfilling!$D$189*'Advanced Variables'!O519+(1-Landfilling!$J$166)*(SUMPRODUCT(Landfilling!$B$85:$D$85,Landfilling!$C$115:$E$115,'Advanced Variables'!D519:F519)+SUMPRODUCT(Landfilling!$E$85:$F$85,Landfilling!$E$115:$F$115,'Advanced Variables'!G519:H519)+SUMPRODUCT(Landfilling!$G$85:$L$85,Landfilling!$F$115:$K$115,'Advanced Variables'!I519:N519))</f>
        <v>-376874.22193959565</v>
      </c>
      <c r="H98" s="144">
        <f>$H$27*'Advanced Variables'!F368-SUMPRODUCT('Materials Recycling'!$G$10:$M$10,(1-'Advanced Variables'!$C$99:$I$99),'Advanced Variables'!C181:I181)-'Materials Recycling'!$H$32*'Advanced Variables'!U181-'Materials Recycling'!$N$10*(1-'Advanced Variables'!$J$99)*'Advanced Variables'!K181</f>
        <v>-2580644.6616499284</v>
      </c>
      <c r="I98" s="147">
        <f t="shared" si="6"/>
        <v>-2564401.0794877242</v>
      </c>
    </row>
    <row r="99" spans="1:9">
      <c r="A99" s="9" t="s">
        <v>1032</v>
      </c>
      <c r="B99" s="10" t="s">
        <v>1378</v>
      </c>
      <c r="C99" s="144">
        <f>$C$26*'Advanced Variables'!E369+$C$27*'Advanced Variables'!F369+$C$23*SUMPRODUCT('Advanced Variables'!$E$11:$J$11,1/'Advanced Variables'!$E$20:$J$20,'Advanced Variables'!D246:I246)+'Advanced Variables'!$D$88*'Advanced Variables'!I436+'Advanced Variables'!$D$89*'Advanced Variables'!F436+'Advanced Variables'!$D$90*'Advanced Variables'!J436</f>
        <v>0.138282555</v>
      </c>
      <c r="D99" s="144">
        <f>$D$23*SUMPRODUCT('Advanced Variables'!$E$11:$J$11,1/'Advanced Variables'!$E$20:$J$20,'Advanced Variables'!D246:I246)+$D$27*'Advanced Variables'!F369+$D$28*'Advanced Variables'!G246</f>
        <v>650.66840291730091</v>
      </c>
      <c r="E99" s="144">
        <f>$E$23*SUMPRODUCT('Advanced Variables'!$E$11:$J$11,1/'Advanced Variables'!$E$20:$J$20,'Advanced Variables'!D246:I246)+$E$27*'Advanced Variables'!F369+$E$24*SUMPRODUCT('Advanced Variables'!$E$12:$J$12,1/'Advanced Variables'!$E$20:$J$20,'Advanced Variables'!D246:I246)+('Biological Treatment'!$C$44+'Biological Treatment'!$J$44)*'Advanced Variables'!J182+('Biological Treatment'!$C$97+'Biological Treatment'!$J$97)*'Advanced Variables'!P182</f>
        <v>986.27616052485121</v>
      </c>
      <c r="F99" s="10" t="s">
        <v>513</v>
      </c>
      <c r="G99" s="144">
        <f>$G$23*SUMPRODUCT('Advanced Variables'!$E$11:$J$11,1/'Advanced Variables'!$E$20:$J$20,'Advanced Variables'!D246:I246)+$G$24*SUMPRODUCT('Advanced Variables'!$E$12:$J$12,1/'Advanced Variables'!$E$20:$J$20,'Advanced Variables'!D246:I246)+$G$27*'Advanced Variables'!F369+(1-Landfilling!$J$191)*Landfilling!$D$189*'Advanced Variables'!O520+(1-Landfilling!$J$166)*(SUMPRODUCT(Landfilling!$B$85:$D$85,Landfilling!$C$115:$E$115,'Advanced Variables'!D520:F520)+SUMPRODUCT(Landfilling!$E$85:$F$85,Landfilling!$E$115:$F$115,'Advanced Variables'!G520:H520)+SUMPRODUCT(Landfilling!$G$85:$L$85,Landfilling!$F$115:$K$115,'Advanced Variables'!I520:N520))</f>
        <v>-1786.9191233645643</v>
      </c>
      <c r="H99" s="144">
        <f>$H$27*'Advanced Variables'!F369-SUMPRODUCT('Materials Recycling'!$G$10:$M$10,(1-'Advanced Variables'!$C$99:$I$99),'Advanced Variables'!C182:I182)-'Materials Recycling'!$H$32*'Advanced Variables'!U182-'Materials Recycling'!$N$10*(1-'Advanced Variables'!$J$99)*'Advanced Variables'!K182</f>
        <v>-93041.161494020678</v>
      </c>
      <c r="I99" s="147">
        <f t="shared" si="6"/>
        <v>-93190.997771388094</v>
      </c>
    </row>
    <row r="100" spans="1:9">
      <c r="A100" s="9" t="s">
        <v>1030</v>
      </c>
      <c r="B100" s="10" t="s">
        <v>1378</v>
      </c>
      <c r="C100" s="144">
        <f>$C$26*'Advanced Variables'!E370+$C$27*'Advanced Variables'!F370+$C$23*SUMPRODUCT('Advanced Variables'!$E$11:$J$11,1/'Advanced Variables'!$E$20:$J$20,'Advanced Variables'!D247:I247)+'Advanced Variables'!$D$88*'Advanced Variables'!I437+'Advanced Variables'!$D$89*'Advanced Variables'!F437+'Advanced Variables'!$D$90*'Advanced Variables'!J437</f>
        <v>4.3713877500000001E-7</v>
      </c>
      <c r="D100" s="144">
        <f>$D$23*SUMPRODUCT('Advanced Variables'!$E$11:$J$11,1/'Advanced Variables'!$E$20:$J$20,'Advanced Variables'!D247:I247)+$D$27*'Advanced Variables'!F370+$D$28*'Advanced Variables'!G247</f>
        <v>0.19176907871714757</v>
      </c>
      <c r="E100" s="144">
        <f>$E$23*SUMPRODUCT('Advanced Variables'!$E$11:$J$11,1/'Advanced Variables'!$E$20:$J$20,'Advanced Variables'!D247:I247)+$E$27*'Advanced Variables'!F370+$E$24*SUMPRODUCT('Advanced Variables'!$E$12:$J$12,1/'Advanced Variables'!$E$20:$J$20,'Advanced Variables'!D247:I247)+('Biological Treatment'!$C$44+'Biological Treatment'!$J$44)*'Advanced Variables'!J183+('Biological Treatment'!$C$97+'Biological Treatment'!$J$97)*'Advanced Variables'!P183</f>
        <v>0.29068155033029341</v>
      </c>
      <c r="F100" s="10" t="s">
        <v>513</v>
      </c>
      <c r="G100" s="144">
        <f>$G$23*SUMPRODUCT('Advanced Variables'!$E$11:$J$11,1/'Advanced Variables'!$E$20:$J$20,'Advanced Variables'!D247:I247)+$G$24*SUMPRODUCT('Advanced Variables'!$E$12:$J$12,1/'Advanced Variables'!$E$20:$J$20,'Advanced Variables'!D247:I247)+$G$27*'Advanced Variables'!F370+(1-Landfilling!$J$191)*Landfilling!$D$189*'Advanced Variables'!O521+(1-Landfilling!$J$166)*(SUMPRODUCT(Landfilling!$B$85:$D$85,Landfilling!$C$115:$E$115,'Advanced Variables'!D521:F521)+SUMPRODUCT(Landfilling!$E$85:$F$85,Landfilling!$E$115:$F$115,'Advanced Variables'!G521:H521)+SUMPRODUCT(Landfilling!$G$85:$L$85,Landfilling!$F$115:$K$115,'Advanced Variables'!I521:N521))</f>
        <v>0.41259379481862718</v>
      </c>
      <c r="H100" s="144">
        <f>$H$27*'Advanced Variables'!F370-SUMPRODUCT('Materials Recycling'!$G$10:$M$10,(1-'Advanced Variables'!$C$99:$I$99),'Advanced Variables'!C183:I183)-'Materials Recycling'!$H$32*'Advanced Variables'!U183-'Materials Recycling'!$N$10*(1-'Advanced Variables'!$J$99)*'Advanced Variables'!K183</f>
        <v>24.271713704218946</v>
      </c>
      <c r="I100" s="147">
        <f t="shared" si="6"/>
        <v>25.166758565223791</v>
      </c>
    </row>
    <row r="101" spans="1:9">
      <c r="A101" s="9" t="s">
        <v>1031</v>
      </c>
      <c r="B101" s="10" t="s">
        <v>1378</v>
      </c>
      <c r="C101" s="144">
        <f>$C$26*'Advanced Variables'!E371+$C$27*'Advanced Variables'!F371+$C$23*SUMPRODUCT('Advanced Variables'!$E$11:$J$11,1/'Advanced Variables'!$E$20:$J$20,'Advanced Variables'!D248:I248)+'Advanced Variables'!$D$88*'Advanced Variables'!I438+'Advanced Variables'!$D$89*'Advanced Variables'!F438+'Advanced Variables'!$D$90*'Advanced Variables'!J438</f>
        <v>0.19332384</v>
      </c>
      <c r="D101" s="144">
        <f>$D$23*SUMPRODUCT('Advanced Variables'!$E$11:$J$11,1/'Advanced Variables'!$E$20:$J$20,'Advanced Variables'!D248:I248)+$D$27*'Advanced Variables'!F371+$D$28*'Advanced Variables'!G248</f>
        <v>538.3819893815903</v>
      </c>
      <c r="E101" s="144">
        <f>$E$23*SUMPRODUCT('Advanced Variables'!$E$11:$J$11,1/'Advanced Variables'!$E$20:$J$20,'Advanced Variables'!D248:I248)+$E$27*'Advanced Variables'!F371+$E$24*SUMPRODUCT('Advanced Variables'!$E$12:$J$12,1/'Advanced Variables'!$E$20:$J$20,'Advanced Variables'!D248:I248)+('Biological Treatment'!$C$44+'Biological Treatment'!$J$44)*'Advanced Variables'!J184+('Biological Treatment'!$C$97+'Biological Treatment'!$J$97)*'Advanced Variables'!P184</f>
        <v>816.07351701058542</v>
      </c>
      <c r="F101" s="10" t="s">
        <v>513</v>
      </c>
      <c r="G101" s="144">
        <f>$G$23*SUMPRODUCT('Advanced Variables'!$E$11:$J$11,1/'Advanced Variables'!$E$20:$J$20,'Advanced Variables'!D248:I248)+$G$24*SUMPRODUCT('Advanced Variables'!$E$12:$J$12,1/'Advanced Variables'!$E$20:$J$20,'Advanced Variables'!D248:I248)+$G$27*'Advanced Variables'!F371+(1-Landfilling!$J$191)*Landfilling!$D$189*'Advanced Variables'!O522+(1-Landfilling!$J$166)*(SUMPRODUCT(Landfilling!$B$85:$D$85,Landfilling!$C$115:$E$115,'Advanced Variables'!D522:F522)+SUMPRODUCT(Landfilling!$E$85:$F$85,Landfilling!$E$115:$F$115,'Advanced Variables'!G522:H522)+SUMPRODUCT(Landfilling!$G$85:$L$85,Landfilling!$F$115:$K$115,'Advanced Variables'!I522:N522))</f>
        <v>-1446.1559835670223</v>
      </c>
      <c r="H101" s="144">
        <f>$H$27*'Advanced Variables'!F371-SUMPRODUCT('Materials Recycling'!$G$10:$M$10,(1-'Advanced Variables'!$C$99:$I$99),'Advanced Variables'!C184:I184)-'Materials Recycling'!$H$32*'Advanced Variables'!U184-'Materials Recycling'!$N$10*(1-'Advanced Variables'!$J$99)*'Advanced Variables'!K184</f>
        <v>-88481.328357234001</v>
      </c>
      <c r="I101" s="147">
        <f t="shared" si="6"/>
        <v>-88572.835510568853</v>
      </c>
    </row>
    <row r="102" spans="1:9">
      <c r="A102" s="9" t="s">
        <v>1354</v>
      </c>
      <c r="B102" s="10" t="s">
        <v>1378</v>
      </c>
      <c r="C102" s="144">
        <f>$C$26*'Advanced Variables'!E372+$C$27*'Advanced Variables'!F372+$C$23*SUMPRODUCT('Advanced Variables'!$E$11:$J$11,1/'Advanced Variables'!$E$20:$J$20,'Advanced Variables'!D249:I249)+'Advanced Variables'!$D$88*'Advanced Variables'!I439+'Advanced Variables'!$D$89*'Advanced Variables'!F439+'Advanced Variables'!$D$90*'Advanced Variables'!J439</f>
        <v>27.622822499999998</v>
      </c>
      <c r="D102" s="144">
        <f>$D$23*SUMPRODUCT('Advanced Variables'!$E$11:$J$11,1/'Advanced Variables'!$E$20:$J$20,'Advanced Variables'!D249:I249)+$D$27*'Advanced Variables'!F372+$D$28*'Advanced Variables'!G249</f>
        <v>3156.4731390056004</v>
      </c>
      <c r="E102" s="144">
        <f>$E$23*SUMPRODUCT('Advanced Variables'!$E$11:$J$11,1/'Advanced Variables'!$E$20:$J$20,'Advanced Variables'!D249:I249)+$E$27*'Advanced Variables'!F372+$E$24*SUMPRODUCT('Advanced Variables'!$E$12:$J$12,1/'Advanced Variables'!$E$20:$J$20,'Advanced Variables'!D249:I249)+('Biological Treatment'!$C$44+'Biological Treatment'!$J$44)*'Advanced Variables'!J185+('Biological Treatment'!$C$97+'Biological Treatment'!$J$97)*'Advanced Variables'!P185</f>
        <v>4784.5109395584004</v>
      </c>
      <c r="F102" s="10" t="s">
        <v>513</v>
      </c>
      <c r="G102" s="144">
        <f>$G$23*SUMPRODUCT('Advanced Variables'!$E$11:$J$11,1/'Advanced Variables'!$E$20:$J$20,'Advanced Variables'!D249:I249)+$G$24*SUMPRODUCT('Advanced Variables'!$E$12:$J$12,1/'Advanced Variables'!$E$20:$J$20,'Advanced Variables'!D249:I249)+$G$27*'Advanced Variables'!F372+(1-Landfilling!$J$191)*Landfilling!$D$189*'Advanced Variables'!O523+(1-Landfilling!$J$166)*(SUMPRODUCT(Landfilling!$B$85:$D$85,Landfilling!$C$115:$E$115,'Advanced Variables'!D523:F523)+SUMPRODUCT(Landfilling!$E$85:$F$85,Landfilling!$E$115:$F$115,'Advanced Variables'!G523:H523)+SUMPRODUCT(Landfilling!$G$85:$L$85,Landfilling!$F$115:$K$115,'Advanced Variables'!I523:N523))</f>
        <v>-8741.744352870528</v>
      </c>
      <c r="H102" s="144">
        <f>$H$27*'Advanced Variables'!F372-SUMPRODUCT('Materials Recycling'!$G$10:$M$10,(1-'Advanced Variables'!$C$99:$I$99),'Advanced Variables'!C185:I185)-'Materials Recycling'!$H$32*'Advanced Variables'!U185-'Materials Recycling'!$N$10*(1-'Advanced Variables'!$J$99)*'Advanced Variables'!K185</f>
        <v>9840811.3956963196</v>
      </c>
      <c r="I102" s="147">
        <f t="shared" si="6"/>
        <v>9840038.2582445126</v>
      </c>
    </row>
    <row r="103" spans="1:9">
      <c r="A103" s="9" t="s">
        <v>1355</v>
      </c>
      <c r="B103" s="10" t="s">
        <v>1378</v>
      </c>
      <c r="C103" s="144">
        <f>$C$26*'Advanced Variables'!E373+$C$27*'Advanced Variables'!F373+$C$23*SUMPRODUCT('Advanced Variables'!$E$11:$J$11,1/'Advanced Variables'!$E$20:$J$20,'Advanced Variables'!D250:I250)+'Advanced Variables'!$D$88*'Advanced Variables'!I440+'Advanced Variables'!$D$89*'Advanced Variables'!F440+'Advanced Variables'!$D$90*'Advanced Variables'!J440</f>
        <v>1.3352322000000001</v>
      </c>
      <c r="D103" s="144">
        <f>$D$23*SUMPRODUCT('Advanced Variables'!$E$11:$J$11,1/'Advanced Variables'!$E$20:$J$20,'Advanced Variables'!D250:I250)+$D$27*'Advanced Variables'!F373+$D$28*'Advanced Variables'!G250</f>
        <v>6336.1030915038318</v>
      </c>
      <c r="E103" s="144">
        <f>$E$23*SUMPRODUCT('Advanced Variables'!$E$11:$J$11,1/'Advanced Variables'!$E$20:$J$20,'Advanced Variables'!D250:I250)+$E$27*'Advanced Variables'!F373+$E$24*SUMPRODUCT('Advanced Variables'!$E$12:$J$12,1/'Advanced Variables'!$E$20:$J$20,'Advanced Variables'!D250:I250)+('Biological Treatment'!$C$44+'Biological Treatment'!$J$44)*'Advanced Variables'!J186+('Biological Treatment'!$C$97+'Biological Treatment'!$J$97)*'Advanced Variables'!P186</f>
        <v>9604.1968785492481</v>
      </c>
      <c r="F103" s="10" t="s">
        <v>513</v>
      </c>
      <c r="G103" s="144">
        <f>$G$23*SUMPRODUCT('Advanced Variables'!$E$11:$J$11,1/'Advanced Variables'!$E$20:$J$20,'Advanced Variables'!D250:I250)+$G$24*SUMPRODUCT('Advanced Variables'!$E$12:$J$12,1/'Advanced Variables'!$E$20:$J$20,'Advanced Variables'!D250:I250)+$G$27*'Advanced Variables'!F373+(1-Landfilling!$J$191)*Landfilling!$D$189*'Advanced Variables'!O524+(1-Landfilling!$J$166)*(SUMPRODUCT(Landfilling!$B$85:$D$85,Landfilling!$C$115:$E$115,'Advanced Variables'!D524:F524)+SUMPRODUCT(Landfilling!$E$85:$F$85,Landfilling!$E$115:$F$115,'Advanced Variables'!G524:H524)+SUMPRODUCT(Landfilling!$G$85:$L$85,Landfilling!$F$115:$K$115,'Advanced Variables'!I524:N524))</f>
        <v>-17549.162533619856</v>
      </c>
      <c r="H103" s="144">
        <f>$H$27*'Advanced Variables'!F373-SUMPRODUCT('Materials Recycling'!$G$10:$M$10,(1-'Advanced Variables'!$C$99:$I$99),'Advanced Variables'!C186:I186)-'Materials Recycling'!$H$32*'Advanced Variables'!U186-'Materials Recycling'!$N$10*(1-'Advanced Variables'!$J$99)*'Advanced Variables'!K186</f>
        <v>-820523.31883536733</v>
      </c>
      <c r="I103" s="147">
        <f t="shared" si="6"/>
        <v>-822130.84616673412</v>
      </c>
    </row>
    <row r="104" spans="1:9">
      <c r="A104" s="9" t="s">
        <v>1356</v>
      </c>
      <c r="B104" s="10" t="s">
        <v>1378</v>
      </c>
      <c r="C104" s="144">
        <f>$C$26*'Advanced Variables'!E374+$C$27*'Advanced Variables'!F374+$C$23*SUMPRODUCT('Advanced Variables'!$E$11:$J$11,1/'Advanced Variables'!$E$20:$J$20,'Advanced Variables'!D251:I251)+'Advanced Variables'!$D$88*'Advanced Variables'!I441+'Advanced Variables'!$D$89*'Advanced Variables'!F441+'Advanced Variables'!$D$90*'Advanced Variables'!J441</f>
        <v>869899.8</v>
      </c>
      <c r="D104" s="144">
        <f>$D$23*SUMPRODUCT('Advanced Variables'!$E$11:$J$11,1/'Advanced Variables'!$E$20:$J$20,'Advanced Variables'!D251:I251)+$D$27*'Advanced Variables'!F374+$D$28*'Advanced Variables'!G251</f>
        <v>1216046.4666879999</v>
      </c>
      <c r="E104" s="144">
        <f>$E$23*SUMPRODUCT('Advanced Variables'!$E$11:$J$11,1/'Advanced Variables'!$E$20:$J$20,'Advanced Variables'!D251:I251)+$E$27*'Advanced Variables'!F374+$E$24*SUMPRODUCT('Advanced Variables'!$E$12:$J$12,1/'Advanced Variables'!$E$20:$J$20,'Advanced Variables'!D251:I251)+('Biological Treatment'!$C$44+'Biological Treatment'!$J$44)*'Advanced Variables'!J187+('Biological Treatment'!$C$97+'Biological Treatment'!$J$97)*'Advanced Variables'!P187</f>
        <v>1842188.4040319999</v>
      </c>
      <c r="F104" s="10" t="s">
        <v>513</v>
      </c>
      <c r="G104" s="144">
        <f>$G$23*SUMPRODUCT('Advanced Variables'!$E$11:$J$11,1/'Advanced Variables'!$E$20:$J$20,'Advanced Variables'!D251:I251)+$G$24*SUMPRODUCT('Advanced Variables'!$E$12:$J$12,1/'Advanced Variables'!$E$20:$J$20,'Advanced Variables'!D251:I251)+$G$27*'Advanced Variables'!F374+(1-Landfilling!$J$191)*Landfilling!$D$189*'Advanced Variables'!O525+(1-Landfilling!$J$166)*(SUMPRODUCT(Landfilling!$B$85:$D$85,Landfilling!$C$115:$E$115,'Advanced Variables'!D525:F525)+SUMPRODUCT(Landfilling!$E$85:$F$85,Landfilling!$E$115:$F$115,'Advanced Variables'!G525:H525)+SUMPRODUCT(Landfilling!$G$85:$L$85,Landfilling!$F$115:$K$115,'Advanced Variables'!I525:N525))</f>
        <v>-3345684.3794655008</v>
      </c>
      <c r="H104" s="144">
        <f>$H$27*'Advanced Variables'!F374-SUMPRODUCT('Materials Recycling'!$G$10:$M$10,(1-'Advanced Variables'!$C$99:$I$99),'Advanced Variables'!C187:I187)-'Materials Recycling'!$H$32*'Advanced Variables'!U187-'Materials Recycling'!$N$10*(1-'Advanced Variables'!$J$99)*'Advanced Variables'!K187</f>
        <v>20251936.786728799</v>
      </c>
      <c r="I104" s="147">
        <f t="shared" si="6"/>
        <v>20834387.077983297</v>
      </c>
    </row>
    <row r="105" spans="1:9">
      <c r="A105" s="9" t="s">
        <v>1357</v>
      </c>
      <c r="B105" s="10" t="s">
        <v>1378</v>
      </c>
      <c r="C105" s="144">
        <f>$C$26*'Advanced Variables'!E375+$C$27*'Advanced Variables'!F375+$C$23*SUMPRODUCT('Advanced Variables'!$E$11:$J$11,1/'Advanced Variables'!$E$20:$J$20,'Advanced Variables'!D252:I252)+'Advanced Variables'!$D$88*'Advanced Variables'!I442+'Advanced Variables'!$D$89*'Advanced Variables'!F442+'Advanced Variables'!$D$90*'Advanced Variables'!J442</f>
        <v>1.3145727E-3</v>
      </c>
      <c r="D105" s="144">
        <f>$D$23*SUMPRODUCT('Advanced Variables'!$E$11:$J$11,1/'Advanced Variables'!$E$20:$J$20,'Advanced Variables'!D252:I252)+$D$27*'Advanced Variables'!F375+$D$28*'Advanced Variables'!G252</f>
        <v>31.800557198599712</v>
      </c>
      <c r="E105" s="144">
        <f>$E$23*SUMPRODUCT('Advanced Variables'!$E$11:$J$11,1/'Advanced Variables'!$E$20:$J$20,'Advanced Variables'!D252:I252)+$E$27*'Advanced Variables'!F375+$E$24*SUMPRODUCT('Advanced Variables'!$E$12:$J$12,1/'Advanced Variables'!$E$20:$J$20,'Advanced Variables'!D252:I252)+('Biological Treatment'!$C$44+'Biological Treatment'!$J$44)*'Advanced Variables'!J188+('Biological Treatment'!$C$97+'Biological Treatment'!$J$97)*'Advanced Variables'!P188</f>
        <v>48.202948052045564</v>
      </c>
      <c r="F105" s="10" t="s">
        <v>513</v>
      </c>
      <c r="G105" s="144">
        <f>$G$23*SUMPRODUCT('Advanced Variables'!$E$11:$J$11,1/'Advanced Variables'!$E$20:$J$20,'Advanced Variables'!D252:I252)+$G$24*SUMPRODUCT('Advanced Variables'!$E$12:$J$12,1/'Advanced Variables'!$E$20:$J$20,'Advanced Variables'!D252:I252)+$G$27*'Advanced Variables'!F375+(1-Landfilling!$J$191)*Landfilling!$D$189*'Advanced Variables'!O526+(1-Landfilling!$J$166)*(SUMPRODUCT(Landfilling!$B$85:$D$85,Landfilling!$C$115:$E$115,'Advanced Variables'!D526:F526)+SUMPRODUCT(Landfilling!$E$85:$F$85,Landfilling!$E$115:$F$115,'Advanced Variables'!G526:H526)+SUMPRODUCT(Landfilling!$G$85:$L$85,Landfilling!$F$115:$K$115,'Advanced Variables'!I526:N526))</f>
        <v>-88.07841104731034</v>
      </c>
      <c r="H105" s="144">
        <f>$H$27*'Advanced Variables'!F375-SUMPRODUCT('Materials Recycling'!$G$10:$M$10,(1-'Advanced Variables'!$C$99:$I$99),'Advanced Variables'!C188:I188)-'Materials Recycling'!$H$32*'Advanced Variables'!U188-'Materials Recycling'!$N$10*(1-'Advanced Variables'!$J$99)*'Advanced Variables'!K188</f>
        <v>-2192.1535742470651</v>
      </c>
      <c r="I105" s="147">
        <f t="shared" si="6"/>
        <v>-2200.2271654710303</v>
      </c>
    </row>
    <row r="106" spans="1:9" ht="15.75" thickBot="1">
      <c r="A106" s="12" t="s">
        <v>1033</v>
      </c>
      <c r="B106" s="13" t="s">
        <v>1378</v>
      </c>
      <c r="C106" s="145">
        <f>$C$26*'Advanced Variables'!E376+$C$27*'Advanced Variables'!F376+$C$23*SUMPRODUCT('Advanced Variables'!$E$11:$J$11,1/'Advanced Variables'!$E$20:$J$20,'Advanced Variables'!D253:I253)+'Advanced Variables'!$D$88*'Advanced Variables'!I443+'Advanced Variables'!$D$89*'Advanced Variables'!F443+'Advanced Variables'!$D$90*'Advanced Variables'!J443</f>
        <v>0.53073211499999995</v>
      </c>
      <c r="D106" s="145">
        <f>$D$23*SUMPRODUCT('Advanced Variables'!$E$11:$J$11,1/'Advanced Variables'!$E$20:$J$20,'Advanced Variables'!D253:I253)+$D$27*'Advanced Variables'!F376+$D$28*'Advanced Variables'!G253</f>
        <v>1080.9463257079742</v>
      </c>
      <c r="E106" s="145">
        <f>$E$23*SUMPRODUCT('Advanced Variables'!$E$11:$J$11,1/'Advanced Variables'!$E$20:$J$20,'Advanced Variables'!D253:I253)+$E$27*'Advanced Variables'!F376+$E$24*SUMPRODUCT('Advanced Variables'!$E$12:$J$12,1/'Advanced Variables'!$E$20:$J$20,'Advanced Variables'!D253:I253)+('Biological Treatment'!$C$44+'Biological Treatment'!$J$44)*'Advanced Variables'!J189+('Biological Treatment'!$C$97+'Biological Treatment'!$J$97)*'Advanced Variables'!P189</f>
        <v>1638.4863908471614</v>
      </c>
      <c r="F106" s="13" t="s">
        <v>513</v>
      </c>
      <c r="G106" s="145">
        <f>$G$23*SUMPRODUCT('Advanced Variables'!$E$11:$J$11,1/'Advanced Variables'!$E$20:$J$20,'Advanced Variables'!D253:I253)+$G$24*SUMPRODUCT('Advanced Variables'!$E$12:$J$12,1/'Advanced Variables'!$E$20:$J$20,'Advanced Variables'!D253:I253)+$G$27*'Advanced Variables'!F376+(1-Landfilling!$J$191)*Landfilling!$D$189*'Advanced Variables'!O527+(1-Landfilling!$J$166)*(SUMPRODUCT(Landfilling!$B$85:$D$85,Landfilling!$C$115:$E$115,'Advanced Variables'!D527:F527)+SUMPRODUCT(Landfilling!$E$85:$F$85,Landfilling!$E$115:$F$115,'Advanced Variables'!G527:H527)+SUMPRODUCT(Landfilling!$G$85:$L$85,Landfilling!$F$115:$K$115,'Advanced Variables'!I527:N527))</f>
        <v>-2813.8851657320333</v>
      </c>
      <c r="H106" s="145">
        <f>$H$27*'Advanced Variables'!F376-SUMPRODUCT('Materials Recycling'!$G$10:$M$10,(1-'Advanced Variables'!$C$99:$I$99),'Advanced Variables'!C189:I189)-'Materials Recycling'!$H$32*'Advanced Variables'!U189-'Materials Recycling'!$N$10*(1-'Advanced Variables'!$J$99)*'Advanced Variables'!K189</f>
        <v>-179731.5159909153</v>
      </c>
      <c r="I106" s="148">
        <f t="shared" si="6"/>
        <v>-179825.43770797719</v>
      </c>
    </row>
  </sheetData>
  <conditionalFormatting sqref="C13:I17 C35:I43 I51:I74">
    <cfRule type="cellIs" dxfId="45" priority="72" operator="equal">
      <formula>0</formula>
    </cfRule>
    <cfRule type="cellIs" dxfId="44" priority="74" operator="lessThan">
      <formula>0</formula>
    </cfRule>
  </conditionalFormatting>
  <conditionalFormatting sqref="I23:I29">
    <cfRule type="cellIs" dxfId="43" priority="73" operator="lessThan">
      <formula>0</formula>
    </cfRule>
  </conditionalFormatting>
  <conditionalFormatting sqref="C23:I29 C35 H35 C36:E36 G36:H36 D38:H39 H40 C40:F40 C41:G41">
    <cfRule type="cellIs" dxfId="42" priority="69" operator="lessThan">
      <formula>0</formula>
    </cfRule>
    <cfRule type="cellIs" dxfId="41" priority="70" operator="equal">
      <formula>0</formula>
    </cfRule>
    <cfRule type="cellIs" dxfId="40" priority="71" operator="equal">
      <formula>"N/A"</formula>
    </cfRule>
  </conditionalFormatting>
  <conditionalFormatting sqref="F54">
    <cfRule type="cellIs" dxfId="39" priority="38" operator="lessThan">
      <formula>0</formula>
    </cfRule>
    <cfRule type="cellIs" dxfId="38" priority="39" operator="equal">
      <formula>0</formula>
    </cfRule>
    <cfRule type="cellIs" dxfId="37" priority="40" operator="equal">
      <formula>"N/A"</formula>
    </cfRule>
  </conditionalFormatting>
  <conditionalFormatting sqref="F54">
    <cfRule type="cellIs" dxfId="36" priority="36" operator="equal">
      <formula>0</formula>
    </cfRule>
    <cfRule type="cellIs" dxfId="35" priority="37" operator="lessThan">
      <formula>0</formula>
    </cfRule>
  </conditionalFormatting>
  <conditionalFormatting sqref="F57">
    <cfRule type="cellIs" dxfId="34" priority="33" operator="lessThan">
      <formula>0</formula>
    </cfRule>
    <cfRule type="cellIs" dxfId="33" priority="34" operator="equal">
      <formula>0</formula>
    </cfRule>
    <cfRule type="cellIs" dxfId="32" priority="35" operator="equal">
      <formula>"N/A"</formula>
    </cfRule>
  </conditionalFormatting>
  <conditionalFormatting sqref="F57">
    <cfRule type="cellIs" dxfId="31" priority="31" operator="equal">
      <formula>0</formula>
    </cfRule>
    <cfRule type="cellIs" dxfId="30" priority="32" operator="lessThan">
      <formula>0</formula>
    </cfRule>
  </conditionalFormatting>
  <conditionalFormatting sqref="F60:F63">
    <cfRule type="cellIs" dxfId="29" priority="28" operator="lessThan">
      <formula>0</formula>
    </cfRule>
    <cfRule type="cellIs" dxfId="28" priority="29" operator="equal">
      <formula>0</formula>
    </cfRule>
    <cfRule type="cellIs" dxfId="27" priority="30" operator="equal">
      <formula>"N/A"</formula>
    </cfRule>
  </conditionalFormatting>
  <conditionalFormatting sqref="F60:F63">
    <cfRule type="cellIs" dxfId="26" priority="26" operator="equal">
      <formula>0</formula>
    </cfRule>
    <cfRule type="cellIs" dxfId="25" priority="27" operator="lessThan">
      <formula>0</formula>
    </cfRule>
  </conditionalFormatting>
  <conditionalFormatting sqref="F65">
    <cfRule type="cellIs" dxfId="24" priority="23" operator="lessThan">
      <formula>0</formula>
    </cfRule>
    <cfRule type="cellIs" dxfId="23" priority="24" operator="equal">
      <formula>0</formula>
    </cfRule>
    <cfRule type="cellIs" dxfId="22" priority="25" operator="equal">
      <formula>"N/A"</formula>
    </cfRule>
  </conditionalFormatting>
  <conditionalFormatting sqref="F65">
    <cfRule type="cellIs" dxfId="21" priority="21" operator="equal">
      <formula>0</formula>
    </cfRule>
    <cfRule type="cellIs" dxfId="20" priority="22" operator="lessThan">
      <formula>0</formula>
    </cfRule>
  </conditionalFormatting>
  <conditionalFormatting sqref="F71">
    <cfRule type="cellIs" dxfId="19" priority="18" operator="lessThan">
      <formula>0</formula>
    </cfRule>
    <cfRule type="cellIs" dxfId="18" priority="19" operator="equal">
      <formula>0</formula>
    </cfRule>
    <cfRule type="cellIs" dxfId="17" priority="20" operator="equal">
      <formula>"N/A"</formula>
    </cfRule>
  </conditionalFormatting>
  <conditionalFormatting sqref="F71">
    <cfRule type="cellIs" dxfId="16" priority="16" operator="equal">
      <formula>0</formula>
    </cfRule>
    <cfRule type="cellIs" dxfId="15" priority="17" operator="lessThan">
      <formula>0</formula>
    </cfRule>
  </conditionalFormatting>
  <conditionalFormatting sqref="C51:I74">
    <cfRule type="cellIs" dxfId="14" priority="15" operator="lessThan">
      <formula>0</formula>
    </cfRule>
    <cfRule type="cellIs" dxfId="13" priority="14" operator="equal">
      <formula>0</formula>
    </cfRule>
  </conditionalFormatting>
  <conditionalFormatting sqref="F80:F106">
    <cfRule type="cellIs" dxfId="12" priority="11" operator="lessThan">
      <formula>0</formula>
    </cfRule>
    <cfRule type="cellIs" dxfId="11" priority="12" operator="equal">
      <formula>0</formula>
    </cfRule>
    <cfRule type="cellIs" dxfId="10" priority="13" operator="equal">
      <formula>"N/A"</formula>
    </cfRule>
  </conditionalFormatting>
  <conditionalFormatting sqref="F80:F106">
    <cfRule type="cellIs" dxfId="9" priority="9" operator="equal">
      <formula>0</formula>
    </cfRule>
    <cfRule type="cellIs" dxfId="8" priority="10" operator="lessThan">
      <formula>0</formula>
    </cfRule>
  </conditionalFormatting>
  <conditionalFormatting sqref="F80:F106">
    <cfRule type="cellIs" dxfId="7" priority="7" operator="equal">
      <formula>0</formula>
    </cfRule>
    <cfRule type="cellIs" dxfId="6" priority="8" operator="lessThan">
      <formula>0</formula>
    </cfRule>
  </conditionalFormatting>
  <conditionalFormatting sqref="I80:I106">
    <cfRule type="cellIs" dxfId="5" priority="5" operator="equal">
      <formula>0</formula>
    </cfRule>
    <cfRule type="cellIs" dxfId="4" priority="6" operator="lessThan">
      <formula>0</formula>
    </cfRule>
  </conditionalFormatting>
  <conditionalFormatting sqref="I80:I106">
    <cfRule type="cellIs" dxfId="3" priority="3" operator="equal">
      <formula>0</formula>
    </cfRule>
    <cfRule type="cellIs" dxfId="2" priority="4" operator="lessThan">
      <formula>0</formula>
    </cfRule>
  </conditionalFormatting>
  <conditionalFormatting sqref="C80:H106">
    <cfRule type="cellIs" dxfId="1" priority="2" operator="lessThan">
      <formula>0</formula>
    </cfRule>
    <cfRule type="cellIs" dxfId="0" priority="1" operator="equal">
      <formula>0</formula>
    </cfRule>
  </conditionalFormatting>
  <pageMargins left="0.7" right="0.7" top="0.75" bottom="0.75" header="0.3" footer="0.3"/>
  <pageSetup orientation="portrait" r:id="rId1"/>
  <ignoredErrors>
    <ignoredError sqref="F29" formula="1"/>
  </ignoredErrors>
</worksheet>
</file>

<file path=xl/worksheets/sheet2.xml><?xml version="1.0" encoding="utf-8"?>
<worksheet xmlns="http://schemas.openxmlformats.org/spreadsheetml/2006/main" xmlns:r="http://schemas.openxmlformats.org/officeDocument/2006/relationships">
  <dimension ref="A1:O130"/>
  <sheetViews>
    <sheetView topLeftCell="A39" zoomScale="80" zoomScaleNormal="80" workbookViewId="0">
      <selection activeCell="L48" sqref="L48"/>
    </sheetView>
  </sheetViews>
  <sheetFormatPr defaultRowHeight="15"/>
  <cols>
    <col min="1" max="1" width="10.5703125" customWidth="1"/>
    <col min="2" max="2" width="11.28515625" customWidth="1"/>
    <col min="3" max="3" width="9.5703125" bestFit="1" customWidth="1"/>
    <col min="4" max="4" width="14.5703125" customWidth="1"/>
    <col min="5" max="5" width="14.42578125" customWidth="1"/>
    <col min="6" max="6" width="13.5703125" customWidth="1"/>
    <col min="7" max="7" width="18.7109375" customWidth="1"/>
    <col min="8" max="8" width="19.42578125" customWidth="1"/>
    <col min="9" max="9" width="13.85546875" customWidth="1"/>
    <col min="10" max="10" width="16.42578125" customWidth="1"/>
    <col min="11" max="11" width="8" bestFit="1" customWidth="1"/>
  </cols>
  <sheetData>
    <row r="1" spans="1:7">
      <c r="A1" s="1" t="s">
        <v>19</v>
      </c>
    </row>
    <row r="2" spans="1:7">
      <c r="A2" s="1"/>
    </row>
    <row r="3" spans="1:7">
      <c r="A3" s="1" t="s">
        <v>19</v>
      </c>
    </row>
    <row r="4" spans="1:7">
      <c r="A4" t="s">
        <v>20</v>
      </c>
      <c r="E4">
        <v>500000</v>
      </c>
    </row>
    <row r="5" spans="1:7">
      <c r="A5" s="2" t="s">
        <v>21</v>
      </c>
      <c r="E5">
        <v>2</v>
      </c>
    </row>
    <row r="6" spans="1:7">
      <c r="A6" s="3" t="s">
        <v>22</v>
      </c>
      <c r="B6" s="4"/>
      <c r="C6" s="4"/>
      <c r="D6" s="4"/>
      <c r="E6" s="4">
        <f>E4/E5</f>
        <v>250000</v>
      </c>
    </row>
    <row r="7" spans="1:7" ht="15.75" thickBot="1">
      <c r="A7" s="1"/>
    </row>
    <row r="8" spans="1:7">
      <c r="A8" s="31" t="s">
        <v>44</v>
      </c>
      <c r="B8" s="7"/>
      <c r="C8" s="7"/>
      <c r="D8" s="7"/>
      <c r="E8" s="7"/>
      <c r="F8" s="7" t="s">
        <v>45</v>
      </c>
      <c r="G8" s="8"/>
    </row>
    <row r="9" spans="1:7">
      <c r="A9" s="9" t="s">
        <v>40</v>
      </c>
      <c r="B9" s="10"/>
      <c r="C9" s="10"/>
      <c r="D9" s="10"/>
      <c r="E9" s="10"/>
      <c r="F9" s="10" t="s">
        <v>43</v>
      </c>
      <c r="G9" s="11"/>
    </row>
    <row r="10" spans="1:7">
      <c r="A10" s="9"/>
      <c r="B10" s="10" t="s">
        <v>41</v>
      </c>
      <c r="C10" s="10" t="s">
        <v>42</v>
      </c>
      <c r="D10" s="10"/>
      <c r="E10" s="10"/>
      <c r="F10" s="10" t="s">
        <v>41</v>
      </c>
      <c r="G10" s="11" t="s">
        <v>42</v>
      </c>
    </row>
    <row r="11" spans="1:7">
      <c r="A11" s="9">
        <v>1</v>
      </c>
      <c r="B11" s="15">
        <v>1</v>
      </c>
      <c r="C11" s="10">
        <f>B11*'Waste Input'!B8</f>
        <v>250000</v>
      </c>
      <c r="D11" s="10"/>
      <c r="E11" s="10">
        <v>1</v>
      </c>
      <c r="F11" s="15">
        <v>1</v>
      </c>
      <c r="G11" s="11">
        <f>F11*'Waste Input'!B8</f>
        <v>250000</v>
      </c>
    </row>
    <row r="12" spans="1:7">
      <c r="A12" s="9">
        <v>2</v>
      </c>
      <c r="B12" s="15"/>
      <c r="C12" s="10"/>
      <c r="D12" s="10"/>
      <c r="E12" s="10">
        <v>2</v>
      </c>
      <c r="F12" s="15"/>
      <c r="G12" s="11"/>
    </row>
    <row r="13" spans="1:7">
      <c r="A13" s="9">
        <v>3</v>
      </c>
      <c r="B13" s="15"/>
      <c r="C13" s="10"/>
      <c r="D13" s="10"/>
      <c r="E13" s="10">
        <v>3</v>
      </c>
      <c r="F13" s="15"/>
      <c r="G13" s="11"/>
    </row>
    <row r="14" spans="1:7">
      <c r="A14" s="9">
        <v>4</v>
      </c>
      <c r="B14" s="15"/>
      <c r="C14" s="10"/>
      <c r="D14" s="10"/>
      <c r="E14" s="10">
        <v>4</v>
      </c>
      <c r="F14" s="15"/>
      <c r="G14" s="11"/>
    </row>
    <row r="15" spans="1:7" ht="15.75" thickBot="1">
      <c r="A15" s="12" t="s">
        <v>47</v>
      </c>
      <c r="B15" s="32">
        <f>SUM(B11:B14)</f>
        <v>1</v>
      </c>
      <c r="C15" s="33">
        <f>SUM(C11:C14)</f>
        <v>250000</v>
      </c>
      <c r="D15" s="33"/>
      <c r="E15" s="13" t="s">
        <v>46</v>
      </c>
      <c r="F15" s="32">
        <f>SUM(F11:F14)</f>
        <v>1</v>
      </c>
      <c r="G15" s="34">
        <f>SUM(G11:G14)</f>
        <v>250000</v>
      </c>
    </row>
    <row r="16" spans="1:7" ht="15.75" thickBot="1"/>
    <row r="17" spans="1:13" ht="15.75" thickBot="1">
      <c r="A17" s="6" t="s">
        <v>1</v>
      </c>
      <c r="B17" s="7"/>
      <c r="C17" s="7"/>
      <c r="D17" s="7"/>
      <c r="E17" s="7"/>
      <c r="F17" s="7"/>
      <c r="G17" s="7"/>
      <c r="H17" s="7"/>
      <c r="I17" s="7"/>
      <c r="J17" s="7"/>
      <c r="K17" s="7"/>
      <c r="L17" s="7"/>
      <c r="M17" s="8"/>
    </row>
    <row r="18" spans="1:13">
      <c r="A18" s="35"/>
      <c r="B18" s="7"/>
      <c r="C18" s="7"/>
      <c r="D18" s="7"/>
      <c r="E18" s="7" t="s">
        <v>4</v>
      </c>
      <c r="F18" s="7" t="s">
        <v>5</v>
      </c>
      <c r="G18" s="7" t="s">
        <v>29</v>
      </c>
      <c r="H18" s="7" t="s">
        <v>49</v>
      </c>
      <c r="I18" s="7" t="s">
        <v>31</v>
      </c>
      <c r="J18" s="7" t="s">
        <v>32</v>
      </c>
      <c r="K18" s="7" t="s">
        <v>8</v>
      </c>
      <c r="L18" s="7" t="s">
        <v>9</v>
      </c>
      <c r="M18" s="8" t="s">
        <v>11</v>
      </c>
    </row>
    <row r="19" spans="1:13">
      <c r="A19" s="9" t="s">
        <v>48</v>
      </c>
      <c r="B19" s="10"/>
      <c r="C19" s="10"/>
      <c r="D19" s="10"/>
      <c r="E19" s="10">
        <f>'Waste Input'!B46</f>
        <v>251.6</v>
      </c>
      <c r="F19" s="10">
        <f>'Waste Input'!C46</f>
        <v>61.199999999999996</v>
      </c>
      <c r="G19" s="10">
        <f>'Waste Input'!D46</f>
        <v>42.84</v>
      </c>
      <c r="H19" s="10">
        <f>'Waste Input'!E46</f>
        <v>4.7600000000000007</v>
      </c>
      <c r="I19" s="10">
        <f>'Waste Input'!F46</f>
        <v>34</v>
      </c>
      <c r="J19" s="10">
        <f>'Waste Input'!G46</f>
        <v>34</v>
      </c>
      <c r="K19" s="10">
        <f>'Waste Input'!H46</f>
        <v>13.6</v>
      </c>
      <c r="L19" s="10">
        <f>'Waste Input'!I46</f>
        <v>129.19999999999999</v>
      </c>
      <c r="M19" s="11">
        <f>SUM(E19:L19)</f>
        <v>571.20000000000005</v>
      </c>
    </row>
    <row r="20" spans="1:13">
      <c r="A20" s="9"/>
      <c r="B20" s="10"/>
      <c r="C20" s="10"/>
      <c r="D20" s="10"/>
      <c r="E20" s="10"/>
      <c r="F20" s="10"/>
      <c r="G20" s="10"/>
      <c r="H20" s="10"/>
      <c r="I20" s="10"/>
      <c r="J20" s="10"/>
      <c r="K20" s="10"/>
      <c r="L20" s="10"/>
      <c r="M20" s="11"/>
    </row>
    <row r="21" spans="1:13">
      <c r="A21" s="21" t="s">
        <v>51</v>
      </c>
      <c r="B21" s="10"/>
      <c r="C21" s="10"/>
      <c r="D21" s="10"/>
      <c r="E21" s="10"/>
      <c r="F21" s="10"/>
      <c r="G21" s="10"/>
      <c r="H21" s="10"/>
      <c r="I21" s="10"/>
      <c r="J21" s="10"/>
      <c r="K21" s="10"/>
      <c r="L21" s="10"/>
      <c r="M21" s="11"/>
    </row>
    <row r="22" spans="1:13">
      <c r="A22" s="9" t="s">
        <v>52</v>
      </c>
      <c r="B22" s="10"/>
      <c r="C22" s="10"/>
      <c r="D22" s="10"/>
      <c r="E22" s="10"/>
      <c r="F22" s="10"/>
      <c r="G22" s="10"/>
      <c r="H22" s="10"/>
      <c r="I22" s="10"/>
      <c r="J22" s="10"/>
      <c r="K22" s="10"/>
      <c r="L22" s="10"/>
      <c r="M22" s="11"/>
    </row>
    <row r="23" spans="1:13">
      <c r="A23" s="9"/>
      <c r="B23" s="10"/>
      <c r="C23" s="10"/>
      <c r="D23" s="10"/>
      <c r="E23" s="10" t="s">
        <v>4</v>
      </c>
      <c r="F23" s="10" t="s">
        <v>5</v>
      </c>
      <c r="G23" s="10" t="s">
        <v>29</v>
      </c>
      <c r="H23" s="10" t="s">
        <v>49</v>
      </c>
      <c r="I23" s="10" t="s">
        <v>31</v>
      </c>
      <c r="J23" s="10" t="s">
        <v>32</v>
      </c>
      <c r="K23" s="10" t="s">
        <v>8</v>
      </c>
      <c r="L23" s="10" t="s">
        <v>11</v>
      </c>
      <c r="M23" s="11"/>
    </row>
    <row r="24" spans="1:13">
      <c r="A24" s="9" t="s">
        <v>53</v>
      </c>
      <c r="B24" s="10"/>
      <c r="C24" s="10"/>
      <c r="D24" s="10"/>
      <c r="E24" s="10">
        <v>50</v>
      </c>
      <c r="F24" s="10">
        <v>25</v>
      </c>
      <c r="G24" s="10">
        <v>10</v>
      </c>
      <c r="H24" s="10">
        <v>0</v>
      </c>
      <c r="I24" s="10">
        <v>0</v>
      </c>
      <c r="J24" s="10">
        <v>10</v>
      </c>
      <c r="K24" s="10">
        <v>0</v>
      </c>
      <c r="L24" s="10">
        <f>SUM(E24:K24)</f>
        <v>95</v>
      </c>
      <c r="M24" s="11"/>
    </row>
    <row r="25" spans="1:13">
      <c r="A25" s="9"/>
      <c r="B25" s="10"/>
      <c r="C25" s="10"/>
      <c r="D25" s="10"/>
      <c r="E25" s="10"/>
      <c r="F25" s="10"/>
      <c r="G25" s="10"/>
      <c r="H25" s="10"/>
      <c r="I25" s="10"/>
      <c r="J25" s="10"/>
      <c r="K25" s="10"/>
      <c r="L25" s="10"/>
      <c r="M25" s="11"/>
    </row>
    <row r="26" spans="1:13">
      <c r="A26" s="9"/>
      <c r="B26" s="10"/>
      <c r="C26" s="10"/>
      <c r="D26" s="10"/>
      <c r="E26" s="10"/>
      <c r="F26" s="10"/>
      <c r="G26" s="10"/>
      <c r="H26" s="10"/>
      <c r="I26" s="10"/>
      <c r="J26" s="10"/>
      <c r="K26" s="10"/>
      <c r="L26" s="10"/>
      <c r="M26" s="11"/>
    </row>
    <row r="27" spans="1:13">
      <c r="A27" s="9" t="s">
        <v>54</v>
      </c>
      <c r="B27" s="10"/>
      <c r="C27" s="10"/>
      <c r="D27" s="10">
        <v>0</v>
      </c>
      <c r="E27" s="10"/>
      <c r="F27" s="10" t="s">
        <v>55</v>
      </c>
      <c r="G27" s="10"/>
      <c r="H27" s="36">
        <f>IF(D27=0,2.5%,0%)</f>
        <v>2.5000000000000001E-2</v>
      </c>
      <c r="I27" s="10"/>
      <c r="J27" s="10"/>
      <c r="K27" s="10"/>
      <c r="L27" s="10"/>
      <c r="M27" s="11"/>
    </row>
    <row r="28" spans="1:13">
      <c r="A28" s="9"/>
      <c r="B28" s="10"/>
      <c r="C28" s="10"/>
      <c r="D28" s="10"/>
      <c r="E28" s="10"/>
      <c r="F28" s="10" t="s">
        <v>56</v>
      </c>
      <c r="G28" s="10"/>
      <c r="H28" s="36">
        <f>IF(D27=0,2.5%,0%)</f>
        <v>2.5000000000000001E-2</v>
      </c>
      <c r="I28" s="10"/>
      <c r="J28" s="10"/>
      <c r="K28" s="10"/>
      <c r="L28" s="10"/>
      <c r="M28" s="11"/>
    </row>
    <row r="29" spans="1:13">
      <c r="A29" s="9"/>
      <c r="B29" s="10"/>
      <c r="C29" s="10"/>
      <c r="D29" s="10"/>
      <c r="E29" s="10"/>
      <c r="F29" s="10" t="s">
        <v>57</v>
      </c>
      <c r="G29" s="10"/>
      <c r="H29" s="36">
        <f>IF(D27=0,30%,8%)</f>
        <v>0.3</v>
      </c>
      <c r="I29" s="10" t="s">
        <v>130</v>
      </c>
      <c r="J29" s="10"/>
      <c r="K29" s="10"/>
      <c r="L29" s="10"/>
      <c r="M29" s="11"/>
    </row>
    <row r="30" spans="1:13">
      <c r="A30" s="9"/>
      <c r="B30" s="10"/>
      <c r="C30" s="10"/>
      <c r="D30" s="10"/>
      <c r="E30" s="10"/>
      <c r="F30" s="10"/>
      <c r="G30" s="10"/>
      <c r="H30" s="10"/>
      <c r="I30" s="10"/>
      <c r="J30" s="10"/>
      <c r="K30" s="10"/>
      <c r="L30" s="10"/>
      <c r="M30" s="11"/>
    </row>
    <row r="31" spans="1:13">
      <c r="A31" s="9" t="s">
        <v>58</v>
      </c>
      <c r="B31" s="10"/>
      <c r="C31" s="10"/>
      <c r="D31" s="10"/>
      <c r="E31" s="10"/>
      <c r="F31" s="10"/>
      <c r="G31" s="10"/>
      <c r="H31" s="10" t="s">
        <v>60</v>
      </c>
      <c r="I31" s="10"/>
      <c r="J31" s="10"/>
      <c r="K31" s="10"/>
      <c r="L31" s="10"/>
      <c r="M31" s="11"/>
    </row>
    <row r="32" spans="1:13">
      <c r="A32" s="9"/>
      <c r="B32" s="10"/>
      <c r="C32" s="10"/>
      <c r="D32" s="10"/>
      <c r="E32" s="10" t="s">
        <v>4</v>
      </c>
      <c r="F32" s="10" t="s">
        <v>9</v>
      </c>
      <c r="G32" s="10"/>
      <c r="H32" s="10"/>
      <c r="I32" s="10"/>
      <c r="J32" s="10"/>
      <c r="K32" s="10"/>
      <c r="L32" s="10"/>
      <c r="M32" s="11"/>
    </row>
    <row r="33" spans="1:13">
      <c r="A33" s="9" t="s">
        <v>59</v>
      </c>
      <c r="B33" s="10"/>
      <c r="C33" s="10"/>
      <c r="D33" s="10"/>
      <c r="E33" s="10">
        <v>18</v>
      </c>
      <c r="F33" s="10">
        <v>102</v>
      </c>
      <c r="G33" s="10"/>
      <c r="H33" s="10" t="s">
        <v>61</v>
      </c>
      <c r="I33" s="10"/>
      <c r="J33" s="10">
        <v>500000</v>
      </c>
      <c r="K33" s="10"/>
      <c r="L33" s="10"/>
      <c r="M33" s="11"/>
    </row>
    <row r="34" spans="1:13">
      <c r="A34" s="9" t="s">
        <v>99</v>
      </c>
      <c r="B34" s="10"/>
      <c r="C34" s="10"/>
      <c r="D34" s="10"/>
      <c r="E34" s="15">
        <v>0.05</v>
      </c>
      <c r="F34" s="10"/>
      <c r="G34" s="10"/>
      <c r="H34" s="10"/>
      <c r="I34" s="10"/>
      <c r="J34" s="10"/>
      <c r="K34" s="10"/>
      <c r="L34" s="10"/>
      <c r="M34" s="11"/>
    </row>
    <row r="35" spans="1:13">
      <c r="A35" s="37" t="s">
        <v>103</v>
      </c>
      <c r="B35" s="10"/>
      <c r="C35" s="10"/>
      <c r="D35" s="10"/>
      <c r="E35" s="15"/>
      <c r="F35" s="10"/>
      <c r="G35" s="10"/>
      <c r="H35" s="10"/>
      <c r="I35" s="10"/>
      <c r="J35" s="10"/>
      <c r="K35" s="10"/>
      <c r="L35" s="10"/>
      <c r="M35" s="11"/>
    </row>
    <row r="36" spans="1:13">
      <c r="A36" s="9" t="s">
        <v>101</v>
      </c>
      <c r="B36" s="10"/>
      <c r="C36" s="10"/>
      <c r="D36" s="10"/>
      <c r="E36" s="15">
        <v>0.5</v>
      </c>
      <c r="F36" s="10"/>
      <c r="G36" s="10" t="s">
        <v>62</v>
      </c>
      <c r="H36" s="10"/>
      <c r="I36" s="10"/>
      <c r="J36" s="38">
        <v>7000000</v>
      </c>
      <c r="K36" s="10"/>
      <c r="L36" s="10"/>
      <c r="M36" s="11"/>
    </row>
    <row r="37" spans="1:13" ht="15.75" thickBot="1">
      <c r="A37" s="12" t="s">
        <v>102</v>
      </c>
      <c r="B37" s="13"/>
      <c r="C37" s="13"/>
      <c r="D37" s="13"/>
      <c r="E37" s="17">
        <v>0.5</v>
      </c>
      <c r="F37" s="13"/>
      <c r="G37" s="13"/>
      <c r="H37" s="13"/>
      <c r="I37" s="13"/>
      <c r="J37" s="13"/>
      <c r="K37" s="13"/>
      <c r="L37" s="13"/>
      <c r="M37" s="14"/>
    </row>
    <row r="38" spans="1:13" ht="15.75" thickBot="1">
      <c r="A38" s="9"/>
      <c r="B38" s="10"/>
      <c r="C38" s="10"/>
      <c r="D38" s="10"/>
      <c r="E38" s="15"/>
      <c r="F38" s="10"/>
      <c r="G38" s="10"/>
      <c r="H38" s="10"/>
      <c r="I38" s="10"/>
      <c r="J38" s="10"/>
      <c r="K38" s="10"/>
      <c r="L38" s="10"/>
      <c r="M38" s="11"/>
    </row>
    <row r="39" spans="1:13">
      <c r="A39" s="6" t="s">
        <v>63</v>
      </c>
      <c r="B39" s="7"/>
      <c r="C39" s="7"/>
      <c r="D39" s="7"/>
      <c r="E39" s="7"/>
      <c r="F39" s="7"/>
      <c r="G39" s="7"/>
      <c r="H39" s="7"/>
      <c r="I39" s="7"/>
      <c r="J39" s="7"/>
      <c r="K39" s="7"/>
      <c r="L39" s="7"/>
      <c r="M39" s="8"/>
    </row>
    <row r="40" spans="1:13">
      <c r="A40" s="9"/>
      <c r="B40" s="10"/>
      <c r="C40" s="10"/>
      <c r="D40" s="10"/>
      <c r="E40" s="10" t="s">
        <v>4</v>
      </c>
      <c r="F40" s="10" t="s">
        <v>5</v>
      </c>
      <c r="G40" s="10" t="s">
        <v>29</v>
      </c>
      <c r="H40" s="10" t="s">
        <v>49</v>
      </c>
      <c r="I40" s="10" t="s">
        <v>31</v>
      </c>
      <c r="J40" s="10" t="s">
        <v>32</v>
      </c>
      <c r="K40" s="10" t="s">
        <v>8</v>
      </c>
      <c r="L40" s="10" t="s">
        <v>9</v>
      </c>
      <c r="M40" s="11" t="s">
        <v>11</v>
      </c>
    </row>
    <row r="41" spans="1:13">
      <c r="A41" s="9" t="s">
        <v>48</v>
      </c>
      <c r="B41" s="10"/>
      <c r="C41" s="10"/>
      <c r="D41" s="10"/>
      <c r="E41" s="10">
        <f>'Waste Input'!B46</f>
        <v>251.6</v>
      </c>
      <c r="F41" s="10">
        <f>'Waste Input'!C46</f>
        <v>61.199999999999996</v>
      </c>
      <c r="G41" s="10">
        <f>'Waste Input'!D46</f>
        <v>42.84</v>
      </c>
      <c r="H41" s="10">
        <f>'Waste Input'!E46</f>
        <v>4.7600000000000007</v>
      </c>
      <c r="I41" s="10">
        <f>'Waste Input'!F46</f>
        <v>34</v>
      </c>
      <c r="J41" s="10">
        <f>'Waste Input'!G46</f>
        <v>34</v>
      </c>
      <c r="K41" s="10">
        <f>'Waste Input'!H46</f>
        <v>13.6</v>
      </c>
      <c r="L41" s="10">
        <f>'Waste Input'!I46</f>
        <v>129.19999999999999</v>
      </c>
      <c r="M41" s="11">
        <f>SUM(E41:L41)</f>
        <v>571.20000000000005</v>
      </c>
    </row>
    <row r="42" spans="1:13">
      <c r="A42" s="9"/>
      <c r="B42" s="10"/>
      <c r="C42" s="10"/>
      <c r="D42" s="10"/>
      <c r="E42" s="10"/>
      <c r="F42" s="10"/>
      <c r="G42" s="10"/>
      <c r="H42" s="10"/>
      <c r="I42" s="10"/>
      <c r="J42" s="10"/>
      <c r="K42" s="10"/>
      <c r="L42" s="10"/>
      <c r="M42" s="11"/>
    </row>
    <row r="43" spans="1:13">
      <c r="A43" s="9" t="s">
        <v>64</v>
      </c>
      <c r="B43" s="10"/>
      <c r="C43" s="10"/>
      <c r="D43" s="10"/>
      <c r="E43" s="10"/>
      <c r="F43" s="10"/>
      <c r="G43" s="10"/>
      <c r="H43" s="10"/>
      <c r="I43" s="10"/>
      <c r="J43" s="10"/>
      <c r="K43" s="10"/>
      <c r="L43" s="10"/>
      <c r="M43" s="11"/>
    </row>
    <row r="44" spans="1:13">
      <c r="A44" s="9" t="s">
        <v>65</v>
      </c>
      <c r="B44" s="10"/>
      <c r="C44" s="10"/>
      <c r="D44" s="10"/>
      <c r="E44" s="10"/>
      <c r="F44" s="10">
        <v>2</v>
      </c>
      <c r="G44" s="10"/>
      <c r="H44" s="10" t="s">
        <v>66</v>
      </c>
      <c r="I44" s="10"/>
      <c r="J44" s="10"/>
      <c r="K44" s="10">
        <v>5</v>
      </c>
      <c r="L44" s="10"/>
      <c r="M44" s="11"/>
    </row>
    <row r="45" spans="1:13">
      <c r="A45" s="9"/>
      <c r="B45" s="10"/>
      <c r="C45" s="10"/>
      <c r="D45" s="10"/>
      <c r="E45" s="10"/>
      <c r="F45" s="10"/>
      <c r="G45" s="10"/>
      <c r="H45" s="10"/>
      <c r="I45" s="10"/>
      <c r="J45" s="10"/>
      <c r="K45" s="10"/>
      <c r="L45" s="10"/>
      <c r="M45" s="11"/>
    </row>
    <row r="46" spans="1:13">
      <c r="A46" s="21" t="s">
        <v>67</v>
      </c>
      <c r="B46" s="10"/>
      <c r="C46" s="10"/>
      <c r="D46" s="10"/>
      <c r="E46" s="10"/>
      <c r="F46" s="10"/>
      <c r="G46" s="10"/>
      <c r="H46" s="10"/>
      <c r="I46" s="10"/>
      <c r="J46" s="10"/>
      <c r="K46" s="10"/>
      <c r="L46" s="10"/>
      <c r="M46" s="11"/>
    </row>
    <row r="47" spans="1:13">
      <c r="A47" s="9"/>
      <c r="B47" s="10"/>
      <c r="C47" s="10"/>
      <c r="D47" s="10"/>
      <c r="E47" s="10" t="s">
        <v>4</v>
      </c>
      <c r="F47" s="10" t="s">
        <v>5</v>
      </c>
      <c r="G47" s="10" t="s">
        <v>29</v>
      </c>
      <c r="H47" s="10" t="s">
        <v>49</v>
      </c>
      <c r="I47" s="10" t="s">
        <v>31</v>
      </c>
      <c r="J47" s="10" t="s">
        <v>32</v>
      </c>
      <c r="K47" s="10" t="s">
        <v>8</v>
      </c>
      <c r="L47" s="10" t="s">
        <v>9</v>
      </c>
      <c r="M47" s="11"/>
    </row>
    <row r="48" spans="1:13">
      <c r="A48" s="9" t="s">
        <v>59</v>
      </c>
      <c r="B48" s="10"/>
      <c r="C48" s="10"/>
      <c r="D48" s="10"/>
      <c r="E48" s="10">
        <v>25</v>
      </c>
      <c r="F48" s="10">
        <v>25</v>
      </c>
      <c r="G48" s="10">
        <v>20</v>
      </c>
      <c r="H48" s="10">
        <v>4</v>
      </c>
      <c r="I48" s="10">
        <v>1</v>
      </c>
      <c r="J48" s="10">
        <v>20</v>
      </c>
      <c r="K48" s="10">
        <v>0</v>
      </c>
      <c r="L48" s="10">
        <v>0</v>
      </c>
      <c r="M48" s="11"/>
    </row>
    <row r="49" spans="1:13">
      <c r="A49" s="9" t="s">
        <v>68</v>
      </c>
      <c r="B49" s="10"/>
      <c r="C49" s="10"/>
      <c r="D49" s="10"/>
      <c r="E49" s="10">
        <v>5</v>
      </c>
      <c r="F49" s="10">
        <v>10</v>
      </c>
      <c r="G49" s="10">
        <v>15</v>
      </c>
      <c r="H49" s="10">
        <v>50</v>
      </c>
      <c r="I49" s="10">
        <v>20</v>
      </c>
      <c r="J49" s="10">
        <v>40</v>
      </c>
      <c r="K49" s="10">
        <v>0</v>
      </c>
      <c r="L49" s="39"/>
      <c r="M49" s="11"/>
    </row>
    <row r="50" spans="1:13">
      <c r="A50" s="9"/>
      <c r="B50" s="10"/>
      <c r="C50" s="10"/>
      <c r="D50" s="10"/>
      <c r="E50" s="10"/>
      <c r="F50" s="10"/>
      <c r="G50" s="10"/>
      <c r="H50" s="10"/>
      <c r="I50" s="10"/>
      <c r="J50" s="10"/>
      <c r="K50" s="10"/>
      <c r="L50" s="10"/>
      <c r="M50" s="11"/>
    </row>
    <row r="51" spans="1:13">
      <c r="A51" s="9" t="s">
        <v>69</v>
      </c>
      <c r="B51" s="10"/>
      <c r="C51" s="10"/>
      <c r="D51" s="10"/>
      <c r="E51" s="10"/>
      <c r="F51" s="10"/>
      <c r="G51" s="10"/>
      <c r="H51" s="10"/>
      <c r="I51" s="10">
        <v>2</v>
      </c>
      <c r="J51" s="10"/>
      <c r="K51" s="10"/>
      <c r="L51" s="10"/>
      <c r="M51" s="11"/>
    </row>
    <row r="52" spans="1:13">
      <c r="A52" s="9"/>
      <c r="B52" s="10"/>
      <c r="C52" s="10"/>
      <c r="D52" s="10"/>
      <c r="E52" s="10"/>
      <c r="F52" s="10"/>
      <c r="G52" s="10"/>
      <c r="H52" s="10"/>
      <c r="I52" s="10"/>
      <c r="J52" s="10"/>
      <c r="K52" s="10"/>
      <c r="L52" s="10"/>
      <c r="M52" s="11"/>
    </row>
    <row r="53" spans="1:13">
      <c r="A53" s="9"/>
      <c r="B53" s="10"/>
      <c r="C53" s="10"/>
      <c r="D53" s="10"/>
      <c r="E53" s="10"/>
      <c r="F53" s="10"/>
      <c r="G53" s="10"/>
      <c r="H53" s="10"/>
      <c r="I53" s="10"/>
      <c r="J53" s="10"/>
      <c r="K53" s="10"/>
      <c r="L53" s="10"/>
      <c r="M53" s="11"/>
    </row>
    <row r="54" spans="1:13">
      <c r="A54" s="21" t="s">
        <v>100</v>
      </c>
      <c r="B54" s="10"/>
      <c r="C54" s="10"/>
      <c r="D54" s="10"/>
      <c r="E54" s="10"/>
      <c r="F54" s="10"/>
      <c r="G54" s="10"/>
      <c r="H54" s="10"/>
      <c r="I54" s="10"/>
      <c r="J54" s="10"/>
      <c r="K54" s="10"/>
      <c r="L54" s="10"/>
      <c r="M54" s="11"/>
    </row>
    <row r="55" spans="1:13">
      <c r="A55" s="21"/>
      <c r="B55" s="10"/>
      <c r="C55" s="10"/>
      <c r="D55" s="10"/>
      <c r="E55" s="10"/>
      <c r="F55" s="10"/>
      <c r="G55" s="10"/>
      <c r="H55" s="10"/>
      <c r="I55" s="10"/>
      <c r="J55" s="10"/>
      <c r="K55" s="10"/>
      <c r="L55" s="10"/>
      <c r="M55" s="11"/>
    </row>
    <row r="56" spans="1:13">
      <c r="A56" s="10" t="s">
        <v>55</v>
      </c>
      <c r="B56" s="10"/>
      <c r="D56" s="36">
        <v>2.5000000000000001E-2</v>
      </c>
      <c r="E56" s="10"/>
      <c r="F56" s="10"/>
      <c r="G56" s="10"/>
      <c r="H56" s="10"/>
      <c r="I56" s="10"/>
      <c r="J56" s="10"/>
      <c r="K56" s="10"/>
      <c r="L56" s="10"/>
      <c r="M56" s="11"/>
    </row>
    <row r="57" spans="1:13">
      <c r="A57" s="10" t="s">
        <v>56</v>
      </c>
      <c r="B57" s="10"/>
      <c r="D57" s="36">
        <v>2.5000000000000001E-2</v>
      </c>
      <c r="E57" s="10"/>
      <c r="F57" s="10"/>
      <c r="G57" s="10"/>
      <c r="H57" s="10"/>
      <c r="I57" s="10"/>
      <c r="J57" s="10"/>
      <c r="K57" s="10"/>
      <c r="L57" s="10"/>
      <c r="M57" s="11"/>
    </row>
    <row r="58" spans="1:13">
      <c r="A58" s="10" t="s">
        <v>57</v>
      </c>
      <c r="B58" s="10"/>
      <c r="D58" s="36">
        <v>0.3</v>
      </c>
      <c r="E58" s="10"/>
      <c r="F58" s="10"/>
      <c r="G58" s="10"/>
      <c r="H58" s="10"/>
      <c r="I58" s="10"/>
      <c r="J58" s="10"/>
      <c r="K58" s="10"/>
      <c r="L58" s="10"/>
      <c r="M58" s="11"/>
    </row>
    <row r="59" spans="1:13">
      <c r="A59" s="10"/>
      <c r="B59" s="10"/>
      <c r="D59" s="36"/>
      <c r="E59" s="10"/>
      <c r="F59" s="10"/>
      <c r="G59" s="10"/>
      <c r="H59" s="10"/>
      <c r="I59" s="10"/>
      <c r="J59" s="10"/>
      <c r="K59" s="10"/>
      <c r="L59" s="10"/>
      <c r="M59" s="11"/>
    </row>
    <row r="60" spans="1:13">
      <c r="A60" s="9"/>
      <c r="B60" s="10"/>
      <c r="C60" s="10"/>
      <c r="D60" s="10"/>
      <c r="E60" s="10" t="s">
        <v>4</v>
      </c>
      <c r="F60" s="10" t="s">
        <v>5</v>
      </c>
      <c r="G60" s="10" t="s">
        <v>29</v>
      </c>
      <c r="H60" s="10" t="s">
        <v>49</v>
      </c>
      <c r="I60" s="10" t="s">
        <v>31</v>
      </c>
      <c r="J60" s="10" t="s">
        <v>32</v>
      </c>
      <c r="K60" s="10" t="s">
        <v>8</v>
      </c>
      <c r="L60" s="10" t="s">
        <v>11</v>
      </c>
      <c r="M60" s="11"/>
    </row>
    <row r="61" spans="1:13">
      <c r="A61" s="9" t="s">
        <v>59</v>
      </c>
      <c r="B61" s="10"/>
      <c r="C61" s="10"/>
      <c r="D61" s="10"/>
      <c r="E61" s="10">
        <v>0</v>
      </c>
      <c r="F61" s="10">
        <v>0</v>
      </c>
      <c r="G61" s="10">
        <v>0</v>
      </c>
      <c r="H61" s="10">
        <v>0</v>
      </c>
      <c r="I61" s="10">
        <v>0</v>
      </c>
      <c r="J61" s="10">
        <v>0</v>
      </c>
      <c r="K61" s="10">
        <v>0</v>
      </c>
      <c r="L61" s="10">
        <f>SUM(E61:K61)</f>
        <v>0</v>
      </c>
      <c r="M61" s="11"/>
    </row>
    <row r="62" spans="1:13">
      <c r="A62" s="9"/>
      <c r="B62" s="10"/>
      <c r="C62" s="10"/>
      <c r="D62" s="10"/>
      <c r="E62" s="10"/>
      <c r="F62" s="10"/>
      <c r="G62" s="10"/>
      <c r="H62" s="10"/>
      <c r="I62" s="10"/>
      <c r="J62" s="10"/>
      <c r="K62" s="10"/>
      <c r="L62" s="10"/>
      <c r="M62" s="11"/>
    </row>
    <row r="63" spans="1:13">
      <c r="A63" s="9" t="s">
        <v>70</v>
      </c>
      <c r="B63" s="10"/>
      <c r="C63" s="10"/>
      <c r="D63" s="10"/>
      <c r="E63" s="10"/>
      <c r="F63" s="10"/>
      <c r="G63" s="10"/>
      <c r="H63" s="10">
        <v>0</v>
      </c>
      <c r="I63" s="10"/>
      <c r="J63" s="10"/>
      <c r="K63" s="10"/>
      <c r="L63" s="10"/>
      <c r="M63" s="11"/>
    </row>
    <row r="64" spans="1:13">
      <c r="A64" s="9"/>
      <c r="B64" s="10"/>
      <c r="C64" s="10"/>
      <c r="D64" s="10"/>
      <c r="E64" s="10"/>
      <c r="F64" s="10"/>
      <c r="G64" s="10"/>
      <c r="H64" s="10"/>
      <c r="I64" s="10"/>
      <c r="J64" s="10"/>
      <c r="K64" s="10"/>
      <c r="L64" s="10"/>
      <c r="M64" s="11"/>
    </row>
    <row r="65" spans="1:15" ht="15.75" thickBot="1">
      <c r="A65" s="12" t="s">
        <v>71</v>
      </c>
      <c r="B65" s="13"/>
      <c r="C65" s="13"/>
      <c r="D65" s="13"/>
      <c r="E65" s="13"/>
      <c r="F65" s="13"/>
      <c r="G65" s="13"/>
      <c r="H65" s="13">
        <v>0</v>
      </c>
      <c r="I65" s="13"/>
      <c r="J65" s="13"/>
      <c r="K65" s="13"/>
      <c r="L65" s="13"/>
      <c r="M65" s="14"/>
    </row>
    <row r="66" spans="1:15" ht="15.75" thickBot="1"/>
    <row r="67" spans="1:15">
      <c r="A67" s="6" t="s">
        <v>26</v>
      </c>
      <c r="B67" s="7"/>
      <c r="C67" s="7"/>
      <c r="D67" s="7"/>
      <c r="E67" s="7"/>
      <c r="F67" s="7"/>
      <c r="G67" s="7"/>
      <c r="H67" s="7"/>
      <c r="I67" s="7"/>
      <c r="J67" s="7"/>
      <c r="K67" s="7"/>
      <c r="L67" s="7"/>
      <c r="M67" s="7"/>
      <c r="N67" s="7"/>
      <c r="O67" s="8"/>
    </row>
    <row r="68" spans="1:15">
      <c r="A68" s="9" t="s">
        <v>72</v>
      </c>
      <c r="B68" s="10"/>
      <c r="C68" s="10"/>
      <c r="D68" s="10"/>
      <c r="E68" s="10"/>
      <c r="F68" s="10"/>
      <c r="G68" s="10"/>
      <c r="H68" s="10"/>
      <c r="I68" s="10"/>
      <c r="J68" s="10"/>
      <c r="K68" s="10"/>
      <c r="L68" s="10"/>
      <c r="M68" s="10"/>
      <c r="N68" s="10"/>
      <c r="O68" s="11"/>
    </row>
    <row r="69" spans="1:15">
      <c r="A69" s="9" t="s">
        <v>73</v>
      </c>
      <c r="B69" s="10"/>
      <c r="C69" s="10"/>
      <c r="D69" s="10"/>
      <c r="E69" s="10"/>
      <c r="F69" s="10">
        <v>0</v>
      </c>
      <c r="G69" s="10"/>
      <c r="H69" s="10" t="s">
        <v>66</v>
      </c>
      <c r="I69" s="10"/>
      <c r="J69" s="10"/>
      <c r="K69" s="10">
        <v>0</v>
      </c>
      <c r="L69" s="10"/>
      <c r="M69" s="10"/>
      <c r="N69" s="10"/>
      <c r="O69" s="11"/>
    </row>
    <row r="70" spans="1:15">
      <c r="A70" s="9"/>
      <c r="B70" s="10"/>
      <c r="C70" s="10"/>
      <c r="D70" s="10"/>
      <c r="E70" s="10"/>
      <c r="F70" s="10"/>
      <c r="G70" s="10"/>
      <c r="H70" s="10"/>
      <c r="I70" s="10"/>
      <c r="J70" s="10"/>
      <c r="K70" s="10"/>
      <c r="L70" s="10"/>
      <c r="M70" s="10"/>
      <c r="N70" s="10"/>
      <c r="O70" s="11"/>
    </row>
    <row r="71" spans="1:15">
      <c r="A71" s="9" t="s">
        <v>74</v>
      </c>
      <c r="B71" s="10"/>
      <c r="C71" s="10"/>
      <c r="D71" s="10"/>
      <c r="E71" s="10"/>
      <c r="F71" s="10"/>
      <c r="G71" s="10"/>
      <c r="H71" s="10"/>
      <c r="I71" s="10"/>
      <c r="J71" s="10"/>
      <c r="K71" s="10"/>
      <c r="L71" s="10"/>
      <c r="M71" s="10"/>
      <c r="N71" s="10"/>
      <c r="O71" s="11"/>
    </row>
    <row r="72" spans="1:15">
      <c r="A72" s="9"/>
      <c r="B72" s="10"/>
      <c r="C72" s="10"/>
      <c r="D72" s="10"/>
      <c r="E72" s="10" t="s">
        <v>5</v>
      </c>
      <c r="F72" s="10" t="s">
        <v>29</v>
      </c>
      <c r="G72" s="10" t="s">
        <v>49</v>
      </c>
      <c r="H72" s="10" t="s">
        <v>31</v>
      </c>
      <c r="I72" s="10" t="s">
        <v>32</v>
      </c>
      <c r="J72" s="10" t="s">
        <v>76</v>
      </c>
      <c r="K72" s="10"/>
      <c r="L72" s="10"/>
      <c r="M72" s="10"/>
      <c r="N72" s="10"/>
      <c r="O72" s="11"/>
    </row>
    <row r="73" spans="1:15">
      <c r="A73" s="9" t="s">
        <v>75</v>
      </c>
      <c r="B73" s="10"/>
      <c r="C73" s="10"/>
      <c r="D73" s="10"/>
      <c r="E73" s="15">
        <v>0</v>
      </c>
      <c r="F73" s="15">
        <v>0</v>
      </c>
      <c r="G73" s="15">
        <v>0</v>
      </c>
      <c r="H73" s="15">
        <v>0</v>
      </c>
      <c r="I73" s="15">
        <v>0</v>
      </c>
      <c r="J73" s="63">
        <v>0</v>
      </c>
      <c r="K73" s="10"/>
      <c r="L73" s="10"/>
      <c r="M73" s="10"/>
      <c r="N73" s="10"/>
      <c r="O73" s="11"/>
    </row>
    <row r="74" spans="1:15">
      <c r="A74" s="9"/>
      <c r="B74" s="10" t="s">
        <v>632</v>
      </c>
      <c r="C74" s="10"/>
      <c r="D74" s="10"/>
      <c r="E74" s="10">
        <v>0</v>
      </c>
      <c r="F74" s="10">
        <v>0</v>
      </c>
      <c r="G74" s="10">
        <v>0</v>
      </c>
      <c r="H74" s="10">
        <v>0</v>
      </c>
      <c r="I74" s="10">
        <v>0</v>
      </c>
      <c r="J74" s="39"/>
      <c r="K74" s="10"/>
      <c r="L74" s="10"/>
      <c r="M74" s="10"/>
      <c r="N74" s="10"/>
      <c r="O74" s="11"/>
    </row>
    <row r="75" spans="1:15">
      <c r="A75" s="9"/>
      <c r="B75" s="10"/>
      <c r="C75" s="10"/>
      <c r="D75" s="10"/>
      <c r="E75" s="10"/>
      <c r="F75" s="10"/>
      <c r="G75" s="10"/>
      <c r="H75" s="10"/>
      <c r="I75" s="10"/>
      <c r="J75" s="10"/>
      <c r="K75" s="10"/>
      <c r="L75" s="10"/>
      <c r="M75" s="10"/>
      <c r="N75" s="10"/>
      <c r="O75" s="11"/>
    </row>
    <row r="76" spans="1:15">
      <c r="A76" s="9"/>
      <c r="B76" s="10"/>
      <c r="C76" s="10"/>
      <c r="D76" s="10"/>
      <c r="E76" s="10" t="s">
        <v>78</v>
      </c>
      <c r="F76" s="10" t="s">
        <v>79</v>
      </c>
      <c r="G76" s="10"/>
      <c r="H76" s="10"/>
      <c r="I76" s="10"/>
      <c r="J76" s="10"/>
      <c r="K76" s="10"/>
      <c r="L76" s="10"/>
      <c r="M76" s="10"/>
      <c r="N76" s="10"/>
      <c r="O76" s="11"/>
    </row>
    <row r="77" spans="1:15">
      <c r="A77" s="9" t="s">
        <v>77</v>
      </c>
      <c r="B77" s="10"/>
      <c r="C77" s="10"/>
      <c r="D77" s="10"/>
      <c r="E77" s="15">
        <v>0</v>
      </c>
      <c r="F77" s="15">
        <v>1</v>
      </c>
      <c r="G77" s="10"/>
      <c r="H77" s="10"/>
      <c r="I77" s="10"/>
      <c r="J77" s="10"/>
      <c r="K77" s="10"/>
      <c r="L77" s="10"/>
      <c r="M77" s="10"/>
      <c r="N77" s="10"/>
      <c r="O77" s="11"/>
    </row>
    <row r="78" spans="1:15">
      <c r="A78" s="9" t="s">
        <v>80</v>
      </c>
      <c r="B78" s="10"/>
      <c r="C78" s="10"/>
      <c r="D78" s="10"/>
      <c r="E78" s="10">
        <v>0</v>
      </c>
      <c r="F78" s="10">
        <v>0</v>
      </c>
      <c r="G78" s="10"/>
      <c r="H78" s="10"/>
      <c r="I78" s="10"/>
      <c r="J78" s="10"/>
      <c r="K78" s="10"/>
      <c r="L78" s="10"/>
      <c r="M78" s="10"/>
      <c r="N78" s="10"/>
      <c r="O78" s="11"/>
    </row>
    <row r="79" spans="1:15">
      <c r="A79" s="9"/>
      <c r="B79" s="10"/>
      <c r="C79" s="10"/>
      <c r="D79" s="10"/>
      <c r="E79" s="10"/>
      <c r="F79" s="10"/>
      <c r="G79" s="10"/>
      <c r="H79" s="10"/>
      <c r="I79" s="10"/>
      <c r="J79" s="10"/>
      <c r="K79" s="10"/>
      <c r="L79" s="10"/>
      <c r="M79" s="10"/>
      <c r="N79" s="10"/>
      <c r="O79" s="11"/>
    </row>
    <row r="80" spans="1:15">
      <c r="A80" s="9" t="s">
        <v>69</v>
      </c>
      <c r="B80" s="10"/>
      <c r="C80" s="10"/>
      <c r="D80" s="10"/>
      <c r="E80" s="10"/>
      <c r="F80" s="10"/>
      <c r="G80" s="10"/>
      <c r="H80" s="10"/>
      <c r="I80" s="10">
        <v>0</v>
      </c>
      <c r="J80" s="10"/>
      <c r="K80" s="10"/>
      <c r="L80" s="10"/>
      <c r="M80" s="10"/>
      <c r="N80" s="10"/>
      <c r="O80" s="11"/>
    </row>
    <row r="81" spans="1:15">
      <c r="A81" s="9"/>
      <c r="B81" s="10"/>
      <c r="C81" s="10"/>
      <c r="D81" s="10"/>
      <c r="E81" s="10"/>
      <c r="F81" s="10"/>
      <c r="G81" s="10"/>
      <c r="H81" s="10"/>
      <c r="I81" s="10"/>
      <c r="J81" s="10"/>
      <c r="K81" s="10"/>
      <c r="L81" s="10"/>
      <c r="M81" s="10"/>
      <c r="N81" s="10"/>
      <c r="O81" s="11"/>
    </row>
    <row r="82" spans="1:15">
      <c r="A82" s="9" t="s">
        <v>33</v>
      </c>
      <c r="B82" s="10"/>
      <c r="C82" s="10"/>
      <c r="D82" s="10"/>
      <c r="E82" s="10"/>
      <c r="F82" s="10"/>
      <c r="G82" s="10"/>
      <c r="H82" s="10"/>
      <c r="I82" s="10"/>
      <c r="J82" s="10"/>
      <c r="K82" s="10"/>
      <c r="L82" s="10"/>
      <c r="M82" s="10"/>
      <c r="N82" s="10"/>
      <c r="O82" s="11"/>
    </row>
    <row r="83" spans="1:15">
      <c r="A83" s="9" t="s">
        <v>81</v>
      </c>
      <c r="B83" s="10"/>
      <c r="C83" s="10"/>
      <c r="D83" s="10"/>
      <c r="E83" s="10"/>
      <c r="F83" s="10"/>
      <c r="G83" s="10">
        <v>0</v>
      </c>
      <c r="H83" s="10"/>
      <c r="I83" s="10"/>
      <c r="J83" s="10"/>
      <c r="K83" s="10"/>
      <c r="L83" s="10"/>
      <c r="M83" s="10"/>
      <c r="N83" s="10"/>
      <c r="O83" s="11"/>
    </row>
    <row r="84" spans="1:15">
      <c r="A84" s="9"/>
      <c r="B84" s="10"/>
      <c r="C84" s="10"/>
      <c r="D84" s="10"/>
      <c r="E84" s="10"/>
      <c r="F84" s="10"/>
      <c r="G84" s="10"/>
      <c r="H84" s="10"/>
      <c r="I84" s="10"/>
      <c r="J84" s="10"/>
      <c r="K84" s="10"/>
      <c r="L84" s="10"/>
      <c r="M84" s="10"/>
      <c r="N84" s="10"/>
      <c r="O84" s="11"/>
    </row>
    <row r="85" spans="1:15">
      <c r="A85" s="9" t="s">
        <v>82</v>
      </c>
      <c r="B85" s="10"/>
      <c r="C85" s="10"/>
      <c r="D85" s="10"/>
      <c r="E85" s="10"/>
      <c r="F85" s="10"/>
      <c r="G85" s="10"/>
      <c r="H85" s="10"/>
      <c r="I85" s="10"/>
      <c r="J85" s="10"/>
      <c r="K85" s="10"/>
      <c r="L85" s="10"/>
      <c r="M85" s="10"/>
      <c r="N85" s="10"/>
      <c r="O85" s="11"/>
    </row>
    <row r="86" spans="1:15" ht="15.75" thickBot="1">
      <c r="A86" s="12" t="s">
        <v>83</v>
      </c>
      <c r="B86" s="13"/>
      <c r="C86" s="13"/>
      <c r="D86" s="13"/>
      <c r="E86" s="13"/>
      <c r="F86" s="13"/>
      <c r="G86" s="13"/>
      <c r="H86" s="13"/>
      <c r="I86" s="13">
        <v>0</v>
      </c>
      <c r="J86" s="13"/>
      <c r="K86" s="13"/>
      <c r="L86" s="13"/>
      <c r="M86" s="13"/>
      <c r="N86" s="13"/>
      <c r="O86" s="14"/>
    </row>
    <row r="87" spans="1:15" ht="15.75" thickBot="1"/>
    <row r="88" spans="1:15">
      <c r="A88" s="6" t="s">
        <v>34</v>
      </c>
      <c r="B88" s="7"/>
      <c r="C88" s="7"/>
      <c r="D88" s="7"/>
      <c r="E88" s="7"/>
      <c r="F88" s="7"/>
      <c r="G88" s="7"/>
      <c r="H88" s="7"/>
      <c r="I88" s="7"/>
      <c r="J88" s="7"/>
      <c r="K88" s="7"/>
      <c r="L88" s="8"/>
    </row>
    <row r="89" spans="1:15">
      <c r="A89" s="9" t="s">
        <v>85</v>
      </c>
      <c r="B89" s="10"/>
      <c r="C89" s="10"/>
      <c r="D89" s="10"/>
      <c r="E89" s="10"/>
      <c r="F89" s="10"/>
      <c r="G89" s="10"/>
      <c r="H89" s="10"/>
      <c r="I89" s="10"/>
      <c r="J89" s="10"/>
      <c r="K89" s="10"/>
      <c r="L89" s="11"/>
    </row>
    <row r="90" spans="1:15">
      <c r="A90" s="9"/>
      <c r="B90" s="10"/>
      <c r="C90" s="10"/>
      <c r="D90" s="10"/>
      <c r="E90" s="10" t="s">
        <v>4</v>
      </c>
      <c r="F90" s="10" t="s">
        <v>5</v>
      </c>
      <c r="G90" s="10" t="s">
        <v>29</v>
      </c>
      <c r="H90" s="10" t="s">
        <v>49</v>
      </c>
      <c r="I90" s="10" t="s">
        <v>31</v>
      </c>
      <c r="J90" s="10" t="s">
        <v>32</v>
      </c>
      <c r="K90" s="10" t="s">
        <v>8</v>
      </c>
      <c r="L90" s="11" t="s">
        <v>11</v>
      </c>
    </row>
    <row r="91" spans="1:15">
      <c r="A91" s="9" t="s">
        <v>86</v>
      </c>
      <c r="B91" s="10"/>
      <c r="C91" s="10"/>
      <c r="D91" s="10"/>
      <c r="E91" s="10">
        <f>'Waste Input'!B47</f>
        <v>2000</v>
      </c>
      <c r="F91" s="10">
        <f>'Waste Input'!C47</f>
        <v>1000</v>
      </c>
      <c r="G91" s="10">
        <f>'Waste Input'!D47</f>
        <v>1800</v>
      </c>
      <c r="H91" s="10">
        <f>'Waste Input'!E47</f>
        <v>200</v>
      </c>
      <c r="I91" s="10">
        <f>'Waste Input'!F47</f>
        <v>500</v>
      </c>
      <c r="J91" s="10">
        <f>'Waste Input'!G47</f>
        <v>500</v>
      </c>
      <c r="K91" s="10">
        <f>'Waste Input'!H47</f>
        <v>500</v>
      </c>
      <c r="L91" s="11">
        <f>SUM(E91:K91)</f>
        <v>6500</v>
      </c>
    </row>
    <row r="92" spans="1:15">
      <c r="A92" s="9" t="s">
        <v>87</v>
      </c>
      <c r="B92" s="10"/>
      <c r="C92" s="10"/>
      <c r="D92" s="10"/>
      <c r="E92" s="10">
        <v>0</v>
      </c>
      <c r="F92" s="10">
        <v>0</v>
      </c>
      <c r="G92" s="10">
        <v>0</v>
      </c>
      <c r="H92" s="10">
        <v>0</v>
      </c>
      <c r="I92" s="10">
        <v>0</v>
      </c>
      <c r="J92" s="10">
        <v>0</v>
      </c>
      <c r="K92" s="10">
        <v>0</v>
      </c>
      <c r="L92" s="11">
        <f>SUM(E92:K92)</f>
        <v>0</v>
      </c>
    </row>
    <row r="93" spans="1:15">
      <c r="A93" s="9"/>
      <c r="B93" s="10"/>
      <c r="C93" s="10"/>
      <c r="D93" s="10"/>
      <c r="E93" s="10"/>
      <c r="F93" s="10"/>
      <c r="G93" s="10"/>
      <c r="H93" s="10"/>
      <c r="I93" s="10"/>
      <c r="J93" s="10"/>
      <c r="K93" s="10"/>
      <c r="L93" s="11"/>
    </row>
    <row r="94" spans="1:15">
      <c r="A94" s="9"/>
      <c r="B94" s="10"/>
      <c r="C94" s="10"/>
      <c r="D94" s="10"/>
      <c r="E94" s="10"/>
      <c r="F94" s="10"/>
      <c r="G94" s="10"/>
      <c r="H94" s="10" t="s">
        <v>88</v>
      </c>
      <c r="I94" s="10"/>
      <c r="J94" s="10"/>
      <c r="K94" s="10">
        <v>0</v>
      </c>
      <c r="L94" s="11"/>
    </row>
    <row r="95" spans="1:15">
      <c r="A95" s="9"/>
      <c r="B95" s="10"/>
      <c r="C95" s="10"/>
      <c r="D95" s="10"/>
      <c r="E95" s="10"/>
      <c r="F95" s="10"/>
      <c r="G95" s="10" t="s">
        <v>92</v>
      </c>
      <c r="H95" s="10"/>
      <c r="I95" s="10"/>
      <c r="J95" s="10"/>
      <c r="K95" s="10">
        <v>0</v>
      </c>
      <c r="L95" s="11"/>
    </row>
    <row r="96" spans="1:15">
      <c r="A96" s="9"/>
      <c r="B96" s="10"/>
      <c r="C96" s="10"/>
      <c r="D96" s="10"/>
      <c r="E96" s="10"/>
      <c r="F96" s="10"/>
      <c r="G96" s="10"/>
      <c r="H96" s="10"/>
      <c r="I96" s="10"/>
      <c r="J96" s="10"/>
      <c r="K96" s="10"/>
      <c r="L96" s="11"/>
    </row>
    <row r="97" spans="1:12">
      <c r="A97" s="9"/>
      <c r="B97" s="10"/>
      <c r="C97" s="10"/>
      <c r="D97" s="10"/>
      <c r="E97" s="10"/>
      <c r="F97" s="10"/>
      <c r="G97" s="10" t="s">
        <v>104</v>
      </c>
      <c r="H97" s="10" t="s">
        <v>105</v>
      </c>
      <c r="I97" s="15">
        <v>0</v>
      </c>
      <c r="J97" s="10"/>
      <c r="K97" s="10"/>
      <c r="L97" s="11"/>
    </row>
    <row r="98" spans="1:12">
      <c r="A98" s="9"/>
      <c r="B98" s="10"/>
      <c r="C98" s="10"/>
      <c r="D98" s="10"/>
      <c r="E98" s="10"/>
      <c r="F98" s="10"/>
      <c r="G98" s="10"/>
      <c r="H98" s="10" t="s">
        <v>10</v>
      </c>
      <c r="I98" s="15">
        <v>0</v>
      </c>
      <c r="J98" s="10"/>
      <c r="K98" s="10"/>
      <c r="L98" s="11"/>
    </row>
    <row r="99" spans="1:12">
      <c r="A99" s="9"/>
      <c r="B99" s="10"/>
      <c r="C99" s="10"/>
      <c r="D99" s="10"/>
      <c r="E99" s="10"/>
      <c r="F99" s="10"/>
      <c r="G99" s="10" t="s">
        <v>57</v>
      </c>
      <c r="H99" s="10"/>
      <c r="I99" s="15">
        <v>0.3</v>
      </c>
      <c r="J99" s="10"/>
      <c r="K99" s="10"/>
      <c r="L99" s="11"/>
    </row>
    <row r="100" spans="1:12">
      <c r="A100" s="9" t="s">
        <v>89</v>
      </c>
      <c r="B100" s="10"/>
      <c r="C100" s="10"/>
      <c r="D100" s="10"/>
      <c r="E100" s="10"/>
      <c r="F100" s="10"/>
      <c r="G100" s="10"/>
      <c r="H100" s="10"/>
      <c r="I100" s="10"/>
      <c r="J100" s="10"/>
      <c r="K100" s="10"/>
      <c r="L100" s="11"/>
    </row>
    <row r="101" spans="1:12">
      <c r="A101" s="9"/>
      <c r="B101" s="10"/>
      <c r="C101" s="10"/>
      <c r="D101" s="10"/>
      <c r="E101" s="10" t="s">
        <v>4</v>
      </c>
      <c r="F101" s="10" t="s">
        <v>9</v>
      </c>
      <c r="G101" s="10"/>
      <c r="H101" s="10"/>
      <c r="I101" s="10"/>
      <c r="J101" s="10"/>
      <c r="K101" s="10"/>
      <c r="L101" s="11"/>
    </row>
    <row r="102" spans="1:12">
      <c r="A102" s="9" t="s">
        <v>86</v>
      </c>
      <c r="B102" s="10"/>
      <c r="C102" s="10"/>
      <c r="D102" s="10"/>
      <c r="E102" s="40">
        <f>'Waste Input'!B47</f>
        <v>2000</v>
      </c>
      <c r="F102" s="40">
        <f>'Waste Input'!I47</f>
        <v>2500</v>
      </c>
      <c r="G102" s="10" t="s">
        <v>90</v>
      </c>
      <c r="H102" s="10"/>
      <c r="I102" s="10"/>
      <c r="J102" s="10"/>
      <c r="K102" s="10">
        <v>0</v>
      </c>
      <c r="L102" s="11"/>
    </row>
    <row r="103" spans="1:12">
      <c r="A103" s="9" t="s">
        <v>87</v>
      </c>
      <c r="B103" s="10"/>
      <c r="C103" s="10"/>
      <c r="D103" s="10"/>
      <c r="E103" s="41">
        <v>0</v>
      </c>
      <c r="F103" s="41">
        <v>0</v>
      </c>
      <c r="G103" s="10" t="s">
        <v>92</v>
      </c>
      <c r="H103" s="10"/>
      <c r="I103" s="10"/>
      <c r="J103" s="10"/>
      <c r="K103" s="10">
        <v>0</v>
      </c>
      <c r="L103" s="11"/>
    </row>
    <row r="104" spans="1:12">
      <c r="A104" s="9" t="s">
        <v>98</v>
      </c>
      <c r="B104" s="10"/>
      <c r="C104" s="10"/>
      <c r="D104" s="10"/>
      <c r="E104" s="15">
        <v>0</v>
      </c>
      <c r="F104" s="10"/>
      <c r="G104" s="10"/>
      <c r="H104" s="10"/>
      <c r="I104" s="10"/>
      <c r="J104" s="10"/>
      <c r="K104" s="10"/>
      <c r="L104" s="11"/>
    </row>
    <row r="105" spans="1:12">
      <c r="A105" s="9"/>
      <c r="B105" s="10"/>
      <c r="C105" s="10"/>
      <c r="D105" s="10"/>
      <c r="E105" s="15"/>
      <c r="F105" s="10"/>
      <c r="G105" s="10"/>
      <c r="H105" s="10"/>
      <c r="I105" s="10"/>
      <c r="J105" s="10"/>
      <c r="K105" s="10"/>
      <c r="L105" s="11"/>
    </row>
    <row r="106" spans="1:12">
      <c r="A106" s="9" t="s">
        <v>91</v>
      </c>
      <c r="B106" s="10"/>
      <c r="C106" s="10"/>
      <c r="D106" s="10"/>
      <c r="E106" s="10"/>
      <c r="F106" s="10"/>
      <c r="G106" s="10"/>
      <c r="H106" s="10"/>
      <c r="I106" s="10"/>
      <c r="J106" s="10"/>
      <c r="K106" s="10"/>
      <c r="L106" s="11"/>
    </row>
    <row r="107" spans="1:12">
      <c r="A107" s="9" t="s">
        <v>1218</v>
      </c>
      <c r="B107" s="10"/>
      <c r="C107" s="10"/>
      <c r="D107" s="10"/>
      <c r="E107" s="10"/>
      <c r="F107" s="10"/>
      <c r="G107" s="10"/>
      <c r="H107" s="10"/>
      <c r="I107" s="10">
        <v>0</v>
      </c>
      <c r="J107" s="10"/>
      <c r="K107" s="10"/>
      <c r="L107" s="11"/>
    </row>
    <row r="108" spans="1:12">
      <c r="A108" s="9"/>
      <c r="B108" s="10"/>
      <c r="C108" s="10"/>
      <c r="D108" s="10"/>
      <c r="E108" s="10" t="s">
        <v>92</v>
      </c>
      <c r="F108" s="10"/>
      <c r="G108" s="10"/>
      <c r="H108" s="10"/>
      <c r="I108" s="10">
        <v>0</v>
      </c>
      <c r="J108" s="10"/>
      <c r="K108" s="10"/>
      <c r="L108" s="11"/>
    </row>
    <row r="109" spans="1:12">
      <c r="A109" s="9"/>
      <c r="B109" s="10"/>
      <c r="C109" s="10"/>
      <c r="D109" s="10"/>
      <c r="E109" s="10"/>
      <c r="F109" s="10"/>
      <c r="G109" s="10"/>
      <c r="H109" s="10"/>
      <c r="I109" s="10"/>
      <c r="J109" s="10"/>
      <c r="K109" s="10"/>
      <c r="L109" s="11"/>
    </row>
    <row r="110" spans="1:12">
      <c r="A110" s="9" t="s">
        <v>93</v>
      </c>
      <c r="B110" s="10"/>
      <c r="C110" s="10"/>
      <c r="D110" s="10"/>
      <c r="E110" s="10"/>
      <c r="F110" s="10"/>
      <c r="G110" s="10"/>
      <c r="H110" s="10"/>
      <c r="I110" s="10"/>
      <c r="J110" s="10"/>
      <c r="K110" s="10"/>
      <c r="L110" s="11"/>
    </row>
    <row r="111" spans="1:12">
      <c r="A111" s="9"/>
      <c r="B111" s="10"/>
      <c r="C111" s="10"/>
      <c r="D111" s="10"/>
      <c r="E111" s="10"/>
      <c r="F111" s="10"/>
      <c r="G111" s="10"/>
      <c r="H111" s="10"/>
      <c r="I111" s="10"/>
      <c r="J111" s="10"/>
      <c r="K111" s="10"/>
      <c r="L111" s="11"/>
    </row>
    <row r="112" spans="1:12">
      <c r="A112" s="21" t="s">
        <v>1486</v>
      </c>
      <c r="B112" s="10"/>
      <c r="C112" s="10"/>
      <c r="D112" s="10"/>
      <c r="E112" s="10"/>
      <c r="F112" s="10"/>
      <c r="G112" s="10"/>
      <c r="H112" s="10"/>
      <c r="I112" s="10"/>
      <c r="J112" s="10"/>
      <c r="K112" s="10"/>
      <c r="L112" s="11"/>
    </row>
    <row r="113" spans="1:12">
      <c r="A113" s="9" t="s">
        <v>265</v>
      </c>
      <c r="B113" s="10"/>
      <c r="C113" s="10"/>
      <c r="D113" s="10"/>
      <c r="E113" s="10"/>
      <c r="F113" s="15">
        <v>0</v>
      </c>
      <c r="G113" s="10"/>
      <c r="H113" s="10"/>
      <c r="I113" s="10"/>
      <c r="J113" s="10"/>
      <c r="K113" s="10"/>
      <c r="L113" s="11"/>
    </row>
    <row r="114" spans="1:12">
      <c r="A114" s="9" t="s">
        <v>266</v>
      </c>
      <c r="B114" s="10"/>
      <c r="C114" s="10"/>
      <c r="D114" s="10"/>
      <c r="E114" s="10"/>
      <c r="F114" s="15">
        <v>0</v>
      </c>
      <c r="G114" s="10"/>
      <c r="H114" s="10"/>
      <c r="I114" s="10"/>
      <c r="J114" s="10"/>
      <c r="K114" s="10"/>
      <c r="L114" s="11"/>
    </row>
    <row r="115" spans="1:12">
      <c r="A115" s="9" t="s">
        <v>267</v>
      </c>
      <c r="B115" s="10"/>
      <c r="C115" s="10"/>
      <c r="D115" s="10"/>
      <c r="E115" s="10"/>
      <c r="F115" s="15">
        <v>0</v>
      </c>
      <c r="G115" s="10"/>
      <c r="H115" s="10"/>
      <c r="I115" s="10"/>
      <c r="J115" s="10"/>
      <c r="K115" s="10"/>
      <c r="L115" s="11"/>
    </row>
    <row r="116" spans="1:12">
      <c r="A116" s="9" t="s">
        <v>268</v>
      </c>
      <c r="B116" s="10"/>
      <c r="C116" s="10"/>
      <c r="D116" s="10"/>
      <c r="E116" s="10"/>
      <c r="F116" s="15">
        <v>0.08</v>
      </c>
      <c r="G116" s="10"/>
      <c r="H116" s="10"/>
      <c r="I116" s="10"/>
      <c r="J116" s="10"/>
      <c r="K116" s="10"/>
      <c r="L116" s="11"/>
    </row>
    <row r="117" spans="1:12" ht="15.75" thickBot="1">
      <c r="A117" s="12"/>
      <c r="B117" s="13"/>
      <c r="C117" s="13"/>
      <c r="D117" s="13"/>
      <c r="E117" s="13"/>
      <c r="F117" s="13"/>
      <c r="G117" s="13"/>
      <c r="H117" s="13"/>
      <c r="I117" s="13"/>
      <c r="J117" s="13"/>
      <c r="K117" s="13"/>
      <c r="L117" s="14"/>
    </row>
    <row r="118" spans="1:12" ht="15.75" thickBot="1"/>
    <row r="119" spans="1:12">
      <c r="A119" s="6" t="s">
        <v>94</v>
      </c>
      <c r="B119" s="7"/>
      <c r="C119" s="7"/>
      <c r="D119" s="7"/>
      <c r="E119" s="7"/>
      <c r="F119" s="7"/>
      <c r="G119" s="7"/>
      <c r="H119" s="7"/>
      <c r="I119" s="7"/>
      <c r="J119" s="7"/>
      <c r="K119" s="8"/>
    </row>
    <row r="120" spans="1:12">
      <c r="A120" s="9" t="s">
        <v>1</v>
      </c>
      <c r="B120" s="10"/>
      <c r="C120" s="10"/>
      <c r="D120" s="10"/>
      <c r="E120" s="10"/>
      <c r="F120" s="10"/>
      <c r="G120" s="10"/>
      <c r="H120" s="10"/>
      <c r="I120" s="10"/>
      <c r="J120" s="10"/>
      <c r="K120" s="11"/>
    </row>
    <row r="121" spans="1:12">
      <c r="A121" s="9"/>
      <c r="B121" s="10"/>
      <c r="C121" s="10" t="s">
        <v>4</v>
      </c>
      <c r="D121" s="10" t="s">
        <v>5</v>
      </c>
      <c r="E121" s="10" t="s">
        <v>29</v>
      </c>
      <c r="F121" s="10" t="s">
        <v>49</v>
      </c>
      <c r="G121" s="10" t="s">
        <v>31</v>
      </c>
      <c r="H121" s="10" t="s">
        <v>32</v>
      </c>
      <c r="I121" s="10" t="s">
        <v>8</v>
      </c>
      <c r="J121" s="10" t="s">
        <v>9</v>
      </c>
      <c r="K121" s="11" t="s">
        <v>10</v>
      </c>
    </row>
    <row r="122" spans="1:12">
      <c r="A122" s="9" t="s">
        <v>95</v>
      </c>
      <c r="B122" s="10"/>
      <c r="C122" s="10">
        <f>'Waste Input'!B46*'Waste Input'!$B$8/1000</f>
        <v>62900</v>
      </c>
      <c r="D122" s="10">
        <f>'Waste Input'!C46*'Waste Input'!$B$8/1000</f>
        <v>15299.999999999998</v>
      </c>
      <c r="E122" s="10">
        <f>'Waste Input'!D46*'Waste Input'!$B$8/1000</f>
        <v>10710</v>
      </c>
      <c r="F122" s="10">
        <f>'Waste Input'!E46*'Waste Input'!$B$8/1000</f>
        <v>1190.0000000000002</v>
      </c>
      <c r="G122" s="10">
        <f>'Waste Input'!F46*'Waste Input'!$B$8/1000</f>
        <v>8500</v>
      </c>
      <c r="H122" s="10">
        <f>'Waste Input'!G46*'Waste Input'!$B$8/1000</f>
        <v>8500</v>
      </c>
      <c r="I122" s="10">
        <f>'Waste Input'!H46*'Waste Input'!$B$8/1000</f>
        <v>3400</v>
      </c>
      <c r="J122" s="10">
        <f>'Waste Input'!I46*'Waste Input'!$B$8/1000</f>
        <v>32299.999999999996</v>
      </c>
      <c r="K122" s="11">
        <f>'Waste Input'!J46*'Waste Input'!$B$8/1000</f>
        <v>27200</v>
      </c>
    </row>
    <row r="123" spans="1:12">
      <c r="A123" s="42" t="s">
        <v>96</v>
      </c>
      <c r="B123" s="27"/>
      <c r="C123" s="27">
        <f>E24*C11/1000*(1-H27-H28)+E33*C11/1000*(1-E34)+G11*E48/1000+G11*E61*(1-$D$56-$D$57)/1000</f>
        <v>22400</v>
      </c>
      <c r="D123" s="27">
        <f>C11*F24/1000*(1-H27-H28)+G11*F48/1000+G11*F61/1000*(1-H27-H28)</f>
        <v>12187.5</v>
      </c>
      <c r="E123" s="27">
        <f>C11*G24/1000*(1-H27-H28)+G11*G48/1000+G11*G61/1000*(1-H27-H28)</f>
        <v>7375</v>
      </c>
      <c r="F123" s="27">
        <f>C11*H24/1000*(1-$H$27-$H$28)+G11*H48/1000+G11*H61/1000*(1-$H$27-$H$28)</f>
        <v>1000</v>
      </c>
      <c r="G123" s="27">
        <f>$C$11*I24/1000*(1-$H$27-$H$28)+$G$11*I48/1000+$G$11*I61/1000*(1-$H$27-$H$28)+$C$11*(E33+F33)/1000*E34*E36</f>
        <v>1000</v>
      </c>
      <c r="H123" s="27">
        <f>$C$15*J24/1000*(1-$H$27-$H$28)+$G$15*J48/1000+$G$15*J61/1000*(1-$H$27-$H$28)+$C$15*(E33+F33)/1000*E34*E37</f>
        <v>8125</v>
      </c>
      <c r="I123" s="27">
        <f>C15*K24/1000*(1-H27-H28)+G15*K48/1000+G15*K61*(1-H27-H28)</f>
        <v>0</v>
      </c>
      <c r="J123" s="27">
        <f>C15*F33/1000*(1-E34)+G15*L48/1000+C15*L24/1000*H27+G15*L61/1000*H27</f>
        <v>24818.75</v>
      </c>
      <c r="K123" s="20">
        <f>C15*L24/1000*H28+G15*L61/1000*H28</f>
        <v>593.75</v>
      </c>
    </row>
    <row r="124" spans="1:12">
      <c r="A124" s="42" t="s">
        <v>97</v>
      </c>
      <c r="B124" s="27"/>
      <c r="C124" s="27">
        <f t="shared" ref="C124:K124" si="0">C122-C123</f>
        <v>40500</v>
      </c>
      <c r="D124" s="27">
        <f t="shared" si="0"/>
        <v>3112.4999999999982</v>
      </c>
      <c r="E124" s="27">
        <f t="shared" si="0"/>
        <v>3335</v>
      </c>
      <c r="F124" s="27">
        <f t="shared" si="0"/>
        <v>190.00000000000023</v>
      </c>
      <c r="G124" s="27">
        <f t="shared" si="0"/>
        <v>7500</v>
      </c>
      <c r="H124" s="27">
        <f t="shared" si="0"/>
        <v>375</v>
      </c>
      <c r="I124" s="27">
        <f t="shared" si="0"/>
        <v>3400</v>
      </c>
      <c r="J124" s="27">
        <f t="shared" si="0"/>
        <v>7481.2499999999964</v>
      </c>
      <c r="K124" s="20">
        <f t="shared" si="0"/>
        <v>26606.25</v>
      </c>
    </row>
    <row r="125" spans="1:12">
      <c r="A125" s="9"/>
      <c r="B125" s="10"/>
      <c r="C125" s="10"/>
      <c r="D125" s="10"/>
      <c r="E125" s="10"/>
      <c r="F125" s="10"/>
      <c r="G125" s="10"/>
      <c r="H125" s="10"/>
      <c r="I125" s="10"/>
      <c r="J125" s="10"/>
      <c r="K125" s="11"/>
    </row>
    <row r="126" spans="1:12">
      <c r="A126" s="9" t="s">
        <v>34</v>
      </c>
      <c r="B126" s="10"/>
      <c r="C126" s="10"/>
      <c r="D126" s="10"/>
      <c r="E126" s="10"/>
      <c r="F126" s="10"/>
      <c r="G126" s="10"/>
      <c r="H126" s="10"/>
      <c r="I126" s="10"/>
      <c r="J126" s="10"/>
      <c r="K126" s="11"/>
    </row>
    <row r="127" spans="1:12">
      <c r="A127" s="9"/>
      <c r="B127" s="10"/>
      <c r="C127" s="10" t="s">
        <v>4</v>
      </c>
      <c r="D127" s="10" t="s">
        <v>5</v>
      </c>
      <c r="E127" s="10" t="s">
        <v>29</v>
      </c>
      <c r="F127" s="10" t="s">
        <v>49</v>
      </c>
      <c r="G127" s="10" t="s">
        <v>31</v>
      </c>
      <c r="H127" s="10" t="s">
        <v>32</v>
      </c>
      <c r="I127" s="10" t="s">
        <v>8</v>
      </c>
      <c r="J127" s="10" t="s">
        <v>9</v>
      </c>
      <c r="K127" s="11" t="s">
        <v>10</v>
      </c>
    </row>
    <row r="128" spans="1:12">
      <c r="A128" s="9" t="s">
        <v>95</v>
      </c>
      <c r="B128" s="10"/>
      <c r="C128" s="10">
        <f>'Waste Input'!B47</f>
        <v>2000</v>
      </c>
      <c r="D128" s="10">
        <f>'Waste Input'!C47</f>
        <v>1000</v>
      </c>
      <c r="E128" s="10">
        <f>'Waste Input'!D47</f>
        <v>1800</v>
      </c>
      <c r="F128" s="10">
        <f>'Waste Input'!E47</f>
        <v>200</v>
      </c>
      <c r="G128" s="10">
        <f>'Waste Input'!F47</f>
        <v>500</v>
      </c>
      <c r="H128" s="10">
        <f>'Waste Input'!G47</f>
        <v>500</v>
      </c>
      <c r="I128" s="10">
        <f>'Waste Input'!H47</f>
        <v>500</v>
      </c>
      <c r="J128" s="10">
        <f>'Waste Input'!I47</f>
        <v>2500</v>
      </c>
      <c r="K128" s="11">
        <f>'Waste Input'!J47</f>
        <v>1000</v>
      </c>
    </row>
    <row r="129" spans="1:11">
      <c r="A129" s="42" t="s">
        <v>96</v>
      </c>
      <c r="B129" s="27"/>
      <c r="C129" s="27">
        <f>E103*(1-E104)+E92*(1-I97-I98)</f>
        <v>0</v>
      </c>
      <c r="D129" s="43">
        <f>F92*(1-I97-I98)</f>
        <v>0</v>
      </c>
      <c r="E129" s="43">
        <f>G92*(1-I97-I98)</f>
        <v>0</v>
      </c>
      <c r="F129" s="43">
        <f>H92*(1-I97-I98)</f>
        <v>0</v>
      </c>
      <c r="G129" s="43">
        <f>I92*(1-I97-I98)+(E103+F103)*E104/2</f>
        <v>0</v>
      </c>
      <c r="H129" s="43">
        <f>J92*(1-I97-I98)+(E103+F103)*E104/2</f>
        <v>0</v>
      </c>
      <c r="I129" s="43">
        <f>K92*(1-I97-I98)</f>
        <v>0</v>
      </c>
      <c r="J129" s="43">
        <f>F103*(1-E104)+L92*I97</f>
        <v>0</v>
      </c>
      <c r="K129" s="44">
        <f>L92*I98</f>
        <v>0</v>
      </c>
    </row>
    <row r="130" spans="1:11" ht="15.75" thickBot="1">
      <c r="A130" s="45" t="s">
        <v>97</v>
      </c>
      <c r="B130" s="29"/>
      <c r="C130" s="29">
        <f t="shared" ref="C130:K130" si="1">C128-C129</f>
        <v>2000</v>
      </c>
      <c r="D130" s="29">
        <f t="shared" si="1"/>
        <v>1000</v>
      </c>
      <c r="E130" s="29">
        <f t="shared" si="1"/>
        <v>1800</v>
      </c>
      <c r="F130" s="29">
        <f t="shared" si="1"/>
        <v>200</v>
      </c>
      <c r="G130" s="29">
        <f t="shared" si="1"/>
        <v>500</v>
      </c>
      <c r="H130" s="29">
        <f t="shared" si="1"/>
        <v>500</v>
      </c>
      <c r="I130" s="29">
        <f t="shared" si="1"/>
        <v>500</v>
      </c>
      <c r="J130" s="29">
        <f t="shared" si="1"/>
        <v>2500</v>
      </c>
      <c r="K130" s="46">
        <f t="shared" si="1"/>
        <v>1000</v>
      </c>
    </row>
  </sheetData>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V166"/>
  <sheetViews>
    <sheetView topLeftCell="A48" zoomScale="70" zoomScaleNormal="70" workbookViewId="0">
      <selection activeCell="L60" sqref="L60"/>
    </sheetView>
  </sheetViews>
  <sheetFormatPr defaultRowHeight="15"/>
  <cols>
    <col min="1" max="1" width="18.28515625" customWidth="1"/>
    <col min="4" max="4" width="13.42578125" customWidth="1"/>
    <col min="5" max="5" width="12.85546875" customWidth="1"/>
    <col min="6" max="6" width="11.7109375" customWidth="1"/>
    <col min="7" max="7" width="12.140625" customWidth="1"/>
    <col min="8" max="8" width="12.7109375" bestFit="1" customWidth="1"/>
    <col min="9" max="9" width="11.5703125" bestFit="1" customWidth="1"/>
    <col min="10" max="10" width="12.7109375" bestFit="1" customWidth="1"/>
    <col min="11" max="11" width="11.5703125" bestFit="1" customWidth="1"/>
    <col min="12" max="12" width="12.7109375" bestFit="1" customWidth="1"/>
  </cols>
  <sheetData>
    <row r="1" spans="1:22">
      <c r="A1" s="1" t="s">
        <v>192</v>
      </c>
    </row>
    <row r="2" spans="1:22" ht="15.75" thickBot="1"/>
    <row r="3" spans="1:22">
      <c r="A3" s="6" t="s">
        <v>110</v>
      </c>
      <c r="B3" s="7"/>
      <c r="C3" s="7"/>
      <c r="D3" s="7"/>
      <c r="E3" s="7"/>
      <c r="F3" s="7"/>
      <c r="G3" s="7"/>
      <c r="H3" s="7"/>
      <c r="I3" s="7"/>
      <c r="J3" s="7"/>
      <c r="K3" s="7"/>
      <c r="L3" s="7"/>
      <c r="M3" s="7"/>
      <c r="N3" s="7"/>
      <c r="O3" s="7"/>
      <c r="P3" s="7"/>
      <c r="Q3" s="7"/>
      <c r="R3" s="7"/>
      <c r="S3" s="7"/>
      <c r="T3" s="7"/>
      <c r="U3" s="7"/>
      <c r="V3" s="8"/>
    </row>
    <row r="4" spans="1:22">
      <c r="A4" s="9" t="s">
        <v>106</v>
      </c>
      <c r="B4" s="10"/>
      <c r="C4" s="10"/>
      <c r="D4" s="10"/>
      <c r="E4" s="10"/>
      <c r="F4" s="10"/>
      <c r="G4" s="10"/>
      <c r="H4" s="10"/>
      <c r="I4" s="10"/>
      <c r="J4" s="10"/>
      <c r="K4" s="10"/>
      <c r="L4" s="10"/>
      <c r="M4" s="10"/>
      <c r="N4" s="10"/>
      <c r="O4" s="10"/>
      <c r="P4" s="10"/>
      <c r="Q4" s="10"/>
      <c r="R4" s="10"/>
      <c r="S4" s="10"/>
      <c r="T4" s="10"/>
      <c r="U4" s="10"/>
      <c r="V4" s="11"/>
    </row>
    <row r="5" spans="1:22">
      <c r="A5" s="9"/>
      <c r="B5" s="10"/>
      <c r="C5" s="10"/>
      <c r="D5" s="10"/>
      <c r="E5" s="10"/>
      <c r="F5" s="10"/>
      <c r="G5" s="10"/>
      <c r="H5" s="10"/>
      <c r="I5" s="10"/>
      <c r="J5" s="10"/>
      <c r="K5" s="10"/>
      <c r="L5" s="10"/>
      <c r="M5" s="10"/>
      <c r="N5" s="10"/>
      <c r="O5" s="10"/>
      <c r="P5" s="10"/>
      <c r="Q5" s="10"/>
      <c r="R5" s="10"/>
      <c r="S5" s="10"/>
      <c r="T5" s="10"/>
      <c r="U5" s="10"/>
      <c r="V5" s="11"/>
    </row>
    <row r="6" spans="1:22">
      <c r="A6" s="9"/>
      <c r="B6" s="10" t="s">
        <v>4</v>
      </c>
      <c r="C6" s="10" t="s">
        <v>5</v>
      </c>
      <c r="D6" s="10" t="s">
        <v>29</v>
      </c>
      <c r="E6" s="10" t="s">
        <v>49</v>
      </c>
      <c r="F6" s="10" t="s">
        <v>31</v>
      </c>
      <c r="G6" s="10" t="s">
        <v>32</v>
      </c>
      <c r="H6" s="10" t="s">
        <v>8</v>
      </c>
      <c r="I6" s="10" t="s">
        <v>9</v>
      </c>
      <c r="J6" s="10" t="s">
        <v>10</v>
      </c>
      <c r="K6" s="10"/>
      <c r="L6" s="10"/>
      <c r="M6" s="10"/>
      <c r="N6" s="10"/>
      <c r="O6" s="10"/>
      <c r="P6" s="10"/>
      <c r="Q6" s="10"/>
      <c r="R6" s="10"/>
      <c r="S6" s="10"/>
      <c r="T6" s="10"/>
      <c r="U6" s="10"/>
      <c r="V6" s="11"/>
    </row>
    <row r="7" spans="1:22">
      <c r="A7" s="42" t="s">
        <v>107</v>
      </c>
      <c r="B7" s="27">
        <f>'Waste Collection'!$C$11*'Waste Collection'!E24/1000*(1-'Waste Collection'!$H$27-'Waste Collection'!$H$28)+'Waste Collection'!$G$11*'Waste Collection'!E61/1000*(1-'Waste Collection'!$D$56-'Waste Collection'!$D$57)+'Waste Collection'!E92*(1-'Waste Collection'!$F$114-'Waste Collection'!$F$115)</f>
        <v>11875</v>
      </c>
      <c r="C7" s="27">
        <f>'Waste Collection'!$C$11*'Waste Collection'!F24/1000*(1-'Waste Collection'!$H$27-'Waste Collection'!$H$28)+'Waste Collection'!$G$11*'Waste Collection'!F61/1000*(1-'Waste Collection'!$D$56-'Waste Collection'!$D$57)+'Waste Collection'!F92*(1-'Waste Collection'!$F$114-'Waste Collection'!$F$115)</f>
        <v>5937.5</v>
      </c>
      <c r="D7" s="27">
        <f>'Waste Collection'!$C$11*'Waste Collection'!G24/1000*(1-'Waste Collection'!$H$27-'Waste Collection'!$H$28)+'Waste Collection'!$G$11*'Waste Collection'!G61/1000*(1-'Waste Collection'!$D$56-'Waste Collection'!$D$57)+'Waste Collection'!G92*(1-'Waste Collection'!$F$114-'Waste Collection'!$F$115)</f>
        <v>2375</v>
      </c>
      <c r="E7" s="27">
        <f>'Waste Collection'!$C$11*'Waste Collection'!H24/1000*(1-'Waste Collection'!$H$27-'Waste Collection'!$H$28)+'Waste Collection'!$G$11*'Waste Collection'!H61/1000*(1-'Waste Collection'!$D$56-'Waste Collection'!$D$57)+'Waste Collection'!H92*(1-'Waste Collection'!$F$114-'Waste Collection'!$F$115)</f>
        <v>0</v>
      </c>
      <c r="F7" s="27">
        <f>'Waste Collection'!$C$11*'Waste Collection'!I24/1000*(1-'Waste Collection'!$H$27-'Waste Collection'!$H$28)+'Waste Collection'!$G$11*'Waste Collection'!I61/1000*(1-'Waste Collection'!$D$56-'Waste Collection'!$D$57)+'Waste Collection'!I92*(1-'Waste Collection'!$F$114-'Waste Collection'!$F$115)</f>
        <v>0</v>
      </c>
      <c r="G7" s="27">
        <f>'Waste Collection'!$C$11*'Waste Collection'!J24/1000*(1-'Waste Collection'!$H$27-'Waste Collection'!$H$28)+'Waste Collection'!$G$11*'Waste Collection'!J61/1000*(1-'Waste Collection'!$D$56-'Waste Collection'!$D$57)+'Waste Collection'!J92*(1-'Waste Collection'!$F$114-'Waste Collection'!$F$115)</f>
        <v>2375</v>
      </c>
      <c r="H7" s="27">
        <f>'Waste Collection'!$C$11*'Waste Collection'!K24/1000*(1-'Waste Collection'!$H$27-'Waste Collection'!$H$28)+'Waste Collection'!$G$11*'Waste Collection'!K61/1000*(1-'Waste Collection'!$D$56-'Waste Collection'!$D$57)+'Waste Collection'!K92*(1-'Waste Collection'!$F$114-'Waste Collection'!$F$115)</f>
        <v>0</v>
      </c>
      <c r="I7" s="27">
        <f>'Waste Collection'!C11*'Waste Collection'!L24/1000*'Waste Collection'!H27+'Waste Collection'!G11*'Waste Collection'!L61/1000*'Waste Collection'!D56+'Waste Collection'!L92*'Waste Collection'!I97</f>
        <v>593.75</v>
      </c>
      <c r="J7" s="27">
        <f>'Waste Collection'!C11*'Waste Collection'!L24/1000*'Waste Collection'!H28+'Waste Collection'!G11*'Waste Collection'!L61*'Waste Collection'!D58+'Waste Collection'!L92*'Waste Collection'!I98</f>
        <v>593.75</v>
      </c>
      <c r="K7" s="10"/>
      <c r="L7" s="10"/>
      <c r="M7" s="10" t="s">
        <v>111</v>
      </c>
      <c r="N7" s="10"/>
      <c r="O7" s="10"/>
      <c r="P7" s="10"/>
      <c r="Q7" s="10"/>
      <c r="R7" s="10"/>
      <c r="S7" s="10"/>
      <c r="T7" s="10"/>
      <c r="U7" s="10"/>
      <c r="V7" s="11"/>
    </row>
    <row r="8" spans="1:22">
      <c r="A8" s="42" t="s">
        <v>108</v>
      </c>
      <c r="B8" s="27">
        <f>'Waste Collection'!$C$11*'Waste Collection'!E24/1000*(1-'Waste Collection'!$H$27-'Waste Collection'!$H$28)*'Waste Collection'!$H$29+'Waste Collection'!$G$11*'Waste Collection'!E61*(1-'Waste Collection'!$D$56-'Waste Collection'!$D$57)*'Waste Collection'!$D$58+'Waste Collection'!E92*(1-'Waste Collection'!$I$97-'Waste Collection'!$I$98)*'Waste Collection'!$I$99</f>
        <v>3562.5</v>
      </c>
      <c r="C8" s="27">
        <f>'Waste Collection'!$C$11*'Waste Collection'!F24/1000*(1-'Waste Collection'!$H$27-'Waste Collection'!$H$28)*'Waste Collection'!$H$29+'Waste Collection'!$G$11*'Waste Collection'!F61*(1-'Waste Collection'!$D$56-'Waste Collection'!$D$57)*'Waste Collection'!$D$58+'Waste Collection'!F92*(1-'Waste Collection'!$I$97-'Waste Collection'!$I$98)*'Waste Collection'!$I$99</f>
        <v>1781.25</v>
      </c>
      <c r="D8" s="27">
        <f>'Waste Collection'!$C$11*'Waste Collection'!G24/1000*(1-'Waste Collection'!$H$27-'Waste Collection'!$H$28)*'Waste Collection'!$H$29+'Waste Collection'!$G$11*'Waste Collection'!G61*(1-'Waste Collection'!$D$56-'Waste Collection'!$D$57)*'Waste Collection'!$D$58+'Waste Collection'!G92*(1-'Waste Collection'!$I$97-'Waste Collection'!$I$98)*'Waste Collection'!$I$99</f>
        <v>712.5</v>
      </c>
      <c r="E8" s="27">
        <f>'Waste Collection'!$C$11*'Waste Collection'!H24/1000*(1-'Waste Collection'!$H$27-'Waste Collection'!$H$28)*'Waste Collection'!$H$29+'Waste Collection'!$G$11*'Waste Collection'!H61*(1-'Waste Collection'!$D$56-'Waste Collection'!$D$57)*'Waste Collection'!$D$58+'Waste Collection'!H92*(1-'Waste Collection'!$I$97-'Waste Collection'!$I$98)*'Waste Collection'!$I$99</f>
        <v>0</v>
      </c>
      <c r="F8" s="27">
        <f>'Waste Collection'!$C$11*'Waste Collection'!I24/1000*(1-'Waste Collection'!$H$27-'Waste Collection'!$H$28)*'Waste Collection'!$H$29+'Waste Collection'!$G$11*'Waste Collection'!I61*(1-'Waste Collection'!$D$56-'Waste Collection'!$D$57)*'Waste Collection'!$D$58+'Waste Collection'!I92*(1-'Waste Collection'!$I$97-'Waste Collection'!$I$98)*'Waste Collection'!$I$99</f>
        <v>0</v>
      </c>
      <c r="G8" s="27">
        <f>'Waste Collection'!$C$11*'Waste Collection'!J24/1000*(1-'Waste Collection'!$H$27-'Waste Collection'!$H$28)*'Waste Collection'!$H$29+'Waste Collection'!$G$11*'Waste Collection'!J61*(1-'Waste Collection'!$D$56-'Waste Collection'!$D$57)*'Waste Collection'!$D$58+'Waste Collection'!J92*(1-'Waste Collection'!$I$97-'Waste Collection'!$I$98)*'Waste Collection'!$I$99</f>
        <v>712.5</v>
      </c>
      <c r="H8" s="27">
        <f>'Waste Collection'!$C$11*'Waste Collection'!K24/1000*(1-'Waste Collection'!$H$27-'Waste Collection'!$H$28)*'Waste Collection'!$H$29+'Waste Collection'!$G$11*'Waste Collection'!K61*(1-'Waste Collection'!$D$56-'Waste Collection'!$D$57)*'Waste Collection'!$D$58+'Waste Collection'!K92*(1-'Waste Collection'!$I$97-'Waste Collection'!$I$98)*'Waste Collection'!$I$99</f>
        <v>0</v>
      </c>
      <c r="I8" s="27">
        <f>I7</f>
        <v>593.75</v>
      </c>
      <c r="J8" s="27">
        <f>J7</f>
        <v>593.75</v>
      </c>
      <c r="K8" s="10"/>
      <c r="L8" s="10"/>
      <c r="M8" s="10"/>
      <c r="N8" s="10"/>
      <c r="O8" s="10"/>
      <c r="P8" s="10"/>
      <c r="Q8" s="10"/>
      <c r="R8" s="10"/>
      <c r="S8" s="10"/>
      <c r="T8" s="10"/>
      <c r="U8" s="10"/>
      <c r="V8" s="11"/>
    </row>
    <row r="9" spans="1:22">
      <c r="A9" s="42" t="s">
        <v>109</v>
      </c>
      <c r="B9" s="27">
        <f>B7-B8</f>
        <v>8312.5</v>
      </c>
      <c r="C9" s="27">
        <f>C7-C8</f>
        <v>4156.25</v>
      </c>
      <c r="D9" s="27">
        <f t="shared" ref="D9:J9" si="0">D7-D8</f>
        <v>1662.5</v>
      </c>
      <c r="E9" s="27">
        <f t="shared" si="0"/>
        <v>0</v>
      </c>
      <c r="F9" s="27">
        <f t="shared" si="0"/>
        <v>0</v>
      </c>
      <c r="G9" s="27">
        <f t="shared" si="0"/>
        <v>1662.5</v>
      </c>
      <c r="H9" s="27">
        <f t="shared" si="0"/>
        <v>0</v>
      </c>
      <c r="I9" s="27">
        <f t="shared" si="0"/>
        <v>0</v>
      </c>
      <c r="J9" s="27">
        <f t="shared" si="0"/>
        <v>0</v>
      </c>
      <c r="K9" s="10"/>
      <c r="L9" s="10"/>
      <c r="M9" s="10"/>
      <c r="N9" s="10"/>
      <c r="O9" s="10"/>
      <c r="P9" s="10"/>
      <c r="Q9" s="10"/>
      <c r="R9" s="10"/>
      <c r="S9" s="10"/>
      <c r="T9" s="10"/>
      <c r="U9" s="10"/>
      <c r="V9" s="11"/>
    </row>
    <row r="10" spans="1:22">
      <c r="A10" s="9"/>
      <c r="B10" s="10"/>
      <c r="C10" s="10"/>
      <c r="D10" s="10"/>
      <c r="E10" s="10"/>
      <c r="F10" s="10"/>
      <c r="G10" s="10"/>
      <c r="H10" s="10"/>
      <c r="I10" s="10"/>
      <c r="J10" s="10"/>
      <c r="K10" s="10"/>
      <c r="L10" s="10"/>
      <c r="M10" s="10"/>
      <c r="N10" s="10"/>
      <c r="O10" s="10"/>
      <c r="P10" s="10"/>
      <c r="Q10" s="10"/>
      <c r="R10" s="10"/>
      <c r="S10" s="10"/>
      <c r="T10" s="10"/>
      <c r="U10" s="10"/>
      <c r="V10" s="11"/>
    </row>
    <row r="11" spans="1:22">
      <c r="A11" s="21" t="s">
        <v>112</v>
      </c>
      <c r="B11" s="10"/>
      <c r="C11" s="10"/>
      <c r="D11" s="10"/>
      <c r="E11" s="10"/>
      <c r="F11" s="10"/>
      <c r="G11" s="10"/>
      <c r="H11" s="10"/>
      <c r="I11" s="10"/>
      <c r="J11" s="10"/>
      <c r="K11" s="10"/>
      <c r="L11" s="10"/>
      <c r="M11" s="10"/>
      <c r="N11" s="10"/>
      <c r="O11" s="10"/>
      <c r="P11" s="10"/>
      <c r="Q11" s="10"/>
      <c r="R11" s="10"/>
      <c r="S11" s="10"/>
      <c r="T11" s="10"/>
      <c r="U11" s="10"/>
      <c r="V11" s="11"/>
    </row>
    <row r="12" spans="1:22">
      <c r="A12" s="47" t="s">
        <v>113</v>
      </c>
      <c r="B12" s="10"/>
      <c r="C12" s="10"/>
      <c r="D12" s="10"/>
      <c r="E12" s="10"/>
      <c r="F12" s="10"/>
      <c r="G12" s="10"/>
      <c r="H12" s="10"/>
      <c r="I12" s="10"/>
      <c r="J12" s="10"/>
      <c r="K12" s="10"/>
      <c r="L12" s="10"/>
      <c r="M12" s="10"/>
      <c r="N12" s="10"/>
      <c r="O12" s="10"/>
      <c r="P12" s="10"/>
      <c r="Q12" s="10"/>
      <c r="R12" s="10"/>
      <c r="S12" s="10"/>
      <c r="T12" s="10"/>
      <c r="U12" s="10"/>
      <c r="V12" s="11"/>
    </row>
    <row r="13" spans="1:22">
      <c r="A13" s="47" t="s">
        <v>114</v>
      </c>
      <c r="B13" s="10"/>
      <c r="C13" s="10"/>
      <c r="D13" s="10"/>
      <c r="E13" s="10"/>
      <c r="F13" s="10"/>
      <c r="G13" s="10"/>
      <c r="H13" s="10"/>
      <c r="I13" s="10"/>
      <c r="J13" s="10"/>
      <c r="K13" s="10"/>
      <c r="L13" s="10"/>
      <c r="M13" s="10"/>
      <c r="N13" s="10"/>
      <c r="O13" s="10"/>
      <c r="P13" s="10"/>
      <c r="Q13" s="10"/>
      <c r="R13" s="10"/>
      <c r="S13" s="10"/>
      <c r="T13" s="10"/>
      <c r="U13" s="10"/>
      <c r="V13" s="11"/>
    </row>
    <row r="14" spans="1:22">
      <c r="A14" s="47" t="s">
        <v>115</v>
      </c>
      <c r="B14" s="10"/>
      <c r="C14" s="10"/>
      <c r="D14" s="10"/>
      <c r="E14" s="10"/>
      <c r="F14" s="10"/>
      <c r="G14" s="10"/>
      <c r="H14" s="10"/>
      <c r="I14" s="10"/>
      <c r="J14" s="10"/>
      <c r="K14" s="10"/>
      <c r="L14" s="10"/>
      <c r="M14" s="10"/>
      <c r="N14" s="10"/>
      <c r="O14" s="10"/>
      <c r="P14" s="10"/>
      <c r="Q14" s="10"/>
      <c r="R14" s="10"/>
      <c r="S14" s="10"/>
      <c r="T14" s="10"/>
      <c r="U14" s="10"/>
      <c r="V14" s="11"/>
    </row>
    <row r="15" spans="1:22">
      <c r="A15" s="9"/>
      <c r="B15" s="10"/>
      <c r="C15" s="10"/>
      <c r="D15" s="10"/>
      <c r="E15" s="10"/>
      <c r="F15" s="10"/>
      <c r="G15" s="10"/>
      <c r="H15" s="10"/>
      <c r="I15" s="10"/>
      <c r="J15" s="10"/>
      <c r="K15" s="10"/>
      <c r="L15" s="10"/>
      <c r="M15" s="10"/>
      <c r="N15" s="10"/>
      <c r="O15" s="10"/>
      <c r="P15" s="10"/>
      <c r="Q15" s="10"/>
      <c r="R15" s="10"/>
      <c r="S15" s="10"/>
      <c r="T15" s="10"/>
      <c r="U15" s="10"/>
      <c r="V15" s="11"/>
    </row>
    <row r="16" spans="1:22">
      <c r="A16" s="9"/>
      <c r="B16" s="10" t="s">
        <v>4</v>
      </c>
      <c r="C16" s="10" t="s">
        <v>5</v>
      </c>
      <c r="D16" s="10" t="s">
        <v>6</v>
      </c>
      <c r="E16" s="10" t="s">
        <v>7</v>
      </c>
      <c r="F16" s="10" t="s">
        <v>8</v>
      </c>
      <c r="G16" s="10"/>
      <c r="H16" s="10"/>
      <c r="I16" s="10"/>
      <c r="J16" s="10"/>
      <c r="K16" s="10"/>
      <c r="L16" s="10"/>
      <c r="M16" s="10"/>
      <c r="N16" s="10"/>
      <c r="O16" s="10"/>
      <c r="P16" s="10"/>
      <c r="Q16" s="10"/>
      <c r="R16" s="10"/>
      <c r="S16" s="10"/>
      <c r="T16" s="10"/>
      <c r="U16" s="10"/>
      <c r="V16" s="11"/>
    </row>
    <row r="17" spans="1:22">
      <c r="A17" s="9" t="s">
        <v>116</v>
      </c>
      <c r="B17" s="15">
        <v>1</v>
      </c>
      <c r="C17" s="15">
        <v>1</v>
      </c>
      <c r="D17" s="15">
        <v>1</v>
      </c>
      <c r="E17" s="15">
        <v>1</v>
      </c>
      <c r="F17" s="15">
        <v>1</v>
      </c>
      <c r="G17" s="10"/>
      <c r="H17" s="10"/>
      <c r="I17" s="10"/>
      <c r="J17" s="10"/>
      <c r="K17" s="10"/>
      <c r="L17" s="10"/>
      <c r="M17" s="10"/>
      <c r="N17" s="10"/>
      <c r="O17" s="10"/>
      <c r="P17" s="10"/>
      <c r="Q17" s="10"/>
      <c r="R17" s="10"/>
      <c r="S17" s="10"/>
      <c r="T17" s="10"/>
      <c r="U17" s="10"/>
      <c r="V17" s="11"/>
    </row>
    <row r="18" spans="1:22">
      <c r="A18" s="9" t="s">
        <v>117</v>
      </c>
      <c r="B18" s="15">
        <v>0</v>
      </c>
      <c r="C18" s="15"/>
      <c r="D18" s="15"/>
      <c r="E18" s="15">
        <v>0</v>
      </c>
      <c r="F18" s="15"/>
      <c r="G18" s="10"/>
      <c r="H18" s="10"/>
      <c r="I18" s="10"/>
      <c r="J18" s="10"/>
      <c r="K18" s="10"/>
      <c r="L18" s="10"/>
      <c r="M18" s="10"/>
      <c r="N18" s="10"/>
      <c r="O18" s="10"/>
      <c r="P18" s="10"/>
      <c r="Q18" s="10"/>
      <c r="R18" s="10"/>
      <c r="S18" s="10"/>
      <c r="T18" s="10"/>
      <c r="U18" s="10"/>
      <c r="V18" s="11"/>
    </row>
    <row r="19" spans="1:22">
      <c r="A19" s="9"/>
      <c r="B19" s="10"/>
      <c r="C19" s="10"/>
      <c r="D19" s="10"/>
      <c r="E19" s="10"/>
      <c r="F19" s="10"/>
      <c r="G19" s="10"/>
      <c r="H19" s="10"/>
      <c r="I19" s="10"/>
      <c r="J19" s="10"/>
      <c r="K19" s="10"/>
      <c r="L19" s="10"/>
      <c r="M19" s="10"/>
      <c r="N19" s="10"/>
      <c r="O19" s="10"/>
      <c r="P19" s="10"/>
      <c r="Q19" s="10"/>
      <c r="R19" s="10"/>
      <c r="S19" s="10"/>
      <c r="T19" s="10"/>
      <c r="U19" s="10"/>
      <c r="V19" s="11"/>
    </row>
    <row r="20" spans="1:22">
      <c r="A20" s="21" t="s">
        <v>118</v>
      </c>
      <c r="B20" s="10"/>
      <c r="C20" s="10"/>
      <c r="D20" s="10"/>
      <c r="E20" s="10"/>
      <c r="F20" s="10"/>
      <c r="G20" s="10"/>
      <c r="H20" s="10"/>
      <c r="I20" s="10"/>
      <c r="J20" s="10"/>
      <c r="K20" s="10"/>
      <c r="L20" s="10"/>
      <c r="M20" s="10"/>
      <c r="N20" s="10"/>
      <c r="O20" s="10"/>
      <c r="P20" s="10"/>
      <c r="Q20" s="10"/>
      <c r="R20" s="10"/>
      <c r="S20" s="10"/>
      <c r="T20" s="10"/>
      <c r="U20" s="10"/>
      <c r="V20" s="11"/>
    </row>
    <row r="21" spans="1:22">
      <c r="A21" s="9" t="s">
        <v>119</v>
      </c>
      <c r="B21" s="10"/>
      <c r="C21" s="10"/>
      <c r="D21" s="10"/>
      <c r="E21" s="10"/>
      <c r="F21" s="10"/>
      <c r="G21" s="10"/>
      <c r="H21" s="10"/>
      <c r="I21" s="10"/>
      <c r="J21" s="10"/>
      <c r="K21" s="10"/>
      <c r="L21" s="10"/>
      <c r="M21" s="10"/>
      <c r="N21" s="10"/>
      <c r="O21" s="10"/>
      <c r="P21" s="10"/>
      <c r="Q21" s="10"/>
      <c r="R21" s="10"/>
      <c r="S21" s="10"/>
      <c r="T21" s="10"/>
      <c r="U21" s="10"/>
      <c r="V21" s="11"/>
    </row>
    <row r="22" spans="1:22">
      <c r="A22" s="9" t="s">
        <v>120</v>
      </c>
      <c r="B22" s="10"/>
      <c r="C22" s="10"/>
      <c r="D22" s="10"/>
      <c r="E22" s="10"/>
      <c r="F22" s="10"/>
      <c r="G22" s="10"/>
      <c r="H22" s="10"/>
      <c r="I22" s="10"/>
      <c r="J22" s="10"/>
      <c r="K22" s="10"/>
      <c r="L22" s="10"/>
      <c r="M22" s="10"/>
      <c r="N22" s="10"/>
      <c r="O22" s="10"/>
      <c r="P22" s="10"/>
      <c r="Q22" s="10"/>
      <c r="R22" s="10"/>
      <c r="S22" s="10"/>
      <c r="T22" s="10"/>
      <c r="U22" s="10"/>
      <c r="V22" s="11"/>
    </row>
    <row r="23" spans="1:22">
      <c r="A23" s="9"/>
      <c r="B23" s="10"/>
      <c r="C23" s="10"/>
      <c r="D23" s="10"/>
      <c r="E23" s="10"/>
      <c r="F23" s="10"/>
      <c r="G23" s="10"/>
      <c r="H23" s="10"/>
      <c r="I23" s="10"/>
      <c r="J23" s="10"/>
      <c r="K23" s="10"/>
      <c r="L23" s="10"/>
      <c r="M23" s="10"/>
      <c r="N23" s="10"/>
      <c r="O23" s="10"/>
      <c r="P23" s="10"/>
      <c r="Q23" s="10"/>
      <c r="R23" s="10"/>
      <c r="S23" s="10"/>
      <c r="T23" s="10"/>
      <c r="U23" s="10"/>
      <c r="V23" s="11"/>
    </row>
    <row r="24" spans="1:22">
      <c r="A24" s="9" t="s">
        <v>121</v>
      </c>
      <c r="B24" s="10"/>
      <c r="C24" s="10">
        <v>25</v>
      </c>
      <c r="D24" s="10"/>
      <c r="E24" s="10"/>
      <c r="F24" s="10"/>
      <c r="G24" s="10"/>
      <c r="H24" s="10"/>
      <c r="I24" s="10"/>
      <c r="J24" s="10"/>
      <c r="K24" s="10"/>
      <c r="L24" s="10"/>
      <c r="M24" s="10"/>
      <c r="N24" s="10"/>
      <c r="O24" s="10"/>
      <c r="P24" s="10"/>
      <c r="Q24" s="10"/>
      <c r="R24" s="10"/>
      <c r="S24" s="10"/>
      <c r="T24" s="10"/>
      <c r="U24" s="10"/>
      <c r="V24" s="11"/>
    </row>
    <row r="25" spans="1:22">
      <c r="A25" s="9" t="s">
        <v>122</v>
      </c>
      <c r="B25" s="10"/>
      <c r="C25" s="10">
        <v>0</v>
      </c>
      <c r="D25" s="10"/>
      <c r="E25" s="10"/>
      <c r="F25" s="10"/>
      <c r="G25" s="10"/>
      <c r="H25" s="10"/>
      <c r="I25" s="10"/>
      <c r="J25" s="10"/>
      <c r="K25" s="10"/>
      <c r="L25" s="10"/>
      <c r="M25" s="10"/>
      <c r="N25" s="10"/>
      <c r="O25" s="10"/>
      <c r="P25" s="10"/>
      <c r="Q25" s="10"/>
      <c r="R25" s="10"/>
      <c r="S25" s="10"/>
      <c r="T25" s="10"/>
      <c r="U25" s="10"/>
      <c r="V25" s="11"/>
    </row>
    <row r="26" spans="1:22">
      <c r="A26" s="9" t="s">
        <v>123</v>
      </c>
      <c r="B26" s="10"/>
      <c r="C26" s="10">
        <v>0</v>
      </c>
      <c r="D26" s="10"/>
      <c r="E26" s="10"/>
      <c r="F26" s="10"/>
      <c r="G26" s="10"/>
      <c r="H26" s="10"/>
      <c r="I26" s="10"/>
      <c r="J26" s="10"/>
      <c r="K26" s="10"/>
      <c r="L26" s="10"/>
      <c r="M26" s="10"/>
      <c r="N26" s="10"/>
      <c r="O26" s="10"/>
      <c r="P26" s="10"/>
      <c r="Q26" s="10"/>
      <c r="R26" s="10"/>
      <c r="S26" s="10"/>
      <c r="T26" s="10"/>
      <c r="U26" s="10"/>
      <c r="V26" s="11"/>
    </row>
    <row r="27" spans="1:22">
      <c r="A27" s="9"/>
      <c r="B27" s="10"/>
      <c r="C27" s="10"/>
      <c r="D27" s="10"/>
      <c r="E27" s="10"/>
      <c r="F27" s="10"/>
      <c r="G27" s="10"/>
      <c r="H27" s="10"/>
      <c r="I27" s="10"/>
      <c r="J27" s="10"/>
      <c r="K27" s="10"/>
      <c r="L27" s="10"/>
      <c r="M27" s="10"/>
      <c r="N27" s="10"/>
      <c r="O27" s="10"/>
      <c r="P27" s="10"/>
      <c r="Q27" s="10"/>
      <c r="R27" s="10"/>
      <c r="S27" s="10"/>
      <c r="T27" s="10"/>
      <c r="U27" s="10"/>
      <c r="V27" s="11"/>
    </row>
    <row r="28" spans="1:22">
      <c r="A28" s="21" t="s">
        <v>124</v>
      </c>
      <c r="B28" s="10"/>
      <c r="C28" s="10"/>
      <c r="D28" s="10"/>
      <c r="E28" s="10"/>
      <c r="F28" s="10"/>
      <c r="G28" s="10"/>
      <c r="H28" s="10"/>
      <c r="I28" s="10"/>
      <c r="J28" s="10"/>
      <c r="K28" s="10"/>
      <c r="L28" s="10"/>
      <c r="M28" s="10"/>
      <c r="N28" s="10"/>
      <c r="O28" s="10"/>
      <c r="P28" s="10"/>
      <c r="Q28" s="10"/>
      <c r="R28" s="10"/>
      <c r="S28" s="10"/>
      <c r="T28" s="10"/>
      <c r="U28" s="10"/>
      <c r="V28" s="11"/>
    </row>
    <row r="29" spans="1:22">
      <c r="A29" s="9" t="s">
        <v>126</v>
      </c>
      <c r="B29" s="10"/>
      <c r="C29" s="10"/>
      <c r="D29" s="10"/>
      <c r="E29" s="10"/>
      <c r="F29" s="10"/>
      <c r="G29" s="10"/>
      <c r="H29" s="10"/>
      <c r="I29" s="10"/>
      <c r="J29" s="10"/>
      <c r="K29" s="10"/>
      <c r="L29" s="10"/>
      <c r="M29" s="10"/>
      <c r="N29" s="10"/>
      <c r="O29" s="10"/>
      <c r="P29" s="10"/>
      <c r="Q29" s="10"/>
      <c r="R29" s="10"/>
      <c r="S29" s="10"/>
      <c r="T29" s="10"/>
      <c r="U29" s="10"/>
      <c r="V29" s="11"/>
    </row>
    <row r="30" spans="1:22">
      <c r="A30" s="9" t="s">
        <v>127</v>
      </c>
      <c r="B30" s="10"/>
      <c r="C30" s="10"/>
      <c r="D30" s="10"/>
      <c r="E30" s="10"/>
      <c r="F30" s="10"/>
      <c r="G30" s="10"/>
      <c r="H30" s="10"/>
      <c r="I30" s="10"/>
      <c r="J30" s="10"/>
      <c r="K30" s="10"/>
      <c r="L30" s="10"/>
      <c r="M30" s="10"/>
      <c r="N30" s="10"/>
      <c r="O30" s="10"/>
      <c r="P30" s="10"/>
      <c r="Q30" s="10"/>
      <c r="R30" s="10"/>
      <c r="S30" s="10"/>
      <c r="T30" s="10"/>
      <c r="U30" s="10"/>
      <c r="V30" s="11"/>
    </row>
    <row r="31" spans="1:22">
      <c r="A31" s="9" t="s">
        <v>128</v>
      </c>
      <c r="B31" s="10"/>
      <c r="C31" s="10"/>
      <c r="D31" s="10"/>
      <c r="E31" s="10"/>
      <c r="F31" s="10"/>
      <c r="G31" s="10"/>
      <c r="H31" s="10"/>
      <c r="I31" s="10"/>
      <c r="J31" s="10"/>
      <c r="K31" s="10"/>
      <c r="L31" s="10"/>
      <c r="M31" s="10"/>
      <c r="N31" s="10"/>
      <c r="O31" s="10"/>
      <c r="P31" s="10"/>
      <c r="Q31" s="10"/>
      <c r="R31" s="10"/>
      <c r="S31" s="10"/>
      <c r="T31" s="10"/>
      <c r="U31" s="10"/>
      <c r="V31" s="11"/>
    </row>
    <row r="32" spans="1:22">
      <c r="A32" s="9" t="s">
        <v>129</v>
      </c>
      <c r="B32" s="10"/>
      <c r="C32" s="10"/>
      <c r="D32" s="10"/>
      <c r="E32" s="10"/>
      <c r="F32" s="10"/>
      <c r="G32" s="10"/>
      <c r="H32" s="10"/>
      <c r="I32" s="10"/>
      <c r="J32" s="10"/>
      <c r="K32" s="10"/>
      <c r="L32" s="10"/>
      <c r="M32" s="10"/>
      <c r="N32" s="10"/>
      <c r="O32" s="10"/>
      <c r="P32" s="10"/>
      <c r="Q32" s="10"/>
      <c r="R32" s="10"/>
      <c r="S32" s="10"/>
      <c r="T32" s="10"/>
      <c r="U32" s="10"/>
      <c r="V32" s="11"/>
    </row>
    <row r="33" spans="1:22">
      <c r="A33" s="9"/>
      <c r="B33" s="10"/>
      <c r="C33" s="10"/>
      <c r="D33" s="10"/>
      <c r="E33" s="10"/>
      <c r="F33" s="10"/>
      <c r="G33" s="10"/>
      <c r="H33" s="10"/>
      <c r="I33" s="10"/>
      <c r="J33" s="10"/>
      <c r="K33" s="10"/>
      <c r="L33" s="10"/>
      <c r="M33" s="10"/>
      <c r="N33" s="10"/>
      <c r="O33" s="10"/>
      <c r="P33" s="10"/>
      <c r="Q33" s="10"/>
      <c r="R33" s="10"/>
      <c r="S33" s="10"/>
      <c r="T33" s="10"/>
      <c r="U33" s="10"/>
      <c r="V33" s="11"/>
    </row>
    <row r="34" spans="1:22">
      <c r="A34" s="9" t="s">
        <v>125</v>
      </c>
      <c r="B34" s="10"/>
      <c r="C34" s="10"/>
      <c r="D34" s="10" t="s">
        <v>80</v>
      </c>
      <c r="E34" s="10"/>
      <c r="F34" s="10"/>
      <c r="G34" s="10" t="s">
        <v>131</v>
      </c>
      <c r="H34" s="10"/>
      <c r="I34" s="10"/>
      <c r="J34" s="10"/>
      <c r="K34" s="10"/>
      <c r="L34" s="10"/>
      <c r="M34" s="10"/>
      <c r="N34" s="10"/>
      <c r="O34" s="10"/>
      <c r="P34" s="10"/>
      <c r="Q34" s="10"/>
      <c r="R34" s="10"/>
      <c r="S34" s="10"/>
      <c r="T34" s="10"/>
      <c r="U34" s="10"/>
      <c r="V34" s="11"/>
    </row>
    <row r="35" spans="1:22">
      <c r="A35" s="9" t="s">
        <v>78</v>
      </c>
      <c r="B35" s="15">
        <v>0</v>
      </c>
      <c r="C35" s="10"/>
      <c r="D35" s="10">
        <v>0</v>
      </c>
      <c r="E35" s="10"/>
      <c r="F35" s="10"/>
      <c r="G35" s="10">
        <v>0</v>
      </c>
      <c r="H35" s="10"/>
      <c r="I35" s="10"/>
      <c r="J35" s="10"/>
      <c r="K35" s="10"/>
      <c r="L35" s="10"/>
      <c r="M35" s="10"/>
      <c r="N35" s="10"/>
      <c r="O35" s="10"/>
      <c r="P35" s="10"/>
      <c r="Q35" s="10"/>
      <c r="R35" s="10"/>
      <c r="S35" s="10"/>
      <c r="T35" s="10"/>
      <c r="U35" s="10"/>
      <c r="V35" s="11"/>
    </row>
    <row r="36" spans="1:22">
      <c r="A36" s="9" t="s">
        <v>79</v>
      </c>
      <c r="B36" s="48">
        <f>1-B35</f>
        <v>1</v>
      </c>
      <c r="C36" s="10"/>
      <c r="D36" s="10">
        <v>5</v>
      </c>
      <c r="E36" s="10"/>
      <c r="F36" s="10"/>
      <c r="G36" s="10">
        <v>1</v>
      </c>
      <c r="H36" s="10"/>
      <c r="I36" s="10"/>
      <c r="J36" s="10"/>
      <c r="K36" s="10"/>
      <c r="L36" s="10"/>
      <c r="M36" s="10"/>
      <c r="N36" s="10"/>
      <c r="O36" s="10"/>
      <c r="P36" s="10"/>
      <c r="Q36" s="10"/>
      <c r="R36" s="10"/>
      <c r="S36" s="10"/>
      <c r="T36" s="10"/>
      <c r="U36" s="10"/>
      <c r="V36" s="11"/>
    </row>
    <row r="37" spans="1:22">
      <c r="A37" s="9"/>
      <c r="B37" s="10"/>
      <c r="C37" s="10"/>
      <c r="D37" s="10"/>
      <c r="E37" s="10"/>
      <c r="F37" s="10"/>
      <c r="G37" s="10"/>
      <c r="H37" s="10"/>
      <c r="I37" s="10"/>
      <c r="J37" s="10"/>
      <c r="K37" s="10"/>
      <c r="L37" s="10"/>
      <c r="M37" s="10"/>
      <c r="N37" s="10"/>
      <c r="O37" s="10"/>
      <c r="P37" s="10"/>
      <c r="Q37" s="10"/>
      <c r="R37" s="10"/>
      <c r="S37" s="10"/>
      <c r="T37" s="10"/>
      <c r="U37" s="10"/>
      <c r="V37" s="11"/>
    </row>
    <row r="38" spans="1:22">
      <c r="A38" s="21" t="s">
        <v>132</v>
      </c>
      <c r="B38" s="10"/>
      <c r="C38" s="10"/>
      <c r="D38" s="10"/>
      <c r="E38" s="10"/>
      <c r="F38" s="10"/>
      <c r="G38" s="10"/>
      <c r="H38" s="10"/>
      <c r="I38" s="10"/>
      <c r="J38" s="10"/>
      <c r="K38" s="10"/>
      <c r="L38" s="10"/>
      <c r="M38" s="10"/>
      <c r="N38" s="10"/>
      <c r="O38" s="10"/>
      <c r="P38" s="10"/>
      <c r="Q38" s="10"/>
      <c r="R38" s="10"/>
      <c r="S38" s="10"/>
      <c r="T38" s="10"/>
      <c r="U38" s="10"/>
      <c r="V38" s="11"/>
    </row>
    <row r="39" spans="1:22">
      <c r="A39" s="9" t="s">
        <v>133</v>
      </c>
      <c r="B39" s="10"/>
      <c r="C39" s="10"/>
      <c r="D39" s="10"/>
      <c r="E39" s="10"/>
      <c r="F39" s="10"/>
      <c r="G39" s="10"/>
      <c r="H39" s="10"/>
      <c r="I39" s="10"/>
      <c r="J39" s="10"/>
      <c r="K39" s="10"/>
      <c r="L39" s="10"/>
      <c r="M39" s="10"/>
      <c r="N39" s="10"/>
      <c r="O39" s="10"/>
      <c r="P39" s="10"/>
      <c r="Q39" s="10"/>
      <c r="R39" s="10"/>
      <c r="S39" s="10"/>
      <c r="T39" s="10"/>
      <c r="U39" s="10"/>
      <c r="V39" s="11"/>
    </row>
    <row r="40" spans="1:22">
      <c r="A40" s="9" t="s">
        <v>134</v>
      </c>
      <c r="B40" s="10">
        <v>2</v>
      </c>
      <c r="C40" s="10" t="s">
        <v>135</v>
      </c>
      <c r="D40" s="10"/>
      <c r="E40" s="10"/>
      <c r="F40" s="10"/>
      <c r="G40" s="10"/>
      <c r="H40" s="10"/>
      <c r="I40" s="10"/>
      <c r="J40" s="10"/>
      <c r="K40" s="10"/>
      <c r="L40" s="10"/>
      <c r="M40" s="10"/>
      <c r="N40" s="10"/>
      <c r="O40" s="10"/>
      <c r="P40" s="10"/>
      <c r="Q40" s="10"/>
      <c r="R40" s="10"/>
      <c r="S40" s="10"/>
      <c r="T40" s="10"/>
      <c r="U40" s="10"/>
      <c r="V40" s="11"/>
    </row>
    <row r="41" spans="1:22">
      <c r="A41" s="9"/>
      <c r="B41" s="10"/>
      <c r="C41" s="10"/>
      <c r="D41" s="10"/>
      <c r="E41" s="10"/>
      <c r="F41" s="10"/>
      <c r="G41" s="10"/>
      <c r="H41" s="10"/>
      <c r="I41" s="10"/>
      <c r="J41" s="10"/>
      <c r="K41" s="10"/>
      <c r="L41" s="10"/>
      <c r="M41" s="10"/>
      <c r="N41" s="10"/>
      <c r="O41" s="10"/>
      <c r="P41" s="10"/>
      <c r="Q41" s="10"/>
      <c r="R41" s="10"/>
      <c r="S41" s="10"/>
      <c r="T41" s="10"/>
      <c r="U41" s="10"/>
      <c r="V41" s="11"/>
    </row>
    <row r="42" spans="1:22">
      <c r="A42" s="21" t="s">
        <v>136</v>
      </c>
      <c r="B42" s="10"/>
      <c r="C42" s="10"/>
      <c r="D42" s="10"/>
      <c r="E42" s="10"/>
      <c r="F42" s="10"/>
      <c r="G42" s="10"/>
      <c r="H42" s="10"/>
      <c r="I42" s="10"/>
      <c r="J42" s="10"/>
      <c r="K42" s="10"/>
      <c r="L42" s="10"/>
      <c r="M42" s="10"/>
      <c r="N42" s="10"/>
      <c r="O42" s="10"/>
      <c r="P42" s="10"/>
      <c r="Q42" s="10"/>
      <c r="R42" s="10"/>
      <c r="S42" s="10"/>
      <c r="T42" s="10"/>
      <c r="U42" s="10"/>
      <c r="V42" s="11"/>
    </row>
    <row r="43" spans="1:22">
      <c r="A43" s="9" t="s">
        <v>137</v>
      </c>
      <c r="B43" s="10"/>
      <c r="C43" s="10"/>
      <c r="D43" s="10"/>
      <c r="E43" s="10"/>
      <c r="F43" s="10"/>
      <c r="G43" s="10"/>
      <c r="H43" s="10"/>
      <c r="I43" s="10"/>
      <c r="J43" s="10"/>
      <c r="K43" s="10"/>
      <c r="L43" s="10"/>
      <c r="M43" s="10"/>
      <c r="N43" s="10"/>
      <c r="O43" s="10"/>
      <c r="P43" s="10"/>
      <c r="Q43" s="10"/>
      <c r="R43" s="10"/>
      <c r="S43" s="10"/>
      <c r="T43" s="10"/>
      <c r="U43" s="10"/>
      <c r="V43" s="11"/>
    </row>
    <row r="44" spans="1:22">
      <c r="A44" s="9"/>
      <c r="B44" s="10"/>
      <c r="C44" s="10"/>
      <c r="D44" s="10"/>
      <c r="E44" s="10"/>
      <c r="F44" s="10"/>
      <c r="G44" s="10"/>
      <c r="H44" s="10"/>
      <c r="I44" s="10"/>
      <c r="J44" s="10"/>
      <c r="K44" s="10"/>
      <c r="L44" s="10"/>
      <c r="M44" s="10"/>
      <c r="N44" s="10"/>
      <c r="O44" s="10"/>
      <c r="P44" s="10"/>
      <c r="Q44" s="10"/>
      <c r="R44" s="10"/>
      <c r="S44" s="10"/>
      <c r="T44" s="10"/>
      <c r="U44" s="10"/>
      <c r="V44" s="11"/>
    </row>
    <row r="45" spans="1:22">
      <c r="A45" s="9"/>
      <c r="B45" s="10" t="s">
        <v>4</v>
      </c>
      <c r="C45" s="10" t="s">
        <v>5</v>
      </c>
      <c r="D45" s="10" t="s">
        <v>29</v>
      </c>
      <c r="E45" s="10" t="s">
        <v>30</v>
      </c>
      <c r="F45" s="10" t="s">
        <v>31</v>
      </c>
      <c r="G45" s="10" t="s">
        <v>32</v>
      </c>
      <c r="H45" s="10" t="s">
        <v>8</v>
      </c>
      <c r="I45" s="10"/>
      <c r="J45" s="10"/>
      <c r="K45" s="10"/>
      <c r="L45" s="10"/>
      <c r="M45" s="10"/>
      <c r="N45" s="10"/>
      <c r="O45" s="10"/>
      <c r="P45" s="10"/>
      <c r="Q45" s="10"/>
      <c r="R45" s="10"/>
      <c r="S45" s="10"/>
      <c r="T45" s="10"/>
      <c r="U45" s="10"/>
      <c r="V45" s="11"/>
    </row>
    <row r="46" spans="1:22" ht="15.75" thickBot="1">
      <c r="A46" s="12" t="s">
        <v>138</v>
      </c>
      <c r="B46" s="13">
        <v>0</v>
      </c>
      <c r="C46" s="13">
        <v>0</v>
      </c>
      <c r="D46" s="13">
        <v>0</v>
      </c>
      <c r="E46" s="13">
        <v>0</v>
      </c>
      <c r="F46" s="13">
        <v>0</v>
      </c>
      <c r="G46" s="13">
        <v>0</v>
      </c>
      <c r="H46" s="13">
        <v>0</v>
      </c>
      <c r="I46" s="13"/>
      <c r="J46" s="13"/>
      <c r="K46" s="13"/>
      <c r="L46" s="13"/>
      <c r="M46" s="13"/>
      <c r="N46" s="13"/>
      <c r="O46" s="13"/>
      <c r="P46" s="13"/>
      <c r="Q46" s="13"/>
      <c r="R46" s="13"/>
      <c r="S46" s="13"/>
      <c r="T46" s="13"/>
      <c r="U46" s="13"/>
      <c r="V46" s="14"/>
    </row>
    <row r="48" spans="1:22" ht="15.75" thickBot="1">
      <c r="A48" s="1" t="s">
        <v>139</v>
      </c>
    </row>
    <row r="49" spans="1:13">
      <c r="A49" s="6"/>
      <c r="B49" s="7"/>
      <c r="C49" s="7"/>
      <c r="D49" s="7"/>
      <c r="E49" s="7"/>
      <c r="F49" s="7"/>
      <c r="G49" s="7"/>
      <c r="H49" s="7"/>
      <c r="I49" s="7"/>
      <c r="J49" s="7"/>
      <c r="K49" s="7"/>
      <c r="L49" s="7"/>
      <c r="M49" s="8"/>
    </row>
    <row r="50" spans="1:13">
      <c r="A50" s="21" t="s">
        <v>150</v>
      </c>
      <c r="B50" s="10"/>
      <c r="C50" s="10"/>
      <c r="D50" s="10"/>
      <c r="E50" s="10"/>
      <c r="F50" s="10"/>
      <c r="G50" s="10"/>
      <c r="H50" s="10"/>
      <c r="I50" s="10"/>
      <c r="J50" s="10"/>
      <c r="K50" s="10"/>
      <c r="L50" s="10"/>
      <c r="M50" s="11"/>
    </row>
    <row r="51" spans="1:13">
      <c r="A51" s="50" t="s">
        <v>151</v>
      </c>
      <c r="B51" s="10"/>
      <c r="C51" s="10" t="s">
        <v>152</v>
      </c>
      <c r="D51" s="10"/>
      <c r="E51" s="10"/>
      <c r="F51" s="10"/>
      <c r="G51" s="10"/>
      <c r="H51" s="10"/>
      <c r="I51" s="10"/>
      <c r="J51" s="10"/>
      <c r="K51" s="10"/>
      <c r="L51" s="10"/>
      <c r="M51" s="11"/>
    </row>
    <row r="52" spans="1:13">
      <c r="A52" s="51" t="s">
        <v>153</v>
      </c>
      <c r="B52" s="10"/>
      <c r="C52" s="10"/>
      <c r="D52" s="10"/>
      <c r="E52" s="10"/>
      <c r="F52" s="15">
        <v>0.02</v>
      </c>
      <c r="G52" s="10"/>
      <c r="H52" s="10"/>
      <c r="I52" s="10"/>
      <c r="J52" s="10"/>
      <c r="K52" s="10"/>
      <c r="L52" s="10"/>
      <c r="M52" s="11"/>
    </row>
    <row r="53" spans="1:13">
      <c r="A53" s="18" t="s">
        <v>154</v>
      </c>
      <c r="B53" s="10"/>
      <c r="C53" s="10"/>
      <c r="D53" s="10"/>
      <c r="E53" s="10"/>
      <c r="F53" s="15">
        <v>0.02</v>
      </c>
      <c r="G53" s="10"/>
      <c r="H53" s="10"/>
      <c r="I53" s="10"/>
      <c r="J53" s="10"/>
      <c r="K53" s="10"/>
      <c r="L53" s="10"/>
      <c r="M53" s="11"/>
    </row>
    <row r="54" spans="1:13">
      <c r="A54" s="18" t="s">
        <v>155</v>
      </c>
      <c r="B54" s="10"/>
      <c r="C54" s="10"/>
      <c r="D54" s="10"/>
      <c r="E54" s="10"/>
      <c r="F54" s="52">
        <f>(1-F52)*(1-F53)</f>
        <v>0.96039999999999992</v>
      </c>
      <c r="G54" s="10"/>
      <c r="H54" s="10"/>
      <c r="I54" s="10"/>
      <c r="J54" s="10"/>
      <c r="K54" s="10"/>
      <c r="L54" s="10"/>
      <c r="M54" s="11"/>
    </row>
    <row r="55" spans="1:13">
      <c r="A55" s="21"/>
      <c r="B55" s="10"/>
      <c r="C55" s="10"/>
      <c r="D55" s="10"/>
      <c r="E55" s="10"/>
      <c r="F55" s="10"/>
      <c r="G55" s="10"/>
      <c r="H55" s="10"/>
      <c r="I55" s="10"/>
      <c r="J55" s="10"/>
      <c r="K55" s="10"/>
      <c r="L55" s="10"/>
      <c r="M55" s="11"/>
    </row>
    <row r="56" spans="1:13">
      <c r="A56" s="21" t="s">
        <v>156</v>
      </c>
      <c r="B56" s="10"/>
      <c r="C56" s="10"/>
      <c r="D56" s="10" t="s">
        <v>158</v>
      </c>
      <c r="E56" s="10"/>
      <c r="F56" s="10"/>
      <c r="G56" s="10"/>
      <c r="H56" s="10"/>
      <c r="I56" s="10"/>
      <c r="J56" s="10"/>
      <c r="K56" s="10"/>
      <c r="L56" s="10"/>
      <c r="M56" s="11"/>
    </row>
    <row r="57" spans="1:13">
      <c r="A57" s="21"/>
      <c r="B57" s="10" t="s">
        <v>4</v>
      </c>
      <c r="C57" s="10" t="s">
        <v>5</v>
      </c>
      <c r="D57" s="10" t="s">
        <v>29</v>
      </c>
      <c r="E57" s="10" t="s">
        <v>30</v>
      </c>
      <c r="F57" s="10" t="s">
        <v>31</v>
      </c>
      <c r="G57" s="10" t="s">
        <v>32</v>
      </c>
      <c r="H57" s="10" t="s">
        <v>8</v>
      </c>
      <c r="I57" s="10" t="s">
        <v>9</v>
      </c>
      <c r="J57" s="10" t="s">
        <v>10</v>
      </c>
      <c r="K57" s="10"/>
      <c r="L57" s="10"/>
      <c r="M57" s="11"/>
    </row>
    <row r="58" spans="1:13">
      <c r="A58" s="18" t="s">
        <v>157</v>
      </c>
      <c r="B58" s="36">
        <v>0.89500000000000002</v>
      </c>
      <c r="C58" s="36">
        <v>0.28699999999999998</v>
      </c>
      <c r="D58" s="36">
        <v>7.5999999999999998E-2</v>
      </c>
      <c r="E58" s="36">
        <v>0.315</v>
      </c>
      <c r="F58" s="36">
        <v>0.83599999999999997</v>
      </c>
      <c r="G58" s="36">
        <v>0.89300000000000002</v>
      </c>
      <c r="H58" s="36">
        <v>0.80700000000000005</v>
      </c>
      <c r="I58" s="36">
        <v>0.42699999999999999</v>
      </c>
      <c r="J58" s="36">
        <v>0.36499999999999999</v>
      </c>
      <c r="K58" s="10"/>
      <c r="L58" s="10"/>
      <c r="M58" s="11"/>
    </row>
    <row r="59" spans="1:13">
      <c r="A59" s="18" t="s">
        <v>159</v>
      </c>
      <c r="B59" s="36">
        <v>0</v>
      </c>
      <c r="C59" s="36">
        <v>5.0000000000000001E-3</v>
      </c>
      <c r="D59" s="36">
        <v>0.86699999999999999</v>
      </c>
      <c r="E59" s="36">
        <v>0</v>
      </c>
      <c r="F59" s="36">
        <v>0</v>
      </c>
      <c r="G59" s="36">
        <v>3.0000000000000001E-3</v>
      </c>
      <c r="H59" s="36">
        <v>8.0000000000000002E-3</v>
      </c>
      <c r="I59" s="36">
        <v>6.0000000000000001E-3</v>
      </c>
      <c r="J59" s="36">
        <v>2E-3</v>
      </c>
      <c r="K59" s="10"/>
      <c r="L59" s="10"/>
      <c r="M59" s="11"/>
    </row>
    <row r="60" spans="1:13">
      <c r="A60" s="18" t="s">
        <v>160</v>
      </c>
      <c r="B60" s="36">
        <v>0</v>
      </c>
      <c r="C60" s="36">
        <v>0</v>
      </c>
      <c r="D60" s="36">
        <v>0</v>
      </c>
      <c r="E60" s="36">
        <v>0.5</v>
      </c>
      <c r="F60" s="36">
        <v>0</v>
      </c>
      <c r="G60" s="36">
        <v>0</v>
      </c>
      <c r="H60" s="36">
        <v>0</v>
      </c>
      <c r="I60" s="36">
        <v>0</v>
      </c>
      <c r="J60" s="36">
        <v>0</v>
      </c>
      <c r="K60" s="10"/>
      <c r="L60" s="10"/>
      <c r="M60" s="11"/>
    </row>
    <row r="61" spans="1:13">
      <c r="A61" s="18" t="s">
        <v>161</v>
      </c>
      <c r="B61" s="36">
        <v>8.7999999999999995E-2</v>
      </c>
      <c r="C61" s="36">
        <v>0.70499999999999996</v>
      </c>
      <c r="D61" s="36">
        <v>0.04</v>
      </c>
      <c r="E61" s="36">
        <v>0.17100000000000001</v>
      </c>
      <c r="F61" s="36">
        <v>4.4999999999999998E-2</v>
      </c>
      <c r="G61" s="36">
        <v>8.7999999999999995E-2</v>
      </c>
      <c r="H61" s="36">
        <v>4.1000000000000002E-2</v>
      </c>
      <c r="I61" s="36">
        <v>0.56200000000000006</v>
      </c>
      <c r="J61" s="36">
        <v>0.61499999999999999</v>
      </c>
      <c r="K61" s="10"/>
      <c r="L61" s="10"/>
      <c r="M61" s="11"/>
    </row>
    <row r="62" spans="1:13">
      <c r="A62" s="18" t="s">
        <v>162</v>
      </c>
      <c r="B62" s="36">
        <v>1.7000000000000001E-2</v>
      </c>
      <c r="C62" s="36">
        <v>3.0000000000000001E-3</v>
      </c>
      <c r="D62" s="36">
        <v>1.7000000000000001E-2</v>
      </c>
      <c r="E62" s="36">
        <v>1.4E-2</v>
      </c>
      <c r="F62" s="36">
        <v>0.11899999999999999</v>
      </c>
      <c r="G62" s="36">
        <v>1.6E-2</v>
      </c>
      <c r="H62" s="36">
        <v>0.14399999999999999</v>
      </c>
      <c r="I62" s="36">
        <v>5.0000000000000001E-3</v>
      </c>
      <c r="J62" s="36">
        <v>1.7999999999999999E-2</v>
      </c>
      <c r="K62" s="10"/>
      <c r="L62" s="10"/>
      <c r="M62" s="11"/>
    </row>
    <row r="63" spans="1:13">
      <c r="A63" s="21" t="s">
        <v>163</v>
      </c>
      <c r="B63" s="36">
        <f>SUM(B58:B62)</f>
        <v>1</v>
      </c>
      <c r="C63" s="36">
        <f t="shared" ref="C63:J63" si="1">SUM(C58:C62)</f>
        <v>0.99999999999999989</v>
      </c>
      <c r="D63" s="36">
        <f t="shared" si="1"/>
        <v>1</v>
      </c>
      <c r="E63" s="36">
        <f t="shared" si="1"/>
        <v>1</v>
      </c>
      <c r="F63" s="36">
        <f t="shared" si="1"/>
        <v>1</v>
      </c>
      <c r="G63" s="36">
        <f t="shared" si="1"/>
        <v>1</v>
      </c>
      <c r="H63" s="36">
        <f t="shared" si="1"/>
        <v>1</v>
      </c>
      <c r="I63" s="36">
        <f t="shared" si="1"/>
        <v>1</v>
      </c>
      <c r="J63" s="36">
        <f t="shared" si="1"/>
        <v>1</v>
      </c>
      <c r="K63" s="10"/>
      <c r="L63" s="10"/>
      <c r="M63" s="11"/>
    </row>
    <row r="64" spans="1:13">
      <c r="A64" s="9"/>
      <c r="B64" s="10"/>
      <c r="C64" s="10"/>
      <c r="D64" s="10"/>
      <c r="E64" s="10"/>
      <c r="F64" s="10"/>
      <c r="G64" s="10"/>
      <c r="H64" s="10"/>
      <c r="I64" s="10"/>
      <c r="J64" s="10"/>
      <c r="K64" s="10"/>
      <c r="L64" s="10"/>
      <c r="M64" s="11"/>
    </row>
    <row r="65" spans="1:13">
      <c r="A65" s="21" t="s">
        <v>140</v>
      </c>
      <c r="B65" s="10"/>
      <c r="C65" s="10"/>
      <c r="D65" s="10"/>
      <c r="E65" s="10"/>
      <c r="F65" s="10"/>
      <c r="G65" s="10"/>
      <c r="H65" s="10"/>
      <c r="I65" s="10"/>
      <c r="J65" s="10"/>
      <c r="K65" s="10"/>
      <c r="L65" s="10"/>
      <c r="M65" s="11"/>
    </row>
    <row r="66" spans="1:13">
      <c r="A66" s="9"/>
      <c r="B66" s="10" t="s">
        <v>4</v>
      </c>
      <c r="C66" s="10" t="s">
        <v>5</v>
      </c>
      <c r="D66" s="10" t="s">
        <v>29</v>
      </c>
      <c r="E66" s="10" t="s">
        <v>30</v>
      </c>
      <c r="F66" s="10" t="s">
        <v>31</v>
      </c>
      <c r="G66" s="10" t="s">
        <v>32</v>
      </c>
      <c r="H66" s="10" t="s">
        <v>8</v>
      </c>
      <c r="I66" s="49" t="s">
        <v>9</v>
      </c>
      <c r="J66" s="49" t="s">
        <v>10</v>
      </c>
      <c r="K66" s="49" t="s">
        <v>11</v>
      </c>
      <c r="L66" s="10"/>
      <c r="M66" s="11"/>
    </row>
    <row r="67" spans="1:13">
      <c r="A67" s="9" t="s">
        <v>141</v>
      </c>
      <c r="B67" s="10">
        <f>'Waste Collection'!C124+'Waste Collection'!C130</f>
        <v>42500</v>
      </c>
      <c r="C67" s="10">
        <f>'Waste Collection'!D124+'Waste Collection'!D130</f>
        <v>4112.4999999999982</v>
      </c>
      <c r="D67" s="10">
        <f>'Waste Collection'!E124+'Waste Collection'!E130</f>
        <v>5135</v>
      </c>
      <c r="E67" s="10">
        <f>'Waste Collection'!F124+'Waste Collection'!F130</f>
        <v>390.00000000000023</v>
      </c>
      <c r="F67" s="10">
        <f>'Waste Collection'!G124+'Waste Collection'!G130</f>
        <v>8000</v>
      </c>
      <c r="G67" s="10">
        <f>'Waste Collection'!H124+'Waste Collection'!H130</f>
        <v>875</v>
      </c>
      <c r="H67" s="10">
        <f>'Waste Collection'!I124+'Waste Collection'!I130</f>
        <v>3900</v>
      </c>
      <c r="I67" s="10">
        <f>'Waste Collection'!J124+'Waste Collection'!J130</f>
        <v>9981.2499999999964</v>
      </c>
      <c r="J67" s="10">
        <f>'Waste Collection'!K124+'Waste Collection'!K130</f>
        <v>27606.25</v>
      </c>
      <c r="K67" s="10">
        <f>SUM(B67:J67)</f>
        <v>102500</v>
      </c>
      <c r="L67" s="10"/>
      <c r="M67" s="11"/>
    </row>
    <row r="68" spans="1:13">
      <c r="A68" s="9"/>
      <c r="B68" s="10"/>
      <c r="C68" s="10"/>
      <c r="D68" s="10"/>
      <c r="E68" s="10"/>
      <c r="F68" s="10"/>
      <c r="G68" s="10"/>
      <c r="H68" s="10"/>
      <c r="I68" s="10"/>
      <c r="J68" s="10"/>
      <c r="K68" s="10"/>
      <c r="L68" s="10"/>
      <c r="M68" s="11"/>
    </row>
    <row r="69" spans="1:13">
      <c r="A69" s="21" t="s">
        <v>142</v>
      </c>
      <c r="B69" s="10"/>
      <c r="C69" s="10"/>
      <c r="D69" s="10"/>
      <c r="E69" s="10"/>
      <c r="F69" s="10"/>
      <c r="G69" s="10"/>
      <c r="H69" s="10"/>
      <c r="I69" s="10"/>
      <c r="J69" s="10"/>
      <c r="K69" s="10"/>
      <c r="L69" s="10"/>
      <c r="M69" s="11"/>
    </row>
    <row r="70" spans="1:13">
      <c r="A70" s="9" t="s">
        <v>143</v>
      </c>
      <c r="B70" s="10"/>
      <c r="C70" s="10"/>
      <c r="D70" s="10"/>
      <c r="E70" s="10"/>
      <c r="F70" s="10"/>
      <c r="G70" s="10"/>
      <c r="H70" s="10"/>
      <c r="I70" s="10"/>
      <c r="J70" s="10"/>
      <c r="K70" s="10"/>
      <c r="L70" s="10"/>
      <c r="M70" s="11"/>
    </row>
    <row r="71" spans="1:13">
      <c r="A71" s="9" t="s">
        <v>144</v>
      </c>
      <c r="B71" s="10"/>
      <c r="C71" s="10"/>
      <c r="D71" s="10"/>
      <c r="E71" s="10"/>
      <c r="F71" s="10"/>
      <c r="G71" s="10"/>
      <c r="H71" s="10"/>
      <c r="I71" s="10"/>
      <c r="J71" s="10"/>
      <c r="K71" s="10"/>
      <c r="L71" s="10"/>
      <c r="M71" s="11"/>
    </row>
    <row r="72" spans="1:13">
      <c r="A72" s="9" t="s">
        <v>145</v>
      </c>
      <c r="B72" s="10"/>
      <c r="C72" s="10"/>
      <c r="D72" s="10"/>
      <c r="E72" s="10"/>
      <c r="F72" s="10"/>
      <c r="G72" s="10"/>
      <c r="H72" s="10"/>
      <c r="I72" s="10"/>
      <c r="J72" s="10"/>
      <c r="K72" s="10"/>
      <c r="L72" s="10"/>
      <c r="M72" s="11"/>
    </row>
    <row r="73" spans="1:13">
      <c r="A73" s="9" t="s">
        <v>146</v>
      </c>
      <c r="B73" s="10"/>
      <c r="C73" s="10"/>
      <c r="D73" s="10"/>
      <c r="E73" s="10"/>
      <c r="F73" s="10"/>
      <c r="G73" s="10"/>
      <c r="H73" s="10"/>
      <c r="I73" s="10"/>
      <c r="J73" s="10"/>
      <c r="K73" s="10"/>
      <c r="L73" s="10"/>
      <c r="M73" s="11"/>
    </row>
    <row r="74" spans="1:13">
      <c r="A74" s="9"/>
      <c r="B74" s="10"/>
      <c r="C74" s="10"/>
      <c r="D74" s="10"/>
      <c r="E74" s="10"/>
      <c r="F74" s="10"/>
      <c r="G74" s="10"/>
      <c r="H74" s="10"/>
      <c r="I74" s="10"/>
      <c r="J74" s="10"/>
      <c r="K74" s="10"/>
      <c r="L74" s="10"/>
      <c r="M74" s="11"/>
    </row>
    <row r="75" spans="1:13">
      <c r="A75" s="9" t="s">
        <v>147</v>
      </c>
      <c r="B75" s="10"/>
      <c r="C75" s="10"/>
      <c r="D75" s="15">
        <v>0</v>
      </c>
      <c r="E75" s="10"/>
      <c r="F75" s="10"/>
      <c r="G75" s="10"/>
      <c r="H75" s="10"/>
      <c r="I75" s="10"/>
      <c r="J75" s="10"/>
      <c r="K75" s="10"/>
      <c r="L75" s="10"/>
      <c r="M75" s="11"/>
    </row>
    <row r="76" spans="1:13">
      <c r="A76" s="9" t="s">
        <v>148</v>
      </c>
      <c r="B76" s="10"/>
      <c r="C76" s="10"/>
      <c r="D76" s="10">
        <f>D75*K67</f>
        <v>0</v>
      </c>
      <c r="E76" s="10"/>
      <c r="F76" s="10"/>
      <c r="G76" s="10"/>
      <c r="H76" s="10"/>
      <c r="I76" s="10"/>
      <c r="J76" s="10"/>
      <c r="K76" s="10"/>
      <c r="L76" s="10"/>
      <c r="M76" s="11"/>
    </row>
    <row r="77" spans="1:13">
      <c r="A77" s="9" t="s">
        <v>149</v>
      </c>
      <c r="B77" s="10"/>
      <c r="C77" s="10" t="s">
        <v>200</v>
      </c>
      <c r="D77" s="10" t="s">
        <v>4</v>
      </c>
      <c r="E77" s="10" t="s">
        <v>5</v>
      </c>
      <c r="F77" s="10" t="s">
        <v>29</v>
      </c>
      <c r="G77" s="10" t="s">
        <v>30</v>
      </c>
      <c r="H77" s="10" t="s">
        <v>31</v>
      </c>
      <c r="I77" s="10" t="s">
        <v>32</v>
      </c>
      <c r="J77" s="10" t="s">
        <v>8</v>
      </c>
      <c r="K77" s="10" t="s">
        <v>9</v>
      </c>
      <c r="L77" s="10" t="s">
        <v>10</v>
      </c>
      <c r="M77" s="11"/>
    </row>
    <row r="78" spans="1:13">
      <c r="A78" s="9"/>
      <c r="B78" s="10"/>
      <c r="C78" s="10"/>
      <c r="D78" s="10">
        <f>B58*B67*$D$75*$F$54</f>
        <v>0</v>
      </c>
      <c r="E78" s="10">
        <f t="shared" ref="E78:L78" si="2">C58*C67*$D$75*$F$54</f>
        <v>0</v>
      </c>
      <c r="F78" s="10">
        <f t="shared" si="2"/>
        <v>0</v>
      </c>
      <c r="G78" s="10">
        <f t="shared" si="2"/>
        <v>0</v>
      </c>
      <c r="H78" s="10">
        <f t="shared" si="2"/>
        <v>0</v>
      </c>
      <c r="I78" s="10">
        <f t="shared" si="2"/>
        <v>0</v>
      </c>
      <c r="J78" s="10">
        <f t="shared" si="2"/>
        <v>0</v>
      </c>
      <c r="K78" s="10">
        <f t="shared" si="2"/>
        <v>0</v>
      </c>
      <c r="L78" s="10">
        <f t="shared" si="2"/>
        <v>0</v>
      </c>
      <c r="M78" s="11"/>
    </row>
    <row r="79" spans="1:13">
      <c r="A79" s="9"/>
      <c r="B79" s="10"/>
      <c r="C79" s="10" t="s">
        <v>11</v>
      </c>
      <c r="D79" s="53">
        <f>SUM(D78:L78)</f>
        <v>0</v>
      </c>
      <c r="E79" s="10"/>
      <c r="F79" s="10"/>
      <c r="G79" s="10"/>
      <c r="H79" s="10"/>
      <c r="I79" s="10"/>
      <c r="J79" s="10"/>
      <c r="K79" s="10"/>
      <c r="L79" s="10"/>
      <c r="M79" s="11"/>
    </row>
    <row r="80" spans="1:13">
      <c r="A80" s="9"/>
      <c r="B80" s="10"/>
      <c r="C80" s="10"/>
      <c r="D80" s="10"/>
      <c r="E80" s="10"/>
      <c r="F80" s="10"/>
      <c r="G80" s="10"/>
      <c r="H80" s="10"/>
      <c r="I80" s="10"/>
      <c r="J80" s="10"/>
      <c r="K80" s="10"/>
      <c r="L80" s="10"/>
      <c r="M80" s="11"/>
    </row>
    <row r="81" spans="1:13">
      <c r="A81" s="21" t="s">
        <v>164</v>
      </c>
      <c r="B81" s="10"/>
      <c r="C81" s="10"/>
      <c r="D81" s="10"/>
      <c r="E81" s="10"/>
      <c r="F81" s="10"/>
      <c r="G81" s="10"/>
      <c r="H81" s="10"/>
      <c r="I81" s="10"/>
      <c r="J81" s="10"/>
      <c r="K81" s="10"/>
      <c r="L81" s="10"/>
      <c r="M81" s="11"/>
    </row>
    <row r="82" spans="1:13">
      <c r="A82" s="9" t="s">
        <v>165</v>
      </c>
      <c r="B82" s="10"/>
      <c r="C82" s="10"/>
      <c r="D82" s="15">
        <v>0</v>
      </c>
      <c r="E82" s="10"/>
      <c r="F82" s="10"/>
      <c r="G82" s="10"/>
      <c r="H82" s="10"/>
      <c r="I82" s="10"/>
      <c r="J82" s="10"/>
      <c r="K82" s="10"/>
      <c r="L82" s="10"/>
      <c r="M82" s="11"/>
    </row>
    <row r="83" spans="1:13">
      <c r="A83" s="9" t="s">
        <v>166</v>
      </c>
      <c r="B83" s="10"/>
      <c r="C83" s="10"/>
      <c r="D83" s="10"/>
      <c r="E83" s="10"/>
      <c r="F83" s="10"/>
      <c r="G83" s="10"/>
      <c r="H83" s="10"/>
      <c r="I83" s="10"/>
      <c r="J83" s="10"/>
      <c r="K83" s="10"/>
      <c r="L83" s="10"/>
      <c r="M83" s="11"/>
    </row>
    <row r="84" spans="1:13">
      <c r="A84" s="9" t="s">
        <v>167</v>
      </c>
      <c r="B84" s="10"/>
      <c r="C84" s="10"/>
      <c r="D84" s="10"/>
      <c r="E84" s="10"/>
      <c r="F84" s="10"/>
      <c r="G84" s="10"/>
      <c r="H84" s="10"/>
      <c r="I84" s="10"/>
      <c r="J84" s="10"/>
      <c r="K84" s="10"/>
      <c r="L84" s="10"/>
      <c r="M84" s="11"/>
    </row>
    <row r="85" spans="1:13">
      <c r="A85" s="9"/>
      <c r="B85" s="10"/>
      <c r="C85" s="10"/>
      <c r="D85" s="10"/>
      <c r="E85" s="10"/>
      <c r="F85" s="10"/>
      <c r="G85" s="10"/>
      <c r="H85" s="10"/>
      <c r="I85" s="10"/>
      <c r="J85" s="10"/>
      <c r="K85" s="10"/>
      <c r="L85" s="10"/>
      <c r="M85" s="11"/>
    </row>
    <row r="86" spans="1:13">
      <c r="A86" s="9" t="s">
        <v>168</v>
      </c>
      <c r="B86" s="10"/>
      <c r="C86" s="10"/>
      <c r="D86" s="10"/>
      <c r="E86" s="10">
        <v>0</v>
      </c>
      <c r="F86" s="10"/>
      <c r="G86" s="10"/>
      <c r="H86" s="10"/>
      <c r="I86" s="10"/>
      <c r="J86" s="10"/>
      <c r="K86" s="10"/>
      <c r="L86" s="10"/>
      <c r="M86" s="11"/>
    </row>
    <row r="87" spans="1:13">
      <c r="A87" s="9" t="s">
        <v>169</v>
      </c>
      <c r="B87" s="10"/>
      <c r="C87" s="10"/>
      <c r="D87" s="10"/>
      <c r="E87" s="10">
        <v>0</v>
      </c>
      <c r="F87" s="10"/>
      <c r="G87" s="10"/>
      <c r="H87" s="10"/>
      <c r="I87" s="10"/>
      <c r="J87" s="10"/>
      <c r="K87" s="10"/>
      <c r="L87" s="10"/>
      <c r="M87" s="11"/>
    </row>
    <row r="88" spans="1:13">
      <c r="A88" s="9" t="s">
        <v>170</v>
      </c>
      <c r="B88" s="10"/>
      <c r="C88" s="10"/>
      <c r="D88" s="10"/>
      <c r="E88" s="10"/>
      <c r="F88" s="10"/>
      <c r="G88" s="10"/>
      <c r="H88" s="10"/>
      <c r="I88" s="10"/>
      <c r="J88" s="10"/>
      <c r="K88" s="10"/>
      <c r="L88" s="10"/>
      <c r="M88" s="11"/>
    </row>
    <row r="89" spans="1:13">
      <c r="A89" s="9"/>
      <c r="B89" s="10"/>
      <c r="C89" s="10"/>
      <c r="D89" s="10"/>
      <c r="E89" s="10"/>
      <c r="F89" s="10"/>
      <c r="G89" s="10"/>
      <c r="H89" s="10"/>
      <c r="I89" s="10"/>
      <c r="J89" s="10"/>
      <c r="K89" s="10"/>
      <c r="L89" s="10"/>
      <c r="M89" s="11"/>
    </row>
    <row r="90" spans="1:13">
      <c r="A90" s="21" t="s">
        <v>171</v>
      </c>
      <c r="B90" s="10"/>
      <c r="C90" s="10"/>
      <c r="D90" s="10"/>
      <c r="E90" s="10"/>
      <c r="F90" s="10"/>
      <c r="G90" s="10"/>
      <c r="H90" s="10"/>
      <c r="I90" s="10"/>
      <c r="J90" s="10"/>
      <c r="K90" s="10"/>
      <c r="L90" s="10"/>
      <c r="M90" s="11"/>
    </row>
    <row r="91" spans="1:13">
      <c r="A91" s="9" t="s">
        <v>121</v>
      </c>
      <c r="B91" s="10"/>
      <c r="C91" s="10">
        <v>21.5</v>
      </c>
      <c r="D91" s="10"/>
      <c r="E91" s="10"/>
      <c r="F91" s="10"/>
      <c r="G91" s="10"/>
      <c r="H91" s="10"/>
      <c r="I91" s="10"/>
      <c r="J91" s="10"/>
      <c r="K91" s="10"/>
      <c r="L91" s="10"/>
      <c r="M91" s="11"/>
    </row>
    <row r="92" spans="1:13">
      <c r="A92" s="9" t="s">
        <v>172</v>
      </c>
      <c r="B92" s="10"/>
      <c r="C92" s="10">
        <v>0</v>
      </c>
      <c r="D92" s="10"/>
      <c r="E92" s="10"/>
      <c r="F92" s="10"/>
      <c r="G92" s="10"/>
      <c r="H92" s="10"/>
      <c r="I92" s="10"/>
      <c r="J92" s="10"/>
      <c r="K92" s="10"/>
      <c r="L92" s="10"/>
      <c r="M92" s="11"/>
    </row>
    <row r="93" spans="1:13">
      <c r="A93" s="9" t="s">
        <v>173</v>
      </c>
      <c r="B93" s="10"/>
      <c r="C93" s="10"/>
      <c r="D93" s="10"/>
      <c r="E93" s="10"/>
      <c r="F93" s="10"/>
      <c r="G93" s="10"/>
      <c r="H93" s="10"/>
      <c r="I93" s="10"/>
      <c r="J93" s="10"/>
      <c r="K93" s="10"/>
      <c r="L93" s="10"/>
      <c r="M93" s="11"/>
    </row>
    <row r="94" spans="1:13">
      <c r="A94" s="9"/>
      <c r="B94" s="10"/>
      <c r="C94" s="10"/>
      <c r="D94" s="10"/>
      <c r="E94" s="10"/>
      <c r="F94" s="10"/>
      <c r="G94" s="10"/>
      <c r="H94" s="10"/>
      <c r="I94" s="10"/>
      <c r="J94" s="10"/>
      <c r="K94" s="10"/>
      <c r="L94" s="10"/>
      <c r="M94" s="11"/>
    </row>
    <row r="95" spans="1:13">
      <c r="A95" s="21" t="s">
        <v>174</v>
      </c>
      <c r="B95" s="10"/>
      <c r="C95" s="10"/>
      <c r="D95" s="10"/>
      <c r="E95" s="10"/>
      <c r="F95" s="10"/>
      <c r="G95" s="10"/>
      <c r="H95" s="10"/>
      <c r="I95" s="10"/>
      <c r="J95" s="10"/>
      <c r="K95" s="10"/>
      <c r="L95" s="10"/>
      <c r="M95" s="11"/>
    </row>
    <row r="96" spans="1:13">
      <c r="A96" s="9" t="s">
        <v>175</v>
      </c>
      <c r="B96" s="10"/>
      <c r="C96" s="10"/>
      <c r="D96" s="10"/>
      <c r="E96" s="10"/>
      <c r="F96" s="10"/>
      <c r="G96" s="10"/>
      <c r="H96" s="10">
        <v>0</v>
      </c>
      <c r="I96" s="10"/>
      <c r="J96" s="10"/>
      <c r="K96" s="10"/>
      <c r="L96" s="10"/>
      <c r="M96" s="11"/>
    </row>
    <row r="97" spans="1:13">
      <c r="A97" s="9" t="s">
        <v>176</v>
      </c>
      <c r="B97" s="10"/>
      <c r="C97" s="10"/>
      <c r="D97" s="10"/>
      <c r="E97" s="10"/>
      <c r="F97" s="10"/>
      <c r="G97" s="10"/>
      <c r="H97" s="10"/>
      <c r="I97" s="10"/>
      <c r="J97" s="10"/>
      <c r="K97" s="10"/>
      <c r="L97" s="10"/>
      <c r="M97" s="11"/>
    </row>
    <row r="98" spans="1:13">
      <c r="A98" s="9"/>
      <c r="B98" s="10"/>
      <c r="C98" s="10"/>
      <c r="D98" s="10"/>
      <c r="E98" s="10"/>
      <c r="F98" s="10"/>
      <c r="G98" s="10"/>
      <c r="H98" s="10"/>
      <c r="I98" s="10"/>
      <c r="J98" s="10"/>
      <c r="K98" s="10"/>
      <c r="L98" s="10"/>
      <c r="M98" s="11"/>
    </row>
    <row r="99" spans="1:13">
      <c r="A99" s="9" t="s">
        <v>178</v>
      </c>
      <c r="B99" s="10"/>
      <c r="C99" s="10"/>
      <c r="D99" s="10"/>
      <c r="E99" s="10"/>
      <c r="F99" s="10">
        <v>0</v>
      </c>
      <c r="G99" s="10"/>
      <c r="H99" s="10"/>
      <c r="I99" s="10"/>
      <c r="J99" s="10"/>
      <c r="K99" s="10"/>
      <c r="L99" s="10"/>
      <c r="M99" s="11"/>
    </row>
    <row r="100" spans="1:13">
      <c r="A100" s="9" t="s">
        <v>177</v>
      </c>
      <c r="B100" s="10"/>
      <c r="C100" s="10"/>
      <c r="D100" s="10"/>
      <c r="E100" s="10"/>
      <c r="F100" s="10">
        <v>0</v>
      </c>
      <c r="G100" s="10"/>
      <c r="H100" s="10"/>
      <c r="I100" s="10"/>
      <c r="J100" s="10"/>
      <c r="K100" s="10"/>
      <c r="L100" s="10"/>
      <c r="M100" s="11"/>
    </row>
    <row r="101" spans="1:13">
      <c r="A101" s="9" t="s">
        <v>179</v>
      </c>
      <c r="B101" s="10"/>
      <c r="C101" s="10"/>
      <c r="D101" s="10"/>
      <c r="E101" s="10"/>
      <c r="F101" s="10">
        <v>0</v>
      </c>
      <c r="G101" s="10"/>
      <c r="H101" s="10"/>
      <c r="I101" s="10"/>
      <c r="J101" s="10"/>
      <c r="K101" s="10"/>
      <c r="L101" s="10"/>
      <c r="M101" s="11"/>
    </row>
    <row r="102" spans="1:13">
      <c r="A102" s="9" t="s">
        <v>180</v>
      </c>
      <c r="B102" s="10"/>
      <c r="C102" s="10"/>
      <c r="D102" s="10"/>
      <c r="E102" s="10"/>
      <c r="F102" s="10">
        <v>0</v>
      </c>
      <c r="G102" s="10"/>
      <c r="H102" s="10"/>
      <c r="I102" s="10"/>
      <c r="J102" s="10"/>
      <c r="K102" s="10"/>
      <c r="L102" s="10"/>
      <c r="M102" s="11"/>
    </row>
    <row r="103" spans="1:13">
      <c r="A103" s="9"/>
      <c r="B103" s="10"/>
      <c r="C103" s="10"/>
      <c r="D103" s="10"/>
      <c r="E103" s="10"/>
      <c r="F103" s="10"/>
      <c r="G103" s="10"/>
      <c r="H103" s="10"/>
      <c r="I103" s="10"/>
      <c r="J103" s="10"/>
      <c r="K103" s="10"/>
      <c r="L103" s="10"/>
      <c r="M103" s="11"/>
    </row>
    <row r="104" spans="1:13">
      <c r="A104" s="9" t="s">
        <v>181</v>
      </c>
      <c r="B104" s="10"/>
      <c r="C104" s="10"/>
      <c r="D104" s="10"/>
      <c r="E104" s="10"/>
      <c r="F104" s="10"/>
      <c r="G104" s="10"/>
      <c r="H104" s="10"/>
      <c r="I104" s="10"/>
      <c r="J104" s="10"/>
      <c r="K104" s="10"/>
      <c r="L104" s="10"/>
      <c r="M104" s="11"/>
    </row>
    <row r="105" spans="1:13" ht="15.75" thickBot="1">
      <c r="A105" s="12" t="s">
        <v>182</v>
      </c>
      <c r="B105" s="13"/>
      <c r="C105" s="13"/>
      <c r="D105" s="13"/>
      <c r="E105" s="13"/>
      <c r="F105" s="13"/>
      <c r="G105" s="13"/>
      <c r="H105" s="13"/>
      <c r="I105" s="13"/>
      <c r="J105" s="13"/>
      <c r="K105" s="13"/>
      <c r="L105" s="13"/>
      <c r="M105" s="14"/>
    </row>
    <row r="107" spans="1:13" ht="15.75" thickBot="1">
      <c r="A107" s="1" t="s">
        <v>183</v>
      </c>
    </row>
    <row r="108" spans="1:13">
      <c r="A108" s="6"/>
      <c r="B108" s="7"/>
      <c r="C108" s="7"/>
      <c r="D108" s="7"/>
      <c r="E108" s="7"/>
      <c r="F108" s="7"/>
      <c r="G108" s="7"/>
      <c r="H108" s="7"/>
      <c r="I108" s="7"/>
      <c r="J108" s="7"/>
      <c r="K108" s="7"/>
      <c r="L108" s="7"/>
      <c r="M108" s="8"/>
    </row>
    <row r="109" spans="1:13">
      <c r="A109" s="21" t="s">
        <v>184</v>
      </c>
      <c r="B109" s="10"/>
      <c r="C109" s="10"/>
      <c r="D109" s="10"/>
      <c r="E109" s="10"/>
      <c r="F109" s="10"/>
      <c r="G109" s="10"/>
      <c r="H109" s="10"/>
      <c r="I109" s="10"/>
      <c r="J109" s="10"/>
      <c r="K109" s="10"/>
      <c r="L109" s="10"/>
      <c r="M109" s="11"/>
    </row>
    <row r="110" spans="1:13">
      <c r="A110" s="50" t="s">
        <v>151</v>
      </c>
      <c r="B110" s="10"/>
      <c r="C110" s="10" t="s">
        <v>152</v>
      </c>
      <c r="D110" s="10"/>
      <c r="E110" s="10"/>
      <c r="F110" s="10"/>
      <c r="G110" s="10"/>
      <c r="H110" s="10"/>
      <c r="I110" s="10"/>
      <c r="J110" s="10"/>
      <c r="K110" s="10"/>
      <c r="L110" s="10"/>
      <c r="M110" s="11"/>
    </row>
    <row r="111" spans="1:13">
      <c r="A111" s="51" t="s">
        <v>153</v>
      </c>
      <c r="B111" s="10"/>
      <c r="C111" s="10"/>
      <c r="D111" s="10"/>
      <c r="E111" s="10"/>
      <c r="F111" s="15">
        <v>0.02</v>
      </c>
      <c r="G111" s="10"/>
      <c r="H111" s="10"/>
      <c r="I111" s="10"/>
      <c r="J111" s="10"/>
      <c r="K111" s="10"/>
      <c r="L111" s="10"/>
      <c r="M111" s="11"/>
    </row>
    <row r="112" spans="1:13">
      <c r="A112" s="18" t="s">
        <v>154</v>
      </c>
      <c r="B112" s="10"/>
      <c r="C112" s="10"/>
      <c r="D112" s="10"/>
      <c r="E112" s="10"/>
      <c r="F112" s="15">
        <v>0.02</v>
      </c>
      <c r="G112" s="10"/>
      <c r="H112" s="10"/>
      <c r="I112" s="10"/>
      <c r="J112" s="10"/>
      <c r="K112" s="10"/>
      <c r="L112" s="10"/>
      <c r="M112" s="11"/>
    </row>
    <row r="113" spans="1:13">
      <c r="A113" s="18" t="s">
        <v>155</v>
      </c>
      <c r="B113" s="10"/>
      <c r="C113" s="10"/>
      <c r="D113" s="10"/>
      <c r="E113" s="10"/>
      <c r="F113" s="52">
        <f>(1-F111)*(1-F112)</f>
        <v>0.96039999999999992</v>
      </c>
      <c r="G113" s="10"/>
      <c r="H113" s="10"/>
      <c r="I113" s="10"/>
      <c r="J113" s="10"/>
      <c r="K113" s="10"/>
      <c r="L113" s="10"/>
      <c r="M113" s="11"/>
    </row>
    <row r="114" spans="1:13">
      <c r="A114" s="21"/>
      <c r="B114" s="10"/>
      <c r="C114" s="10"/>
      <c r="D114" s="10"/>
      <c r="E114" s="10"/>
      <c r="F114" s="10"/>
      <c r="G114" s="10"/>
      <c r="H114" s="10"/>
      <c r="I114" s="10"/>
      <c r="J114" s="10"/>
      <c r="K114" s="10"/>
      <c r="L114" s="10"/>
      <c r="M114" s="11"/>
    </row>
    <row r="115" spans="1:13">
      <c r="A115" s="21" t="s">
        <v>156</v>
      </c>
      <c r="B115" s="10"/>
      <c r="C115" s="10"/>
      <c r="D115" s="10" t="s">
        <v>158</v>
      </c>
      <c r="E115" s="10"/>
      <c r="F115" s="10"/>
      <c r="G115" s="10"/>
      <c r="H115" s="10"/>
      <c r="I115" s="10"/>
      <c r="J115" s="10"/>
      <c r="K115" s="10"/>
      <c r="L115" s="10"/>
      <c r="M115" s="11"/>
    </row>
    <row r="116" spans="1:13">
      <c r="A116" s="21"/>
      <c r="B116" s="10" t="s">
        <v>4</v>
      </c>
      <c r="C116" s="10" t="s">
        <v>5</v>
      </c>
      <c r="D116" s="10" t="s">
        <v>29</v>
      </c>
      <c r="E116" s="10" t="s">
        <v>30</v>
      </c>
      <c r="F116" s="10" t="s">
        <v>31</v>
      </c>
      <c r="G116" s="10" t="s">
        <v>32</v>
      </c>
      <c r="H116" s="10" t="s">
        <v>8</v>
      </c>
      <c r="I116" s="10" t="s">
        <v>9</v>
      </c>
      <c r="J116" s="10" t="s">
        <v>10</v>
      </c>
      <c r="K116" s="10"/>
      <c r="L116" s="10"/>
      <c r="M116" s="11"/>
    </row>
    <row r="117" spans="1:13">
      <c r="A117" s="18" t="s">
        <v>157</v>
      </c>
      <c r="B117" s="36">
        <v>0.81299999999999994</v>
      </c>
      <c r="C117" s="36">
        <v>0</v>
      </c>
      <c r="D117" s="36">
        <v>0</v>
      </c>
      <c r="E117" s="36">
        <v>0.14099999999999999</v>
      </c>
      <c r="F117" s="36">
        <v>0.80800000000000005</v>
      </c>
      <c r="G117" s="36">
        <v>0.28299999999999997</v>
      </c>
      <c r="H117" s="36">
        <v>0.61</v>
      </c>
      <c r="I117" s="36">
        <v>0.11600000000000001</v>
      </c>
      <c r="J117" s="36">
        <v>0.14199999999999999</v>
      </c>
      <c r="K117" s="10"/>
      <c r="L117" s="10"/>
      <c r="M117" s="11"/>
    </row>
    <row r="118" spans="1:13">
      <c r="A118" s="18" t="s">
        <v>159</v>
      </c>
      <c r="B118" s="36">
        <v>0</v>
      </c>
      <c r="C118" s="36">
        <v>5.0000000000000001E-3</v>
      </c>
      <c r="D118" s="36">
        <v>0.86699999999999999</v>
      </c>
      <c r="E118" s="36">
        <v>0</v>
      </c>
      <c r="F118" s="36">
        <v>0</v>
      </c>
      <c r="G118" s="36">
        <v>3.0000000000000001E-3</v>
      </c>
      <c r="H118" s="36">
        <v>8.0000000000000002E-3</v>
      </c>
      <c r="I118" s="36">
        <v>6.0000000000000001E-3</v>
      </c>
      <c r="J118" s="36">
        <v>2E-3</v>
      </c>
      <c r="K118" s="10"/>
      <c r="L118" s="10"/>
      <c r="M118" s="11"/>
    </row>
    <row r="119" spans="1:13">
      <c r="A119" s="18" t="s">
        <v>160</v>
      </c>
      <c r="B119" s="36">
        <v>0</v>
      </c>
      <c r="C119" s="36">
        <v>0</v>
      </c>
      <c r="D119" s="36">
        <v>0</v>
      </c>
      <c r="E119" s="36">
        <v>0.5</v>
      </c>
      <c r="F119" s="36">
        <v>0</v>
      </c>
      <c r="G119" s="36">
        <v>0</v>
      </c>
      <c r="H119" s="36">
        <v>0</v>
      </c>
      <c r="I119" s="36">
        <v>0</v>
      </c>
      <c r="J119" s="36">
        <v>0</v>
      </c>
      <c r="K119" s="10"/>
      <c r="L119" s="10"/>
      <c r="M119" s="11"/>
    </row>
    <row r="120" spans="1:13">
      <c r="A120" s="18" t="s">
        <v>161</v>
      </c>
      <c r="B120" s="36">
        <v>8.7999999999999995E-2</v>
      </c>
      <c r="C120" s="36">
        <v>0.70499999999999996</v>
      </c>
      <c r="D120" s="36">
        <v>0.04</v>
      </c>
      <c r="E120" s="36">
        <v>0.17100000000000001</v>
      </c>
      <c r="F120" s="36">
        <v>4.4999999999999998E-2</v>
      </c>
      <c r="G120" s="36">
        <v>8.7999999999999995E-2</v>
      </c>
      <c r="H120" s="36">
        <v>4.1000000000000002E-2</v>
      </c>
      <c r="I120" s="36">
        <v>0.56200000000000006</v>
      </c>
      <c r="J120" s="36">
        <v>0.61499999999999999</v>
      </c>
      <c r="K120" s="10"/>
      <c r="L120" s="10"/>
      <c r="M120" s="11"/>
    </row>
    <row r="121" spans="1:13">
      <c r="A121" s="18" t="s">
        <v>162</v>
      </c>
      <c r="B121" s="36">
        <v>9.9000000000000005E-2</v>
      </c>
      <c r="C121" s="36">
        <v>0.28999999999999998</v>
      </c>
      <c r="D121" s="36">
        <v>9.2999999999999999E-2</v>
      </c>
      <c r="E121" s="36">
        <v>0.188</v>
      </c>
      <c r="F121" s="36">
        <v>0.14699999999999999</v>
      </c>
      <c r="G121" s="36">
        <v>0.626</v>
      </c>
      <c r="H121" s="36">
        <v>0.34100000000000003</v>
      </c>
      <c r="I121" s="36">
        <v>0.316</v>
      </c>
      <c r="J121" s="36">
        <v>0.24099999999999999</v>
      </c>
      <c r="K121" s="10"/>
      <c r="L121" s="10"/>
      <c r="M121" s="11"/>
    </row>
    <row r="122" spans="1:13">
      <c r="A122" s="21" t="s">
        <v>163</v>
      </c>
      <c r="B122" s="36">
        <f t="shared" ref="B122:J122" si="3">SUM(B117:B121)</f>
        <v>0.99999999999999989</v>
      </c>
      <c r="C122" s="36">
        <f t="shared" si="3"/>
        <v>1</v>
      </c>
      <c r="D122" s="36">
        <f t="shared" si="3"/>
        <v>1</v>
      </c>
      <c r="E122" s="36">
        <f t="shared" si="3"/>
        <v>1</v>
      </c>
      <c r="F122" s="36">
        <f t="shared" si="3"/>
        <v>1</v>
      </c>
      <c r="G122" s="36">
        <f t="shared" si="3"/>
        <v>1</v>
      </c>
      <c r="H122" s="36">
        <f t="shared" si="3"/>
        <v>1</v>
      </c>
      <c r="I122" s="36">
        <f t="shared" si="3"/>
        <v>1</v>
      </c>
      <c r="J122" s="36">
        <f t="shared" si="3"/>
        <v>1</v>
      </c>
      <c r="K122" s="10"/>
      <c r="L122" s="10"/>
      <c r="M122" s="11"/>
    </row>
    <row r="123" spans="1:13">
      <c r="A123" s="21"/>
      <c r="B123" s="36"/>
      <c r="C123" s="36"/>
      <c r="D123" s="36"/>
      <c r="E123" s="36"/>
      <c r="F123" s="36"/>
      <c r="G123" s="36"/>
      <c r="H123" s="36"/>
      <c r="I123" s="36"/>
      <c r="J123" s="36"/>
      <c r="K123" s="10"/>
      <c r="L123" s="10"/>
      <c r="M123" s="11"/>
    </row>
    <row r="124" spans="1:13">
      <c r="A124" s="21" t="s">
        <v>191</v>
      </c>
      <c r="B124" s="36"/>
      <c r="C124" s="36"/>
      <c r="D124" s="36"/>
      <c r="E124" s="36"/>
      <c r="F124" s="36">
        <v>0.183</v>
      </c>
      <c r="G124" s="36"/>
      <c r="H124" s="36"/>
      <c r="I124" s="36"/>
      <c r="J124" s="36"/>
      <c r="K124" s="10"/>
      <c r="L124" s="10"/>
      <c r="M124" s="11"/>
    </row>
    <row r="125" spans="1:13">
      <c r="A125" s="9"/>
      <c r="B125" s="10"/>
      <c r="C125" s="10"/>
      <c r="D125" s="10"/>
      <c r="E125" s="10"/>
      <c r="F125" s="10"/>
      <c r="G125" s="10"/>
      <c r="H125" s="10"/>
      <c r="I125" s="10"/>
      <c r="J125" s="10"/>
      <c r="K125" s="10"/>
      <c r="L125" s="10"/>
      <c r="M125" s="11"/>
    </row>
    <row r="126" spans="1:13">
      <c r="A126" s="21" t="s">
        <v>185</v>
      </c>
      <c r="B126" s="10"/>
      <c r="C126" s="10"/>
      <c r="D126" s="10"/>
      <c r="E126" s="10"/>
      <c r="F126" s="10"/>
      <c r="G126" s="10"/>
      <c r="H126" s="10"/>
      <c r="I126" s="10"/>
      <c r="J126" s="10"/>
      <c r="K126" s="10"/>
      <c r="L126" s="10"/>
      <c r="M126" s="11"/>
    </row>
    <row r="127" spans="1:13">
      <c r="A127" s="9"/>
      <c r="B127" s="10" t="s">
        <v>4</v>
      </c>
      <c r="C127" s="10" t="s">
        <v>5</v>
      </c>
      <c r="D127" s="10" t="s">
        <v>29</v>
      </c>
      <c r="E127" s="10" t="s">
        <v>30</v>
      </c>
      <c r="F127" s="10" t="s">
        <v>31</v>
      </c>
      <c r="G127" s="10" t="s">
        <v>32</v>
      </c>
      <c r="H127" s="10" t="s">
        <v>8</v>
      </c>
      <c r="I127" s="49" t="s">
        <v>9</v>
      </c>
      <c r="J127" s="49" t="s">
        <v>10</v>
      </c>
      <c r="K127" s="49" t="s">
        <v>11</v>
      </c>
      <c r="L127" s="10"/>
      <c r="M127" s="11"/>
    </row>
    <row r="128" spans="1:13">
      <c r="A128" s="9" t="s">
        <v>141</v>
      </c>
      <c r="B128" s="10">
        <f>'Waste Collection'!C124+'Waste Collection'!C130</f>
        <v>42500</v>
      </c>
      <c r="C128" s="10">
        <f>'Waste Collection'!D124+'Waste Collection'!D130</f>
        <v>4112.4999999999982</v>
      </c>
      <c r="D128" s="10">
        <f>'Waste Collection'!E124+'Waste Collection'!E130</f>
        <v>5135</v>
      </c>
      <c r="E128" s="10">
        <f>'Waste Collection'!F124+'Waste Collection'!F130</f>
        <v>390.00000000000023</v>
      </c>
      <c r="F128" s="10">
        <f>'Waste Collection'!G124+'Waste Collection'!G130</f>
        <v>8000</v>
      </c>
      <c r="G128" s="10">
        <f>'Waste Collection'!H124+'Waste Collection'!H130</f>
        <v>875</v>
      </c>
      <c r="H128" s="10">
        <f>'Waste Collection'!I124+'Waste Collection'!I130</f>
        <v>3900</v>
      </c>
      <c r="I128" s="10">
        <f>'Waste Collection'!J124+'Waste Collection'!J130</f>
        <v>9981.2499999999964</v>
      </c>
      <c r="J128" s="10">
        <f>'Waste Collection'!K124+'Waste Collection'!K130</f>
        <v>27606.25</v>
      </c>
      <c r="K128" s="10">
        <f>SUM(B128:J128)</f>
        <v>102500</v>
      </c>
      <c r="L128" s="10"/>
      <c r="M128" s="11"/>
    </row>
    <row r="129" spans="1:13">
      <c r="A129" s="9"/>
      <c r="B129" s="10"/>
      <c r="C129" s="10"/>
      <c r="D129" s="10"/>
      <c r="E129" s="10"/>
      <c r="F129" s="10"/>
      <c r="G129" s="10"/>
      <c r="H129" s="10"/>
      <c r="I129" s="10"/>
      <c r="J129" s="10"/>
      <c r="K129" s="10"/>
      <c r="L129" s="10"/>
      <c r="M129" s="11"/>
    </row>
    <row r="130" spans="1:13">
      <c r="A130" s="21" t="s">
        <v>186</v>
      </c>
      <c r="B130" s="10"/>
      <c r="C130" s="10"/>
      <c r="D130" s="10"/>
      <c r="E130" s="10"/>
      <c r="F130" s="10"/>
      <c r="G130" s="10"/>
      <c r="H130" s="10"/>
      <c r="I130" s="10"/>
      <c r="J130" s="10"/>
      <c r="K130" s="10"/>
      <c r="L130" s="10"/>
      <c r="M130" s="11"/>
    </row>
    <row r="131" spans="1:13">
      <c r="A131" s="9" t="s">
        <v>187</v>
      </c>
      <c r="B131" s="10"/>
      <c r="C131" s="10"/>
      <c r="D131" s="10"/>
      <c r="E131" s="10"/>
      <c r="F131" s="10"/>
      <c r="G131" s="10"/>
      <c r="H131" s="10"/>
      <c r="I131" s="10"/>
      <c r="J131" s="10"/>
      <c r="K131" s="10"/>
      <c r="L131" s="10"/>
      <c r="M131" s="11"/>
    </row>
    <row r="132" spans="1:13">
      <c r="A132" s="9" t="s">
        <v>189</v>
      </c>
      <c r="B132" s="10"/>
      <c r="C132" s="10"/>
      <c r="D132" s="10"/>
      <c r="E132" s="10"/>
      <c r="F132" s="10"/>
      <c r="G132" s="10"/>
      <c r="H132" s="10"/>
      <c r="I132" s="10"/>
      <c r="J132" s="10"/>
      <c r="K132" s="10"/>
      <c r="L132" s="10"/>
      <c r="M132" s="11"/>
    </row>
    <row r="133" spans="1:13">
      <c r="A133" s="9" t="s">
        <v>190</v>
      </c>
      <c r="B133" s="10"/>
      <c r="C133" s="10"/>
      <c r="D133" s="10"/>
      <c r="E133" s="10"/>
      <c r="F133" s="10"/>
      <c r="G133" s="10"/>
      <c r="H133" s="10"/>
      <c r="I133" s="10"/>
      <c r="J133" s="10"/>
      <c r="K133" s="10"/>
      <c r="L133" s="10"/>
      <c r="M133" s="11"/>
    </row>
    <row r="134" spans="1:13">
      <c r="A134" s="9" t="s">
        <v>188</v>
      </c>
      <c r="B134" s="10"/>
      <c r="C134" s="10"/>
      <c r="D134" s="10"/>
      <c r="E134" s="10"/>
      <c r="F134" s="10"/>
      <c r="G134" s="10"/>
      <c r="H134" s="10"/>
      <c r="I134" s="10"/>
      <c r="J134" s="10"/>
      <c r="K134" s="10"/>
      <c r="L134" s="10"/>
      <c r="M134" s="11"/>
    </row>
    <row r="135" spans="1:13">
      <c r="A135" s="9"/>
      <c r="B135" s="10"/>
      <c r="C135" s="10"/>
      <c r="D135" s="10"/>
      <c r="E135" s="10"/>
      <c r="F135" s="10"/>
      <c r="G135" s="10"/>
      <c r="H135" s="10"/>
      <c r="I135" s="10"/>
      <c r="J135" s="10"/>
      <c r="K135" s="10"/>
      <c r="L135" s="10"/>
      <c r="M135" s="11"/>
    </row>
    <row r="136" spans="1:13">
      <c r="A136" s="9" t="s">
        <v>147</v>
      </c>
      <c r="B136" s="10"/>
      <c r="C136" s="10"/>
      <c r="D136" s="15">
        <v>0</v>
      </c>
      <c r="E136" s="10"/>
      <c r="F136" s="10"/>
      <c r="G136" s="10"/>
      <c r="H136" s="10"/>
      <c r="I136" s="10"/>
      <c r="J136" s="10"/>
      <c r="K136" s="10"/>
      <c r="L136" s="10"/>
      <c r="M136" s="11"/>
    </row>
    <row r="137" spans="1:13">
      <c r="A137" s="9" t="s">
        <v>148</v>
      </c>
      <c r="B137" s="10"/>
      <c r="C137" s="10"/>
      <c r="D137" s="10">
        <f>D136*K128</f>
        <v>0</v>
      </c>
      <c r="E137" s="10"/>
      <c r="F137" s="10"/>
      <c r="G137" s="10"/>
      <c r="H137" s="10"/>
      <c r="I137" s="10"/>
      <c r="J137" s="10"/>
      <c r="K137" s="10"/>
      <c r="L137" s="10"/>
      <c r="M137" s="11"/>
    </row>
    <row r="138" spans="1:13">
      <c r="A138" s="9" t="s">
        <v>199</v>
      </c>
      <c r="B138" s="10"/>
      <c r="C138" s="10" t="s">
        <v>200</v>
      </c>
      <c r="D138" s="10" t="s">
        <v>4</v>
      </c>
      <c r="E138" s="10" t="s">
        <v>5</v>
      </c>
      <c r="F138" s="10" t="s">
        <v>29</v>
      </c>
      <c r="G138" s="10" t="s">
        <v>30</v>
      </c>
      <c r="H138" s="10" t="s">
        <v>31</v>
      </c>
      <c r="I138" s="10" t="s">
        <v>32</v>
      </c>
      <c r="J138" s="10" t="s">
        <v>8</v>
      </c>
      <c r="K138" s="10" t="s">
        <v>9</v>
      </c>
      <c r="L138" s="10" t="s">
        <v>10</v>
      </c>
      <c r="M138" s="11"/>
    </row>
    <row r="139" spans="1:13">
      <c r="A139" s="9"/>
      <c r="B139" s="10"/>
      <c r="C139" s="10"/>
      <c r="D139" s="54">
        <f>B117*B128*$D$136*$F$113*(1-$F$124)</f>
        <v>0</v>
      </c>
      <c r="E139" s="54">
        <f t="shared" ref="E139:L139" si="4">C117*C128*$D$136*$F$113*(1-$F$124)</f>
        <v>0</v>
      </c>
      <c r="F139" s="54">
        <f t="shared" si="4"/>
        <v>0</v>
      </c>
      <c r="G139" s="54">
        <f t="shared" si="4"/>
        <v>0</v>
      </c>
      <c r="H139" s="54">
        <f t="shared" si="4"/>
        <v>0</v>
      </c>
      <c r="I139" s="54">
        <f t="shared" si="4"/>
        <v>0</v>
      </c>
      <c r="J139" s="54">
        <f t="shared" si="4"/>
        <v>0</v>
      </c>
      <c r="K139" s="54">
        <f t="shared" si="4"/>
        <v>0</v>
      </c>
      <c r="L139" s="54">
        <f t="shared" si="4"/>
        <v>0</v>
      </c>
      <c r="M139" s="11"/>
    </row>
    <row r="140" spans="1:13">
      <c r="A140" s="9"/>
      <c r="B140" s="10"/>
      <c r="C140" s="10" t="s">
        <v>11</v>
      </c>
      <c r="D140" s="53">
        <f>SUM(D139:L139)</f>
        <v>0</v>
      </c>
      <c r="E140" s="10"/>
      <c r="F140" s="10"/>
      <c r="G140" s="10"/>
      <c r="H140" s="10"/>
      <c r="I140" s="10"/>
      <c r="J140" s="10"/>
      <c r="K140" s="10"/>
      <c r="L140" s="10"/>
      <c r="M140" s="11"/>
    </row>
    <row r="141" spans="1:13">
      <c r="A141" s="9"/>
      <c r="B141" s="10"/>
      <c r="C141" s="10"/>
      <c r="D141" s="10"/>
      <c r="E141" s="10"/>
      <c r="F141" s="10"/>
      <c r="G141" s="10"/>
      <c r="H141" s="10"/>
      <c r="I141" s="10"/>
      <c r="J141" s="10"/>
      <c r="K141" s="10"/>
      <c r="L141" s="10"/>
      <c r="M141" s="11"/>
    </row>
    <row r="142" spans="1:13">
      <c r="A142" s="21" t="s">
        <v>164</v>
      </c>
      <c r="B142" s="10"/>
      <c r="C142" s="10"/>
      <c r="D142" s="10"/>
      <c r="E142" s="10"/>
      <c r="F142" s="10"/>
      <c r="G142" s="10"/>
      <c r="H142" s="10"/>
      <c r="I142" s="10"/>
      <c r="J142" s="10"/>
      <c r="K142" s="10"/>
      <c r="L142" s="10"/>
      <c r="M142" s="11"/>
    </row>
    <row r="143" spans="1:13">
      <c r="A143" s="9" t="s">
        <v>165</v>
      </c>
      <c r="B143" s="10"/>
      <c r="C143" s="10"/>
      <c r="D143" s="15">
        <v>0</v>
      </c>
      <c r="E143" s="10"/>
      <c r="F143" s="10"/>
      <c r="G143" s="10"/>
      <c r="H143" s="10"/>
      <c r="I143" s="10"/>
      <c r="J143" s="10"/>
      <c r="K143" s="10"/>
      <c r="L143" s="10"/>
      <c r="M143" s="11"/>
    </row>
    <row r="144" spans="1:13">
      <c r="A144" s="9" t="s">
        <v>166</v>
      </c>
      <c r="B144" s="10"/>
      <c r="C144" s="10"/>
      <c r="D144" s="10"/>
      <c r="E144" s="10"/>
      <c r="F144" s="10"/>
      <c r="G144" s="10"/>
      <c r="H144" s="10"/>
      <c r="I144" s="10"/>
      <c r="J144" s="10"/>
      <c r="K144" s="10"/>
      <c r="L144" s="10"/>
      <c r="M144" s="11"/>
    </row>
    <row r="145" spans="1:13">
      <c r="A145" s="9" t="s">
        <v>167</v>
      </c>
      <c r="B145" s="10"/>
      <c r="C145" s="10"/>
      <c r="D145" s="10"/>
      <c r="E145" s="10"/>
      <c r="F145" s="10"/>
      <c r="G145" s="10"/>
      <c r="H145" s="10"/>
      <c r="I145" s="10"/>
      <c r="J145" s="10"/>
      <c r="K145" s="10"/>
      <c r="L145" s="10"/>
      <c r="M145" s="11"/>
    </row>
    <row r="146" spans="1:13">
      <c r="A146" s="9"/>
      <c r="B146" s="10"/>
      <c r="C146" s="10"/>
      <c r="D146" s="10"/>
      <c r="E146" s="10"/>
      <c r="F146" s="10"/>
      <c r="G146" s="10"/>
      <c r="H146" s="10"/>
      <c r="I146" s="10"/>
      <c r="J146" s="10"/>
      <c r="K146" s="10"/>
      <c r="L146" s="10"/>
      <c r="M146" s="11"/>
    </row>
    <row r="147" spans="1:13">
      <c r="A147" s="9" t="s">
        <v>168</v>
      </c>
      <c r="B147" s="10"/>
      <c r="C147" s="10"/>
      <c r="D147" s="10"/>
      <c r="E147" s="10">
        <v>0</v>
      </c>
      <c r="F147" s="10"/>
      <c r="G147" s="10"/>
      <c r="H147" s="10"/>
      <c r="I147" s="10"/>
      <c r="J147" s="10"/>
      <c r="K147" s="10"/>
      <c r="L147" s="10"/>
      <c r="M147" s="11"/>
    </row>
    <row r="148" spans="1:13">
      <c r="A148" s="9" t="s">
        <v>169</v>
      </c>
      <c r="B148" s="10"/>
      <c r="C148" s="10"/>
      <c r="D148" s="10"/>
      <c r="E148" s="10">
        <v>0</v>
      </c>
      <c r="F148" s="10"/>
      <c r="G148" s="10"/>
      <c r="H148" s="10"/>
      <c r="I148" s="10"/>
      <c r="J148" s="10"/>
      <c r="K148" s="10"/>
      <c r="L148" s="10"/>
      <c r="M148" s="11"/>
    </row>
    <row r="149" spans="1:13">
      <c r="A149" s="9" t="s">
        <v>170</v>
      </c>
      <c r="B149" s="10"/>
      <c r="C149" s="10"/>
      <c r="D149" s="10"/>
      <c r="E149" s="10"/>
      <c r="F149" s="10"/>
      <c r="G149" s="10"/>
      <c r="H149" s="10"/>
      <c r="I149" s="10"/>
      <c r="J149" s="10"/>
      <c r="K149" s="10"/>
      <c r="L149" s="10"/>
      <c r="M149" s="11"/>
    </row>
    <row r="150" spans="1:13">
      <c r="A150" s="9"/>
      <c r="B150" s="10"/>
      <c r="C150" s="10"/>
      <c r="D150" s="10"/>
      <c r="E150" s="10"/>
      <c r="F150" s="10"/>
      <c r="G150" s="10"/>
      <c r="H150" s="10"/>
      <c r="I150" s="10"/>
      <c r="J150" s="10"/>
      <c r="K150" s="10"/>
      <c r="L150" s="10"/>
      <c r="M150" s="11"/>
    </row>
    <row r="151" spans="1:13">
      <c r="A151" s="21" t="s">
        <v>171</v>
      </c>
      <c r="B151" s="10"/>
      <c r="C151" s="10"/>
      <c r="D151" s="10"/>
      <c r="E151" s="10"/>
      <c r="F151" s="10"/>
      <c r="G151" s="10"/>
      <c r="H151" s="10"/>
      <c r="I151" s="10"/>
      <c r="J151" s="10"/>
      <c r="K151" s="10"/>
      <c r="L151" s="10"/>
      <c r="M151" s="11"/>
    </row>
    <row r="152" spans="1:13">
      <c r="A152" s="9" t="s">
        <v>121</v>
      </c>
      <c r="B152" s="10"/>
      <c r="C152" s="10">
        <v>55.5</v>
      </c>
      <c r="D152" s="10"/>
      <c r="E152" s="10"/>
      <c r="F152" s="10"/>
      <c r="G152" s="10"/>
      <c r="H152" s="10"/>
      <c r="I152" s="10"/>
      <c r="J152" s="10"/>
      <c r="K152" s="10"/>
      <c r="L152" s="10"/>
      <c r="M152" s="11"/>
    </row>
    <row r="153" spans="1:13">
      <c r="A153" s="9" t="s">
        <v>172</v>
      </c>
      <c r="B153" s="10"/>
      <c r="C153" s="10">
        <v>10.3</v>
      </c>
      <c r="D153" s="10"/>
      <c r="E153" s="10"/>
      <c r="F153" s="10"/>
      <c r="G153" s="10"/>
      <c r="H153" s="10"/>
      <c r="I153" s="10"/>
      <c r="J153" s="10"/>
      <c r="K153" s="10"/>
      <c r="L153" s="10"/>
      <c r="M153" s="11"/>
    </row>
    <row r="154" spans="1:13">
      <c r="A154" s="9" t="s">
        <v>173</v>
      </c>
      <c r="B154" s="10"/>
      <c r="C154" s="10"/>
      <c r="D154" s="10"/>
      <c r="E154" s="10"/>
      <c r="F154" s="10"/>
      <c r="G154" s="10"/>
      <c r="H154" s="10"/>
      <c r="I154" s="10"/>
      <c r="J154" s="10"/>
      <c r="K154" s="10"/>
      <c r="L154" s="10"/>
      <c r="M154" s="11"/>
    </row>
    <row r="155" spans="1:13">
      <c r="A155" s="9"/>
      <c r="B155" s="10"/>
      <c r="C155" s="10"/>
      <c r="D155" s="10"/>
      <c r="E155" s="10"/>
      <c r="F155" s="10"/>
      <c r="G155" s="10"/>
      <c r="H155" s="10"/>
      <c r="I155" s="10"/>
      <c r="J155" s="10"/>
      <c r="K155" s="10"/>
      <c r="L155" s="10"/>
      <c r="M155" s="11"/>
    </row>
    <row r="156" spans="1:13">
      <c r="A156" s="21" t="s">
        <v>174</v>
      </c>
      <c r="B156" s="10"/>
      <c r="C156" s="10"/>
      <c r="D156" s="10"/>
      <c r="E156" s="10"/>
      <c r="F156" s="10"/>
      <c r="G156" s="10"/>
      <c r="H156" s="10"/>
      <c r="I156" s="10"/>
      <c r="J156" s="10"/>
      <c r="K156" s="10"/>
      <c r="L156" s="10"/>
      <c r="M156" s="11"/>
    </row>
    <row r="157" spans="1:13">
      <c r="A157" s="9" t="s">
        <v>175</v>
      </c>
      <c r="B157" s="10"/>
      <c r="C157" s="10"/>
      <c r="D157" s="10"/>
      <c r="E157" s="10"/>
      <c r="F157" s="10"/>
      <c r="G157" s="10"/>
      <c r="H157" s="10">
        <v>0</v>
      </c>
      <c r="I157" s="10"/>
      <c r="J157" s="10"/>
      <c r="K157" s="10"/>
      <c r="L157" s="10"/>
      <c r="M157" s="11"/>
    </row>
    <row r="158" spans="1:13">
      <c r="A158" s="9" t="s">
        <v>176</v>
      </c>
      <c r="B158" s="10"/>
      <c r="C158" s="10"/>
      <c r="D158" s="10"/>
      <c r="E158" s="10"/>
      <c r="F158" s="10"/>
      <c r="G158" s="10"/>
      <c r="H158" s="10"/>
      <c r="I158" s="10"/>
      <c r="J158" s="10"/>
      <c r="K158" s="10"/>
      <c r="L158" s="10"/>
      <c r="M158" s="11"/>
    </row>
    <row r="159" spans="1:13">
      <c r="A159" s="9"/>
      <c r="B159" s="10"/>
      <c r="C159" s="10"/>
      <c r="D159" s="10"/>
      <c r="E159" s="10"/>
      <c r="F159" s="10"/>
      <c r="G159" s="10"/>
      <c r="H159" s="10"/>
      <c r="I159" s="10"/>
      <c r="J159" s="10"/>
      <c r="K159" s="10"/>
      <c r="L159" s="10"/>
      <c r="M159" s="11"/>
    </row>
    <row r="160" spans="1:13">
      <c r="A160" s="9" t="s">
        <v>178</v>
      </c>
      <c r="B160" s="10"/>
      <c r="C160" s="10"/>
      <c r="D160" s="10"/>
      <c r="E160" s="10"/>
      <c r="F160" s="10">
        <v>0</v>
      </c>
      <c r="G160" s="10"/>
      <c r="H160" s="10"/>
      <c r="I160" s="10"/>
      <c r="J160" s="10"/>
      <c r="K160" s="10"/>
      <c r="L160" s="10"/>
      <c r="M160" s="11"/>
    </row>
    <row r="161" spans="1:13">
      <c r="A161" s="9" t="s">
        <v>177</v>
      </c>
      <c r="B161" s="10"/>
      <c r="C161" s="10"/>
      <c r="D161" s="10"/>
      <c r="E161" s="10"/>
      <c r="F161" s="10">
        <v>0</v>
      </c>
      <c r="G161" s="10"/>
      <c r="H161" s="10"/>
      <c r="I161" s="10"/>
      <c r="J161" s="10"/>
      <c r="K161" s="10"/>
      <c r="L161" s="10"/>
      <c r="M161" s="11"/>
    </row>
    <row r="162" spans="1:13">
      <c r="A162" s="9" t="s">
        <v>179</v>
      </c>
      <c r="B162" s="10"/>
      <c r="C162" s="10"/>
      <c r="D162" s="10"/>
      <c r="E162" s="10"/>
      <c r="F162" s="10">
        <v>0</v>
      </c>
      <c r="G162" s="10"/>
      <c r="H162" s="10"/>
      <c r="I162" s="10"/>
      <c r="J162" s="10"/>
      <c r="K162" s="10"/>
      <c r="L162" s="10"/>
      <c r="M162" s="11"/>
    </row>
    <row r="163" spans="1:13">
      <c r="A163" s="9" t="s">
        <v>180</v>
      </c>
      <c r="B163" s="10"/>
      <c r="C163" s="10"/>
      <c r="D163" s="10"/>
      <c r="E163" s="10"/>
      <c r="F163" s="10">
        <v>0</v>
      </c>
      <c r="G163" s="10"/>
      <c r="H163" s="10"/>
      <c r="I163" s="10"/>
      <c r="J163" s="10"/>
      <c r="K163" s="10"/>
      <c r="L163" s="10"/>
      <c r="M163" s="11"/>
    </row>
    <row r="164" spans="1:13">
      <c r="A164" s="9"/>
      <c r="B164" s="10"/>
      <c r="C164" s="10"/>
      <c r="D164" s="10"/>
      <c r="E164" s="10"/>
      <c r="F164" s="10"/>
      <c r="G164" s="10"/>
      <c r="H164" s="10"/>
      <c r="I164" s="10"/>
      <c r="J164" s="10"/>
      <c r="K164" s="10"/>
      <c r="L164" s="10"/>
      <c r="M164" s="11"/>
    </row>
    <row r="165" spans="1:13">
      <c r="A165" s="9" t="s">
        <v>181</v>
      </c>
      <c r="B165" s="10"/>
      <c r="C165" s="10"/>
      <c r="D165" s="10"/>
      <c r="E165" s="10"/>
      <c r="F165" s="10"/>
      <c r="G165" s="10"/>
      <c r="H165" s="10"/>
      <c r="I165" s="10"/>
      <c r="J165" s="10"/>
      <c r="K165" s="10"/>
      <c r="L165" s="10"/>
      <c r="M165" s="11"/>
    </row>
    <row r="166" spans="1:13" ht="15.75" thickBot="1">
      <c r="A166" s="12" t="s">
        <v>182</v>
      </c>
      <c r="B166" s="13"/>
      <c r="C166" s="13"/>
      <c r="D166" s="13"/>
      <c r="E166" s="13"/>
      <c r="F166" s="13"/>
      <c r="G166" s="13"/>
      <c r="H166" s="13"/>
      <c r="I166" s="13"/>
      <c r="J166" s="13"/>
      <c r="K166" s="13"/>
      <c r="L166" s="13"/>
      <c r="M166" s="14"/>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Z138"/>
  <sheetViews>
    <sheetView zoomScale="70" zoomScaleNormal="70" workbookViewId="0">
      <selection activeCell="B17" sqref="B17"/>
    </sheetView>
  </sheetViews>
  <sheetFormatPr defaultRowHeight="15"/>
  <cols>
    <col min="1" max="1" width="11" customWidth="1"/>
    <col min="2" max="2" width="18.7109375" customWidth="1"/>
    <col min="3" max="3" width="15.140625" customWidth="1"/>
    <col min="4" max="4" width="15" bestFit="1" customWidth="1"/>
    <col min="5" max="5" width="14.28515625" bestFit="1" customWidth="1"/>
    <col min="6" max="6" width="13.7109375" customWidth="1"/>
    <col min="7" max="7" width="13.140625" bestFit="1" customWidth="1"/>
    <col min="8" max="8" width="13.42578125" customWidth="1"/>
    <col min="9" max="9" width="9.5703125" bestFit="1" customWidth="1"/>
  </cols>
  <sheetData>
    <row r="1" spans="1:26">
      <c r="A1" s="1" t="s">
        <v>193</v>
      </c>
    </row>
    <row r="3" spans="1:26" ht="15.75" thickBot="1">
      <c r="A3" s="1" t="s">
        <v>194</v>
      </c>
    </row>
    <row r="4" spans="1:26">
      <c r="A4" s="35"/>
      <c r="B4" s="7"/>
      <c r="C4" s="7"/>
      <c r="D4" s="7"/>
      <c r="E4" s="7"/>
      <c r="F4" s="7"/>
      <c r="G4" s="7"/>
      <c r="H4" s="7"/>
      <c r="I4" s="7"/>
      <c r="J4" s="7"/>
      <c r="K4" s="7"/>
      <c r="L4" s="7"/>
      <c r="M4" s="7"/>
      <c r="N4" s="7"/>
      <c r="O4" s="7"/>
      <c r="P4" s="7"/>
      <c r="Q4" s="7"/>
      <c r="R4" s="7"/>
      <c r="S4" s="7"/>
      <c r="T4" s="7"/>
      <c r="U4" s="7"/>
      <c r="V4" s="7"/>
      <c r="W4" s="7"/>
      <c r="X4" s="7"/>
      <c r="Y4" s="7"/>
      <c r="Z4" s="8"/>
    </row>
    <row r="5" spans="1:26">
      <c r="A5" s="21" t="s">
        <v>196</v>
      </c>
      <c r="B5" s="10"/>
      <c r="C5" s="10"/>
      <c r="D5" s="10"/>
      <c r="E5" s="10"/>
      <c r="F5" s="10"/>
      <c r="G5" s="10"/>
      <c r="H5" s="10"/>
      <c r="I5" s="10"/>
      <c r="J5" s="10"/>
      <c r="K5" s="10"/>
      <c r="L5" s="10"/>
      <c r="M5" s="10"/>
      <c r="N5" s="10"/>
      <c r="O5" s="10"/>
      <c r="P5" s="10"/>
      <c r="Q5" s="10"/>
      <c r="R5" s="10"/>
      <c r="S5" s="10"/>
      <c r="T5" s="10"/>
      <c r="U5" s="10"/>
      <c r="V5" s="10"/>
      <c r="W5" s="10"/>
      <c r="X5" s="10"/>
      <c r="Y5" s="10"/>
      <c r="Z5" s="11"/>
    </row>
    <row r="6" spans="1:26">
      <c r="A6" s="9" t="s">
        <v>195</v>
      </c>
      <c r="B6" s="10"/>
      <c r="C6" s="10"/>
      <c r="D6" s="10"/>
      <c r="E6" s="10"/>
      <c r="F6" s="10"/>
      <c r="G6" s="10"/>
      <c r="H6" s="10"/>
      <c r="I6" s="10"/>
      <c r="J6" s="10"/>
      <c r="K6" s="10"/>
      <c r="L6" s="10"/>
      <c r="M6" s="10"/>
      <c r="N6" s="10"/>
      <c r="O6" s="10"/>
      <c r="P6" s="10"/>
      <c r="Q6" s="10"/>
      <c r="R6" s="10"/>
      <c r="S6" s="10"/>
      <c r="T6" s="10"/>
      <c r="U6" s="10"/>
      <c r="V6" s="10"/>
      <c r="W6" s="10"/>
      <c r="X6" s="10"/>
      <c r="Y6" s="10"/>
      <c r="Z6" s="11"/>
    </row>
    <row r="7" spans="1:26">
      <c r="A7" s="9"/>
      <c r="B7" s="10"/>
      <c r="C7" s="10"/>
      <c r="D7" s="10"/>
      <c r="E7" s="10"/>
      <c r="F7" s="10"/>
      <c r="G7" s="10"/>
      <c r="H7" s="10"/>
      <c r="I7" s="10"/>
      <c r="J7" s="10"/>
      <c r="K7" s="10"/>
      <c r="L7" s="10"/>
      <c r="M7" s="10"/>
      <c r="N7" s="10"/>
      <c r="O7" s="10"/>
      <c r="P7" s="10"/>
      <c r="Q7" s="10"/>
      <c r="R7" s="10"/>
      <c r="S7" s="10"/>
      <c r="T7" s="10"/>
      <c r="U7" s="10"/>
      <c r="V7" s="10"/>
      <c r="W7" s="10"/>
      <c r="X7" s="10"/>
      <c r="Y7" s="10"/>
      <c r="Z7" s="11"/>
    </row>
    <row r="8" spans="1:26">
      <c r="A8" s="9"/>
      <c r="B8" s="10" t="s">
        <v>4</v>
      </c>
      <c r="C8" s="10" t="s">
        <v>5</v>
      </c>
      <c r="D8" s="10" t="s">
        <v>29</v>
      </c>
      <c r="E8" s="10" t="s">
        <v>30</v>
      </c>
      <c r="F8" s="10" t="s">
        <v>31</v>
      </c>
      <c r="G8" s="10" t="s">
        <v>32</v>
      </c>
      <c r="H8" s="10" t="s">
        <v>8</v>
      </c>
      <c r="I8" s="10" t="s">
        <v>9</v>
      </c>
      <c r="J8" s="10" t="s">
        <v>10</v>
      </c>
      <c r="K8" s="10"/>
      <c r="L8" s="10"/>
      <c r="M8" s="10"/>
      <c r="N8" s="10"/>
      <c r="O8" s="10"/>
      <c r="P8" s="10"/>
      <c r="Q8" s="10"/>
      <c r="R8" s="10"/>
      <c r="S8" s="10"/>
      <c r="T8" s="10"/>
      <c r="U8" s="10"/>
      <c r="V8" s="10"/>
      <c r="W8" s="10"/>
      <c r="X8" s="10"/>
      <c r="Y8" s="10"/>
      <c r="Z8" s="11"/>
    </row>
    <row r="9" spans="1:26">
      <c r="A9" s="9" t="s">
        <v>141</v>
      </c>
      <c r="B9" s="27">
        <f>'Waste Collection'!C11*'Waste Collection'!E33/1000*(1-'Waste Collection'!E34)+'Waste Collection'!E103*(1-'Waste Collection'!E104)+'MRF &amp; RDF Sorting'!B67*'MRF &amp; RDF Sorting'!F54*'MRF &amp; RDF Sorting'!D75*'MRF &amp; RDF Sorting'!B61*'MRF &amp; RDF Sorting'!D82+'MRF &amp; RDF Sorting'!B128*'MRF &amp; RDF Sorting'!F113*'MRF &amp; RDF Sorting'!D136*'MRF &amp; RDF Sorting'!B120*'MRF &amp; RDF Sorting'!D143</f>
        <v>4275</v>
      </c>
      <c r="C9" s="27">
        <f>'MRF &amp; RDF Sorting'!C67*'MRF &amp; RDF Sorting'!$F$54*'MRF &amp; RDF Sorting'!$D$75*'MRF &amp; RDF Sorting'!C61*'MRF &amp; RDF Sorting'!$D$82+'MRF &amp; RDF Sorting'!C128*'MRF &amp; RDF Sorting'!$F$113*'MRF &amp; RDF Sorting'!$D$136*'MRF &amp; RDF Sorting'!C120*'MRF &amp; RDF Sorting'!$D$143</f>
        <v>0</v>
      </c>
      <c r="D9" s="27">
        <f>'MRF &amp; RDF Sorting'!D67*'MRF &amp; RDF Sorting'!$F$54*'MRF &amp; RDF Sorting'!$D$75*'MRF &amp; RDF Sorting'!D61*'MRF &amp; RDF Sorting'!$D$82+'MRF &amp; RDF Sorting'!D128*'MRF &amp; RDF Sorting'!$F$113*'MRF &amp; RDF Sorting'!$D$136*'MRF &amp; RDF Sorting'!D120*'MRF &amp; RDF Sorting'!$D$143</f>
        <v>0</v>
      </c>
      <c r="E9" s="27">
        <f>'MRF &amp; RDF Sorting'!E67*'MRF &amp; RDF Sorting'!$F$54*'MRF &amp; RDF Sorting'!$D$75*'MRF &amp; RDF Sorting'!E61*'MRF &amp; RDF Sorting'!$D$82+'MRF &amp; RDF Sorting'!E128*'MRF &amp; RDF Sorting'!$F$113*'MRF &amp; RDF Sorting'!$D$136*'MRF &amp; RDF Sorting'!E120*'MRF &amp; RDF Sorting'!$D$143</f>
        <v>0</v>
      </c>
      <c r="F9" s="27">
        <f>'Waste Collection'!C11*('Waste Collection'!E33+'Waste Collection'!F33)/1000*'Waste Collection'!E34*'Waste Input'!B23+('Waste Collection'!E103+'Waste Collection'!F103)*'Waste Collection'!E104/2+'MRF &amp; RDF Sorting'!F67*'MRF &amp; RDF Sorting'!F54*'MRF &amp; RDF Sorting'!D75*'MRF &amp; RDF Sorting'!F61*'MRF &amp; RDF Sorting'!D82+'MRF &amp; RDF Sorting'!F128*'MRF &amp; RDF Sorting'!F113*'MRF &amp; RDF Sorting'!D136*'MRF &amp; RDF Sorting'!F120*'MRF &amp; RDF Sorting'!D143</f>
        <v>750</v>
      </c>
      <c r="G9" s="27">
        <f>'Waste Collection'!$C$11*('Waste Collection'!$E$33+'Waste Collection'!$F$33)/1000*'Waste Collection'!$E$34*'Waste Input'!C23+('Waste Collection'!$E$103+'Waste Collection'!$F$103)*'Waste Collection'!$F$103/2+'MRF &amp; RDF Sorting'!G67*'MRF &amp; RDF Sorting'!$F$54*'MRF &amp; RDF Sorting'!$D$75*'MRF &amp; RDF Sorting'!G61*'MRF &amp; RDF Sorting'!$D$82+'MRF &amp; RDF Sorting'!G128*'MRF &amp; RDF Sorting'!$F$113*'MRF &amp; RDF Sorting'!$D$136*'MRF &amp; RDF Sorting'!G120*'MRF &amp; RDF Sorting'!$D$143</f>
        <v>750</v>
      </c>
      <c r="H9" s="27">
        <f>'MRF &amp; RDF Sorting'!H67*'MRF &amp; RDF Sorting'!$F$54*'MRF &amp; RDF Sorting'!$D$75*'MRF &amp; RDF Sorting'!H61*'MRF &amp; RDF Sorting'!$D$82+'MRF &amp; RDF Sorting'!H128*'MRF &amp; RDF Sorting'!$F$113*'MRF &amp; RDF Sorting'!$D$136*'MRF &amp; RDF Sorting'!H120*'MRF &amp; RDF Sorting'!$D$143</f>
        <v>0</v>
      </c>
      <c r="I9" s="27">
        <f>'Waste Input'!B8*'Waste Input'!B30+'Waste Collection'!C11*'Waste Collection'!F33/1000*(1-'Waste Collection'!E34)+'Waste Collection'!G11*'Waste Collection'!L48/1000+'Waste Collection'!F103*(1-'Waste Collection'!E104)+'MRF &amp; RDF Sorting'!I67*'MRF &amp; RDF Sorting'!F54*'MRF &amp; RDF Sorting'!D75*'MRF &amp; RDF Sorting'!I61*'MRF &amp; RDF Sorting'!D82+'MRF &amp; RDF Sorting'!I128*'MRF &amp; RDF Sorting'!F113*'MRF &amp; RDF Sorting'!D136*'MRF &amp; RDF Sorting'!I120*'MRF &amp; RDF Sorting'!D143</f>
        <v>24225</v>
      </c>
      <c r="J9" s="27">
        <f>'MRF &amp; RDF Sorting'!J67*'MRF &amp; RDF Sorting'!F54*'MRF &amp; RDF Sorting'!D75*'MRF &amp; RDF Sorting'!J61*'MRF &amp; RDF Sorting'!D82+'MRF &amp; RDF Sorting'!J128*'MRF &amp; RDF Sorting'!F113*'MRF &amp; RDF Sorting'!J120*'MRF &amp; RDF Sorting'!D136*'MRF &amp; RDF Sorting'!D143</f>
        <v>0</v>
      </c>
      <c r="K9" s="10"/>
      <c r="L9" s="10"/>
      <c r="M9" s="10"/>
      <c r="N9" s="10"/>
      <c r="O9" s="10"/>
      <c r="P9" s="10"/>
      <c r="Q9" s="10"/>
      <c r="R9" s="10"/>
      <c r="S9" s="10"/>
      <c r="T9" s="10"/>
      <c r="U9" s="10"/>
      <c r="V9" s="10"/>
      <c r="W9" s="10"/>
      <c r="X9" s="10"/>
      <c r="Y9" s="10"/>
      <c r="Z9" s="11"/>
    </row>
    <row r="10" spans="1:26">
      <c r="A10" s="9"/>
      <c r="B10" s="10"/>
      <c r="C10" s="10"/>
      <c r="D10" s="10"/>
      <c r="E10" s="10"/>
      <c r="F10" s="10"/>
      <c r="G10" s="10"/>
      <c r="H10" s="10"/>
      <c r="I10" s="10"/>
      <c r="J10" s="10"/>
      <c r="K10" s="10"/>
      <c r="L10" s="10"/>
      <c r="M10" s="10"/>
      <c r="N10" s="10"/>
      <c r="O10" s="10"/>
      <c r="P10" s="10"/>
      <c r="Q10" s="10"/>
      <c r="R10" s="10"/>
      <c r="S10" s="10"/>
      <c r="T10" s="10"/>
      <c r="U10" s="10"/>
      <c r="V10" s="10"/>
      <c r="W10" s="10"/>
      <c r="X10" s="10"/>
      <c r="Y10" s="10"/>
      <c r="Z10" s="11"/>
    </row>
    <row r="11" spans="1:26">
      <c r="A11" s="21" t="s">
        <v>197</v>
      </c>
      <c r="B11" s="10"/>
      <c r="C11" s="10"/>
      <c r="D11" s="10"/>
      <c r="E11" s="10"/>
      <c r="F11" s="10"/>
      <c r="G11" s="10"/>
      <c r="H11" s="10"/>
      <c r="I11" s="10"/>
      <c r="J11" s="10"/>
      <c r="K11" s="10"/>
      <c r="L11" s="10"/>
      <c r="M11" s="10"/>
      <c r="N11" s="10"/>
      <c r="O11" s="10"/>
      <c r="P11" s="10"/>
      <c r="Q11" s="10"/>
      <c r="R11" s="10"/>
      <c r="S11" s="10"/>
      <c r="T11" s="10"/>
      <c r="U11" s="10"/>
      <c r="V11" s="10"/>
      <c r="W11" s="10"/>
      <c r="X11" s="10"/>
      <c r="Y11" s="10"/>
      <c r="Z11" s="11"/>
    </row>
    <row r="12" spans="1:26">
      <c r="A12" s="9" t="s">
        <v>198</v>
      </c>
      <c r="B12" s="10"/>
      <c r="C12" s="10"/>
      <c r="D12" s="10"/>
      <c r="E12" s="10"/>
      <c r="F12" s="10"/>
      <c r="G12" s="10"/>
      <c r="H12" s="10"/>
      <c r="I12" s="10"/>
      <c r="J12" s="10"/>
      <c r="K12" s="10"/>
      <c r="L12" s="10"/>
      <c r="M12" s="10"/>
      <c r="N12" s="10"/>
      <c r="O12" s="10"/>
      <c r="P12" s="10"/>
      <c r="Q12" s="10"/>
      <c r="R12" s="10"/>
      <c r="S12" s="10"/>
      <c r="T12" s="10"/>
      <c r="U12" s="10"/>
      <c r="V12" s="10"/>
      <c r="W12" s="10"/>
      <c r="X12" s="10"/>
      <c r="Y12" s="10"/>
      <c r="Z12" s="11"/>
    </row>
    <row r="13" spans="1:26">
      <c r="A13" s="9"/>
      <c r="B13" s="10"/>
      <c r="C13" s="10"/>
      <c r="D13" s="10"/>
      <c r="E13" s="10"/>
      <c r="F13" s="10"/>
      <c r="G13" s="10"/>
      <c r="H13" s="10"/>
      <c r="I13" s="10"/>
      <c r="J13" s="10"/>
      <c r="K13" s="10"/>
      <c r="L13" s="10"/>
      <c r="M13" s="10"/>
      <c r="N13" s="10"/>
      <c r="O13" s="10"/>
      <c r="P13" s="10"/>
      <c r="Q13" s="10"/>
      <c r="R13" s="10"/>
      <c r="S13" s="10"/>
      <c r="T13" s="10"/>
      <c r="U13" s="10"/>
      <c r="V13" s="10"/>
      <c r="W13" s="10"/>
      <c r="X13" s="10"/>
      <c r="Y13" s="10"/>
      <c r="Z13" s="11"/>
    </row>
    <row r="14" spans="1:26">
      <c r="A14" s="9" t="s">
        <v>41</v>
      </c>
      <c r="B14" s="15">
        <v>0</v>
      </c>
      <c r="C14" s="10"/>
      <c r="D14" s="10"/>
      <c r="E14" s="10"/>
      <c r="F14" s="10"/>
      <c r="G14" s="10"/>
      <c r="H14" s="10"/>
      <c r="I14" s="10"/>
      <c r="J14" s="10"/>
      <c r="K14" s="10"/>
      <c r="L14" s="10"/>
      <c r="M14" s="10"/>
      <c r="N14" s="10"/>
      <c r="O14" s="10"/>
      <c r="P14" s="10"/>
      <c r="Q14" s="10"/>
      <c r="R14" s="10"/>
      <c r="S14" s="10"/>
      <c r="T14" s="10"/>
      <c r="U14" s="10"/>
      <c r="V14" s="10"/>
      <c r="W14" s="10"/>
      <c r="X14" s="10"/>
      <c r="Y14" s="10"/>
      <c r="Z14" s="11"/>
    </row>
    <row r="15" spans="1:26">
      <c r="A15" s="9"/>
      <c r="B15" s="15"/>
      <c r="C15" s="10"/>
      <c r="D15" s="10"/>
      <c r="E15" s="10"/>
      <c r="F15" s="10"/>
      <c r="G15" s="10"/>
      <c r="H15" s="10"/>
      <c r="I15" s="10"/>
      <c r="J15" s="10"/>
      <c r="K15" s="10"/>
      <c r="L15" s="10"/>
      <c r="M15" s="10"/>
      <c r="N15" s="10"/>
      <c r="O15" s="10"/>
      <c r="P15" s="10"/>
      <c r="Q15" s="10"/>
      <c r="R15" s="10"/>
      <c r="S15" s="10"/>
      <c r="T15" s="10"/>
      <c r="U15" s="10"/>
      <c r="V15" s="10"/>
      <c r="W15" s="10"/>
      <c r="X15" s="10"/>
      <c r="Y15" s="10"/>
      <c r="Z15" s="11"/>
    </row>
    <row r="16" spans="1:26">
      <c r="A16" s="9"/>
      <c r="B16" s="10" t="s">
        <v>4</v>
      </c>
      <c r="C16" s="10" t="s">
        <v>5</v>
      </c>
      <c r="D16" s="10" t="s">
        <v>29</v>
      </c>
      <c r="E16" s="10" t="s">
        <v>30</v>
      </c>
      <c r="F16" s="10" t="s">
        <v>31</v>
      </c>
      <c r="G16" s="10" t="s">
        <v>32</v>
      </c>
      <c r="H16" s="10" t="s">
        <v>8</v>
      </c>
      <c r="I16" s="10" t="s">
        <v>9</v>
      </c>
      <c r="J16" s="10" t="s">
        <v>10</v>
      </c>
      <c r="K16" s="10"/>
      <c r="L16" s="10"/>
      <c r="M16" s="10"/>
      <c r="N16" s="10"/>
      <c r="O16" s="10"/>
      <c r="P16" s="10"/>
      <c r="Q16" s="10"/>
      <c r="R16" s="10"/>
      <c r="S16" s="10"/>
      <c r="T16" s="10"/>
      <c r="U16" s="10"/>
      <c r="V16" s="10"/>
      <c r="W16" s="10"/>
      <c r="X16" s="10"/>
      <c r="Y16" s="10"/>
      <c r="Z16" s="11"/>
    </row>
    <row r="17" spans="1:26">
      <c r="A17" s="9" t="s">
        <v>141</v>
      </c>
      <c r="B17" s="55">
        <f>'MRF &amp; RDF Sorting'!B128*(1-'MRF &amp; RDF Sorting'!$D$82-'MRF &amp; RDF Sorting'!$D$136)*'Biological Treatment'!$B$14</f>
        <v>0</v>
      </c>
      <c r="C17" s="55">
        <f>'MRF &amp; RDF Sorting'!C128*(1-'MRF &amp; RDF Sorting'!$D$82-'MRF &amp; RDF Sorting'!$D$136)*'Biological Treatment'!$B$14</f>
        <v>0</v>
      </c>
      <c r="D17" s="55">
        <f>'MRF &amp; RDF Sorting'!D128*(1-'MRF &amp; RDF Sorting'!$D$82-'MRF &amp; RDF Sorting'!$D$136)*'Biological Treatment'!$B$14</f>
        <v>0</v>
      </c>
      <c r="E17" s="55">
        <f>'MRF &amp; RDF Sorting'!E128*(1-'MRF &amp; RDF Sorting'!$D$82-'MRF &amp; RDF Sorting'!$D$136)*'Biological Treatment'!$B$14</f>
        <v>0</v>
      </c>
      <c r="F17" s="55">
        <f>'MRF &amp; RDF Sorting'!F128*(1-'MRF &amp; RDF Sorting'!$D$82-'MRF &amp; RDF Sorting'!$D$136)*'Biological Treatment'!$B$14</f>
        <v>0</v>
      </c>
      <c r="G17" s="55">
        <f>'MRF &amp; RDF Sorting'!G128*(1-'MRF &amp; RDF Sorting'!$D$82-'MRF &amp; RDF Sorting'!$D$136)*'Biological Treatment'!$B$14</f>
        <v>0</v>
      </c>
      <c r="H17" s="55">
        <f>'MRF &amp; RDF Sorting'!H128*(1-'MRF &amp; RDF Sorting'!$D$82-'MRF &amp; RDF Sorting'!$D$136)*'Biological Treatment'!$B$14</f>
        <v>0</v>
      </c>
      <c r="I17" s="55">
        <f>'MRF &amp; RDF Sorting'!I128*(1-'MRF &amp; RDF Sorting'!$D$82-'MRF &amp; RDF Sorting'!$D$136)*'Biological Treatment'!$B$14</f>
        <v>0</v>
      </c>
      <c r="J17" s="55">
        <f>'MRF &amp; RDF Sorting'!J128*(1-'MRF &amp; RDF Sorting'!$D$82-'MRF &amp; RDF Sorting'!$D$136)*'Biological Treatment'!$B$14</f>
        <v>0</v>
      </c>
      <c r="K17" s="10"/>
      <c r="L17" s="10" t="s">
        <v>202</v>
      </c>
      <c r="M17" s="10"/>
      <c r="N17" s="10"/>
      <c r="O17" s="10"/>
      <c r="P17" s="10"/>
      <c r="Q17" s="10"/>
      <c r="R17" s="10"/>
      <c r="S17" s="10"/>
      <c r="T17" s="10"/>
      <c r="U17" s="10"/>
      <c r="V17" s="10"/>
      <c r="W17" s="10"/>
      <c r="X17" s="10"/>
      <c r="Y17" s="10"/>
      <c r="Z17" s="11"/>
    </row>
    <row r="18" spans="1:26">
      <c r="A18" s="9"/>
      <c r="B18" s="10"/>
      <c r="C18" s="10"/>
      <c r="D18" s="10"/>
      <c r="E18" s="10"/>
      <c r="F18" s="10"/>
      <c r="G18" s="10"/>
      <c r="H18" s="10"/>
      <c r="I18" s="10"/>
      <c r="J18" s="10"/>
      <c r="K18" s="10"/>
      <c r="L18" s="10"/>
      <c r="M18" s="10"/>
      <c r="N18" s="10"/>
      <c r="O18" s="10"/>
      <c r="P18" s="10"/>
      <c r="Q18" s="10"/>
      <c r="R18" s="10"/>
      <c r="S18" s="10"/>
      <c r="T18" s="10"/>
      <c r="U18" s="10"/>
      <c r="V18" s="10"/>
      <c r="W18" s="10"/>
      <c r="X18" s="10"/>
      <c r="Y18" s="10"/>
      <c r="Z18" s="11"/>
    </row>
    <row r="19" spans="1:26">
      <c r="A19" s="21" t="s">
        <v>201</v>
      </c>
      <c r="B19" s="10"/>
      <c r="C19" s="10"/>
      <c r="D19" s="10"/>
      <c r="E19" s="10"/>
      <c r="F19" s="10"/>
      <c r="G19" s="10"/>
      <c r="H19" s="10"/>
      <c r="I19" s="10"/>
      <c r="J19" s="10"/>
      <c r="K19" s="10"/>
      <c r="L19" s="10"/>
      <c r="M19" s="10"/>
      <c r="N19" s="10"/>
      <c r="O19" s="10"/>
      <c r="P19" s="10"/>
      <c r="Q19" s="10"/>
      <c r="R19" s="10"/>
      <c r="S19" s="10"/>
      <c r="T19" s="10"/>
      <c r="U19" s="10"/>
      <c r="V19" s="10"/>
      <c r="W19" s="10"/>
      <c r="X19" s="10"/>
      <c r="Y19" s="10"/>
      <c r="Z19" s="11"/>
    </row>
    <row r="20" spans="1:26">
      <c r="A20" s="9" t="s">
        <v>203</v>
      </c>
      <c r="B20" s="10"/>
      <c r="C20" s="10"/>
      <c r="D20" s="10"/>
      <c r="E20" s="10"/>
      <c r="F20" s="10"/>
      <c r="G20" s="10"/>
      <c r="H20" s="10"/>
      <c r="I20" s="10"/>
      <c r="J20" s="10"/>
      <c r="K20" s="10"/>
      <c r="L20" s="10"/>
      <c r="M20" s="10"/>
      <c r="N20" s="10"/>
      <c r="O20" s="10"/>
      <c r="P20" s="10"/>
      <c r="Q20" s="10"/>
      <c r="R20" s="10"/>
      <c r="S20" s="10"/>
      <c r="T20" s="10"/>
      <c r="U20" s="10"/>
      <c r="V20" s="10"/>
      <c r="W20" s="10"/>
      <c r="X20" s="10"/>
      <c r="Y20" s="10"/>
      <c r="Z20" s="11"/>
    </row>
    <row r="21" spans="1:26">
      <c r="A21" s="9"/>
      <c r="B21" s="10"/>
      <c r="C21" s="10"/>
      <c r="D21" s="10"/>
      <c r="E21" s="10"/>
      <c r="F21" s="10"/>
      <c r="G21" s="10"/>
      <c r="H21" s="10"/>
      <c r="I21" s="10"/>
      <c r="J21" s="10"/>
      <c r="K21" s="10"/>
      <c r="L21" s="10"/>
      <c r="M21" s="10"/>
      <c r="N21" s="10"/>
      <c r="O21" s="10"/>
      <c r="P21" s="10"/>
      <c r="Q21" s="10"/>
      <c r="R21" s="10"/>
      <c r="S21" s="10"/>
      <c r="T21" s="10"/>
      <c r="U21" s="10"/>
      <c r="V21" s="10"/>
      <c r="W21" s="10"/>
      <c r="X21" s="10"/>
      <c r="Y21" s="10"/>
      <c r="Z21" s="11"/>
    </row>
    <row r="22" spans="1:26">
      <c r="A22" s="9"/>
      <c r="B22" s="10" t="s">
        <v>4</v>
      </c>
      <c r="C22" s="10" t="s">
        <v>5</v>
      </c>
      <c r="D22" s="10" t="s">
        <v>29</v>
      </c>
      <c r="E22" s="10" t="s">
        <v>30</v>
      </c>
      <c r="F22" s="10" t="s">
        <v>31</v>
      </c>
      <c r="G22" s="10" t="s">
        <v>32</v>
      </c>
      <c r="H22" s="10" t="s">
        <v>8</v>
      </c>
      <c r="I22" s="10" t="s">
        <v>9</v>
      </c>
      <c r="J22" s="10" t="s">
        <v>10</v>
      </c>
      <c r="K22" s="10"/>
      <c r="L22" s="10"/>
      <c r="M22" s="10"/>
      <c r="N22" s="10"/>
      <c r="O22" s="10"/>
      <c r="P22" s="10"/>
      <c r="Q22" s="10"/>
      <c r="R22" s="10"/>
      <c r="S22" s="10"/>
      <c r="T22" s="10"/>
      <c r="U22" s="10"/>
      <c r="V22" s="10"/>
      <c r="W22" s="10"/>
      <c r="X22" s="10"/>
      <c r="Y22" s="10"/>
      <c r="Z22" s="11"/>
    </row>
    <row r="23" spans="1:26">
      <c r="A23" s="9" t="s">
        <v>141</v>
      </c>
      <c r="B23" s="27">
        <f>B9+B17</f>
        <v>4275</v>
      </c>
      <c r="C23" s="27">
        <f t="shared" ref="C23:J23" si="0">C9+C17</f>
        <v>0</v>
      </c>
      <c r="D23" s="27">
        <f t="shared" si="0"/>
        <v>0</v>
      </c>
      <c r="E23" s="27">
        <f t="shared" si="0"/>
        <v>0</v>
      </c>
      <c r="F23" s="27">
        <f t="shared" si="0"/>
        <v>750</v>
      </c>
      <c r="G23" s="27">
        <f t="shared" si="0"/>
        <v>750</v>
      </c>
      <c r="H23" s="27">
        <f t="shared" si="0"/>
        <v>0</v>
      </c>
      <c r="I23" s="27">
        <f t="shared" si="0"/>
        <v>24225</v>
      </c>
      <c r="J23" s="27">
        <f t="shared" si="0"/>
        <v>0</v>
      </c>
      <c r="K23" s="10"/>
      <c r="L23" s="10"/>
      <c r="M23" s="10"/>
      <c r="N23" s="10"/>
      <c r="O23" s="10"/>
      <c r="P23" s="10"/>
      <c r="Q23" s="10"/>
      <c r="R23" s="10"/>
      <c r="S23" s="10"/>
      <c r="T23" s="10"/>
      <c r="U23" s="10"/>
      <c r="V23" s="10"/>
      <c r="W23" s="10"/>
      <c r="X23" s="10"/>
      <c r="Y23" s="10"/>
      <c r="Z23" s="11"/>
    </row>
    <row r="24" spans="1:26">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1"/>
    </row>
    <row r="25" spans="1:26">
      <c r="A25" s="21" t="s">
        <v>204</v>
      </c>
      <c r="B25" s="10"/>
      <c r="C25" s="10"/>
      <c r="D25" s="10"/>
      <c r="E25" s="10"/>
      <c r="F25" s="10"/>
      <c r="G25" s="10"/>
      <c r="H25" s="10"/>
      <c r="I25" s="10"/>
      <c r="J25" s="10"/>
      <c r="K25" s="10"/>
      <c r="L25" s="10"/>
      <c r="M25" s="10"/>
      <c r="N25" s="10"/>
      <c r="O25" s="10"/>
      <c r="P25" s="10"/>
      <c r="Q25" s="10"/>
      <c r="R25" s="10"/>
      <c r="S25" s="10"/>
      <c r="T25" s="10"/>
      <c r="U25" s="10"/>
      <c r="V25" s="10"/>
      <c r="W25" s="10"/>
      <c r="X25" s="10"/>
      <c r="Y25" s="10"/>
      <c r="Z25" s="11"/>
    </row>
    <row r="26" spans="1:26">
      <c r="A26" s="9" t="s">
        <v>205</v>
      </c>
      <c r="B26" s="10"/>
      <c r="C26" s="10"/>
      <c r="D26" s="10"/>
      <c r="E26" s="10"/>
      <c r="F26" s="10"/>
      <c r="G26" s="10"/>
      <c r="H26" s="10"/>
      <c r="I26" s="10"/>
      <c r="J26" s="10"/>
      <c r="K26" s="10"/>
      <c r="L26" s="10"/>
      <c r="M26" s="10"/>
      <c r="N26" s="10"/>
      <c r="O26" s="10"/>
      <c r="P26" s="10"/>
      <c r="Q26" s="10"/>
      <c r="R26" s="10"/>
      <c r="S26" s="10"/>
      <c r="T26" s="10"/>
      <c r="U26" s="10"/>
      <c r="V26" s="10"/>
      <c r="W26" s="10"/>
      <c r="X26" s="10"/>
      <c r="Y26" s="10"/>
      <c r="Z26" s="11"/>
    </row>
    <row r="27" spans="1:26">
      <c r="A27" s="9"/>
      <c r="B27" s="10"/>
      <c r="C27" s="10"/>
      <c r="D27" s="10"/>
      <c r="E27" s="10"/>
      <c r="F27" s="10"/>
      <c r="G27" s="10"/>
      <c r="H27" s="10"/>
      <c r="I27" s="10"/>
      <c r="J27" s="10"/>
      <c r="K27" s="10"/>
      <c r="L27" s="10"/>
      <c r="M27" s="10"/>
      <c r="N27" s="10"/>
      <c r="O27" s="10"/>
      <c r="P27" s="10"/>
      <c r="Q27" s="10"/>
      <c r="R27" s="10"/>
      <c r="S27" s="10"/>
      <c r="T27" s="10"/>
      <c r="U27" s="10"/>
      <c r="V27" s="10"/>
      <c r="W27" s="10"/>
      <c r="X27" s="10"/>
      <c r="Y27" s="10"/>
      <c r="Z27" s="11"/>
    </row>
    <row r="28" spans="1:26">
      <c r="A28" s="9" t="s">
        <v>210</v>
      </c>
      <c r="B28" s="10"/>
      <c r="C28" s="15">
        <v>1</v>
      </c>
      <c r="D28" s="10"/>
      <c r="E28" s="10"/>
      <c r="F28" s="10"/>
      <c r="G28" s="10"/>
      <c r="H28" s="10"/>
      <c r="I28" s="10"/>
      <c r="J28" s="10"/>
      <c r="K28" s="10"/>
      <c r="L28" s="10"/>
      <c r="M28" s="10"/>
      <c r="N28" s="10"/>
      <c r="O28" s="10"/>
      <c r="P28" s="10"/>
      <c r="Q28" s="10"/>
      <c r="R28" s="10"/>
      <c r="S28" s="10"/>
      <c r="T28" s="10"/>
      <c r="U28" s="10"/>
      <c r="V28" s="10"/>
      <c r="W28" s="10"/>
      <c r="X28" s="10"/>
      <c r="Y28" s="10"/>
      <c r="Z28" s="11"/>
    </row>
    <row r="29" spans="1:26">
      <c r="A29" s="9" t="s">
        <v>209</v>
      </c>
      <c r="B29" s="10"/>
      <c r="C29" s="15">
        <v>0</v>
      </c>
      <c r="D29" s="10"/>
      <c r="E29" s="10"/>
      <c r="G29" s="10"/>
      <c r="H29" s="10"/>
      <c r="I29" s="10"/>
      <c r="J29" s="10"/>
      <c r="K29" s="10"/>
      <c r="L29" s="10"/>
      <c r="M29" s="10"/>
      <c r="N29" s="10"/>
      <c r="O29" s="10"/>
      <c r="P29" s="10"/>
      <c r="Q29" s="10"/>
      <c r="R29" s="10"/>
      <c r="S29" s="10"/>
      <c r="T29" s="10"/>
      <c r="U29" s="10"/>
      <c r="V29" s="10"/>
      <c r="W29" s="10"/>
      <c r="X29" s="10"/>
      <c r="Y29" s="10"/>
      <c r="Z29" s="11"/>
    </row>
    <row r="30" spans="1:26" ht="15.75" thickBot="1">
      <c r="A30" s="12" t="s">
        <v>208</v>
      </c>
      <c r="B30" s="13"/>
      <c r="C30" s="17">
        <f>1-C28-C29</f>
        <v>0</v>
      </c>
      <c r="D30" s="13"/>
      <c r="E30" s="13"/>
      <c r="F30" s="13"/>
      <c r="G30" s="13"/>
      <c r="H30" s="13"/>
      <c r="I30" s="13"/>
      <c r="J30" s="13"/>
      <c r="K30" s="13"/>
      <c r="L30" s="13"/>
      <c r="M30" s="13"/>
      <c r="N30" s="13"/>
      <c r="O30" s="13"/>
      <c r="P30" s="13"/>
      <c r="Q30" s="13"/>
      <c r="R30" s="13"/>
      <c r="S30" s="13"/>
      <c r="T30" s="13"/>
      <c r="U30" s="13"/>
      <c r="V30" s="13"/>
      <c r="W30" s="13"/>
      <c r="X30" s="13"/>
      <c r="Y30" s="13"/>
      <c r="Z30" s="14"/>
    </row>
    <row r="32" spans="1:26" ht="15.75" thickBot="1">
      <c r="A32" s="1" t="s">
        <v>206</v>
      </c>
    </row>
    <row r="33" spans="1:26">
      <c r="A33" s="35"/>
      <c r="B33" s="7"/>
      <c r="C33" s="7"/>
      <c r="D33" s="7"/>
      <c r="E33" s="7"/>
      <c r="F33" s="10"/>
      <c r="G33" s="7"/>
      <c r="H33" s="7"/>
      <c r="I33" s="7"/>
      <c r="J33" s="7"/>
      <c r="K33" s="7"/>
      <c r="L33" s="7"/>
      <c r="M33" s="7"/>
      <c r="N33" s="7"/>
      <c r="O33" s="7"/>
      <c r="P33" s="7"/>
      <c r="Q33" s="7"/>
      <c r="R33" s="7"/>
      <c r="S33" s="7"/>
      <c r="T33" s="7"/>
      <c r="U33" s="7"/>
      <c r="V33" s="7"/>
      <c r="W33" s="7"/>
      <c r="X33" s="7"/>
      <c r="Y33" s="7"/>
      <c r="Z33" s="8"/>
    </row>
    <row r="34" spans="1:26">
      <c r="A34" s="21" t="s">
        <v>211</v>
      </c>
      <c r="B34" s="10"/>
      <c r="C34" s="10"/>
      <c r="D34" s="10"/>
      <c r="E34" s="10"/>
      <c r="F34" s="10"/>
      <c r="G34" s="10"/>
      <c r="H34" s="10"/>
      <c r="I34" s="10"/>
      <c r="J34" s="10"/>
      <c r="K34" s="10"/>
      <c r="L34" s="10"/>
      <c r="M34" s="10"/>
      <c r="N34" s="10"/>
      <c r="O34" s="10"/>
      <c r="P34" s="10"/>
      <c r="Q34" s="10"/>
      <c r="R34" s="10"/>
      <c r="S34" s="10"/>
      <c r="T34" s="10"/>
      <c r="U34" s="10"/>
      <c r="V34" s="10"/>
      <c r="W34" s="10"/>
      <c r="X34" s="10"/>
      <c r="Y34" s="10"/>
      <c r="Z34" s="11"/>
    </row>
    <row r="35" spans="1:26">
      <c r="A35" s="9" t="s">
        <v>212</v>
      </c>
      <c r="B35" s="10"/>
      <c r="C35" s="10"/>
      <c r="D35" s="10"/>
      <c r="E35" s="10"/>
      <c r="F35" s="10"/>
      <c r="G35" s="10"/>
      <c r="H35" s="10"/>
      <c r="I35" s="10"/>
      <c r="J35" s="10"/>
      <c r="K35" s="10"/>
      <c r="L35" s="10"/>
      <c r="M35" s="10"/>
      <c r="N35" s="10"/>
      <c r="O35" s="10"/>
      <c r="P35" s="10"/>
      <c r="Q35" s="10"/>
      <c r="R35" s="10"/>
      <c r="S35" s="10"/>
      <c r="T35" s="10"/>
      <c r="U35" s="10"/>
      <c r="V35" s="10"/>
      <c r="W35" s="10"/>
      <c r="X35" s="10"/>
      <c r="Y35" s="10"/>
      <c r="Z35" s="11"/>
    </row>
    <row r="36" spans="1:26">
      <c r="A36" s="18" t="s">
        <v>213</v>
      </c>
      <c r="B36" s="10"/>
      <c r="C36" s="10"/>
      <c r="D36" s="10"/>
      <c r="E36" s="10"/>
      <c r="F36" s="10"/>
      <c r="G36" s="10"/>
      <c r="H36" s="10"/>
      <c r="I36" s="10"/>
      <c r="J36" s="10"/>
      <c r="K36" s="10"/>
      <c r="L36" s="10"/>
      <c r="M36" s="10"/>
      <c r="N36" s="10"/>
      <c r="O36" s="10"/>
      <c r="P36" s="10"/>
      <c r="Q36" s="10"/>
      <c r="R36" s="10"/>
      <c r="S36" s="10"/>
      <c r="T36" s="10"/>
      <c r="U36" s="10"/>
      <c r="V36" s="10"/>
      <c r="W36" s="10"/>
      <c r="X36" s="10"/>
      <c r="Y36" s="10"/>
      <c r="Z36" s="11"/>
    </row>
    <row r="37" spans="1:26">
      <c r="A37" s="9" t="s">
        <v>214</v>
      </c>
      <c r="B37" s="10"/>
      <c r="C37" s="10"/>
      <c r="D37" s="10"/>
      <c r="E37" s="10"/>
      <c r="F37" s="10"/>
      <c r="G37" s="10"/>
      <c r="H37" s="10"/>
      <c r="I37" s="10"/>
      <c r="J37" s="10"/>
      <c r="K37" s="10"/>
      <c r="L37" s="10"/>
      <c r="M37" s="10"/>
      <c r="N37" s="10"/>
      <c r="O37" s="10"/>
      <c r="P37" s="10"/>
      <c r="Q37" s="10"/>
      <c r="R37" s="10"/>
      <c r="S37" s="10"/>
      <c r="T37" s="10"/>
      <c r="U37" s="10"/>
      <c r="V37" s="10"/>
      <c r="W37" s="10"/>
      <c r="X37" s="10"/>
      <c r="Y37" s="10"/>
      <c r="Z37" s="11"/>
    </row>
    <row r="38" spans="1:26">
      <c r="A38" s="9" t="s">
        <v>215</v>
      </c>
      <c r="B38" s="10"/>
      <c r="C38" s="10"/>
      <c r="D38" s="10"/>
      <c r="E38" s="10"/>
      <c r="F38" s="10"/>
      <c r="G38" s="10"/>
      <c r="H38" s="10"/>
      <c r="I38" s="10"/>
      <c r="J38" s="10"/>
      <c r="K38" s="10"/>
      <c r="L38" s="10"/>
      <c r="M38" s="10"/>
      <c r="N38" s="10"/>
      <c r="O38" s="10"/>
      <c r="P38" s="10"/>
      <c r="Q38" s="10"/>
      <c r="R38" s="10"/>
      <c r="S38" s="10"/>
      <c r="T38" s="10"/>
      <c r="U38" s="10"/>
      <c r="V38" s="10"/>
      <c r="W38" s="10"/>
      <c r="X38" s="10"/>
      <c r="Y38" s="10"/>
      <c r="Z38" s="11"/>
    </row>
    <row r="39" spans="1:26">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1"/>
    </row>
    <row r="40" spans="1:26">
      <c r="A40" s="9"/>
      <c r="B40" s="10"/>
      <c r="C40" s="10" t="s">
        <v>4</v>
      </c>
      <c r="D40" s="10" t="s">
        <v>5</v>
      </c>
      <c r="E40" s="10" t="s">
        <v>29</v>
      </c>
      <c r="F40" s="10" t="s">
        <v>30</v>
      </c>
      <c r="G40" s="10" t="s">
        <v>31</v>
      </c>
      <c r="H40" s="10" t="s">
        <v>32</v>
      </c>
      <c r="I40" s="10" t="s">
        <v>8</v>
      </c>
      <c r="J40" s="10" t="s">
        <v>9</v>
      </c>
      <c r="K40" s="10" t="s">
        <v>10</v>
      </c>
      <c r="L40" s="10"/>
      <c r="M40" s="10"/>
      <c r="N40" s="10"/>
      <c r="O40" s="10"/>
      <c r="P40" s="10"/>
      <c r="Q40" s="10"/>
      <c r="R40" s="10"/>
      <c r="S40" s="10"/>
      <c r="T40" s="10"/>
      <c r="U40" s="10"/>
      <c r="V40" s="10"/>
      <c r="W40" s="10"/>
      <c r="X40" s="10"/>
      <c r="Y40" s="10"/>
      <c r="Z40" s="11"/>
    </row>
    <row r="41" spans="1:26">
      <c r="A41" s="9" t="s">
        <v>107</v>
      </c>
      <c r="B41" s="10"/>
      <c r="C41" s="27">
        <f>$C$28*B23</f>
        <v>4275</v>
      </c>
      <c r="D41" s="27">
        <f t="shared" ref="D41:K41" si="1">$C$28*C23</f>
        <v>0</v>
      </c>
      <c r="E41" s="27">
        <f t="shared" si="1"/>
        <v>0</v>
      </c>
      <c r="F41" s="27">
        <f t="shared" si="1"/>
        <v>0</v>
      </c>
      <c r="G41" s="27">
        <f t="shared" si="1"/>
        <v>750</v>
      </c>
      <c r="H41" s="27">
        <f t="shared" si="1"/>
        <v>750</v>
      </c>
      <c r="I41" s="27">
        <f t="shared" si="1"/>
        <v>0</v>
      </c>
      <c r="J41" s="27">
        <f t="shared" si="1"/>
        <v>24225</v>
      </c>
      <c r="K41" s="27">
        <f t="shared" si="1"/>
        <v>0</v>
      </c>
      <c r="L41" s="10"/>
      <c r="M41" s="10"/>
      <c r="N41" s="10"/>
      <c r="O41" s="10"/>
      <c r="P41" s="10"/>
      <c r="Q41" s="10"/>
      <c r="R41" s="10"/>
      <c r="S41" s="10"/>
      <c r="T41" s="10"/>
      <c r="U41" s="10"/>
      <c r="V41" s="10"/>
      <c r="W41" s="10"/>
      <c r="X41" s="10"/>
      <c r="Y41" s="10"/>
      <c r="Z41" s="11"/>
    </row>
    <row r="42" spans="1:26">
      <c r="A42" s="9" t="s">
        <v>216</v>
      </c>
      <c r="B42" s="10"/>
      <c r="C42" s="15">
        <v>0</v>
      </c>
      <c r="D42" s="15">
        <v>0</v>
      </c>
      <c r="E42" s="15">
        <v>0</v>
      </c>
      <c r="F42" s="15">
        <v>0</v>
      </c>
      <c r="G42" s="15">
        <v>0</v>
      </c>
      <c r="H42" s="15">
        <v>0</v>
      </c>
      <c r="I42" s="15">
        <v>0</v>
      </c>
      <c r="J42" s="15">
        <v>0</v>
      </c>
      <c r="K42" s="15">
        <v>0</v>
      </c>
      <c r="L42" s="10"/>
      <c r="M42" s="10"/>
      <c r="N42" s="10"/>
      <c r="O42" s="10"/>
      <c r="P42" s="10"/>
      <c r="Q42" s="10"/>
      <c r="R42" s="10"/>
      <c r="S42" s="10"/>
      <c r="T42" s="10"/>
      <c r="U42" s="10"/>
      <c r="V42" s="10"/>
      <c r="W42" s="10"/>
      <c r="X42" s="10"/>
      <c r="Y42" s="10"/>
      <c r="Z42" s="11"/>
    </row>
    <row r="43" spans="1:26">
      <c r="A43" s="9" t="s">
        <v>217</v>
      </c>
      <c r="B43" s="10"/>
      <c r="C43" s="36">
        <v>2.5000000000000001E-2</v>
      </c>
      <c r="D43" s="56">
        <f t="shared" ref="D43:I43" si="2">1-D42%</f>
        <v>1</v>
      </c>
      <c r="E43" s="56">
        <f t="shared" si="2"/>
        <v>1</v>
      </c>
      <c r="F43" s="56">
        <f t="shared" si="2"/>
        <v>1</v>
      </c>
      <c r="G43" s="56">
        <f t="shared" si="2"/>
        <v>1</v>
      </c>
      <c r="H43" s="56">
        <f t="shared" si="2"/>
        <v>1</v>
      </c>
      <c r="I43" s="56">
        <f t="shared" si="2"/>
        <v>1</v>
      </c>
      <c r="J43" s="36">
        <v>2.5000000000000001E-2</v>
      </c>
      <c r="K43" s="15">
        <v>1</v>
      </c>
      <c r="L43" s="10"/>
      <c r="M43" s="10"/>
      <c r="N43" s="10"/>
      <c r="O43" s="10"/>
      <c r="P43" s="10"/>
      <c r="Q43" s="10"/>
      <c r="R43" s="10"/>
      <c r="S43" s="10"/>
      <c r="T43" s="10"/>
      <c r="U43" s="10"/>
      <c r="V43" s="10"/>
      <c r="W43" s="10"/>
      <c r="X43" s="10"/>
      <c r="Y43" s="10"/>
      <c r="Z43" s="11"/>
    </row>
    <row r="44" spans="1:26">
      <c r="A44" s="9" t="s">
        <v>218</v>
      </c>
      <c r="B44" s="10"/>
      <c r="C44" s="27">
        <f>C41*(1-C43)</f>
        <v>4168.125</v>
      </c>
      <c r="D44" s="10"/>
      <c r="E44" s="10"/>
      <c r="F44" s="10"/>
      <c r="G44" s="10"/>
      <c r="H44" s="10"/>
      <c r="I44" s="10"/>
      <c r="J44" s="27">
        <f>J41*(1-J43)</f>
        <v>23619.375</v>
      </c>
      <c r="K44" s="10"/>
      <c r="L44" s="10"/>
      <c r="M44" s="10"/>
      <c r="N44" s="10"/>
      <c r="O44" s="10"/>
      <c r="P44" s="10"/>
      <c r="Q44" s="10"/>
      <c r="R44" s="10"/>
      <c r="S44" s="10"/>
      <c r="T44" s="10"/>
      <c r="U44" s="10"/>
      <c r="V44" s="10"/>
      <c r="W44" s="10"/>
      <c r="X44" s="10"/>
      <c r="Y44" s="10"/>
      <c r="Z44" s="11"/>
    </row>
    <row r="45" spans="1:26">
      <c r="A45" s="9" t="s">
        <v>220</v>
      </c>
      <c r="B45" s="10"/>
      <c r="C45" s="49"/>
      <c r="D45" s="10"/>
      <c r="E45" s="10"/>
      <c r="F45" s="10"/>
      <c r="G45" s="10"/>
      <c r="H45" s="10"/>
      <c r="I45" s="10"/>
      <c r="J45" s="49"/>
      <c r="K45" s="10"/>
      <c r="L45" s="10"/>
      <c r="M45" s="10"/>
      <c r="N45" s="10"/>
      <c r="O45" s="10"/>
      <c r="P45" s="10"/>
      <c r="Q45" s="10"/>
      <c r="R45" s="10"/>
      <c r="S45" s="10"/>
      <c r="T45" s="10"/>
      <c r="U45" s="10"/>
      <c r="V45" s="10"/>
      <c r="W45" s="10"/>
      <c r="X45" s="10"/>
      <c r="Y45" s="10"/>
      <c r="Z45" s="11"/>
    </row>
    <row r="46" spans="1:26">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1"/>
    </row>
    <row r="47" spans="1:26">
      <c r="A47" s="21" t="s">
        <v>219</v>
      </c>
      <c r="B47" s="10"/>
      <c r="C47" s="10"/>
      <c r="D47" s="10"/>
      <c r="E47" s="10"/>
      <c r="F47" s="10"/>
      <c r="G47" s="10"/>
      <c r="H47" s="10"/>
      <c r="I47" s="10"/>
      <c r="J47" s="10"/>
      <c r="K47" s="10"/>
      <c r="L47" s="10"/>
      <c r="M47" s="10"/>
      <c r="N47" s="10"/>
      <c r="O47" s="10"/>
      <c r="P47" s="10"/>
      <c r="Q47" s="10"/>
      <c r="R47" s="10"/>
      <c r="S47" s="10"/>
      <c r="T47" s="10"/>
      <c r="U47" s="10"/>
      <c r="V47" s="10"/>
      <c r="W47" s="10"/>
      <c r="X47" s="10"/>
      <c r="Y47" s="10"/>
      <c r="Z47" s="11"/>
    </row>
    <row r="48" spans="1:26">
      <c r="A48" s="9" t="s">
        <v>221</v>
      </c>
      <c r="B48" s="10"/>
      <c r="C48" s="10"/>
      <c r="D48" s="10"/>
      <c r="E48" s="10"/>
      <c r="F48" s="10"/>
      <c r="G48" s="10"/>
      <c r="H48" s="10"/>
      <c r="I48" s="10"/>
      <c r="J48" s="10"/>
      <c r="K48" s="10"/>
      <c r="L48" s="10"/>
      <c r="M48" s="10"/>
      <c r="N48" s="10"/>
      <c r="O48" s="10"/>
      <c r="P48" s="10"/>
      <c r="Q48" s="10"/>
      <c r="R48" s="10"/>
      <c r="S48" s="10"/>
      <c r="T48" s="10"/>
      <c r="U48" s="10"/>
      <c r="V48" s="10"/>
      <c r="W48" s="10"/>
      <c r="X48" s="10"/>
      <c r="Y48" s="10"/>
      <c r="Z48" s="11"/>
    </row>
    <row r="49" spans="1:26">
      <c r="A49" s="9" t="s">
        <v>222</v>
      </c>
      <c r="B49" s="10"/>
      <c r="C49" s="10"/>
      <c r="D49" s="10"/>
      <c r="E49" s="10"/>
      <c r="F49" s="10"/>
      <c r="G49" s="10"/>
      <c r="H49" s="10"/>
      <c r="I49" s="10"/>
      <c r="J49" s="10"/>
      <c r="K49" s="10"/>
      <c r="L49" s="10"/>
      <c r="M49" s="10"/>
      <c r="N49" s="10"/>
      <c r="O49" s="10"/>
      <c r="P49" s="10"/>
      <c r="Q49" s="10"/>
      <c r="R49" s="10"/>
      <c r="S49" s="10"/>
      <c r="T49" s="10"/>
      <c r="U49" s="10"/>
      <c r="V49" s="10"/>
      <c r="W49" s="10"/>
      <c r="X49" s="10"/>
      <c r="Y49" s="10"/>
      <c r="Z49" s="11"/>
    </row>
    <row r="50" spans="1:26">
      <c r="A50" s="9" t="s">
        <v>224</v>
      </c>
      <c r="B50" s="10"/>
      <c r="C50" s="10"/>
      <c r="D50" s="10"/>
      <c r="E50" s="10"/>
      <c r="F50" s="10"/>
      <c r="G50" s="10"/>
      <c r="H50" s="10"/>
      <c r="I50" s="10"/>
      <c r="J50" s="10"/>
      <c r="K50" s="10"/>
      <c r="L50" s="10"/>
      <c r="M50" s="10"/>
      <c r="N50" s="10"/>
      <c r="O50" s="10"/>
      <c r="P50" s="10"/>
      <c r="Q50" s="10"/>
      <c r="R50" s="10"/>
      <c r="S50" s="10"/>
      <c r="T50" s="10"/>
      <c r="U50" s="10"/>
      <c r="V50" s="10"/>
      <c r="W50" s="10"/>
      <c r="X50" s="10"/>
      <c r="Y50" s="10"/>
      <c r="Z50" s="11"/>
    </row>
    <row r="51" spans="1:26">
      <c r="A51" s="9" t="s">
        <v>226</v>
      </c>
      <c r="B51" s="10"/>
      <c r="C51" s="10"/>
      <c r="D51" s="10"/>
      <c r="E51" s="10"/>
      <c r="F51" s="10"/>
      <c r="G51" s="10"/>
      <c r="H51" s="10"/>
      <c r="I51" s="10"/>
      <c r="J51" s="10"/>
      <c r="K51" s="10"/>
      <c r="L51" s="10"/>
      <c r="M51" s="10"/>
      <c r="N51" s="10"/>
      <c r="O51" s="10"/>
      <c r="P51" s="10"/>
      <c r="Q51" s="10"/>
      <c r="R51" s="10"/>
      <c r="S51" s="10"/>
      <c r="T51" s="10"/>
      <c r="U51" s="10"/>
      <c r="V51" s="10"/>
      <c r="W51" s="10"/>
      <c r="X51" s="10"/>
      <c r="Y51" s="10"/>
      <c r="Z51" s="11"/>
    </row>
    <row r="52" spans="1:26">
      <c r="A52" s="9"/>
      <c r="B52" s="10"/>
      <c r="C52" s="10"/>
      <c r="D52" s="10"/>
      <c r="E52" s="10"/>
      <c r="F52" s="10"/>
      <c r="G52" s="10"/>
      <c r="H52" s="10"/>
      <c r="I52" s="10"/>
      <c r="J52" s="10"/>
      <c r="K52" s="10"/>
      <c r="L52" s="10"/>
      <c r="M52" s="10"/>
      <c r="N52" s="10"/>
      <c r="O52" s="10"/>
      <c r="P52" s="10"/>
      <c r="Q52" s="10"/>
      <c r="R52" s="10"/>
      <c r="S52" s="10"/>
      <c r="T52" s="10"/>
      <c r="U52" s="10"/>
      <c r="V52" s="10"/>
      <c r="W52" s="10"/>
      <c r="X52" s="10"/>
      <c r="Y52" s="10"/>
      <c r="Z52" s="11"/>
    </row>
    <row r="53" spans="1:26">
      <c r="A53" s="9" t="s">
        <v>237</v>
      </c>
      <c r="B53" s="10"/>
      <c r="C53" s="15">
        <v>0.5</v>
      </c>
      <c r="D53" s="10"/>
      <c r="E53" s="10"/>
      <c r="F53" s="10"/>
      <c r="G53" s="10"/>
      <c r="H53" s="10"/>
      <c r="I53" s="10"/>
      <c r="J53" s="10"/>
      <c r="K53" s="10"/>
      <c r="L53" s="10"/>
      <c r="M53" s="10"/>
      <c r="N53" s="10"/>
      <c r="O53" s="10"/>
      <c r="P53" s="10"/>
      <c r="Q53" s="10"/>
      <c r="R53" s="10"/>
      <c r="S53" s="10"/>
      <c r="T53" s="10"/>
      <c r="U53" s="10"/>
      <c r="V53" s="10"/>
      <c r="W53" s="10"/>
      <c r="X53" s="10"/>
      <c r="Y53" s="10"/>
      <c r="Z53" s="11"/>
    </row>
    <row r="54" spans="1:26">
      <c r="A54" s="9" t="s">
        <v>223</v>
      </c>
      <c r="B54" s="10"/>
      <c r="C54" s="27">
        <f>(C44+J44)*(1-C53)</f>
        <v>13893.75</v>
      </c>
      <c r="D54" s="10"/>
      <c r="E54" s="10"/>
      <c r="F54" s="10"/>
      <c r="G54" s="10"/>
      <c r="H54" s="10"/>
      <c r="I54" s="10"/>
      <c r="J54" s="10"/>
      <c r="K54" s="10"/>
      <c r="L54" s="10"/>
      <c r="M54" s="10"/>
      <c r="N54" s="10"/>
      <c r="O54" s="10"/>
      <c r="P54" s="10"/>
      <c r="Q54" s="10"/>
      <c r="R54" s="10"/>
      <c r="S54" s="10"/>
      <c r="T54" s="10"/>
      <c r="U54" s="10"/>
      <c r="V54" s="10"/>
      <c r="W54" s="10"/>
      <c r="X54" s="10"/>
      <c r="Y54" s="10"/>
      <c r="Z54" s="11"/>
    </row>
    <row r="55" spans="1:26">
      <c r="A55" s="9" t="s">
        <v>225</v>
      </c>
      <c r="B55" s="10"/>
      <c r="C55" s="15">
        <v>1</v>
      </c>
      <c r="D55" s="10"/>
      <c r="E55" s="10"/>
      <c r="F55" s="10"/>
      <c r="G55" s="10"/>
      <c r="H55" s="10"/>
      <c r="I55" s="10"/>
      <c r="J55" s="10"/>
      <c r="K55" s="10"/>
      <c r="L55" s="10"/>
      <c r="M55" s="10"/>
      <c r="N55" s="10"/>
      <c r="O55" s="10"/>
      <c r="P55" s="10"/>
      <c r="Q55" s="10"/>
      <c r="R55" s="10"/>
      <c r="S55" s="10"/>
      <c r="T55" s="10"/>
      <c r="U55" s="10"/>
      <c r="V55" s="10"/>
      <c r="W55" s="10"/>
      <c r="X55" s="10"/>
      <c r="Y55" s="10"/>
      <c r="Z55" s="11"/>
    </row>
    <row r="56" spans="1:26">
      <c r="A56" s="9" t="s">
        <v>227</v>
      </c>
      <c r="B56" s="10"/>
      <c r="C56" s="10"/>
      <c r="D56" s="10"/>
      <c r="E56" s="10">
        <v>30</v>
      </c>
      <c r="F56" s="10"/>
      <c r="G56" s="10"/>
      <c r="H56" s="10"/>
      <c r="I56" s="10"/>
      <c r="J56" s="10"/>
      <c r="K56" s="10"/>
      <c r="L56" s="10"/>
      <c r="M56" s="10"/>
      <c r="N56" s="10"/>
      <c r="O56" s="10"/>
      <c r="P56" s="10"/>
      <c r="Q56" s="10"/>
      <c r="R56" s="10"/>
      <c r="S56" s="10"/>
      <c r="T56" s="10"/>
      <c r="U56" s="10"/>
      <c r="V56" s="10"/>
      <c r="W56" s="10"/>
      <c r="X56" s="10"/>
      <c r="Y56" s="10"/>
      <c r="Z56" s="11"/>
    </row>
    <row r="57" spans="1:26">
      <c r="A57" s="9" t="s">
        <v>228</v>
      </c>
      <c r="B57" s="10"/>
      <c r="C57" s="10"/>
      <c r="D57" s="10"/>
      <c r="E57" s="10"/>
      <c r="F57" s="10"/>
      <c r="G57" s="10"/>
      <c r="H57" s="10"/>
      <c r="I57" s="10"/>
      <c r="J57" s="10"/>
      <c r="K57" s="10"/>
      <c r="L57" s="10"/>
      <c r="M57" s="10"/>
      <c r="N57" s="10"/>
      <c r="O57" s="10"/>
      <c r="P57" s="10"/>
      <c r="Q57" s="10"/>
      <c r="R57" s="10"/>
      <c r="S57" s="10"/>
      <c r="T57" s="10"/>
      <c r="U57" s="10"/>
      <c r="V57" s="10"/>
      <c r="W57" s="10"/>
      <c r="X57" s="10"/>
      <c r="Y57" s="10"/>
      <c r="Z57" s="11"/>
    </row>
    <row r="58" spans="1:26">
      <c r="A58" s="9" t="s">
        <v>238</v>
      </c>
      <c r="B58" s="10"/>
      <c r="C58" s="10"/>
      <c r="D58" s="10"/>
      <c r="E58" s="10"/>
      <c r="F58" s="10"/>
      <c r="G58" s="10"/>
      <c r="H58" s="10"/>
      <c r="I58" s="10"/>
      <c r="J58" s="10"/>
      <c r="K58" s="10"/>
      <c r="L58" s="10"/>
      <c r="M58" s="10"/>
      <c r="N58" s="10"/>
      <c r="O58" s="10"/>
      <c r="P58" s="10"/>
      <c r="Q58" s="10"/>
      <c r="R58" s="10"/>
      <c r="S58" s="10"/>
      <c r="T58" s="10"/>
      <c r="U58" s="10"/>
      <c r="V58" s="10"/>
      <c r="W58" s="10"/>
      <c r="X58" s="10"/>
      <c r="Y58" s="10"/>
      <c r="Z58" s="11"/>
    </row>
    <row r="59" spans="1:26">
      <c r="A59" s="9"/>
      <c r="B59" s="10"/>
      <c r="C59" s="10"/>
      <c r="D59" s="10"/>
      <c r="E59" s="10"/>
      <c r="F59" s="10"/>
      <c r="G59" s="10"/>
      <c r="H59" s="10"/>
      <c r="I59" s="10"/>
      <c r="J59" s="10"/>
      <c r="K59" s="10"/>
      <c r="L59" s="10"/>
      <c r="M59" s="10"/>
      <c r="N59" s="10"/>
      <c r="O59" s="10"/>
      <c r="P59" s="10"/>
      <c r="Q59" s="10"/>
      <c r="R59" s="10"/>
      <c r="S59" s="10"/>
      <c r="T59" s="10"/>
      <c r="U59" s="10"/>
      <c r="V59" s="10"/>
      <c r="W59" s="10"/>
      <c r="X59" s="10"/>
      <c r="Y59" s="10"/>
      <c r="Z59" s="11"/>
    </row>
    <row r="60" spans="1:26">
      <c r="A60" s="21" t="s">
        <v>229</v>
      </c>
      <c r="B60" s="10"/>
      <c r="C60" s="10"/>
      <c r="D60" s="10"/>
      <c r="E60" s="10"/>
      <c r="F60" s="10"/>
      <c r="G60" s="10"/>
      <c r="H60" s="10"/>
      <c r="I60" s="10"/>
      <c r="J60" s="10"/>
      <c r="K60" s="10"/>
      <c r="L60" s="10"/>
      <c r="M60" s="10"/>
      <c r="N60" s="10"/>
      <c r="O60" s="10"/>
      <c r="P60" s="10"/>
      <c r="Q60" s="10"/>
      <c r="R60" s="10"/>
      <c r="S60" s="10"/>
      <c r="T60" s="10"/>
      <c r="U60" s="10"/>
      <c r="V60" s="10"/>
      <c r="W60" s="10"/>
      <c r="X60" s="10"/>
      <c r="Y60" s="10"/>
      <c r="Z60" s="11"/>
    </row>
    <row r="61" spans="1:26">
      <c r="A61" s="9" t="s">
        <v>230</v>
      </c>
      <c r="B61" s="10"/>
      <c r="C61" s="10"/>
      <c r="D61" s="10"/>
      <c r="E61" s="10"/>
      <c r="F61" s="10"/>
      <c r="G61" s="10"/>
      <c r="H61" s="10"/>
      <c r="I61" s="10"/>
      <c r="J61" s="10"/>
      <c r="K61" s="10"/>
      <c r="L61" s="10"/>
      <c r="M61" s="10"/>
      <c r="N61" s="10"/>
      <c r="O61" s="10"/>
      <c r="P61" s="10"/>
      <c r="Q61" s="10"/>
      <c r="R61" s="10"/>
      <c r="S61" s="10"/>
      <c r="T61" s="10"/>
      <c r="U61" s="10"/>
      <c r="V61" s="10"/>
      <c r="W61" s="10"/>
      <c r="X61" s="10"/>
      <c r="Y61" s="10"/>
      <c r="Z61" s="11"/>
    </row>
    <row r="62" spans="1:26">
      <c r="A62" s="9" t="s">
        <v>231</v>
      </c>
      <c r="B62" s="10"/>
      <c r="C62" s="10"/>
      <c r="D62" s="10"/>
      <c r="E62" s="10"/>
      <c r="F62" s="10"/>
      <c r="G62" s="10"/>
      <c r="H62" s="10"/>
      <c r="I62" s="10"/>
      <c r="J62" s="10"/>
      <c r="K62" s="10"/>
      <c r="L62" s="10"/>
      <c r="M62" s="10"/>
      <c r="N62" s="10"/>
      <c r="O62" s="10"/>
      <c r="P62" s="10"/>
      <c r="Q62" s="10"/>
      <c r="R62" s="10"/>
      <c r="S62" s="10"/>
      <c r="T62" s="10"/>
      <c r="U62" s="10"/>
      <c r="V62" s="10"/>
      <c r="W62" s="10"/>
      <c r="X62" s="10"/>
      <c r="Y62" s="10"/>
      <c r="Z62" s="11"/>
    </row>
    <row r="63" spans="1:26">
      <c r="A63" s="9" t="s">
        <v>232</v>
      </c>
      <c r="B63" s="10"/>
      <c r="C63" s="10"/>
      <c r="D63" s="10"/>
      <c r="E63" s="10"/>
      <c r="F63" s="10"/>
      <c r="G63" s="10"/>
      <c r="H63" s="10"/>
      <c r="I63" s="10"/>
      <c r="J63" s="10"/>
      <c r="K63" s="10"/>
      <c r="L63" s="10"/>
      <c r="M63" s="10"/>
      <c r="N63" s="10"/>
      <c r="O63" s="10"/>
      <c r="P63" s="10"/>
      <c r="Q63" s="10"/>
      <c r="R63" s="10"/>
      <c r="S63" s="10"/>
      <c r="T63" s="10"/>
      <c r="U63" s="10"/>
      <c r="V63" s="10"/>
      <c r="W63" s="10"/>
      <c r="X63" s="10"/>
      <c r="Y63" s="10"/>
      <c r="Z63" s="11"/>
    </row>
    <row r="64" spans="1:26">
      <c r="A64" s="9"/>
      <c r="B64" s="10"/>
      <c r="C64" s="10"/>
      <c r="D64" s="10"/>
      <c r="E64" s="10"/>
      <c r="F64" s="10"/>
      <c r="G64" s="10"/>
      <c r="H64" s="10"/>
      <c r="I64" s="10"/>
      <c r="J64" s="10"/>
      <c r="K64" s="10"/>
      <c r="L64" s="10"/>
      <c r="M64" s="10"/>
      <c r="N64" s="10"/>
      <c r="O64" s="10"/>
      <c r="P64" s="10"/>
      <c r="Q64" s="10"/>
      <c r="R64" s="10"/>
      <c r="S64" s="10"/>
      <c r="T64" s="10"/>
      <c r="U64" s="10"/>
      <c r="V64" s="10"/>
      <c r="W64" s="10"/>
      <c r="X64" s="10"/>
      <c r="Y64" s="10"/>
      <c r="Z64" s="11"/>
    </row>
    <row r="65" spans="1:26">
      <c r="A65" s="9"/>
      <c r="B65" s="10"/>
      <c r="C65" s="10"/>
      <c r="D65" s="10" t="s">
        <v>78</v>
      </c>
      <c r="E65" s="10" t="s">
        <v>79</v>
      </c>
      <c r="F65" s="10"/>
      <c r="G65" s="10"/>
      <c r="H65" s="10"/>
      <c r="I65" s="10"/>
      <c r="J65" s="10"/>
      <c r="K65" s="10"/>
      <c r="L65" s="10"/>
      <c r="M65" s="10"/>
      <c r="N65" s="10"/>
      <c r="O65" s="10"/>
      <c r="P65" s="10"/>
      <c r="Q65" s="10"/>
      <c r="R65" s="10"/>
      <c r="S65" s="10"/>
      <c r="T65" s="10"/>
      <c r="U65" s="10"/>
      <c r="V65" s="10"/>
      <c r="W65" s="10"/>
      <c r="X65" s="10"/>
      <c r="Y65" s="10"/>
      <c r="Z65" s="11"/>
    </row>
    <row r="66" spans="1:26">
      <c r="A66" s="9" t="s">
        <v>233</v>
      </c>
      <c r="B66" s="10"/>
      <c r="C66" s="10"/>
      <c r="D66" s="15">
        <v>0</v>
      </c>
      <c r="E66" s="56">
        <f>1-D66</f>
        <v>1</v>
      </c>
      <c r="F66" s="10"/>
      <c r="G66" s="10"/>
      <c r="H66" s="10"/>
      <c r="I66" s="10"/>
      <c r="J66" s="10"/>
      <c r="K66" s="10"/>
      <c r="L66" s="10"/>
      <c r="M66" s="10"/>
      <c r="N66" s="10"/>
      <c r="O66" s="10"/>
      <c r="P66" s="10"/>
      <c r="Q66" s="10"/>
      <c r="R66" s="10"/>
      <c r="S66" s="10"/>
      <c r="T66" s="10"/>
      <c r="U66" s="10"/>
      <c r="V66" s="10"/>
      <c r="W66" s="10"/>
      <c r="X66" s="10"/>
      <c r="Y66" s="10"/>
      <c r="Z66" s="11"/>
    </row>
    <row r="67" spans="1:26">
      <c r="A67" s="9" t="s">
        <v>234</v>
      </c>
      <c r="B67" s="10"/>
      <c r="C67" s="10"/>
      <c r="D67" s="15">
        <v>0</v>
      </c>
      <c r="E67" s="56">
        <f>1-D67</f>
        <v>1</v>
      </c>
      <c r="F67" s="10"/>
      <c r="G67" s="10"/>
      <c r="H67" s="10"/>
      <c r="I67" s="10"/>
      <c r="J67" s="10"/>
      <c r="K67" s="10"/>
      <c r="L67" s="10"/>
      <c r="M67" s="10"/>
      <c r="N67" s="10"/>
      <c r="O67" s="10"/>
      <c r="P67" s="10"/>
      <c r="Q67" s="10"/>
      <c r="R67" s="10"/>
      <c r="S67" s="10"/>
      <c r="T67" s="10"/>
      <c r="U67" s="10"/>
      <c r="V67" s="10"/>
      <c r="W67" s="10"/>
      <c r="X67" s="10"/>
      <c r="Y67" s="10"/>
      <c r="Z67" s="11"/>
    </row>
    <row r="68" spans="1:26">
      <c r="A68" s="9" t="s">
        <v>80</v>
      </c>
      <c r="B68" s="10"/>
      <c r="C68" s="10"/>
      <c r="D68" s="10">
        <v>0</v>
      </c>
      <c r="E68" s="10">
        <v>10</v>
      </c>
      <c r="F68" s="10"/>
      <c r="G68" s="10"/>
      <c r="H68" s="10"/>
      <c r="I68" s="10"/>
      <c r="J68" s="10"/>
      <c r="K68" s="10"/>
      <c r="L68" s="10"/>
      <c r="M68" s="10"/>
      <c r="N68" s="10"/>
      <c r="O68" s="10"/>
      <c r="P68" s="10"/>
      <c r="Q68" s="10"/>
      <c r="R68" s="10"/>
      <c r="S68" s="10"/>
      <c r="T68" s="10"/>
      <c r="U68" s="10"/>
      <c r="V68" s="10"/>
      <c r="W68" s="10"/>
      <c r="X68" s="10"/>
      <c r="Y68" s="10"/>
      <c r="Z68" s="11"/>
    </row>
    <row r="69" spans="1:26">
      <c r="A69" s="9" t="s">
        <v>235</v>
      </c>
      <c r="B69" s="10"/>
      <c r="C69" s="10"/>
      <c r="D69" s="10">
        <v>0</v>
      </c>
      <c r="E69" s="10">
        <v>1</v>
      </c>
      <c r="F69" s="10"/>
      <c r="G69" s="10"/>
      <c r="H69" s="10"/>
      <c r="I69" s="10"/>
      <c r="J69" s="10"/>
      <c r="K69" s="10"/>
      <c r="L69" s="10"/>
      <c r="M69" s="10"/>
      <c r="N69" s="10"/>
      <c r="O69" s="10"/>
      <c r="P69" s="10"/>
      <c r="Q69" s="10"/>
      <c r="R69" s="10"/>
      <c r="S69" s="10"/>
      <c r="T69" s="10"/>
      <c r="U69" s="10"/>
      <c r="V69" s="10"/>
      <c r="W69" s="10"/>
      <c r="X69" s="10"/>
      <c r="Y69" s="10"/>
      <c r="Z69" s="11"/>
    </row>
    <row r="70" spans="1:26">
      <c r="A70" s="9"/>
      <c r="B70" s="10"/>
      <c r="C70" s="10"/>
      <c r="D70" s="10"/>
      <c r="E70" s="10"/>
      <c r="F70" s="10"/>
      <c r="G70" s="10"/>
      <c r="H70" s="10"/>
      <c r="I70" s="10"/>
      <c r="J70" s="10"/>
      <c r="K70" s="10"/>
      <c r="L70" s="10"/>
      <c r="M70" s="10"/>
      <c r="N70" s="10"/>
      <c r="O70" s="10"/>
      <c r="P70" s="10"/>
      <c r="Q70" s="10"/>
      <c r="R70" s="10"/>
      <c r="S70" s="10"/>
      <c r="T70" s="10"/>
      <c r="U70" s="10"/>
      <c r="V70" s="10"/>
      <c r="W70" s="10"/>
      <c r="X70" s="10"/>
      <c r="Y70" s="10"/>
      <c r="Z70" s="11"/>
    </row>
    <row r="71" spans="1:26">
      <c r="A71" s="21" t="s">
        <v>236</v>
      </c>
      <c r="B71" s="10"/>
      <c r="C71" s="10"/>
      <c r="D71" s="10"/>
      <c r="E71" s="10"/>
      <c r="F71" s="10"/>
      <c r="G71" s="10"/>
      <c r="H71" s="10"/>
      <c r="I71" s="10"/>
      <c r="J71" s="10"/>
      <c r="K71" s="10"/>
      <c r="L71" s="10"/>
      <c r="M71" s="10"/>
      <c r="N71" s="10"/>
      <c r="O71" s="10"/>
      <c r="P71" s="10"/>
      <c r="Q71" s="10"/>
      <c r="R71" s="10"/>
      <c r="S71" s="10"/>
      <c r="T71" s="10"/>
      <c r="U71" s="10"/>
      <c r="V71" s="10"/>
      <c r="W71" s="10"/>
      <c r="X71" s="10"/>
      <c r="Y71" s="10"/>
      <c r="Z71" s="11"/>
    </row>
    <row r="72" spans="1:26">
      <c r="A72" s="9" t="s">
        <v>239</v>
      </c>
      <c r="B72" s="10"/>
      <c r="C72" s="10"/>
      <c r="D72" s="10"/>
      <c r="E72" s="10"/>
      <c r="F72" s="10"/>
      <c r="G72" s="10"/>
      <c r="H72" s="10"/>
      <c r="I72" s="10"/>
      <c r="J72" s="10"/>
      <c r="K72" s="10"/>
      <c r="L72" s="10"/>
      <c r="M72" s="10"/>
      <c r="N72" s="10"/>
      <c r="O72" s="10"/>
      <c r="P72" s="10"/>
      <c r="Q72" s="10"/>
      <c r="R72" s="10"/>
      <c r="S72" s="10"/>
      <c r="T72" s="10"/>
      <c r="U72" s="10"/>
      <c r="V72" s="10"/>
      <c r="W72" s="10"/>
      <c r="X72" s="10"/>
      <c r="Y72" s="10"/>
      <c r="Z72" s="11"/>
    </row>
    <row r="73" spans="1:26">
      <c r="A73" s="9"/>
      <c r="B73" s="10"/>
      <c r="C73" s="10"/>
      <c r="D73" s="10"/>
      <c r="E73" s="10"/>
      <c r="F73" s="10"/>
      <c r="G73" s="10"/>
      <c r="H73" s="10"/>
      <c r="I73" s="10"/>
      <c r="J73" s="10"/>
      <c r="K73" s="10"/>
      <c r="L73" s="10"/>
      <c r="M73" s="10"/>
      <c r="N73" s="10"/>
      <c r="O73" s="10"/>
      <c r="P73" s="10"/>
      <c r="Q73" s="10"/>
      <c r="R73" s="10"/>
      <c r="S73" s="10"/>
      <c r="T73" s="10"/>
      <c r="U73" s="10"/>
      <c r="V73" s="10"/>
      <c r="W73" s="10"/>
      <c r="X73" s="10"/>
      <c r="Y73" s="10"/>
      <c r="Z73" s="11"/>
    </row>
    <row r="74" spans="1:26">
      <c r="A74" s="9"/>
      <c r="B74" s="10" t="s">
        <v>5</v>
      </c>
      <c r="C74" s="10" t="s">
        <v>29</v>
      </c>
      <c r="D74" s="10" t="s">
        <v>30</v>
      </c>
      <c r="E74" s="10" t="s">
        <v>31</v>
      </c>
      <c r="F74" s="10" t="s">
        <v>32</v>
      </c>
      <c r="G74" s="10" t="s">
        <v>8</v>
      </c>
      <c r="H74" s="10"/>
      <c r="I74" s="10"/>
      <c r="J74" s="10"/>
      <c r="K74" s="10"/>
      <c r="L74" s="10"/>
      <c r="M74" s="10"/>
      <c r="N74" s="10"/>
      <c r="O74" s="10"/>
      <c r="P74" s="10"/>
      <c r="Q74" s="10"/>
      <c r="R74" s="10"/>
      <c r="S74" s="10"/>
      <c r="T74" s="10"/>
      <c r="U74" s="10"/>
      <c r="V74" s="10"/>
      <c r="W74" s="10"/>
      <c r="X74" s="10"/>
      <c r="Y74" s="10"/>
      <c r="Z74" s="11"/>
    </row>
    <row r="75" spans="1:26">
      <c r="A75" s="9" t="s">
        <v>240</v>
      </c>
      <c r="B75" s="10">
        <v>0</v>
      </c>
      <c r="C75" s="10">
        <v>0</v>
      </c>
      <c r="D75" s="10">
        <v>0</v>
      </c>
      <c r="E75" s="10">
        <v>0</v>
      </c>
      <c r="F75" s="10">
        <v>0</v>
      </c>
      <c r="G75" s="10">
        <v>0</v>
      </c>
      <c r="H75" s="10"/>
      <c r="I75" s="10"/>
      <c r="J75" s="10"/>
      <c r="K75" s="10"/>
      <c r="L75" s="10"/>
      <c r="M75" s="10"/>
      <c r="N75" s="10"/>
      <c r="O75" s="10"/>
      <c r="P75" s="10"/>
      <c r="Q75" s="10"/>
      <c r="R75" s="10"/>
      <c r="S75" s="10"/>
      <c r="T75" s="10"/>
      <c r="U75" s="10"/>
      <c r="V75" s="10"/>
      <c r="W75" s="10"/>
      <c r="X75" s="10"/>
      <c r="Y75" s="10"/>
      <c r="Z75" s="11"/>
    </row>
    <row r="76" spans="1:26">
      <c r="A76" s="9"/>
      <c r="B76" s="10"/>
      <c r="C76" s="10"/>
      <c r="D76" s="10"/>
      <c r="E76" s="10"/>
      <c r="F76" s="10"/>
      <c r="G76" s="10"/>
      <c r="H76" s="10"/>
      <c r="I76" s="10"/>
      <c r="J76" s="10"/>
      <c r="K76" s="10"/>
      <c r="L76" s="10"/>
      <c r="M76" s="10"/>
      <c r="N76" s="10"/>
      <c r="O76" s="10"/>
      <c r="P76" s="10"/>
      <c r="Q76" s="10"/>
      <c r="R76" s="10"/>
      <c r="S76" s="10"/>
      <c r="T76" s="10"/>
      <c r="U76" s="10"/>
      <c r="V76" s="10"/>
      <c r="W76" s="10"/>
      <c r="X76" s="10"/>
      <c r="Y76" s="10"/>
      <c r="Z76" s="11"/>
    </row>
    <row r="77" spans="1:26">
      <c r="A77" s="21" t="s">
        <v>174</v>
      </c>
      <c r="B77" s="10"/>
      <c r="C77" s="10"/>
      <c r="D77" s="10"/>
      <c r="E77" s="10"/>
      <c r="F77" s="10"/>
      <c r="G77" s="10"/>
      <c r="H77" s="10"/>
      <c r="I77" s="10"/>
      <c r="J77" s="10"/>
      <c r="K77" s="10"/>
      <c r="L77" s="10"/>
      <c r="M77" s="10"/>
      <c r="N77" s="10"/>
      <c r="O77" s="10"/>
      <c r="P77" s="10"/>
      <c r="Q77" s="10"/>
      <c r="R77" s="10"/>
      <c r="S77" s="10"/>
      <c r="T77" s="10"/>
      <c r="U77" s="10"/>
      <c r="V77" s="10"/>
      <c r="W77" s="10"/>
      <c r="X77" s="10"/>
      <c r="Y77" s="10"/>
      <c r="Z77" s="11"/>
    </row>
    <row r="78" spans="1:26">
      <c r="A78" s="9" t="s">
        <v>241</v>
      </c>
      <c r="B78" s="10"/>
      <c r="C78" s="10"/>
      <c r="D78" s="10"/>
      <c r="E78" s="10"/>
      <c r="F78" s="10"/>
      <c r="G78" s="10"/>
      <c r="H78" s="10"/>
      <c r="I78" s="10"/>
      <c r="J78" s="10"/>
      <c r="K78" s="10"/>
      <c r="L78" s="10"/>
      <c r="M78" s="10"/>
      <c r="N78" s="10"/>
      <c r="O78" s="10"/>
      <c r="P78" s="10"/>
      <c r="Q78" s="10"/>
      <c r="R78" s="10"/>
      <c r="S78" s="10"/>
      <c r="T78" s="10"/>
      <c r="U78" s="10"/>
      <c r="V78" s="10"/>
      <c r="W78" s="10"/>
      <c r="X78" s="10"/>
      <c r="Y78" s="10"/>
      <c r="Z78" s="11"/>
    </row>
    <row r="79" spans="1:26">
      <c r="A79" s="9" t="s">
        <v>242</v>
      </c>
      <c r="B79" s="10"/>
      <c r="C79" s="10"/>
      <c r="D79" s="10"/>
      <c r="E79" s="10"/>
      <c r="F79" s="10"/>
      <c r="G79" s="10"/>
      <c r="H79" s="10"/>
      <c r="I79" s="10"/>
      <c r="J79" s="10"/>
      <c r="K79" s="10"/>
      <c r="L79" s="10"/>
      <c r="M79" s="10"/>
      <c r="N79" s="10"/>
      <c r="O79" s="10"/>
      <c r="P79" s="10"/>
      <c r="Q79" s="10"/>
      <c r="R79" s="10"/>
      <c r="S79" s="10"/>
      <c r="T79" s="10"/>
      <c r="U79" s="10"/>
      <c r="V79" s="10"/>
      <c r="W79" s="10"/>
      <c r="X79" s="10"/>
      <c r="Y79" s="10"/>
      <c r="Z79" s="11"/>
    </row>
    <row r="80" spans="1:26">
      <c r="A80" s="9" t="s">
        <v>243</v>
      </c>
      <c r="B80" s="10"/>
      <c r="C80" s="10"/>
      <c r="D80" s="10"/>
      <c r="E80" s="10"/>
      <c r="F80" s="10"/>
      <c r="G80" s="10"/>
      <c r="H80" s="10"/>
      <c r="I80" s="10"/>
      <c r="J80" s="10"/>
      <c r="K80" s="10"/>
      <c r="L80" s="10"/>
      <c r="M80" s="10"/>
      <c r="N80" s="10"/>
      <c r="O80" s="10"/>
      <c r="P80" s="10"/>
      <c r="Q80" s="10"/>
      <c r="R80" s="10"/>
      <c r="S80" s="10"/>
      <c r="T80" s="10"/>
      <c r="U80" s="10"/>
      <c r="V80" s="10"/>
      <c r="W80" s="10"/>
      <c r="X80" s="10"/>
      <c r="Y80" s="10"/>
      <c r="Z80" s="11"/>
    </row>
    <row r="81" spans="1:26">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1"/>
    </row>
    <row r="82" spans="1:26">
      <c r="A82" s="9" t="s">
        <v>244</v>
      </c>
      <c r="B82" s="10"/>
      <c r="C82" s="10"/>
      <c r="D82" s="10">
        <v>2</v>
      </c>
      <c r="E82" s="10"/>
      <c r="F82" s="10"/>
      <c r="G82" s="10"/>
      <c r="H82" s="10"/>
      <c r="I82" s="10"/>
      <c r="J82" s="10"/>
      <c r="K82" s="10"/>
      <c r="L82" s="10"/>
      <c r="M82" s="10"/>
      <c r="N82" s="10"/>
      <c r="O82" s="10"/>
      <c r="P82" s="10"/>
      <c r="Q82" s="10"/>
      <c r="R82" s="10"/>
      <c r="S82" s="10"/>
      <c r="T82" s="10"/>
      <c r="U82" s="10"/>
      <c r="V82" s="10"/>
      <c r="W82" s="10"/>
      <c r="X82" s="10"/>
      <c r="Y82" s="10"/>
      <c r="Z82" s="11"/>
    </row>
    <row r="83" spans="1:26" ht="15.75" thickBot="1">
      <c r="A83" s="12" t="s">
        <v>245</v>
      </c>
      <c r="B83" s="13"/>
      <c r="C83" s="13"/>
      <c r="D83" s="13">
        <v>0</v>
      </c>
      <c r="E83" s="13"/>
      <c r="F83" s="13"/>
      <c r="G83" s="13"/>
      <c r="H83" s="13"/>
      <c r="I83" s="13"/>
      <c r="J83" s="13"/>
      <c r="K83" s="13"/>
      <c r="L83" s="13"/>
      <c r="M83" s="13"/>
      <c r="N83" s="13"/>
      <c r="O83" s="13"/>
      <c r="P83" s="13"/>
      <c r="Q83" s="13"/>
      <c r="R83" s="13"/>
      <c r="S83" s="13"/>
      <c r="T83" s="13"/>
      <c r="U83" s="13"/>
      <c r="V83" s="13"/>
      <c r="W83" s="13"/>
      <c r="X83" s="13"/>
      <c r="Y83" s="13"/>
      <c r="Z83" s="14"/>
    </row>
    <row r="85" spans="1:26" ht="15.75" thickBot="1">
      <c r="A85" s="1" t="s">
        <v>207</v>
      </c>
      <c r="C85" t="s">
        <v>260</v>
      </c>
    </row>
    <row r="86" spans="1:26">
      <c r="A86" s="35"/>
      <c r="B86" s="7"/>
      <c r="C86" s="7"/>
      <c r="D86" s="7"/>
      <c r="E86" s="7"/>
      <c r="F86" s="7"/>
      <c r="G86" s="7"/>
      <c r="H86" s="7"/>
      <c r="I86" s="7"/>
      <c r="J86" s="7"/>
      <c r="K86" s="7"/>
      <c r="L86" s="7"/>
      <c r="M86" s="7"/>
      <c r="N86" s="7"/>
      <c r="O86" s="7"/>
      <c r="P86" s="7"/>
      <c r="Q86" s="7"/>
      <c r="R86" s="7"/>
      <c r="S86" s="7"/>
      <c r="T86" s="7"/>
      <c r="U86" s="7"/>
      <c r="V86" s="7"/>
      <c r="W86" s="7"/>
      <c r="X86" s="7"/>
      <c r="Y86" s="7"/>
      <c r="Z86" s="8"/>
    </row>
    <row r="87" spans="1:26">
      <c r="A87" s="21" t="s">
        <v>246</v>
      </c>
      <c r="B87" s="10"/>
      <c r="C87" s="10"/>
      <c r="D87" s="10"/>
      <c r="E87" s="10"/>
      <c r="F87" s="10"/>
      <c r="G87" s="10"/>
      <c r="H87" s="10"/>
      <c r="I87" s="10"/>
      <c r="J87" s="10"/>
      <c r="K87" s="10"/>
      <c r="L87" s="10"/>
      <c r="M87" s="10"/>
      <c r="N87" s="10"/>
      <c r="O87" s="10"/>
      <c r="P87" s="10"/>
      <c r="Q87" s="10"/>
      <c r="R87" s="10"/>
      <c r="S87" s="10"/>
      <c r="T87" s="10"/>
      <c r="U87" s="10"/>
      <c r="V87" s="10"/>
      <c r="W87" s="10"/>
      <c r="X87" s="10"/>
      <c r="Y87" s="10"/>
      <c r="Z87" s="11"/>
    </row>
    <row r="88" spans="1:26">
      <c r="A88" s="9" t="s">
        <v>247</v>
      </c>
      <c r="B88" s="10"/>
      <c r="C88" s="10"/>
      <c r="D88" s="10"/>
      <c r="E88" s="10"/>
      <c r="F88" s="10"/>
      <c r="G88" s="10"/>
      <c r="H88" s="10"/>
      <c r="I88" s="10"/>
      <c r="J88" s="10"/>
      <c r="K88" s="10"/>
      <c r="L88" s="10"/>
      <c r="M88" s="10"/>
      <c r="N88" s="10"/>
      <c r="O88" s="10"/>
      <c r="P88" s="10"/>
      <c r="Q88" s="10"/>
      <c r="R88" s="10"/>
      <c r="S88" s="10"/>
      <c r="T88" s="10"/>
      <c r="U88" s="10"/>
      <c r="V88" s="10"/>
      <c r="W88" s="10"/>
      <c r="X88" s="10"/>
      <c r="Y88" s="10"/>
      <c r="Z88" s="11"/>
    </row>
    <row r="89" spans="1:26">
      <c r="A89" s="18" t="s">
        <v>213</v>
      </c>
      <c r="B89" s="10"/>
      <c r="C89" s="10"/>
      <c r="D89" s="10"/>
      <c r="E89" s="10"/>
      <c r="F89" s="10"/>
      <c r="G89" s="10"/>
      <c r="H89" s="10"/>
      <c r="I89" s="10"/>
      <c r="J89" s="10"/>
      <c r="K89" s="10"/>
      <c r="L89" s="10"/>
      <c r="M89" s="10"/>
      <c r="N89" s="10"/>
      <c r="O89" s="10"/>
      <c r="P89" s="10"/>
      <c r="Q89" s="10"/>
      <c r="R89" s="10"/>
      <c r="S89" s="10"/>
      <c r="T89" s="10"/>
      <c r="U89" s="10"/>
      <c r="V89" s="10"/>
      <c r="W89" s="10"/>
      <c r="X89" s="10"/>
      <c r="Y89" s="10"/>
      <c r="Z89" s="11"/>
    </row>
    <row r="90" spans="1:26">
      <c r="A90" s="9" t="s">
        <v>214</v>
      </c>
      <c r="B90" s="10"/>
      <c r="C90" s="10"/>
      <c r="D90" s="10"/>
      <c r="E90" s="10"/>
      <c r="F90" s="10"/>
      <c r="G90" s="10"/>
      <c r="H90" s="10"/>
      <c r="I90" s="10"/>
      <c r="J90" s="10"/>
      <c r="K90" s="10"/>
      <c r="L90" s="10"/>
      <c r="M90" s="10"/>
      <c r="N90" s="10"/>
      <c r="O90" s="10"/>
      <c r="P90" s="10"/>
      <c r="Q90" s="10"/>
      <c r="R90" s="10"/>
      <c r="S90" s="10"/>
      <c r="T90" s="10"/>
      <c r="U90" s="10"/>
      <c r="V90" s="10"/>
      <c r="W90" s="10"/>
      <c r="X90" s="10"/>
      <c r="Y90" s="10"/>
      <c r="Z90" s="11"/>
    </row>
    <row r="91" spans="1:26">
      <c r="A91" s="9" t="s">
        <v>215</v>
      </c>
      <c r="B91" s="10"/>
      <c r="C91" s="10"/>
      <c r="D91" s="10"/>
      <c r="E91" s="10"/>
      <c r="F91" s="10"/>
      <c r="G91" s="10"/>
      <c r="H91" s="10"/>
      <c r="I91" s="10"/>
      <c r="J91" s="10"/>
      <c r="K91" s="10"/>
      <c r="L91" s="10"/>
      <c r="M91" s="10"/>
      <c r="N91" s="10"/>
      <c r="O91" s="10"/>
      <c r="P91" s="10"/>
      <c r="Q91" s="10"/>
      <c r="R91" s="10"/>
      <c r="S91" s="10"/>
      <c r="T91" s="10"/>
      <c r="U91" s="10"/>
      <c r="V91" s="10"/>
      <c r="W91" s="10"/>
      <c r="X91" s="10"/>
      <c r="Y91" s="10"/>
      <c r="Z91" s="11"/>
    </row>
    <row r="92" spans="1:26">
      <c r="A92" s="9"/>
      <c r="B92" s="10"/>
      <c r="C92" s="10"/>
      <c r="D92" s="10"/>
      <c r="E92" s="10"/>
      <c r="F92" s="10"/>
      <c r="G92" s="10"/>
      <c r="H92" s="10"/>
      <c r="I92" s="10"/>
      <c r="J92" s="10"/>
      <c r="K92" s="10"/>
      <c r="L92" s="10"/>
      <c r="M92" s="10"/>
      <c r="N92" s="10"/>
      <c r="O92" s="10"/>
      <c r="P92" s="10"/>
      <c r="Q92" s="10"/>
      <c r="R92" s="10"/>
      <c r="S92" s="10"/>
      <c r="T92" s="10"/>
      <c r="U92" s="10"/>
      <c r="V92" s="10"/>
      <c r="W92" s="10"/>
      <c r="X92" s="10"/>
      <c r="Y92" s="10"/>
      <c r="Z92" s="11"/>
    </row>
    <row r="93" spans="1:26">
      <c r="A93" s="9"/>
      <c r="B93" s="10"/>
      <c r="C93" s="10" t="s">
        <v>4</v>
      </c>
      <c r="D93" s="10" t="s">
        <v>5</v>
      </c>
      <c r="E93" s="10" t="s">
        <v>29</v>
      </c>
      <c r="F93" s="10" t="s">
        <v>30</v>
      </c>
      <c r="G93" s="10" t="s">
        <v>31</v>
      </c>
      <c r="H93" s="10" t="s">
        <v>32</v>
      </c>
      <c r="I93" s="10" t="s">
        <v>8</v>
      </c>
      <c r="J93" s="10" t="s">
        <v>9</v>
      </c>
      <c r="K93" s="10" t="s">
        <v>10</v>
      </c>
      <c r="L93" s="10"/>
      <c r="M93" s="10"/>
      <c r="N93" s="10"/>
      <c r="O93" s="10"/>
      <c r="P93" s="10"/>
      <c r="Q93" s="10"/>
      <c r="R93" s="10"/>
      <c r="S93" s="10"/>
      <c r="T93" s="10"/>
      <c r="U93" s="10"/>
      <c r="V93" s="10"/>
      <c r="W93" s="10"/>
      <c r="X93" s="10"/>
      <c r="Y93" s="10"/>
      <c r="Z93" s="11"/>
    </row>
    <row r="94" spans="1:26">
      <c r="A94" s="9" t="s">
        <v>107</v>
      </c>
      <c r="B94" s="10"/>
      <c r="C94" s="27">
        <f>B23*$C$29</f>
        <v>0</v>
      </c>
      <c r="D94" s="27">
        <f t="shared" ref="D94:K94" si="3">C23*$C$29</f>
        <v>0</v>
      </c>
      <c r="E94" s="27">
        <f t="shared" si="3"/>
        <v>0</v>
      </c>
      <c r="F94" s="27">
        <f t="shared" si="3"/>
        <v>0</v>
      </c>
      <c r="G94" s="27">
        <f t="shared" si="3"/>
        <v>0</v>
      </c>
      <c r="H94" s="27">
        <f t="shared" si="3"/>
        <v>0</v>
      </c>
      <c r="I94" s="27">
        <f t="shared" si="3"/>
        <v>0</v>
      </c>
      <c r="J94" s="27">
        <f t="shared" si="3"/>
        <v>0</v>
      </c>
      <c r="K94" s="27">
        <f t="shared" si="3"/>
        <v>0</v>
      </c>
      <c r="L94" s="10"/>
      <c r="M94" s="10"/>
      <c r="N94" s="10"/>
      <c r="O94" s="10"/>
      <c r="P94" s="10"/>
      <c r="Q94" s="10"/>
      <c r="R94" s="10"/>
      <c r="S94" s="10"/>
      <c r="T94" s="10"/>
      <c r="U94" s="10"/>
      <c r="V94" s="10"/>
      <c r="W94" s="10"/>
      <c r="X94" s="10"/>
      <c r="Y94" s="10"/>
      <c r="Z94" s="11"/>
    </row>
    <row r="95" spans="1:26">
      <c r="A95" s="9" t="s">
        <v>216</v>
      </c>
      <c r="B95" s="10"/>
      <c r="C95" s="15">
        <v>0</v>
      </c>
      <c r="D95" s="15">
        <v>0</v>
      </c>
      <c r="E95" s="15">
        <v>0</v>
      </c>
      <c r="F95" s="15">
        <v>0</v>
      </c>
      <c r="G95" s="15">
        <v>0</v>
      </c>
      <c r="H95" s="15">
        <v>0</v>
      </c>
      <c r="I95" s="15">
        <v>0</v>
      </c>
      <c r="J95" s="15">
        <v>0</v>
      </c>
      <c r="K95" s="15">
        <v>0</v>
      </c>
      <c r="L95" s="10"/>
      <c r="M95" s="10"/>
      <c r="N95" s="10"/>
      <c r="O95" s="10"/>
      <c r="P95" s="10"/>
      <c r="Q95" s="10"/>
      <c r="R95" s="10"/>
      <c r="S95" s="10"/>
      <c r="T95" s="10"/>
      <c r="U95" s="10"/>
      <c r="V95" s="10"/>
      <c r="W95" s="10"/>
      <c r="X95" s="10"/>
      <c r="Y95" s="10"/>
      <c r="Z95" s="11"/>
    </row>
    <row r="96" spans="1:26">
      <c r="A96" s="9" t="s">
        <v>217</v>
      </c>
      <c r="B96" s="10"/>
      <c r="C96" s="36">
        <v>2.5000000000000001E-2</v>
      </c>
      <c r="D96" s="56">
        <f t="shared" ref="D96:I96" si="4">1-D95%</f>
        <v>1</v>
      </c>
      <c r="E96" s="56">
        <f t="shared" si="4"/>
        <v>1</v>
      </c>
      <c r="F96" s="56">
        <f t="shared" si="4"/>
        <v>1</v>
      </c>
      <c r="G96" s="56">
        <f t="shared" si="4"/>
        <v>1</v>
      </c>
      <c r="H96" s="56">
        <f t="shared" si="4"/>
        <v>1</v>
      </c>
      <c r="I96" s="56">
        <f t="shared" si="4"/>
        <v>1</v>
      </c>
      <c r="J96" s="57">
        <v>2.5000000000000001E-2</v>
      </c>
      <c r="K96" s="15">
        <v>1</v>
      </c>
      <c r="L96" s="10"/>
      <c r="M96" s="10"/>
      <c r="N96" s="10"/>
      <c r="O96" s="10"/>
      <c r="P96" s="10"/>
      <c r="Q96" s="10"/>
      <c r="R96" s="10"/>
      <c r="S96" s="10"/>
      <c r="T96" s="10"/>
      <c r="U96" s="10"/>
      <c r="V96" s="10"/>
      <c r="W96" s="10"/>
      <c r="X96" s="10"/>
      <c r="Y96" s="10"/>
      <c r="Z96" s="11"/>
    </row>
    <row r="97" spans="1:26">
      <c r="A97" s="9" t="s">
        <v>218</v>
      </c>
      <c r="B97" s="10"/>
      <c r="C97" s="27">
        <f>C94*(1-C96)</f>
        <v>0</v>
      </c>
      <c r="D97" s="10"/>
      <c r="E97" s="10"/>
      <c r="F97" s="10"/>
      <c r="G97" s="10"/>
      <c r="H97" s="10"/>
      <c r="I97" s="10"/>
      <c r="J97" s="27">
        <f>J94*(1-J96)</f>
        <v>0</v>
      </c>
      <c r="K97" s="10"/>
      <c r="L97" s="10"/>
      <c r="M97" s="10"/>
      <c r="N97" s="10"/>
      <c r="O97" s="10"/>
      <c r="P97" s="10"/>
      <c r="Q97" s="10"/>
      <c r="R97" s="10"/>
      <c r="S97" s="10"/>
      <c r="T97" s="10"/>
      <c r="U97" s="10"/>
      <c r="V97" s="10"/>
      <c r="W97" s="10"/>
      <c r="X97" s="10"/>
      <c r="Y97" s="10"/>
      <c r="Z97" s="11"/>
    </row>
    <row r="98" spans="1:26">
      <c r="A98" s="9" t="s">
        <v>220</v>
      </c>
      <c r="B98" s="10"/>
      <c r="C98" s="49"/>
      <c r="D98" s="10"/>
      <c r="E98" s="10"/>
      <c r="F98" s="10"/>
      <c r="G98" s="10"/>
      <c r="H98" s="10"/>
      <c r="I98" s="10"/>
      <c r="J98" s="49"/>
      <c r="K98" s="10"/>
      <c r="L98" s="10"/>
      <c r="M98" s="10"/>
      <c r="N98" s="10"/>
      <c r="O98" s="10"/>
      <c r="P98" s="10"/>
      <c r="Q98" s="10"/>
      <c r="R98" s="10"/>
      <c r="S98" s="10"/>
      <c r="T98" s="10"/>
      <c r="U98" s="10"/>
      <c r="V98" s="10"/>
      <c r="W98" s="10"/>
      <c r="X98" s="10"/>
      <c r="Y98" s="10"/>
      <c r="Z98" s="11"/>
    </row>
    <row r="99" spans="1:26">
      <c r="A99" s="9"/>
      <c r="B99" s="10"/>
      <c r="C99" s="10"/>
      <c r="D99" s="10"/>
      <c r="E99" s="10"/>
      <c r="F99" s="10"/>
      <c r="G99" s="10"/>
      <c r="H99" s="10"/>
      <c r="I99" s="10"/>
      <c r="J99" s="10"/>
      <c r="K99" s="10"/>
      <c r="L99" s="10"/>
      <c r="M99" s="10"/>
      <c r="N99" s="10"/>
      <c r="O99" s="10"/>
      <c r="P99" s="10"/>
      <c r="Q99" s="10"/>
      <c r="R99" s="10"/>
      <c r="S99" s="10"/>
      <c r="T99" s="10"/>
      <c r="U99" s="10"/>
      <c r="V99" s="10"/>
      <c r="W99" s="10"/>
      <c r="X99" s="10"/>
      <c r="Y99" s="10"/>
      <c r="Z99" s="11"/>
    </row>
    <row r="100" spans="1:26">
      <c r="A100" s="21" t="s">
        <v>248</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1"/>
    </row>
    <row r="101" spans="1:26">
      <c r="A101" s="9" t="s">
        <v>249</v>
      </c>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1"/>
    </row>
    <row r="102" spans="1:26">
      <c r="A102" s="9" t="s">
        <v>250</v>
      </c>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1"/>
    </row>
    <row r="103" spans="1:26">
      <c r="A103" s="9" t="s">
        <v>224</v>
      </c>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1"/>
    </row>
    <row r="104" spans="1:26">
      <c r="A104" s="9" t="s">
        <v>226</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1"/>
    </row>
    <row r="105" spans="1:26">
      <c r="A105" s="9"/>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1"/>
    </row>
    <row r="106" spans="1:26">
      <c r="A106" s="9" t="s">
        <v>237</v>
      </c>
      <c r="B106" s="10"/>
      <c r="C106" s="15">
        <v>0.6</v>
      </c>
      <c r="D106" s="10"/>
      <c r="E106" s="10"/>
      <c r="F106" s="10"/>
      <c r="G106" s="10"/>
      <c r="H106" s="10"/>
      <c r="I106" s="10"/>
      <c r="J106" s="10"/>
      <c r="K106" s="10"/>
      <c r="L106" s="10"/>
      <c r="M106" s="10"/>
      <c r="N106" s="10"/>
      <c r="O106" s="10"/>
      <c r="P106" s="10"/>
      <c r="Q106" s="10"/>
      <c r="R106" s="10"/>
      <c r="S106" s="10"/>
      <c r="T106" s="10"/>
      <c r="U106" s="10"/>
      <c r="V106" s="10"/>
      <c r="W106" s="10"/>
      <c r="X106" s="10"/>
      <c r="Y106" s="10"/>
      <c r="Z106" s="11"/>
    </row>
    <row r="107" spans="1:26">
      <c r="A107" s="9" t="s">
        <v>251</v>
      </c>
      <c r="B107" s="10"/>
      <c r="C107" s="27">
        <f>(C97+J97)*(1-C106)</f>
        <v>0</v>
      </c>
      <c r="D107" s="10"/>
      <c r="E107" s="10"/>
      <c r="F107" s="10"/>
      <c r="G107" s="10"/>
      <c r="H107" s="10"/>
      <c r="I107" s="10"/>
      <c r="J107" s="10"/>
      <c r="K107" s="10"/>
      <c r="L107" s="10"/>
      <c r="M107" s="10"/>
      <c r="N107" s="10"/>
      <c r="O107" s="10"/>
      <c r="P107" s="10"/>
      <c r="Q107" s="10"/>
      <c r="R107" s="10"/>
      <c r="S107" s="10"/>
      <c r="T107" s="10"/>
      <c r="U107" s="10"/>
      <c r="V107" s="10"/>
      <c r="W107" s="10"/>
      <c r="X107" s="10"/>
      <c r="Y107" s="10"/>
      <c r="Z107" s="11"/>
    </row>
    <row r="108" spans="1:26">
      <c r="A108" s="9" t="s">
        <v>225</v>
      </c>
      <c r="B108" s="10"/>
      <c r="C108" s="15">
        <v>0</v>
      </c>
      <c r="D108" s="10"/>
      <c r="E108" s="10"/>
      <c r="F108" s="10"/>
      <c r="G108" s="10"/>
      <c r="H108" s="10"/>
      <c r="I108" s="10"/>
      <c r="J108" s="10"/>
      <c r="K108" s="10"/>
      <c r="L108" s="10"/>
      <c r="M108" s="10"/>
      <c r="N108" s="10"/>
      <c r="O108" s="10"/>
      <c r="P108" s="10"/>
      <c r="Q108" s="10"/>
      <c r="R108" s="10"/>
      <c r="S108" s="10"/>
      <c r="T108" s="10"/>
      <c r="U108" s="10"/>
      <c r="V108" s="10"/>
      <c r="W108" s="10"/>
      <c r="X108" s="10"/>
      <c r="Y108" s="10"/>
      <c r="Z108" s="11"/>
    </row>
    <row r="109" spans="1:26">
      <c r="A109" s="9" t="s">
        <v>227</v>
      </c>
      <c r="B109" s="10"/>
      <c r="C109" s="10"/>
      <c r="D109" s="10"/>
      <c r="E109" s="10">
        <v>50</v>
      </c>
      <c r="F109" s="10" t="s">
        <v>256</v>
      </c>
      <c r="G109" s="10"/>
      <c r="H109" s="10"/>
      <c r="I109" s="10"/>
      <c r="J109" s="10"/>
      <c r="K109" s="10"/>
      <c r="L109" s="10"/>
      <c r="M109" s="10"/>
      <c r="N109" s="10"/>
      <c r="O109" s="10"/>
      <c r="P109" s="10"/>
      <c r="Q109" s="10"/>
      <c r="R109" s="10"/>
      <c r="S109" s="10"/>
      <c r="T109" s="10"/>
      <c r="U109" s="10"/>
      <c r="V109" s="10"/>
      <c r="W109" s="10"/>
      <c r="X109" s="10"/>
      <c r="Y109" s="10"/>
      <c r="Z109" s="11"/>
    </row>
    <row r="110" spans="1:26">
      <c r="A110" s="9" t="s">
        <v>254</v>
      </c>
      <c r="B110" s="10"/>
      <c r="C110" s="10"/>
      <c r="D110" s="10"/>
      <c r="E110" s="10">
        <v>190</v>
      </c>
      <c r="F110" s="10" t="s">
        <v>255</v>
      </c>
      <c r="G110" s="10"/>
      <c r="H110" s="10"/>
      <c r="I110" s="10"/>
      <c r="J110" s="10"/>
      <c r="K110" s="10"/>
      <c r="L110" s="10"/>
      <c r="M110" s="10"/>
      <c r="N110" s="10"/>
      <c r="O110" s="10"/>
      <c r="P110" s="10"/>
      <c r="Q110" s="10"/>
      <c r="R110" s="10"/>
      <c r="S110" s="10"/>
      <c r="T110" s="10"/>
      <c r="U110" s="10"/>
      <c r="V110" s="10"/>
      <c r="W110" s="10"/>
      <c r="X110" s="10"/>
      <c r="Y110" s="10"/>
      <c r="Z110" s="11"/>
    </row>
    <row r="111" spans="1:26">
      <c r="A111" s="9" t="s">
        <v>253</v>
      </c>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1"/>
    </row>
    <row r="112" spans="1:26">
      <c r="A112" s="9" t="s">
        <v>252</v>
      </c>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1"/>
    </row>
    <row r="113" spans="1:26">
      <c r="A113" s="9"/>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1"/>
    </row>
    <row r="114" spans="1:26">
      <c r="A114" s="21" t="s">
        <v>229</v>
      </c>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1"/>
    </row>
    <row r="115" spans="1:26">
      <c r="A115" s="9" t="s">
        <v>230</v>
      </c>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1"/>
    </row>
    <row r="116" spans="1:26">
      <c r="A116" s="9" t="s">
        <v>231</v>
      </c>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1"/>
    </row>
    <row r="117" spans="1:26">
      <c r="A117" s="9" t="s">
        <v>232</v>
      </c>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1"/>
    </row>
    <row r="118" spans="1:26">
      <c r="A118" s="9"/>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1"/>
    </row>
    <row r="119" spans="1:26">
      <c r="A119" s="9"/>
      <c r="B119" s="10"/>
      <c r="C119" s="10"/>
      <c r="D119" s="10" t="s">
        <v>78</v>
      </c>
      <c r="E119" s="10" t="s">
        <v>79</v>
      </c>
      <c r="F119" s="10"/>
      <c r="G119" s="10"/>
      <c r="H119" s="10"/>
      <c r="I119" s="10"/>
      <c r="J119" s="10"/>
      <c r="K119" s="10"/>
      <c r="L119" s="10"/>
      <c r="M119" s="10"/>
      <c r="N119" s="10"/>
      <c r="O119" s="10"/>
      <c r="P119" s="10"/>
      <c r="Q119" s="10"/>
      <c r="R119" s="10"/>
      <c r="S119" s="10"/>
      <c r="T119" s="10"/>
      <c r="U119" s="10"/>
      <c r="V119" s="10"/>
      <c r="W119" s="10"/>
      <c r="X119" s="10"/>
      <c r="Y119" s="10"/>
      <c r="Z119" s="11"/>
    </row>
    <row r="120" spans="1:26">
      <c r="A120" s="9" t="s">
        <v>233</v>
      </c>
      <c r="B120" s="10"/>
      <c r="C120" s="10"/>
      <c r="D120" s="15">
        <v>0</v>
      </c>
      <c r="E120" s="56">
        <f>1-D120</f>
        <v>1</v>
      </c>
      <c r="F120" s="10"/>
      <c r="G120" s="10"/>
      <c r="H120" s="10"/>
      <c r="I120" s="10"/>
      <c r="J120" s="10"/>
      <c r="K120" s="10"/>
      <c r="L120" s="10"/>
      <c r="M120" s="10"/>
      <c r="N120" s="10"/>
      <c r="O120" s="10"/>
      <c r="P120" s="10"/>
      <c r="Q120" s="10"/>
      <c r="R120" s="10"/>
      <c r="S120" s="10"/>
      <c r="T120" s="10"/>
      <c r="U120" s="10"/>
      <c r="V120" s="10"/>
      <c r="W120" s="10"/>
      <c r="X120" s="10"/>
      <c r="Y120" s="10"/>
      <c r="Z120" s="11"/>
    </row>
    <row r="121" spans="1:26">
      <c r="A121" s="9" t="s">
        <v>234</v>
      </c>
      <c r="B121" s="10"/>
      <c r="C121" s="10"/>
      <c r="D121" s="15">
        <v>0</v>
      </c>
      <c r="E121" s="56">
        <f>1-D121</f>
        <v>1</v>
      </c>
      <c r="F121" s="10"/>
      <c r="G121" s="10"/>
      <c r="H121" s="10"/>
      <c r="I121" s="10"/>
      <c r="J121" s="10"/>
      <c r="K121" s="10"/>
      <c r="L121" s="10"/>
      <c r="M121" s="10"/>
      <c r="N121" s="10"/>
      <c r="O121" s="10"/>
      <c r="P121" s="10"/>
      <c r="Q121" s="10"/>
      <c r="R121" s="10"/>
      <c r="S121" s="10"/>
      <c r="T121" s="10"/>
      <c r="U121" s="10"/>
      <c r="V121" s="10"/>
      <c r="W121" s="10"/>
      <c r="X121" s="10"/>
      <c r="Y121" s="10"/>
      <c r="Z121" s="11"/>
    </row>
    <row r="122" spans="1:26">
      <c r="A122" s="9" t="s">
        <v>80</v>
      </c>
      <c r="B122" s="10"/>
      <c r="C122" s="10"/>
      <c r="D122" s="10">
        <v>0</v>
      </c>
      <c r="E122" s="10">
        <v>0</v>
      </c>
      <c r="F122" s="10"/>
      <c r="G122" s="10"/>
      <c r="H122" s="10"/>
      <c r="I122" s="10"/>
      <c r="J122" s="10"/>
      <c r="K122" s="10"/>
      <c r="L122" s="10"/>
      <c r="M122" s="10"/>
      <c r="N122" s="10"/>
      <c r="O122" s="10"/>
      <c r="P122" s="10"/>
      <c r="Q122" s="10"/>
      <c r="R122" s="10"/>
      <c r="S122" s="10"/>
      <c r="T122" s="10"/>
      <c r="U122" s="10"/>
      <c r="V122" s="10"/>
      <c r="W122" s="10"/>
      <c r="X122" s="10"/>
      <c r="Y122" s="10"/>
      <c r="Z122" s="11"/>
    </row>
    <row r="123" spans="1:26">
      <c r="A123" s="9" t="s">
        <v>235</v>
      </c>
      <c r="B123" s="10"/>
      <c r="C123" s="10"/>
      <c r="D123" s="10">
        <v>0</v>
      </c>
      <c r="E123" s="10">
        <v>0</v>
      </c>
      <c r="F123" s="10"/>
      <c r="G123" s="10"/>
      <c r="H123" s="10"/>
      <c r="I123" s="10"/>
      <c r="J123" s="10"/>
      <c r="K123" s="10"/>
      <c r="L123" s="10"/>
      <c r="M123" s="10"/>
      <c r="N123" s="10"/>
      <c r="O123" s="10"/>
      <c r="P123" s="10"/>
      <c r="Q123" s="10"/>
      <c r="R123" s="10"/>
      <c r="S123" s="10"/>
      <c r="T123" s="10"/>
      <c r="U123" s="10"/>
      <c r="V123" s="10"/>
      <c r="W123" s="10"/>
      <c r="X123" s="10"/>
      <c r="Y123" s="10"/>
      <c r="Z123" s="11"/>
    </row>
    <row r="124" spans="1:26">
      <c r="A124" s="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1"/>
    </row>
    <row r="125" spans="1:26">
      <c r="A125" s="21" t="s">
        <v>236</v>
      </c>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1"/>
    </row>
    <row r="126" spans="1:26">
      <c r="A126" s="9" t="s">
        <v>239</v>
      </c>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1"/>
    </row>
    <row r="127" spans="1:26">
      <c r="A127" s="9"/>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1"/>
    </row>
    <row r="128" spans="1:26">
      <c r="A128" s="9"/>
      <c r="B128" s="10" t="s">
        <v>5</v>
      </c>
      <c r="C128" s="10" t="s">
        <v>29</v>
      </c>
      <c r="D128" s="10" t="s">
        <v>30</v>
      </c>
      <c r="E128" s="10" t="s">
        <v>31</v>
      </c>
      <c r="F128" s="10" t="s">
        <v>32</v>
      </c>
      <c r="G128" s="10" t="s">
        <v>8</v>
      </c>
      <c r="H128" s="10"/>
      <c r="I128" s="10"/>
      <c r="J128" s="10"/>
      <c r="K128" s="10"/>
      <c r="L128" s="10"/>
      <c r="M128" s="10"/>
      <c r="N128" s="10"/>
      <c r="O128" s="10"/>
      <c r="P128" s="10"/>
      <c r="Q128" s="10"/>
      <c r="R128" s="10"/>
      <c r="S128" s="10"/>
      <c r="T128" s="10"/>
      <c r="U128" s="10"/>
      <c r="V128" s="10"/>
      <c r="W128" s="10"/>
      <c r="X128" s="10"/>
      <c r="Y128" s="10"/>
      <c r="Z128" s="11"/>
    </row>
    <row r="129" spans="1:26">
      <c r="A129" s="9" t="s">
        <v>240</v>
      </c>
      <c r="B129" s="10">
        <v>0</v>
      </c>
      <c r="C129" s="10">
        <v>0</v>
      </c>
      <c r="D129" s="10">
        <v>0</v>
      </c>
      <c r="E129" s="10">
        <v>0</v>
      </c>
      <c r="F129" s="10">
        <v>0</v>
      </c>
      <c r="G129" s="10">
        <v>0</v>
      </c>
      <c r="H129" s="10"/>
      <c r="I129" s="10"/>
      <c r="J129" s="10"/>
      <c r="K129" s="10"/>
      <c r="L129" s="10"/>
      <c r="M129" s="10"/>
      <c r="N129" s="10"/>
      <c r="O129" s="10"/>
      <c r="P129" s="10"/>
      <c r="Q129" s="10"/>
      <c r="R129" s="10"/>
      <c r="S129" s="10"/>
      <c r="T129" s="10"/>
      <c r="U129" s="10"/>
      <c r="V129" s="10"/>
      <c r="W129" s="10"/>
      <c r="X129" s="10"/>
      <c r="Y129" s="10"/>
      <c r="Z129" s="11"/>
    </row>
    <row r="130" spans="1:26">
      <c r="A130" s="9"/>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1"/>
    </row>
    <row r="131" spans="1:26">
      <c r="A131" s="21" t="s">
        <v>174</v>
      </c>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1"/>
    </row>
    <row r="132" spans="1:26">
      <c r="A132" s="9" t="s">
        <v>258</v>
      </c>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1"/>
    </row>
    <row r="133" spans="1:26">
      <c r="A133" s="9" t="s">
        <v>257</v>
      </c>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1"/>
    </row>
    <row r="134" spans="1:26">
      <c r="A134" s="9" t="s">
        <v>243</v>
      </c>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1"/>
    </row>
    <row r="135" spans="1:26">
      <c r="A135" s="9"/>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1"/>
    </row>
    <row r="136" spans="1:26">
      <c r="A136" s="9" t="s">
        <v>244</v>
      </c>
      <c r="B136" s="10"/>
      <c r="C136" s="10"/>
      <c r="D136" s="10">
        <v>0</v>
      </c>
      <c r="E136" s="10"/>
      <c r="F136" s="10"/>
      <c r="G136" s="10"/>
      <c r="H136" s="10"/>
      <c r="I136" s="10"/>
      <c r="J136" s="10"/>
      <c r="K136" s="10"/>
      <c r="L136" s="10"/>
      <c r="M136" s="10"/>
      <c r="N136" s="10"/>
      <c r="O136" s="10"/>
      <c r="P136" s="10"/>
      <c r="Q136" s="10"/>
      <c r="R136" s="10"/>
      <c r="S136" s="10"/>
      <c r="T136" s="10"/>
      <c r="U136" s="10"/>
      <c r="V136" s="10"/>
      <c r="W136" s="10"/>
      <c r="X136" s="10"/>
      <c r="Y136" s="10"/>
      <c r="Z136" s="11"/>
    </row>
    <row r="137" spans="1:26">
      <c r="A137" s="9" t="s">
        <v>245</v>
      </c>
      <c r="B137" s="10"/>
      <c r="C137" s="10"/>
      <c r="D137" s="10">
        <v>0</v>
      </c>
      <c r="E137" s="10"/>
      <c r="F137" s="10"/>
      <c r="G137" s="10"/>
      <c r="H137" s="10"/>
      <c r="I137" s="10"/>
      <c r="J137" s="10"/>
      <c r="K137" s="10"/>
      <c r="L137" s="10"/>
      <c r="M137" s="10"/>
      <c r="N137" s="10"/>
      <c r="O137" s="10"/>
      <c r="P137" s="10"/>
      <c r="Q137" s="10"/>
      <c r="R137" s="10"/>
      <c r="S137" s="10"/>
      <c r="T137" s="10"/>
      <c r="U137" s="10"/>
      <c r="V137" s="10"/>
      <c r="W137" s="10"/>
      <c r="X137" s="10"/>
      <c r="Y137" s="10"/>
      <c r="Z137" s="11"/>
    </row>
    <row r="138" spans="1:26" ht="15.75" thickBot="1">
      <c r="A138" s="12" t="s">
        <v>259</v>
      </c>
      <c r="B138" s="13"/>
      <c r="C138" s="13"/>
      <c r="D138" s="13">
        <v>0</v>
      </c>
      <c r="E138" s="13"/>
      <c r="F138" s="13"/>
      <c r="G138" s="13"/>
      <c r="H138" s="13"/>
      <c r="I138" s="13"/>
      <c r="J138" s="13"/>
      <c r="K138" s="13"/>
      <c r="L138" s="13"/>
      <c r="M138" s="13"/>
      <c r="N138" s="13"/>
      <c r="O138" s="13"/>
      <c r="P138" s="13"/>
      <c r="Q138" s="13"/>
      <c r="R138" s="13"/>
      <c r="S138" s="13"/>
      <c r="T138" s="13"/>
      <c r="U138" s="13"/>
      <c r="V138" s="13"/>
      <c r="W138" s="13"/>
      <c r="X138" s="13"/>
      <c r="Y138" s="13"/>
      <c r="Z138" s="14"/>
    </row>
  </sheetData>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280"/>
  <sheetViews>
    <sheetView zoomScale="75" zoomScaleNormal="80" workbookViewId="0">
      <selection activeCell="E11" sqref="E11"/>
    </sheetView>
  </sheetViews>
  <sheetFormatPr defaultRowHeight="15"/>
  <cols>
    <col min="1" max="1" width="10" customWidth="1"/>
    <col min="2" max="2" width="13.42578125" customWidth="1"/>
    <col min="4" max="4" width="15" bestFit="1" customWidth="1"/>
    <col min="5" max="5" width="14.85546875" bestFit="1" customWidth="1"/>
    <col min="6" max="6" width="15" bestFit="1" customWidth="1"/>
    <col min="7" max="7" width="14.85546875" bestFit="1" customWidth="1"/>
    <col min="8" max="8" width="14.140625" customWidth="1"/>
    <col min="9" max="9" width="13.140625" bestFit="1" customWidth="1"/>
    <col min="10" max="10" width="10.7109375" customWidth="1"/>
  </cols>
  <sheetData>
    <row r="1" spans="1:24">
      <c r="A1" s="1" t="s">
        <v>261</v>
      </c>
    </row>
    <row r="3" spans="1:24" ht="15.75" thickBot="1">
      <c r="A3" s="1" t="s">
        <v>194</v>
      </c>
    </row>
    <row r="4" spans="1:24">
      <c r="A4" s="35"/>
      <c r="B4" s="7"/>
      <c r="C4" s="7"/>
      <c r="D4" s="7"/>
      <c r="E4" s="7"/>
      <c r="F4" s="7"/>
      <c r="G4" s="7"/>
      <c r="H4" s="7"/>
      <c r="I4" s="7"/>
      <c r="J4" s="7"/>
      <c r="K4" s="7"/>
      <c r="L4" s="7"/>
      <c r="M4" s="7"/>
      <c r="N4" s="7"/>
      <c r="O4" s="7"/>
      <c r="P4" s="7"/>
      <c r="Q4" s="7"/>
      <c r="R4" s="7"/>
      <c r="S4" s="7"/>
      <c r="T4" s="7"/>
      <c r="U4" s="7"/>
      <c r="V4" s="7"/>
      <c r="W4" s="7"/>
      <c r="X4" s="8"/>
    </row>
    <row r="5" spans="1:24">
      <c r="A5" s="21" t="s">
        <v>262</v>
      </c>
      <c r="B5" s="10"/>
      <c r="C5" s="10"/>
      <c r="D5" s="10"/>
      <c r="E5" s="10"/>
      <c r="F5" s="10"/>
      <c r="G5" s="10"/>
      <c r="H5" s="10"/>
      <c r="I5" s="10"/>
      <c r="J5" s="10"/>
      <c r="K5" s="10"/>
      <c r="L5" s="10"/>
      <c r="M5" s="10"/>
      <c r="N5" s="10"/>
      <c r="O5" s="10"/>
      <c r="P5" s="10"/>
      <c r="Q5" s="10"/>
      <c r="R5" s="10"/>
      <c r="S5" s="10"/>
      <c r="T5" s="10"/>
      <c r="U5" s="10"/>
      <c r="V5" s="10"/>
      <c r="W5" s="10"/>
      <c r="X5" s="11"/>
    </row>
    <row r="6" spans="1:24">
      <c r="A6" s="9"/>
      <c r="B6" s="10" t="s">
        <v>4</v>
      </c>
      <c r="C6" s="10" t="s">
        <v>5</v>
      </c>
      <c r="D6" s="10" t="s">
        <v>29</v>
      </c>
      <c r="E6" s="10" t="s">
        <v>263</v>
      </c>
      <c r="F6" s="10" t="s">
        <v>31</v>
      </c>
      <c r="G6" s="10" t="s">
        <v>32</v>
      </c>
      <c r="H6" s="10" t="s">
        <v>8</v>
      </c>
      <c r="I6" s="10" t="s">
        <v>9</v>
      </c>
      <c r="J6" s="10" t="s">
        <v>10</v>
      </c>
      <c r="K6" s="10" t="s">
        <v>264</v>
      </c>
      <c r="L6" s="10"/>
      <c r="M6" s="10"/>
      <c r="N6" s="10"/>
      <c r="O6" s="10"/>
      <c r="P6" s="10"/>
      <c r="Q6" s="10"/>
      <c r="R6" s="10"/>
      <c r="S6" s="10"/>
      <c r="T6" s="10"/>
      <c r="U6" s="10"/>
      <c r="V6" s="10"/>
      <c r="W6" s="10"/>
      <c r="X6" s="11"/>
    </row>
    <row r="7" spans="1:24">
      <c r="A7" s="9" t="s">
        <v>141</v>
      </c>
      <c r="B7" s="27">
        <f>('Waste Collection'!$C$11*'Waste Collection'!E24/1000*(1-'Waste Collection'!$H$27-'Waste Collection'!$H$28)*'Waste Collection'!H29+'Waste Collection'!$G$11*'Waste Collection'!E61/1000*(1-'Waste Collection'!$D$56-'Waste Collection'!$D$57)*'Waste Collection'!$D$58+'Waste Collection'!$E$92*(1-'Waste Collection'!$F$114-'Waste Collection'!$F$115)*'Waste Collection'!$F$116)*'MRF &amp; RDF Sorting'!$B$35+'Biological Treatment'!C41*'Biological Treatment'!C43*'Biological Treatment'!$D$66+'Biological Treatment'!C94*'Biological Treatment'!C96*'Biological Treatment'!$D$120</f>
        <v>0</v>
      </c>
      <c r="C7" s="27">
        <f>'Waste Input'!$B$8*'Waste Input'!B27*(1-'Waste Collection'!E73)*'Waste Collection'!$E$77+('Waste Collection'!$C$11*'Waste Collection'!F24/1000*(1-'Waste Collection'!$H$27-'Waste Collection'!$H$28)+'Waste Collection'!$G$11*'Waste Collection'!F61/1000*(1-'Waste Collection'!$D$56-'Waste Collection'!$D$57)*'Waste Collection'!$D$58+'Waste Collection'!F92*(1-'Waste Collection'!$F$114-'Waste Collection'!$F$115)*'Waste Collection'!$F$116)*'MRF &amp; RDF Sorting'!$B$35+'Biological Treatment'!D41*'Biological Treatment'!D43*'Biological Treatment'!$D$66+'Biological Treatment'!D94*'Biological Treatment'!D96*'Biological Treatment'!$D$120</f>
        <v>0</v>
      </c>
      <c r="D7" s="27">
        <f>'Waste Input'!$B$8*'Waste Input'!C27*(1-'Waste Collection'!F73)*'Waste Collection'!$E$77+('Waste Collection'!$C$11*'Waste Collection'!G24/1000*(1-'Waste Collection'!$H$27-'Waste Collection'!$H$28)+'Waste Collection'!$G$11*'Waste Collection'!G61/1000*(1-'Waste Collection'!$D$56-'Waste Collection'!$D$57)*'Waste Collection'!$D$58+'Waste Collection'!G92*(1-'Waste Collection'!$F$114-'Waste Collection'!$F$115)*'Waste Collection'!$F$116)*'MRF &amp; RDF Sorting'!$B$35+'Biological Treatment'!E41*'Biological Treatment'!E43*'Biological Treatment'!$D$66+'Biological Treatment'!E94*'Biological Treatment'!E96*'Biological Treatment'!$D$120</f>
        <v>0</v>
      </c>
      <c r="E7" s="27">
        <f>'Waste Input'!$B$8*'Waste Input'!D27*(1-'Waste Collection'!G73)*'Waste Collection'!$E$77+('Waste Collection'!$C$11*'Waste Collection'!H24/1000*(1-'Waste Collection'!$H$27-'Waste Collection'!$H$28)+'Waste Collection'!$G$11*'Waste Collection'!H61/1000*(1-'Waste Collection'!$D$56-'Waste Collection'!$D$57)*'Waste Collection'!$D$58+'Waste Collection'!H92*(1-'Waste Collection'!$F$114-'Waste Collection'!$F$115)*'Waste Collection'!$F$116)*'MRF &amp; RDF Sorting'!$B$35+'Biological Treatment'!F41*'Biological Treatment'!F43*'Biological Treatment'!$D$66+'Biological Treatment'!F94*'Biological Treatment'!F96*'Biological Treatment'!$D$120</f>
        <v>0</v>
      </c>
      <c r="F7" s="27">
        <f>'Waste Input'!$B$8*'Waste Input'!E27*(1-'Waste Collection'!H73)*'Waste Collection'!$E$77+('Waste Collection'!$C$11*'Waste Collection'!I24/1000*(1-'Waste Collection'!$H$27-'Waste Collection'!$H$28)+'Waste Collection'!$G$11*'Waste Collection'!I61/1000*(1-'Waste Collection'!$D$56-'Waste Collection'!$D$57)*'Waste Collection'!$D$58+'Waste Collection'!I92*(1-'Waste Collection'!$F$114-'Waste Collection'!$F$115)*'Waste Collection'!$F$116)*'MRF &amp; RDF Sorting'!$B$35+'Biological Treatment'!G41*'Biological Treatment'!G43*'Biological Treatment'!$D$66+'Biological Treatment'!G94*'Biological Treatment'!G96*'Biological Treatment'!$D$120</f>
        <v>0</v>
      </c>
      <c r="G7" s="27">
        <f>'Waste Input'!$B$8*'Waste Input'!F27*(1-'Waste Collection'!I73)*'Waste Collection'!$E$77+('Waste Collection'!$C$11*'Waste Collection'!J24/1000*(1-'Waste Collection'!$H$27-'Waste Collection'!$H$28)+'Waste Collection'!$G$11*'Waste Collection'!J61/1000*(1-'Waste Collection'!$D$56-'Waste Collection'!$D$57)*'Waste Collection'!$D$58+'Waste Collection'!J92*(1-'Waste Collection'!$F$114-'Waste Collection'!$F$115)*'Waste Collection'!$F$116)*'MRF &amp; RDF Sorting'!$B$35+'Biological Treatment'!H41*'Biological Treatment'!H43*'Biological Treatment'!$D$66+'Biological Treatment'!H94*'Biological Treatment'!H96*'Biological Treatment'!$D$120</f>
        <v>0</v>
      </c>
      <c r="H7" s="27">
        <f>('Waste Collection'!$C$11*'Waste Collection'!K24/1000*(1-'Waste Collection'!$H$27-'Waste Collection'!$H$28)*'Waste Collection'!N29+'Waste Collection'!$G$11*'Waste Collection'!K61/1000*(1-'Waste Collection'!$D$56-'Waste Collection'!$D$57)*'Waste Collection'!$D$58+'Waste Collection'!K92*(1-'Waste Collection'!$F$114-'Waste Collection'!$F$115)*'Waste Collection'!$F$116)*'MRF &amp; RDF Sorting'!$B$35+'Biological Treatment'!I41*'Biological Treatment'!I43*'Biological Treatment'!$D$66+'Biological Treatment'!I94*'Biological Treatment'!I96*'Biological Treatment'!$D$120</f>
        <v>0</v>
      </c>
      <c r="I7" s="27">
        <f>('Waste Collection'!$C$11*'Waste Collection'!L24/1000*'Waste Collection'!$H$27+'Waste Collection'!$G$11*'Waste Collection'!L61*'Waste Collection'!$D$56+'Waste Collection'!K92*'Waste Collection'!$F$114)*'MRF &amp; RDF Sorting'!$B$35+'Biological Treatment'!J41*'Biological Treatment'!J43*'Biological Treatment'!$D$66+'Biological Treatment'!J94*'Biological Treatment'!J96*'Biological Treatment'!$D$120</f>
        <v>0</v>
      </c>
      <c r="J7" s="27">
        <f>'Waste Input'!$B$8*'Waste Input'!G27*(1-'Waste Collection'!J73)*'Waste Collection'!E77+('Waste Collection'!$C$11*'Waste Collection'!L24/1000*'Waste Collection'!$H$28+'Waste Collection'!$G$11*'Waste Collection'!L61/1000*'Waste Collection'!$D$57+'Waste Collection'!L92*'Waste Collection'!I98)*'MRF &amp; RDF Sorting'!$B$35+'Biological Treatment'!K41*'Biological Treatment'!K43*'Biological Treatment'!$D$66+'Biological Treatment'!K94*'Biological Treatment'!K96*'Biological Treatment'!$D$120</f>
        <v>0</v>
      </c>
      <c r="K7" s="27">
        <f>'Biological Treatment'!C54*(1-'Biological Treatment'!C55)*'Biological Treatment'!D67+'Biological Treatment'!C107*(1-'Biological Treatment'!C108)*'Biological Treatment'!D121</f>
        <v>0</v>
      </c>
      <c r="L7" s="10"/>
      <c r="M7" s="10"/>
      <c r="N7" s="10"/>
      <c r="O7" s="10"/>
      <c r="P7" s="10"/>
      <c r="Q7" s="10"/>
      <c r="R7" s="10"/>
      <c r="S7" s="10"/>
      <c r="T7" s="10"/>
      <c r="U7" s="10"/>
      <c r="V7" s="10"/>
      <c r="W7" s="10"/>
      <c r="X7" s="11"/>
    </row>
    <row r="8" spans="1:24">
      <c r="A8" s="9"/>
      <c r="B8" s="10"/>
      <c r="C8" s="10"/>
      <c r="D8" s="10"/>
      <c r="E8" s="10"/>
      <c r="F8" s="10"/>
      <c r="G8" s="10"/>
      <c r="H8" s="10"/>
      <c r="I8" s="10"/>
      <c r="J8" s="10"/>
      <c r="K8" s="10"/>
      <c r="L8" s="10"/>
      <c r="M8" s="10"/>
      <c r="N8" s="10"/>
      <c r="O8" s="10"/>
      <c r="P8" s="10"/>
      <c r="Q8" s="10"/>
      <c r="R8" s="10"/>
      <c r="S8" s="10"/>
      <c r="T8" s="10"/>
      <c r="U8" s="10"/>
      <c r="V8" s="10"/>
      <c r="W8" s="10"/>
      <c r="X8" s="11"/>
    </row>
    <row r="9" spans="1:24">
      <c r="A9" s="21" t="s">
        <v>269</v>
      </c>
      <c r="B9" s="10"/>
      <c r="C9" s="10"/>
      <c r="D9" s="10"/>
      <c r="E9" s="10"/>
      <c r="F9" s="10"/>
      <c r="G9" s="10"/>
      <c r="H9" s="10"/>
      <c r="I9" s="10"/>
      <c r="J9" s="10"/>
      <c r="K9" s="10"/>
      <c r="L9" s="10"/>
      <c r="M9" s="10"/>
      <c r="N9" s="10"/>
      <c r="O9" s="10"/>
      <c r="P9" s="10"/>
      <c r="Q9" s="10"/>
      <c r="R9" s="10"/>
      <c r="S9" s="10"/>
      <c r="T9" s="10"/>
      <c r="U9" s="10"/>
      <c r="V9" s="10"/>
      <c r="W9" s="10"/>
      <c r="X9" s="11"/>
    </row>
    <row r="10" spans="1:24">
      <c r="A10" s="9" t="s">
        <v>270</v>
      </c>
      <c r="B10" s="10"/>
      <c r="C10" s="10"/>
      <c r="D10" s="10"/>
      <c r="E10" s="10"/>
      <c r="F10" s="10"/>
      <c r="G10" s="10"/>
      <c r="H10" s="10"/>
      <c r="I10" s="10"/>
      <c r="J10" s="10"/>
      <c r="K10" s="10"/>
      <c r="L10" s="10"/>
      <c r="M10" s="10"/>
      <c r="N10" s="10"/>
      <c r="O10" s="10"/>
      <c r="P10" s="10"/>
      <c r="Q10" s="10"/>
      <c r="R10" s="10"/>
      <c r="S10" s="10"/>
      <c r="T10" s="10"/>
      <c r="U10" s="10"/>
      <c r="V10" s="10"/>
      <c r="W10" s="10"/>
      <c r="X10" s="11"/>
    </row>
    <row r="11" spans="1:24">
      <c r="A11" s="9" t="s">
        <v>41</v>
      </c>
      <c r="B11" s="58">
        <v>1</v>
      </c>
      <c r="C11" s="10"/>
      <c r="D11" s="10"/>
      <c r="E11" s="10"/>
      <c r="F11" s="10"/>
      <c r="G11" s="10"/>
      <c r="H11" s="10"/>
      <c r="I11" s="10"/>
      <c r="J11" s="10"/>
      <c r="K11" s="10"/>
      <c r="L11" s="10"/>
      <c r="M11" s="10"/>
      <c r="N11" s="10"/>
      <c r="O11" s="10"/>
      <c r="P11" s="10"/>
      <c r="Q11" s="10"/>
      <c r="R11" s="10"/>
      <c r="S11" s="10"/>
      <c r="T11" s="10"/>
      <c r="U11" s="10"/>
      <c r="V11" s="10"/>
      <c r="W11" s="10"/>
      <c r="X11" s="11"/>
    </row>
    <row r="12" spans="1:24">
      <c r="A12" s="9"/>
      <c r="B12" s="10"/>
      <c r="C12" s="10"/>
      <c r="D12" s="10"/>
      <c r="E12" s="10"/>
      <c r="F12" s="10"/>
      <c r="G12" s="10"/>
      <c r="H12" s="10"/>
      <c r="I12" s="10"/>
      <c r="J12" s="10"/>
      <c r="K12" s="10"/>
      <c r="L12" s="10"/>
      <c r="M12" s="10"/>
      <c r="N12" s="10"/>
      <c r="O12" s="10"/>
      <c r="P12" s="10"/>
      <c r="Q12" s="10"/>
      <c r="R12" s="10"/>
      <c r="S12" s="10"/>
      <c r="T12" s="10"/>
      <c r="U12" s="10"/>
      <c r="V12" s="10"/>
      <c r="W12" s="10"/>
      <c r="X12" s="11"/>
    </row>
    <row r="13" spans="1:24">
      <c r="A13" s="9"/>
      <c r="B13" s="10" t="s">
        <v>4</v>
      </c>
      <c r="C13" s="10" t="s">
        <v>5</v>
      </c>
      <c r="D13" s="10" t="s">
        <v>29</v>
      </c>
      <c r="E13" s="10" t="s">
        <v>263</v>
      </c>
      <c r="F13" s="10" t="s">
        <v>31</v>
      </c>
      <c r="G13" s="10" t="s">
        <v>32</v>
      </c>
      <c r="H13" s="10" t="s">
        <v>8</v>
      </c>
      <c r="I13" s="10" t="s">
        <v>9</v>
      </c>
      <c r="J13" s="10" t="s">
        <v>10</v>
      </c>
      <c r="K13" s="10"/>
      <c r="L13" s="10"/>
      <c r="M13" s="10"/>
      <c r="N13" s="10"/>
      <c r="O13" s="10"/>
      <c r="P13" s="10"/>
      <c r="Q13" s="10"/>
      <c r="R13" s="10"/>
      <c r="S13" s="10"/>
      <c r="T13" s="10"/>
      <c r="U13" s="10"/>
      <c r="V13" s="10"/>
      <c r="W13" s="10"/>
      <c r="X13" s="11"/>
    </row>
    <row r="14" spans="1:24">
      <c r="A14" s="9" t="s">
        <v>141</v>
      </c>
      <c r="B14" s="27">
        <f>('MRF &amp; RDF Sorting'!B128*(1-'MRF &amp; RDF Sorting'!$D$136)-'Biological Treatment'!B17)*'Thermal Treatment'!$B$11</f>
        <v>42500</v>
      </c>
      <c r="C14" s="27">
        <f>('MRF &amp; RDF Sorting'!C128*(1-'MRF &amp; RDF Sorting'!$D$136)-'Biological Treatment'!C17)*'Thermal Treatment'!$B$11</f>
        <v>4112.4999999999982</v>
      </c>
      <c r="D14" s="27">
        <f>('MRF &amp; RDF Sorting'!D128*(1-'MRF &amp; RDF Sorting'!$D$136)-'Biological Treatment'!D17)*'Thermal Treatment'!$B$11</f>
        <v>5135</v>
      </c>
      <c r="E14" s="27">
        <f>('MRF &amp; RDF Sorting'!E128*(1-'MRF &amp; RDF Sorting'!$D$136)-'Biological Treatment'!E17)*'Thermal Treatment'!$B$11</f>
        <v>390.00000000000023</v>
      </c>
      <c r="F14" s="27">
        <f>('MRF &amp; RDF Sorting'!F128*(1-'MRF &amp; RDF Sorting'!$D$136)-'Biological Treatment'!F17)*'Thermal Treatment'!$B$11</f>
        <v>8000</v>
      </c>
      <c r="G14" s="27">
        <f>('MRF &amp; RDF Sorting'!G128*(1-'MRF &amp; RDF Sorting'!$D$136)-'Biological Treatment'!G17)*'Thermal Treatment'!$B$11</f>
        <v>875</v>
      </c>
      <c r="H14" s="27">
        <f>('MRF &amp; RDF Sorting'!H128*(1-'MRF &amp; RDF Sorting'!$D$136)-'Biological Treatment'!H17)*'Thermal Treatment'!$B$11</f>
        <v>3900</v>
      </c>
      <c r="I14" s="27">
        <f>('MRF &amp; RDF Sorting'!I128*(1-'MRF &amp; RDF Sorting'!$D$136)-'Biological Treatment'!I17)*'Thermal Treatment'!$B$11</f>
        <v>9981.2499999999964</v>
      </c>
      <c r="J14" s="27">
        <f>('MRF &amp; RDF Sorting'!J128*(1-'MRF &amp; RDF Sorting'!$D$136)-'Biological Treatment'!J17)*'Thermal Treatment'!$B$11</f>
        <v>27606.25</v>
      </c>
      <c r="K14" s="10"/>
      <c r="L14" s="10"/>
      <c r="M14" s="10"/>
      <c r="N14" s="10"/>
      <c r="O14" s="10"/>
      <c r="P14" s="10"/>
      <c r="Q14" s="10"/>
      <c r="R14" s="10"/>
      <c r="S14" s="10"/>
      <c r="T14" s="10"/>
      <c r="U14" s="10"/>
      <c r="V14" s="10"/>
      <c r="W14" s="10"/>
      <c r="X14" s="11"/>
    </row>
    <row r="15" spans="1:24">
      <c r="A15" s="9"/>
      <c r="B15" s="10"/>
      <c r="C15" s="10"/>
      <c r="D15" s="10"/>
      <c r="E15" s="10"/>
      <c r="F15" s="10"/>
      <c r="G15" s="10"/>
      <c r="H15" s="10"/>
      <c r="I15" s="10"/>
      <c r="J15" s="10"/>
      <c r="K15" s="10"/>
      <c r="L15" s="10"/>
      <c r="M15" s="10"/>
      <c r="N15" s="10"/>
      <c r="O15" s="10"/>
      <c r="P15" s="10"/>
      <c r="Q15" s="10"/>
      <c r="R15" s="10"/>
      <c r="S15" s="10"/>
      <c r="T15" s="10"/>
      <c r="U15" s="10"/>
      <c r="V15" s="10"/>
      <c r="W15" s="10"/>
      <c r="X15" s="11"/>
    </row>
    <row r="16" spans="1:24">
      <c r="A16" s="21" t="s">
        <v>271</v>
      </c>
      <c r="B16" s="10"/>
      <c r="C16" s="10"/>
      <c r="D16" s="10"/>
      <c r="E16" s="10"/>
      <c r="F16" s="10"/>
      <c r="G16" s="10"/>
      <c r="H16" s="10"/>
      <c r="I16" s="10"/>
      <c r="J16" s="10"/>
      <c r="K16" s="10"/>
      <c r="L16" s="10"/>
      <c r="M16" s="10"/>
      <c r="N16" s="10"/>
      <c r="O16" s="10"/>
      <c r="P16" s="10"/>
      <c r="Q16" s="10"/>
      <c r="R16" s="10"/>
      <c r="S16" s="10"/>
      <c r="T16" s="10"/>
      <c r="U16" s="10"/>
      <c r="V16" s="10"/>
      <c r="W16" s="10"/>
      <c r="X16" s="11"/>
    </row>
    <row r="17" spans="1:24">
      <c r="A17" s="9" t="s">
        <v>272</v>
      </c>
      <c r="B17" s="10"/>
      <c r="C17" s="10"/>
      <c r="D17" s="10"/>
      <c r="E17" s="10"/>
      <c r="F17" s="10"/>
      <c r="G17" s="10"/>
      <c r="H17" s="10"/>
      <c r="I17" s="10"/>
      <c r="J17" s="10"/>
      <c r="K17" s="10"/>
      <c r="L17" s="10"/>
      <c r="M17" s="10"/>
      <c r="N17" s="10"/>
      <c r="O17" s="10"/>
      <c r="P17" s="10"/>
      <c r="Q17" s="10"/>
      <c r="R17" s="10"/>
      <c r="S17" s="10"/>
      <c r="T17" s="10"/>
      <c r="U17" s="10"/>
      <c r="V17" s="10"/>
      <c r="W17" s="10"/>
      <c r="X17" s="11"/>
    </row>
    <row r="18" spans="1:24">
      <c r="A18" s="9"/>
      <c r="B18" s="10"/>
      <c r="C18" s="10"/>
      <c r="D18" s="10"/>
      <c r="E18" s="10"/>
      <c r="F18" s="10"/>
      <c r="G18" s="10"/>
      <c r="H18" s="10"/>
      <c r="I18" s="10"/>
      <c r="J18" s="10"/>
      <c r="K18" s="10"/>
      <c r="L18" s="10"/>
      <c r="M18" s="10"/>
      <c r="N18" s="10"/>
      <c r="O18" s="10"/>
      <c r="P18" s="10"/>
      <c r="Q18" s="10"/>
      <c r="R18" s="10"/>
      <c r="S18" s="10"/>
      <c r="T18" s="10"/>
      <c r="U18" s="10"/>
      <c r="V18" s="10"/>
      <c r="W18" s="10"/>
      <c r="X18" s="11"/>
    </row>
    <row r="19" spans="1:24">
      <c r="A19" s="9"/>
      <c r="B19" s="10" t="s">
        <v>4</v>
      </c>
      <c r="C19" s="10" t="s">
        <v>5</v>
      </c>
      <c r="D19" s="10" t="s">
        <v>29</v>
      </c>
      <c r="E19" s="10" t="s">
        <v>263</v>
      </c>
      <c r="F19" s="10" t="s">
        <v>31</v>
      </c>
      <c r="G19" s="10" t="s">
        <v>32</v>
      </c>
      <c r="H19" s="10" t="s">
        <v>8</v>
      </c>
      <c r="I19" s="10" t="s">
        <v>9</v>
      </c>
      <c r="J19" s="10" t="s">
        <v>10</v>
      </c>
      <c r="K19" s="10" t="s">
        <v>264</v>
      </c>
      <c r="L19" s="10"/>
      <c r="M19" s="10"/>
      <c r="N19" s="10"/>
      <c r="O19" s="10"/>
      <c r="P19" s="10"/>
      <c r="Q19" s="10"/>
      <c r="R19" s="10"/>
      <c r="S19" s="10"/>
      <c r="T19" s="10"/>
      <c r="U19" s="10"/>
      <c r="V19" s="10"/>
      <c r="W19" s="10"/>
      <c r="X19" s="11"/>
    </row>
    <row r="20" spans="1:24">
      <c r="A20" s="9" t="s">
        <v>141</v>
      </c>
      <c r="B20" s="27">
        <f t="shared" ref="B20:J20" si="0">B7+B14</f>
        <v>42500</v>
      </c>
      <c r="C20" s="27">
        <f t="shared" si="0"/>
        <v>4112.4999999999982</v>
      </c>
      <c r="D20" s="27">
        <f t="shared" si="0"/>
        <v>5135</v>
      </c>
      <c r="E20" s="27">
        <f t="shared" si="0"/>
        <v>390.00000000000023</v>
      </c>
      <c r="F20" s="27">
        <f t="shared" si="0"/>
        <v>8000</v>
      </c>
      <c r="G20" s="27">
        <f t="shared" si="0"/>
        <v>875</v>
      </c>
      <c r="H20" s="27">
        <f t="shared" si="0"/>
        <v>3900</v>
      </c>
      <c r="I20" s="27">
        <f t="shared" si="0"/>
        <v>9981.2499999999964</v>
      </c>
      <c r="J20" s="27">
        <f t="shared" si="0"/>
        <v>27606.25</v>
      </c>
      <c r="K20" s="27">
        <f>K7</f>
        <v>0</v>
      </c>
      <c r="L20" s="10"/>
      <c r="M20" s="10"/>
      <c r="N20" s="10"/>
      <c r="O20" s="10"/>
      <c r="P20" s="10"/>
      <c r="Q20" s="10"/>
      <c r="R20" s="10"/>
      <c r="S20" s="10"/>
      <c r="T20" s="10"/>
      <c r="U20" s="10"/>
      <c r="V20" s="10"/>
      <c r="W20" s="10"/>
      <c r="X20" s="11"/>
    </row>
    <row r="21" spans="1:24">
      <c r="A21" s="9"/>
      <c r="B21" s="10"/>
      <c r="C21" s="10"/>
      <c r="D21" s="10"/>
      <c r="E21" s="10"/>
      <c r="F21" s="10"/>
      <c r="G21" s="10"/>
      <c r="H21" s="10"/>
      <c r="I21" s="10"/>
      <c r="J21" s="10"/>
      <c r="K21" s="10"/>
      <c r="L21" s="10"/>
      <c r="M21" s="10"/>
      <c r="N21" s="10"/>
      <c r="O21" s="10"/>
      <c r="P21" s="10"/>
      <c r="Q21" s="10"/>
      <c r="R21" s="10"/>
      <c r="S21" s="10"/>
      <c r="T21" s="10"/>
      <c r="U21" s="10"/>
      <c r="V21" s="10"/>
      <c r="W21" s="10"/>
      <c r="X21" s="11"/>
    </row>
    <row r="22" spans="1:24">
      <c r="A22" s="21" t="s">
        <v>273</v>
      </c>
      <c r="B22" s="10"/>
      <c r="C22" s="10"/>
      <c r="D22" s="10"/>
      <c r="E22" s="10"/>
      <c r="F22" s="10"/>
      <c r="G22" s="10"/>
      <c r="H22" s="10"/>
      <c r="I22" s="10"/>
      <c r="J22" s="10"/>
      <c r="K22" s="10"/>
      <c r="L22" s="10"/>
      <c r="M22" s="10"/>
      <c r="N22" s="10"/>
      <c r="O22" s="10"/>
      <c r="P22" s="10"/>
      <c r="Q22" s="10"/>
      <c r="R22" s="10"/>
      <c r="S22" s="10"/>
      <c r="T22" s="10"/>
      <c r="U22" s="10"/>
      <c r="V22" s="10"/>
      <c r="W22" s="10"/>
      <c r="X22" s="11"/>
    </row>
    <row r="23" spans="1:24">
      <c r="A23" s="9" t="s">
        <v>274</v>
      </c>
      <c r="B23" s="10"/>
      <c r="C23" s="10"/>
      <c r="D23" s="10"/>
      <c r="E23" s="10"/>
      <c r="F23" s="10"/>
      <c r="G23" s="10"/>
      <c r="H23" s="10"/>
      <c r="I23" s="10"/>
      <c r="J23" s="10"/>
      <c r="K23" s="10"/>
      <c r="L23" s="10"/>
      <c r="M23" s="10"/>
      <c r="N23" s="10"/>
      <c r="O23" s="10"/>
      <c r="P23" s="10"/>
      <c r="Q23" s="10"/>
      <c r="R23" s="10"/>
      <c r="S23" s="10"/>
      <c r="T23" s="10"/>
      <c r="U23" s="10"/>
      <c r="V23" s="10"/>
      <c r="W23" s="10"/>
      <c r="X23" s="11"/>
    </row>
    <row r="24" spans="1:24">
      <c r="A24" s="9" t="s">
        <v>275</v>
      </c>
      <c r="B24" s="10"/>
      <c r="C24" s="10"/>
      <c r="D24" s="10"/>
      <c r="E24" s="10"/>
      <c r="F24" s="10"/>
      <c r="G24" s="10"/>
      <c r="H24" s="10"/>
      <c r="I24" s="10"/>
      <c r="J24" s="10"/>
      <c r="K24" s="10"/>
      <c r="L24" s="10"/>
      <c r="M24" s="10"/>
      <c r="N24" s="10"/>
      <c r="O24" s="10"/>
      <c r="P24" s="10"/>
      <c r="Q24" s="10"/>
      <c r="R24" s="10"/>
      <c r="S24" s="10"/>
      <c r="T24" s="10"/>
      <c r="U24" s="10"/>
      <c r="V24" s="10"/>
      <c r="W24" s="10"/>
      <c r="X24" s="11"/>
    </row>
    <row r="25" spans="1:24">
      <c r="A25" s="9"/>
      <c r="B25" s="10"/>
      <c r="C25" s="10"/>
      <c r="D25" s="10"/>
      <c r="E25" s="10"/>
      <c r="F25" s="10"/>
      <c r="G25" s="10"/>
      <c r="H25" s="10"/>
      <c r="I25" s="10"/>
      <c r="J25" s="10"/>
      <c r="K25" s="10"/>
      <c r="L25" s="10"/>
      <c r="M25" s="10"/>
      <c r="N25" s="10"/>
      <c r="O25" s="10"/>
      <c r="P25" s="10"/>
      <c r="Q25" s="10"/>
      <c r="R25" s="10"/>
      <c r="S25" s="10"/>
      <c r="T25" s="10"/>
      <c r="U25" s="10"/>
      <c r="V25" s="10"/>
      <c r="W25" s="10"/>
      <c r="X25" s="11"/>
    </row>
    <row r="26" spans="1:24">
      <c r="A26" s="9"/>
      <c r="B26" s="10" t="s">
        <v>277</v>
      </c>
      <c r="C26" s="10"/>
      <c r="D26" s="10"/>
      <c r="E26" s="10" t="s">
        <v>278</v>
      </c>
      <c r="F26" s="10"/>
      <c r="G26" s="10"/>
      <c r="H26" s="10"/>
      <c r="I26" s="10"/>
      <c r="J26" s="10"/>
      <c r="K26" s="10"/>
      <c r="L26" s="10"/>
      <c r="M26" s="10"/>
      <c r="N26" s="10"/>
      <c r="O26" s="10"/>
      <c r="P26" s="10"/>
      <c r="Q26" s="10"/>
      <c r="R26" s="10"/>
      <c r="S26" s="10"/>
      <c r="T26" s="10"/>
      <c r="U26" s="10"/>
      <c r="V26" s="10"/>
      <c r="W26" s="10"/>
      <c r="X26" s="11"/>
    </row>
    <row r="27" spans="1:24">
      <c r="A27" s="9" t="s">
        <v>276</v>
      </c>
      <c r="B27" s="58">
        <v>1</v>
      </c>
      <c r="C27" s="10"/>
      <c r="D27" s="10"/>
      <c r="E27" s="58">
        <v>0</v>
      </c>
      <c r="F27" s="10"/>
      <c r="G27" s="10"/>
      <c r="H27" s="10"/>
      <c r="I27" s="10"/>
      <c r="J27" s="10"/>
      <c r="K27" s="10"/>
      <c r="L27" s="10"/>
      <c r="M27" s="10"/>
      <c r="N27" s="10"/>
      <c r="O27" s="10"/>
      <c r="P27" s="10"/>
      <c r="Q27" s="10"/>
      <c r="R27" s="10"/>
      <c r="S27" s="10"/>
      <c r="T27" s="10"/>
      <c r="U27" s="10"/>
      <c r="V27" s="10"/>
      <c r="W27" s="10"/>
      <c r="X27" s="11"/>
    </row>
    <row r="28" spans="1:24" ht="15.75" thickBot="1">
      <c r="A28" s="12"/>
      <c r="B28" s="13"/>
      <c r="C28" s="13"/>
      <c r="D28" s="13"/>
      <c r="E28" s="13"/>
      <c r="F28" s="13"/>
      <c r="G28" s="13"/>
      <c r="H28" s="13"/>
      <c r="I28" s="13"/>
      <c r="J28" s="13"/>
      <c r="K28" s="13"/>
      <c r="L28" s="13"/>
      <c r="M28" s="13"/>
      <c r="N28" s="13"/>
      <c r="O28" s="13"/>
      <c r="P28" s="13"/>
      <c r="Q28" s="13"/>
      <c r="R28" s="13"/>
      <c r="S28" s="13"/>
      <c r="T28" s="13"/>
      <c r="U28" s="13"/>
      <c r="V28" s="13"/>
      <c r="W28" s="13"/>
      <c r="X28" s="14"/>
    </row>
    <row r="30" spans="1:24">
      <c r="A30" s="1" t="s">
        <v>277</v>
      </c>
    </row>
    <row r="31" spans="1:24" ht="15.75" thickBot="1">
      <c r="A31" t="s">
        <v>280</v>
      </c>
    </row>
    <row r="32" spans="1:24">
      <c r="A32" s="35"/>
      <c r="B32" s="7"/>
      <c r="C32" s="7"/>
      <c r="D32" s="7"/>
      <c r="E32" s="7"/>
      <c r="F32" s="7"/>
      <c r="G32" s="7"/>
      <c r="H32" s="7"/>
      <c r="I32" s="7"/>
      <c r="J32" s="7"/>
      <c r="K32" s="7"/>
      <c r="L32" s="7"/>
      <c r="M32" s="7"/>
      <c r="N32" s="7"/>
      <c r="O32" s="7"/>
      <c r="P32" s="7"/>
      <c r="Q32" s="7"/>
      <c r="R32" s="7"/>
      <c r="S32" s="8"/>
    </row>
    <row r="33" spans="1:19">
      <c r="A33" s="21" t="s">
        <v>279</v>
      </c>
      <c r="B33" s="10"/>
      <c r="C33" s="10"/>
      <c r="D33" s="10"/>
      <c r="E33" s="10"/>
      <c r="F33" s="10"/>
      <c r="G33" s="10"/>
      <c r="H33" s="10"/>
      <c r="I33" s="10"/>
      <c r="J33" s="10"/>
      <c r="K33" s="10"/>
      <c r="L33" s="10"/>
      <c r="M33" s="10"/>
      <c r="N33" s="10"/>
      <c r="O33" s="10"/>
      <c r="P33" s="10"/>
      <c r="Q33" s="10"/>
      <c r="R33" s="10"/>
      <c r="S33" s="11"/>
    </row>
    <row r="34" spans="1:19">
      <c r="A34" s="9"/>
      <c r="B34" s="10"/>
      <c r="C34" s="10"/>
      <c r="D34" s="10"/>
      <c r="E34" s="10"/>
      <c r="F34" s="10"/>
      <c r="G34" s="10"/>
      <c r="H34" s="10"/>
      <c r="I34" s="10"/>
      <c r="J34" s="10"/>
      <c r="K34" s="10"/>
      <c r="L34" s="10"/>
      <c r="M34" s="10"/>
      <c r="N34" s="10"/>
      <c r="O34" s="10"/>
      <c r="P34" s="10"/>
      <c r="Q34" s="10"/>
      <c r="R34" s="10"/>
      <c r="S34" s="11"/>
    </row>
    <row r="35" spans="1:19">
      <c r="A35" s="9"/>
      <c r="B35" s="10"/>
      <c r="C35" s="10"/>
      <c r="D35" s="10" t="s">
        <v>4</v>
      </c>
      <c r="E35" s="10" t="s">
        <v>5</v>
      </c>
      <c r="F35" s="10" t="s">
        <v>29</v>
      </c>
      <c r="G35" s="10" t="s">
        <v>263</v>
      </c>
      <c r="H35" s="10" t="s">
        <v>31</v>
      </c>
      <c r="I35" s="10" t="s">
        <v>32</v>
      </c>
      <c r="J35" s="10" t="s">
        <v>8</v>
      </c>
      <c r="K35" s="10" t="s">
        <v>9</v>
      </c>
      <c r="L35" s="10" t="s">
        <v>10</v>
      </c>
      <c r="M35" s="10" t="s">
        <v>264</v>
      </c>
      <c r="N35" s="10"/>
      <c r="O35" s="10"/>
      <c r="P35" s="10"/>
      <c r="Q35" s="10"/>
      <c r="R35" s="10"/>
      <c r="S35" s="11"/>
    </row>
    <row r="36" spans="1:19">
      <c r="A36" s="9" t="s">
        <v>107</v>
      </c>
      <c r="B36" s="10"/>
      <c r="C36" s="10"/>
      <c r="D36" s="27">
        <f>$B$27*B20</f>
        <v>42500</v>
      </c>
      <c r="E36" s="27">
        <f t="shared" ref="E36:M36" si="1">$B$27*C20</f>
        <v>4112.4999999999982</v>
      </c>
      <c r="F36" s="27">
        <f t="shared" si="1"/>
        <v>5135</v>
      </c>
      <c r="G36" s="27">
        <f t="shared" si="1"/>
        <v>390.00000000000023</v>
      </c>
      <c r="H36" s="27">
        <f t="shared" si="1"/>
        <v>8000</v>
      </c>
      <c r="I36" s="27">
        <f t="shared" si="1"/>
        <v>875</v>
      </c>
      <c r="J36" s="27">
        <f t="shared" si="1"/>
        <v>3900</v>
      </c>
      <c r="K36" s="27">
        <f t="shared" si="1"/>
        <v>9981.2499999999964</v>
      </c>
      <c r="L36" s="27">
        <f t="shared" si="1"/>
        <v>27606.25</v>
      </c>
      <c r="M36" s="27">
        <f t="shared" si="1"/>
        <v>0</v>
      </c>
      <c r="N36" s="10"/>
      <c r="O36" s="10"/>
      <c r="P36" s="10"/>
      <c r="Q36" s="10"/>
      <c r="R36" s="10"/>
      <c r="S36" s="11"/>
    </row>
    <row r="37" spans="1:19">
      <c r="A37" s="9" t="s">
        <v>281</v>
      </c>
      <c r="B37" s="10"/>
      <c r="C37" s="10"/>
      <c r="D37" s="15">
        <v>0</v>
      </c>
      <c r="E37" s="15">
        <v>0</v>
      </c>
      <c r="F37" s="15">
        <v>0</v>
      </c>
      <c r="G37" s="15">
        <v>0</v>
      </c>
      <c r="H37" s="15">
        <v>0</v>
      </c>
      <c r="I37" s="15">
        <v>0</v>
      </c>
      <c r="J37" s="15">
        <v>0</v>
      </c>
      <c r="K37" s="15">
        <v>0</v>
      </c>
      <c r="L37" s="15">
        <v>0</v>
      </c>
      <c r="M37" s="15">
        <v>0</v>
      </c>
      <c r="N37" s="10"/>
      <c r="O37" s="10"/>
      <c r="P37" s="10"/>
      <c r="Q37" s="10"/>
      <c r="R37" s="10"/>
      <c r="S37" s="11"/>
    </row>
    <row r="38" spans="1:19">
      <c r="A38" s="9" t="s">
        <v>282</v>
      </c>
      <c r="B38" s="10"/>
      <c r="C38" s="10"/>
      <c r="D38" s="27">
        <f>D36*(1-D37)</f>
        <v>42500</v>
      </c>
      <c r="E38" s="27">
        <f t="shared" ref="E38:M38" si="2">E36*(1-E37)</f>
        <v>4112.4999999999982</v>
      </c>
      <c r="F38" s="27">
        <f t="shared" si="2"/>
        <v>5135</v>
      </c>
      <c r="G38" s="27">
        <f t="shared" si="2"/>
        <v>390.00000000000023</v>
      </c>
      <c r="H38" s="27">
        <f t="shared" si="2"/>
        <v>8000</v>
      </c>
      <c r="I38" s="27">
        <f t="shared" si="2"/>
        <v>875</v>
      </c>
      <c r="J38" s="27">
        <f t="shared" si="2"/>
        <v>3900</v>
      </c>
      <c r="K38" s="27">
        <f t="shared" si="2"/>
        <v>9981.2499999999964</v>
      </c>
      <c r="L38" s="27">
        <f t="shared" si="2"/>
        <v>27606.25</v>
      </c>
      <c r="M38" s="27">
        <f t="shared" si="2"/>
        <v>0</v>
      </c>
      <c r="N38" s="10"/>
      <c r="O38" s="10"/>
      <c r="P38" s="10"/>
      <c r="Q38" s="10"/>
      <c r="R38" s="10"/>
      <c r="S38" s="11"/>
    </row>
    <row r="39" spans="1:19">
      <c r="A39" s="9"/>
      <c r="B39" s="10"/>
      <c r="C39" s="10"/>
      <c r="D39" s="10"/>
      <c r="E39" s="10"/>
      <c r="F39" s="10"/>
      <c r="G39" s="10"/>
      <c r="H39" s="10"/>
      <c r="I39" s="10"/>
      <c r="J39" s="10"/>
      <c r="K39" s="10"/>
      <c r="L39" s="10"/>
      <c r="M39" s="10"/>
      <c r="N39" s="10"/>
      <c r="O39" s="10"/>
      <c r="P39" s="10"/>
      <c r="Q39" s="10"/>
      <c r="R39" s="10"/>
      <c r="S39" s="11"/>
    </row>
    <row r="40" spans="1:19">
      <c r="A40" s="9" t="s">
        <v>283</v>
      </c>
      <c r="B40" s="10"/>
      <c r="C40" s="10"/>
      <c r="D40" s="10"/>
      <c r="E40" s="10"/>
      <c r="F40" s="10"/>
      <c r="G40" s="10"/>
      <c r="H40" s="10"/>
      <c r="I40" s="10"/>
      <c r="J40" s="10"/>
      <c r="K40" s="10"/>
      <c r="L40" s="10"/>
      <c r="M40" s="10"/>
      <c r="N40" s="10"/>
      <c r="O40" s="10"/>
      <c r="P40" s="10"/>
      <c r="Q40" s="10"/>
      <c r="R40" s="10"/>
      <c r="S40" s="11"/>
    </row>
    <row r="41" spans="1:19">
      <c r="A41" s="9"/>
      <c r="B41" s="10"/>
      <c r="C41" s="10"/>
      <c r="D41" s="10"/>
      <c r="E41" s="10"/>
      <c r="F41" s="10"/>
      <c r="G41" s="10"/>
      <c r="H41" s="10"/>
      <c r="I41" s="10"/>
      <c r="J41" s="10"/>
      <c r="K41" s="10"/>
      <c r="L41" s="10"/>
      <c r="M41" s="10"/>
      <c r="N41" s="10"/>
      <c r="O41" s="10"/>
      <c r="P41" s="10"/>
      <c r="Q41" s="10"/>
      <c r="R41" s="10"/>
      <c r="S41" s="11"/>
    </row>
    <row r="42" spans="1:19">
      <c r="A42" s="21" t="s">
        <v>284</v>
      </c>
      <c r="B42" s="10"/>
      <c r="C42" s="10"/>
      <c r="D42" s="10"/>
      <c r="E42" s="10"/>
      <c r="F42" s="10"/>
      <c r="G42" s="10"/>
      <c r="H42" s="10"/>
      <c r="I42" s="10"/>
      <c r="J42" s="10"/>
      <c r="K42" s="10"/>
      <c r="L42" s="10"/>
      <c r="M42" s="10"/>
      <c r="N42" s="10"/>
      <c r="O42" s="10"/>
      <c r="P42" s="10"/>
      <c r="Q42" s="10"/>
      <c r="R42" s="10"/>
      <c r="S42" s="11"/>
    </row>
    <row r="43" spans="1:19">
      <c r="A43" s="9" t="s">
        <v>285</v>
      </c>
      <c r="B43" s="10"/>
      <c r="C43" s="10"/>
      <c r="D43" s="10"/>
      <c r="E43" s="10"/>
      <c r="F43" s="10"/>
      <c r="G43" s="10"/>
      <c r="H43" s="10"/>
      <c r="I43" s="10"/>
      <c r="J43" s="10"/>
      <c r="K43" s="10"/>
      <c r="L43" s="10"/>
      <c r="M43" s="10"/>
      <c r="N43" s="10"/>
      <c r="O43" s="10"/>
      <c r="P43" s="10"/>
      <c r="Q43" s="10"/>
      <c r="R43" s="10"/>
      <c r="S43" s="11"/>
    </row>
    <row r="44" spans="1:19">
      <c r="A44" s="9" t="s">
        <v>286</v>
      </c>
      <c r="B44" s="10"/>
      <c r="C44" s="10"/>
      <c r="D44" s="10"/>
      <c r="E44" s="10"/>
      <c r="F44" s="10"/>
      <c r="G44" s="10"/>
      <c r="H44" s="10"/>
      <c r="I44" s="10"/>
      <c r="J44" s="10"/>
      <c r="K44" s="10"/>
      <c r="L44" s="10"/>
      <c r="M44" s="10"/>
      <c r="N44" s="10"/>
      <c r="O44" s="10"/>
      <c r="P44" s="10"/>
      <c r="Q44" s="10"/>
      <c r="R44" s="10"/>
      <c r="S44" s="11"/>
    </row>
    <row r="45" spans="1:19">
      <c r="A45" s="9" t="s">
        <v>287</v>
      </c>
      <c r="B45" s="10"/>
      <c r="C45" s="10"/>
      <c r="D45" s="10"/>
      <c r="E45" s="10"/>
      <c r="F45" s="10"/>
      <c r="G45" s="10"/>
      <c r="H45" s="10"/>
      <c r="I45" s="10"/>
      <c r="J45" s="10"/>
      <c r="K45" s="10"/>
      <c r="L45" s="10"/>
      <c r="M45" s="10"/>
      <c r="N45" s="10"/>
      <c r="O45" s="10"/>
      <c r="P45" s="10"/>
      <c r="Q45" s="10"/>
      <c r="R45" s="10"/>
      <c r="S45" s="11"/>
    </row>
    <row r="46" spans="1:19">
      <c r="A46" s="9"/>
      <c r="B46" s="10"/>
      <c r="C46" s="10"/>
      <c r="D46" s="10"/>
      <c r="E46" s="10"/>
      <c r="F46" s="10"/>
      <c r="G46" s="10"/>
      <c r="H46" s="10"/>
      <c r="I46" s="10"/>
      <c r="J46" s="10"/>
      <c r="K46" s="10"/>
      <c r="L46" s="10"/>
      <c r="M46" s="10"/>
      <c r="N46" s="10"/>
      <c r="O46" s="10"/>
      <c r="P46" s="10"/>
      <c r="Q46" s="10"/>
      <c r="R46" s="10"/>
      <c r="S46" s="11"/>
    </row>
    <row r="47" spans="1:19">
      <c r="A47" s="9" t="s">
        <v>288</v>
      </c>
      <c r="B47" s="10"/>
      <c r="C47" s="10"/>
      <c r="D47" s="10"/>
      <c r="E47" s="27">
        <f>SUM(D38:M38)</f>
        <v>102500</v>
      </c>
      <c r="F47" s="10"/>
      <c r="G47" s="10"/>
      <c r="H47" s="10"/>
      <c r="I47" s="10"/>
      <c r="J47" s="10"/>
      <c r="K47" s="10"/>
      <c r="L47" s="10"/>
      <c r="M47" s="10"/>
      <c r="N47" s="10"/>
      <c r="O47" s="10"/>
      <c r="P47" s="10"/>
      <c r="Q47" s="10"/>
      <c r="R47" s="10"/>
      <c r="S47" s="11"/>
    </row>
    <row r="48" spans="1:19">
      <c r="A48" s="9" t="s">
        <v>289</v>
      </c>
      <c r="B48" s="10"/>
      <c r="C48" s="10"/>
      <c r="D48" s="10"/>
      <c r="E48" s="59">
        <f>IF(E47&gt;0,(C66*D38+D66*E38+E66*F38+F66*G38+G66*H38+H66*I38+I66*J38+J66*K38+K66*L38+L66*M38)/E47,0)</f>
        <v>8.448164634146341</v>
      </c>
      <c r="F48" s="10"/>
      <c r="G48" s="10"/>
      <c r="H48" s="10"/>
      <c r="I48" s="10"/>
      <c r="J48" s="10"/>
      <c r="K48" s="10"/>
      <c r="L48" s="10"/>
      <c r="M48" s="10"/>
      <c r="N48" s="10"/>
      <c r="O48" s="10"/>
      <c r="P48" s="10"/>
      <c r="Q48" s="10"/>
      <c r="R48" s="10"/>
      <c r="S48" s="11"/>
    </row>
    <row r="49" spans="1:19">
      <c r="A49" s="9" t="s">
        <v>290</v>
      </c>
      <c r="B49" s="10"/>
      <c r="C49" s="10"/>
      <c r="D49" s="10"/>
      <c r="E49" s="15">
        <v>0.3</v>
      </c>
      <c r="F49" s="10"/>
      <c r="G49" s="10"/>
      <c r="H49" s="10"/>
      <c r="I49" s="10"/>
      <c r="J49" s="10"/>
      <c r="K49" s="10"/>
      <c r="L49" s="10"/>
      <c r="M49" s="10"/>
      <c r="N49" s="10"/>
      <c r="O49" s="10"/>
      <c r="P49" s="10"/>
      <c r="Q49" s="10"/>
      <c r="R49" s="10"/>
      <c r="S49" s="11"/>
    </row>
    <row r="50" spans="1:19">
      <c r="A50" s="9" t="s">
        <v>291</v>
      </c>
      <c r="B50" s="10"/>
      <c r="C50" s="10"/>
      <c r="D50" s="10"/>
      <c r="E50" s="10"/>
      <c r="F50" s="10"/>
      <c r="G50" s="10"/>
      <c r="H50" s="10"/>
      <c r="I50" s="10"/>
      <c r="J50" s="10"/>
      <c r="K50" s="10"/>
      <c r="L50" s="10"/>
      <c r="M50" s="10"/>
      <c r="N50" s="10"/>
      <c r="O50" s="10"/>
      <c r="P50" s="10"/>
      <c r="Q50" s="10"/>
      <c r="R50" s="10"/>
      <c r="S50" s="11"/>
    </row>
    <row r="51" spans="1:19">
      <c r="A51" s="9" t="s">
        <v>512</v>
      </c>
      <c r="B51" s="10"/>
      <c r="C51" s="10"/>
      <c r="D51" s="10"/>
      <c r="E51" s="10"/>
      <c r="F51" s="10"/>
      <c r="G51" s="10"/>
      <c r="H51" s="10"/>
      <c r="I51" s="10"/>
      <c r="J51" s="10"/>
      <c r="K51" s="10"/>
      <c r="L51" s="10"/>
      <c r="M51" s="10"/>
      <c r="N51" s="10"/>
      <c r="O51" s="10"/>
      <c r="P51" s="10"/>
      <c r="Q51" s="10"/>
      <c r="R51" s="10"/>
      <c r="S51" s="11"/>
    </row>
    <row r="52" spans="1:19">
      <c r="A52" s="9"/>
      <c r="B52" s="10"/>
      <c r="C52" s="10"/>
      <c r="D52" s="10"/>
      <c r="E52" s="10"/>
      <c r="F52" s="10"/>
      <c r="G52" s="10"/>
      <c r="H52" s="10"/>
      <c r="I52" s="10"/>
      <c r="J52" s="10"/>
      <c r="K52" s="10"/>
      <c r="L52" s="10"/>
      <c r="M52" s="10"/>
      <c r="N52" s="10"/>
      <c r="O52" s="10"/>
      <c r="P52" s="10"/>
      <c r="Q52" s="10"/>
      <c r="R52" s="10"/>
      <c r="S52" s="11"/>
    </row>
    <row r="53" spans="1:19">
      <c r="A53" s="21" t="s">
        <v>293</v>
      </c>
      <c r="B53" s="10"/>
      <c r="C53" s="10"/>
      <c r="D53" s="10"/>
      <c r="E53" s="10"/>
      <c r="F53" s="10"/>
      <c r="G53" s="10"/>
      <c r="H53" s="10"/>
      <c r="I53" s="10"/>
      <c r="J53" s="10"/>
      <c r="K53" s="10"/>
      <c r="L53" s="10"/>
      <c r="M53" s="10"/>
      <c r="N53" s="10"/>
      <c r="O53" s="10"/>
      <c r="P53" s="10"/>
      <c r="Q53" s="10"/>
      <c r="R53" s="10"/>
      <c r="S53" s="11"/>
    </row>
    <row r="54" spans="1:19">
      <c r="A54" s="21" t="s">
        <v>277</v>
      </c>
      <c r="B54" s="10"/>
      <c r="C54" s="10"/>
      <c r="D54" s="10"/>
      <c r="E54" s="10"/>
      <c r="F54" s="10"/>
      <c r="G54" s="10"/>
      <c r="H54" s="10"/>
      <c r="I54" s="10"/>
      <c r="J54" s="10"/>
      <c r="K54" s="10"/>
      <c r="L54" s="10"/>
      <c r="M54" s="10"/>
      <c r="N54" s="10"/>
      <c r="O54" s="10"/>
      <c r="P54" s="10"/>
      <c r="Q54" s="10"/>
      <c r="R54" s="10"/>
      <c r="S54" s="11"/>
    </row>
    <row r="55" spans="1:19">
      <c r="A55" s="9"/>
      <c r="B55" s="10"/>
      <c r="C55" s="10"/>
      <c r="D55" s="10"/>
      <c r="E55" s="10"/>
      <c r="F55" s="10"/>
      <c r="G55" s="10"/>
      <c r="H55" s="10"/>
      <c r="I55" s="10"/>
      <c r="J55" s="10"/>
      <c r="K55" s="10"/>
      <c r="L55" s="10"/>
      <c r="M55" s="10"/>
      <c r="N55" s="10"/>
      <c r="O55" s="10"/>
      <c r="P55" s="10"/>
      <c r="Q55" s="10"/>
      <c r="R55" s="10"/>
      <c r="S55" s="11"/>
    </row>
    <row r="56" spans="1:19">
      <c r="A56" s="37" t="s">
        <v>294</v>
      </c>
      <c r="B56" s="10"/>
      <c r="C56" s="10"/>
      <c r="D56" s="10"/>
      <c r="E56" s="10"/>
      <c r="F56" s="10"/>
      <c r="G56" s="10"/>
      <c r="H56" s="10"/>
      <c r="I56" s="10"/>
      <c r="J56" s="10"/>
      <c r="K56" s="10"/>
      <c r="L56" s="10"/>
      <c r="M56" s="10"/>
      <c r="N56" s="10"/>
      <c r="O56" s="10"/>
      <c r="P56" s="10"/>
      <c r="Q56" s="10"/>
      <c r="R56" s="10"/>
      <c r="S56" s="11"/>
    </row>
    <row r="57" spans="1:19">
      <c r="A57" s="9" t="s">
        <v>297</v>
      </c>
      <c r="B57" s="10"/>
      <c r="C57" s="10"/>
      <c r="D57" s="10"/>
      <c r="E57" s="10"/>
      <c r="F57" s="10"/>
      <c r="G57" s="10"/>
      <c r="H57" s="10"/>
      <c r="I57" s="10"/>
      <c r="J57" s="10"/>
      <c r="K57" s="10"/>
      <c r="L57" s="10"/>
      <c r="M57" s="10"/>
      <c r="N57" s="10"/>
      <c r="O57" s="10"/>
      <c r="P57" s="10"/>
      <c r="Q57" s="10"/>
      <c r="R57" s="10"/>
      <c r="S57" s="11"/>
    </row>
    <row r="58" spans="1:19">
      <c r="A58" s="9"/>
      <c r="B58" s="10"/>
      <c r="C58" s="10"/>
      <c r="D58" s="10"/>
      <c r="E58" s="10"/>
      <c r="F58" s="10"/>
      <c r="G58" s="10"/>
      <c r="H58" s="10"/>
      <c r="I58" s="10"/>
      <c r="J58" s="10"/>
      <c r="K58" s="10"/>
      <c r="L58" s="10"/>
      <c r="M58" s="10"/>
      <c r="N58" s="10"/>
      <c r="O58" s="10"/>
      <c r="P58" s="10"/>
      <c r="Q58" s="10"/>
      <c r="R58" s="10"/>
      <c r="S58" s="11"/>
    </row>
    <row r="59" spans="1:19">
      <c r="A59" s="9"/>
      <c r="B59" s="10"/>
      <c r="C59" s="10" t="s">
        <v>4</v>
      </c>
      <c r="D59" s="10" t="s">
        <v>5</v>
      </c>
      <c r="E59" s="10" t="s">
        <v>29</v>
      </c>
      <c r="F59" s="10" t="s">
        <v>263</v>
      </c>
      <c r="G59" s="10" t="s">
        <v>31</v>
      </c>
      <c r="H59" s="10" t="s">
        <v>32</v>
      </c>
      <c r="I59" s="10" t="s">
        <v>8</v>
      </c>
      <c r="J59" s="10" t="s">
        <v>9</v>
      </c>
      <c r="K59" s="10" t="s">
        <v>10</v>
      </c>
      <c r="L59" s="10" t="s">
        <v>264</v>
      </c>
      <c r="M59" s="10"/>
      <c r="N59" s="10"/>
      <c r="O59" s="10"/>
      <c r="P59" s="10"/>
      <c r="Q59" s="10"/>
      <c r="R59" s="10"/>
      <c r="S59" s="11"/>
    </row>
    <row r="60" spans="1:19">
      <c r="A60" s="9" t="s">
        <v>295</v>
      </c>
      <c r="B60" s="10"/>
      <c r="C60" s="10">
        <v>0.23</v>
      </c>
      <c r="D60" s="10">
        <v>0.23</v>
      </c>
      <c r="E60" s="10">
        <v>0.23</v>
      </c>
      <c r="F60" s="10">
        <v>0.23</v>
      </c>
      <c r="G60" s="10">
        <v>0.23</v>
      </c>
      <c r="H60" s="10">
        <v>0.23</v>
      </c>
      <c r="I60" s="10">
        <v>0.23</v>
      </c>
      <c r="J60" s="10">
        <v>0.23</v>
      </c>
      <c r="K60" s="10">
        <v>0.23</v>
      </c>
      <c r="L60" s="10">
        <v>0.23</v>
      </c>
      <c r="M60" s="10"/>
      <c r="N60" s="10"/>
      <c r="O60" s="10"/>
      <c r="P60" s="10"/>
      <c r="Q60" s="10"/>
      <c r="R60" s="10"/>
      <c r="S60" s="11"/>
    </row>
    <row r="61" spans="1:19">
      <c r="A61" s="9" t="s">
        <v>296</v>
      </c>
      <c r="B61" s="10"/>
      <c r="C61" s="10">
        <v>70</v>
      </c>
      <c r="D61" s="10">
        <v>70</v>
      </c>
      <c r="E61" s="10">
        <v>70</v>
      </c>
      <c r="F61" s="10">
        <v>70</v>
      </c>
      <c r="G61" s="10">
        <v>70</v>
      </c>
      <c r="H61" s="10">
        <v>70</v>
      </c>
      <c r="I61" s="10">
        <v>70</v>
      </c>
      <c r="J61" s="10">
        <v>70</v>
      </c>
      <c r="K61" s="10">
        <v>70</v>
      </c>
      <c r="L61" s="10">
        <v>70</v>
      </c>
      <c r="M61" s="10"/>
      <c r="N61" s="10"/>
      <c r="O61" s="10"/>
      <c r="P61" s="10"/>
      <c r="Q61" s="10"/>
      <c r="R61" s="10"/>
      <c r="S61" s="11"/>
    </row>
    <row r="62" spans="1:19">
      <c r="A62" s="9"/>
      <c r="B62" s="10"/>
      <c r="C62" s="10"/>
      <c r="D62" s="10"/>
      <c r="E62" s="10"/>
      <c r="F62" s="10"/>
      <c r="G62" s="10"/>
      <c r="H62" s="10"/>
      <c r="I62" s="10"/>
      <c r="J62" s="10"/>
      <c r="K62" s="10"/>
      <c r="L62" s="10"/>
      <c r="M62" s="10"/>
      <c r="N62" s="10"/>
      <c r="O62" s="10"/>
      <c r="P62" s="10"/>
      <c r="Q62" s="10"/>
      <c r="R62" s="10"/>
      <c r="S62" s="11"/>
    </row>
    <row r="63" spans="1:19">
      <c r="A63" s="37" t="s">
        <v>298</v>
      </c>
      <c r="B63" s="10"/>
      <c r="C63" s="10"/>
      <c r="D63" s="10"/>
      <c r="E63" s="10"/>
      <c r="F63" s="10"/>
      <c r="G63" s="10"/>
      <c r="H63" s="10"/>
      <c r="I63" s="10"/>
      <c r="J63" s="10"/>
      <c r="K63" s="10"/>
      <c r="L63" s="10"/>
      <c r="M63" s="10"/>
      <c r="N63" s="10"/>
      <c r="O63" s="10"/>
      <c r="P63" s="10"/>
      <c r="Q63" s="10"/>
      <c r="R63" s="10"/>
      <c r="S63" s="11"/>
    </row>
    <row r="64" spans="1:19">
      <c r="A64" s="9" t="s">
        <v>300</v>
      </c>
      <c r="B64" s="10"/>
      <c r="C64" s="10" t="s">
        <v>301</v>
      </c>
      <c r="D64" s="10"/>
      <c r="E64" s="10"/>
      <c r="F64" s="10"/>
      <c r="G64" s="10"/>
      <c r="H64" s="10"/>
      <c r="I64" s="10"/>
      <c r="J64" s="10"/>
      <c r="K64" s="10"/>
      <c r="L64" s="10"/>
      <c r="M64" s="10"/>
      <c r="N64" s="10"/>
      <c r="O64" s="10"/>
      <c r="P64" s="10"/>
      <c r="Q64" s="10"/>
      <c r="R64" s="10"/>
      <c r="S64" s="11"/>
    </row>
    <row r="65" spans="1:19">
      <c r="A65" s="9"/>
      <c r="B65" s="10"/>
      <c r="C65" s="10" t="s">
        <v>4</v>
      </c>
      <c r="D65" s="10" t="s">
        <v>5</v>
      </c>
      <c r="E65" s="10" t="s">
        <v>29</v>
      </c>
      <c r="F65" s="10" t="s">
        <v>263</v>
      </c>
      <c r="G65" s="10" t="s">
        <v>31</v>
      </c>
      <c r="H65" s="10" t="s">
        <v>32</v>
      </c>
      <c r="I65" s="10" t="s">
        <v>8</v>
      </c>
      <c r="J65" s="10" t="s">
        <v>9</v>
      </c>
      <c r="K65" s="10" t="s">
        <v>10</v>
      </c>
      <c r="L65" s="10" t="s">
        <v>264</v>
      </c>
      <c r="M65" s="10"/>
      <c r="N65" s="10"/>
      <c r="O65" s="10"/>
      <c r="P65" s="10"/>
      <c r="Q65" s="10"/>
      <c r="R65" s="10"/>
      <c r="S65" s="11"/>
    </row>
    <row r="66" spans="1:19">
      <c r="A66" s="9" t="s">
        <v>299</v>
      </c>
      <c r="B66" s="10"/>
      <c r="C66" s="10">
        <v>10.5</v>
      </c>
      <c r="D66" s="10">
        <v>-0.5</v>
      </c>
      <c r="E66" s="10">
        <v>-0.5</v>
      </c>
      <c r="F66" s="10">
        <v>-0.5</v>
      </c>
      <c r="G66" s="10">
        <v>25</v>
      </c>
      <c r="H66" s="10">
        <v>28</v>
      </c>
      <c r="I66" s="10">
        <v>13.5</v>
      </c>
      <c r="J66" s="10">
        <v>3.7</v>
      </c>
      <c r="K66" s="10">
        <v>4</v>
      </c>
      <c r="L66" s="10">
        <v>7.4</v>
      </c>
      <c r="M66" s="10"/>
      <c r="N66" s="10"/>
      <c r="O66" s="10"/>
      <c r="P66" s="10"/>
      <c r="Q66" s="10"/>
      <c r="R66" s="10"/>
      <c r="S66" s="11"/>
    </row>
    <row r="67" spans="1:19">
      <c r="A67" s="9"/>
      <c r="B67" s="10"/>
      <c r="C67" s="10"/>
      <c r="D67" s="10"/>
      <c r="E67" s="10"/>
      <c r="F67" s="10"/>
      <c r="G67" s="10"/>
      <c r="H67" s="10"/>
      <c r="I67" s="10"/>
      <c r="J67" s="10"/>
      <c r="K67" s="10"/>
      <c r="L67" s="10"/>
      <c r="M67" s="10"/>
      <c r="N67" s="10"/>
      <c r="O67" s="10"/>
      <c r="P67" s="10"/>
      <c r="Q67" s="10"/>
      <c r="R67" s="10"/>
      <c r="S67" s="11"/>
    </row>
    <row r="68" spans="1:19">
      <c r="A68" s="37" t="s">
        <v>302</v>
      </c>
      <c r="B68" s="10"/>
      <c r="C68" s="10"/>
      <c r="D68" s="10"/>
      <c r="E68" s="10"/>
      <c r="F68" s="10"/>
      <c r="G68" s="10"/>
      <c r="H68" s="10"/>
      <c r="I68" s="10"/>
      <c r="J68" s="10"/>
      <c r="K68" s="10"/>
      <c r="L68" s="10"/>
      <c r="M68" s="10"/>
      <c r="N68" s="10"/>
      <c r="O68" s="10"/>
      <c r="P68" s="10"/>
      <c r="Q68" s="10"/>
      <c r="R68" s="10"/>
      <c r="S68" s="11"/>
    </row>
    <row r="69" spans="1:19">
      <c r="A69" s="37"/>
      <c r="B69" s="10"/>
      <c r="C69" s="10"/>
      <c r="D69" s="10"/>
      <c r="E69" s="10"/>
      <c r="F69" s="10"/>
      <c r="G69" s="10"/>
      <c r="H69" s="10"/>
      <c r="I69" s="10"/>
      <c r="J69" s="10"/>
      <c r="K69" s="10"/>
      <c r="L69" s="10"/>
      <c r="M69" s="10"/>
      <c r="N69" s="10"/>
      <c r="O69" s="10"/>
      <c r="P69" s="10"/>
      <c r="Q69" s="10"/>
      <c r="R69" s="10"/>
      <c r="S69" s="11"/>
    </row>
    <row r="70" spans="1:19">
      <c r="A70" s="9" t="s">
        <v>303</v>
      </c>
      <c r="B70" s="10"/>
      <c r="C70" s="10" t="s">
        <v>4</v>
      </c>
      <c r="D70" s="10" t="s">
        <v>5</v>
      </c>
      <c r="E70" s="10" t="s">
        <v>29</v>
      </c>
      <c r="F70" s="10" t="s">
        <v>263</v>
      </c>
      <c r="G70" s="10" t="s">
        <v>31</v>
      </c>
      <c r="H70" s="10" t="s">
        <v>32</v>
      </c>
      <c r="I70" s="10" t="s">
        <v>8</v>
      </c>
      <c r="J70" s="10" t="s">
        <v>9</v>
      </c>
      <c r="K70" s="10" t="s">
        <v>10</v>
      </c>
      <c r="L70" s="10" t="s">
        <v>264</v>
      </c>
      <c r="M70" s="10"/>
      <c r="N70" s="10"/>
      <c r="O70" s="10"/>
      <c r="P70" s="10"/>
      <c r="Q70" s="10"/>
      <c r="R70" s="10"/>
      <c r="S70" s="11"/>
    </row>
    <row r="71" spans="1:19">
      <c r="A71" s="9" t="s">
        <v>304</v>
      </c>
      <c r="B71" s="10"/>
      <c r="C71" s="10">
        <v>3.2000000000000001E-2</v>
      </c>
      <c r="D71" s="10">
        <v>3.2000000000000001E-2</v>
      </c>
      <c r="E71" s="10">
        <v>3.2000000000000001E-2</v>
      </c>
      <c r="F71" s="10">
        <v>3.2000000000000001E-2</v>
      </c>
      <c r="G71" s="10">
        <v>3.2000000000000001E-2</v>
      </c>
      <c r="H71" s="10">
        <v>3.2000000000000001E-2</v>
      </c>
      <c r="I71" s="10">
        <v>3.2000000000000001E-2</v>
      </c>
      <c r="J71" s="10">
        <v>3.2000000000000001E-2</v>
      </c>
      <c r="K71" s="10">
        <v>3.2000000000000001E-2</v>
      </c>
      <c r="L71" s="10">
        <v>3.2000000000000001E-2</v>
      </c>
      <c r="M71" s="10"/>
      <c r="N71" s="10"/>
      <c r="O71" s="10"/>
      <c r="P71" s="10"/>
      <c r="Q71" s="10"/>
      <c r="R71" s="10"/>
      <c r="S71" s="11"/>
    </row>
    <row r="72" spans="1:19">
      <c r="A72" s="9" t="s">
        <v>305</v>
      </c>
      <c r="B72" s="10"/>
      <c r="C72" s="10">
        <v>8.4000000000000005E-2</v>
      </c>
      <c r="D72" s="10">
        <v>0.9</v>
      </c>
      <c r="E72" s="10">
        <v>0.85</v>
      </c>
      <c r="F72" s="10">
        <v>0.9</v>
      </c>
      <c r="G72" s="10">
        <v>0.09</v>
      </c>
      <c r="H72" s="10">
        <v>0.06</v>
      </c>
      <c r="I72" s="10">
        <v>7.4999999999999997E-2</v>
      </c>
      <c r="J72" s="10">
        <v>7.6999999999999999E-2</v>
      </c>
      <c r="K72" s="10">
        <v>0.42</v>
      </c>
      <c r="L72" s="10">
        <v>0.154</v>
      </c>
      <c r="M72" s="10"/>
      <c r="N72" s="10"/>
      <c r="O72" s="10"/>
      <c r="P72" s="10"/>
      <c r="Q72" s="10"/>
      <c r="R72" s="10"/>
      <c r="S72" s="11"/>
    </row>
    <row r="73" spans="1:19">
      <c r="A73" s="9" t="s">
        <v>306</v>
      </c>
      <c r="B73" s="10"/>
      <c r="C73" s="10"/>
      <c r="D73" s="10"/>
      <c r="E73" s="10"/>
      <c r="F73" s="10"/>
      <c r="G73" s="10"/>
      <c r="H73" s="10"/>
      <c r="I73" s="10"/>
      <c r="J73" s="10"/>
      <c r="K73" s="10"/>
      <c r="L73" s="10"/>
      <c r="M73" s="10"/>
      <c r="N73" s="10"/>
      <c r="O73" s="10"/>
      <c r="P73" s="10"/>
      <c r="Q73" s="10"/>
      <c r="R73" s="10"/>
      <c r="S73" s="11"/>
    </row>
    <row r="74" spans="1:19">
      <c r="A74" s="9" t="s">
        <v>307</v>
      </c>
      <c r="B74" s="10"/>
      <c r="C74" s="10"/>
      <c r="D74" s="10"/>
      <c r="E74" s="10"/>
      <c r="F74" s="10"/>
      <c r="G74" s="10"/>
      <c r="H74" s="10"/>
      <c r="I74" s="10"/>
      <c r="J74" s="10"/>
      <c r="K74" s="10"/>
      <c r="L74" s="10"/>
      <c r="M74" s="10"/>
      <c r="N74" s="10"/>
      <c r="O74" s="10"/>
      <c r="P74" s="10"/>
      <c r="Q74" s="10"/>
      <c r="R74" s="10"/>
      <c r="S74" s="11"/>
    </row>
    <row r="75" spans="1:19">
      <c r="A75" s="9"/>
      <c r="B75" s="10"/>
      <c r="C75" s="10"/>
      <c r="D75" s="10"/>
      <c r="E75" s="10"/>
      <c r="F75" s="10"/>
      <c r="G75" s="10"/>
      <c r="H75" s="10"/>
      <c r="I75" s="10"/>
      <c r="J75" s="10"/>
      <c r="K75" s="10"/>
      <c r="L75" s="10"/>
      <c r="M75" s="10"/>
      <c r="N75" s="10"/>
      <c r="O75" s="10"/>
      <c r="P75" s="10"/>
      <c r="Q75" s="10"/>
      <c r="R75" s="10"/>
      <c r="S75" s="11"/>
    </row>
    <row r="76" spans="1:19">
      <c r="A76" s="21" t="s">
        <v>164</v>
      </c>
      <c r="B76" s="10"/>
      <c r="C76" s="10"/>
      <c r="D76" s="10"/>
      <c r="E76" s="10"/>
      <c r="F76" s="10"/>
      <c r="G76" s="10"/>
      <c r="H76" s="10"/>
      <c r="I76" s="10"/>
      <c r="J76" s="10"/>
      <c r="K76" s="10"/>
      <c r="L76" s="10"/>
      <c r="M76" s="10"/>
      <c r="N76" s="10"/>
      <c r="O76" s="10"/>
      <c r="P76" s="10"/>
      <c r="Q76" s="10"/>
      <c r="R76" s="10"/>
      <c r="S76" s="11"/>
    </row>
    <row r="77" spans="1:19">
      <c r="A77" s="9" t="s">
        <v>308</v>
      </c>
      <c r="B77" s="10"/>
      <c r="C77" s="10"/>
      <c r="D77" s="10"/>
      <c r="E77" s="10"/>
      <c r="F77" s="10"/>
      <c r="G77" s="10"/>
      <c r="H77" s="10"/>
      <c r="I77" s="10"/>
      <c r="J77" s="10"/>
      <c r="K77" s="10"/>
      <c r="L77" s="10"/>
      <c r="M77" s="10"/>
      <c r="N77" s="10"/>
      <c r="O77" s="10"/>
      <c r="P77" s="10"/>
      <c r="Q77" s="10"/>
      <c r="R77" s="10"/>
      <c r="S77" s="11"/>
    </row>
    <row r="78" spans="1:19">
      <c r="A78" s="9" t="s">
        <v>309</v>
      </c>
      <c r="B78" s="10"/>
      <c r="C78" s="10"/>
      <c r="D78" s="10"/>
      <c r="E78" s="10"/>
      <c r="F78" s="10"/>
      <c r="G78" s="10"/>
      <c r="H78" s="10"/>
      <c r="I78" s="10"/>
      <c r="J78" s="10"/>
      <c r="K78" s="10"/>
      <c r="L78" s="10"/>
      <c r="M78" s="10"/>
      <c r="N78" s="10"/>
      <c r="O78" s="10"/>
      <c r="P78" s="10"/>
      <c r="Q78" s="10"/>
      <c r="R78" s="10"/>
      <c r="S78" s="11"/>
    </row>
    <row r="79" spans="1:19">
      <c r="A79" s="9"/>
      <c r="B79" s="10"/>
      <c r="C79" s="10"/>
      <c r="D79" s="10"/>
      <c r="E79" s="10"/>
      <c r="F79" s="10"/>
      <c r="G79" s="10"/>
      <c r="H79" s="10"/>
      <c r="I79" s="10"/>
      <c r="J79" s="10"/>
      <c r="K79" s="10"/>
      <c r="L79" s="10"/>
      <c r="M79" s="10"/>
      <c r="N79" s="10"/>
      <c r="O79" s="10"/>
      <c r="P79" s="10"/>
      <c r="Q79" s="10"/>
      <c r="R79" s="10"/>
      <c r="S79" s="11"/>
    </row>
    <row r="80" spans="1:19">
      <c r="A80" s="9" t="s">
        <v>310</v>
      </c>
      <c r="B80" s="10"/>
      <c r="C80" s="10"/>
      <c r="D80" s="10"/>
      <c r="E80" s="15">
        <v>0.9</v>
      </c>
      <c r="F80" s="10" t="s">
        <v>312</v>
      </c>
      <c r="G80" s="10"/>
      <c r="H80" s="10"/>
      <c r="I80" s="10"/>
      <c r="J80" s="10"/>
      <c r="K80" s="10"/>
      <c r="L80" s="10"/>
      <c r="M80" s="10"/>
      <c r="N80" s="10"/>
      <c r="O80" s="10"/>
      <c r="P80" s="10"/>
      <c r="Q80" s="10"/>
      <c r="R80" s="10"/>
      <c r="S80" s="11"/>
    </row>
    <row r="81" spans="1:19">
      <c r="A81" s="9" t="s">
        <v>311</v>
      </c>
      <c r="B81" s="10"/>
      <c r="C81" s="10"/>
      <c r="D81" s="10"/>
      <c r="E81" s="15">
        <v>0</v>
      </c>
      <c r="F81" s="10"/>
      <c r="G81" s="10"/>
      <c r="H81" s="10"/>
      <c r="I81" s="10"/>
      <c r="J81" s="10"/>
      <c r="K81" s="10"/>
      <c r="L81" s="10"/>
      <c r="M81" s="10"/>
      <c r="N81" s="10"/>
      <c r="O81" s="10"/>
      <c r="P81" s="10"/>
      <c r="Q81" s="10"/>
      <c r="R81" s="10"/>
      <c r="S81" s="11"/>
    </row>
    <row r="82" spans="1:19">
      <c r="A82" s="9"/>
      <c r="B82" s="10"/>
      <c r="C82" s="10"/>
      <c r="D82" s="10"/>
      <c r="E82" s="10"/>
      <c r="F82" s="10"/>
      <c r="G82" s="10"/>
      <c r="H82" s="10"/>
      <c r="I82" s="10"/>
      <c r="J82" s="10"/>
      <c r="K82" s="10"/>
      <c r="L82" s="10"/>
      <c r="M82" s="10"/>
      <c r="N82" s="10"/>
      <c r="O82" s="10"/>
      <c r="P82" s="10"/>
      <c r="Q82" s="10"/>
      <c r="R82" s="10"/>
      <c r="S82" s="11"/>
    </row>
    <row r="83" spans="1:19">
      <c r="A83" s="9" t="s">
        <v>324</v>
      </c>
      <c r="B83" s="10"/>
      <c r="C83" s="10"/>
      <c r="D83" s="10"/>
      <c r="E83" s="10"/>
      <c r="F83" s="10">
        <v>5</v>
      </c>
      <c r="G83" s="10"/>
      <c r="H83" s="10"/>
      <c r="I83" s="10"/>
      <c r="J83" s="10"/>
      <c r="K83" s="10"/>
      <c r="L83" s="10"/>
      <c r="M83" s="10"/>
      <c r="N83" s="10"/>
      <c r="O83" s="10"/>
      <c r="P83" s="10"/>
      <c r="Q83" s="10"/>
      <c r="R83" s="10"/>
      <c r="S83" s="11"/>
    </row>
    <row r="84" spans="1:19">
      <c r="A84" s="9" t="s">
        <v>313</v>
      </c>
      <c r="B84" s="10"/>
      <c r="C84" s="10"/>
      <c r="D84" s="10"/>
      <c r="E84" s="10"/>
      <c r="F84" s="10">
        <v>5</v>
      </c>
      <c r="G84" s="10"/>
      <c r="H84" s="10"/>
      <c r="I84" s="10"/>
      <c r="J84" s="10"/>
      <c r="K84" s="10"/>
      <c r="L84" s="10"/>
      <c r="M84" s="10"/>
      <c r="N84" s="10"/>
      <c r="O84" s="10"/>
      <c r="P84" s="10"/>
      <c r="Q84" s="10"/>
      <c r="R84" s="10"/>
      <c r="S84" s="11"/>
    </row>
    <row r="85" spans="1:19">
      <c r="A85" s="9" t="s">
        <v>314</v>
      </c>
      <c r="B85" s="10"/>
      <c r="C85" s="10"/>
      <c r="D85" s="10"/>
      <c r="E85" s="10"/>
      <c r="F85" s="10"/>
      <c r="G85" s="10"/>
      <c r="H85" s="10"/>
      <c r="I85" s="10"/>
      <c r="J85" s="10"/>
      <c r="K85" s="10"/>
      <c r="L85" s="10"/>
      <c r="M85" s="10"/>
      <c r="N85" s="10"/>
      <c r="O85" s="10"/>
      <c r="P85" s="10"/>
      <c r="Q85" s="10"/>
      <c r="R85" s="10"/>
      <c r="S85" s="11"/>
    </row>
    <row r="86" spans="1:19">
      <c r="A86" s="9"/>
      <c r="B86" s="10"/>
      <c r="C86" s="10"/>
      <c r="D86" s="10"/>
      <c r="E86" s="10"/>
      <c r="F86" s="10"/>
      <c r="G86" s="10"/>
      <c r="H86" s="10"/>
      <c r="I86" s="10"/>
      <c r="J86" s="10"/>
      <c r="K86" s="10"/>
      <c r="L86" s="10"/>
      <c r="M86" s="10"/>
      <c r="N86" s="10"/>
      <c r="O86" s="10"/>
      <c r="P86" s="10"/>
      <c r="Q86" s="10"/>
      <c r="R86" s="10"/>
      <c r="S86" s="11"/>
    </row>
    <row r="87" spans="1:19">
      <c r="A87" s="21" t="s">
        <v>174</v>
      </c>
      <c r="B87" s="10"/>
      <c r="C87" s="10"/>
      <c r="D87" s="10"/>
      <c r="E87" s="10"/>
      <c r="F87" s="10"/>
      <c r="G87" s="10"/>
      <c r="H87" s="10"/>
      <c r="I87" s="10"/>
      <c r="J87" s="10"/>
      <c r="K87" s="10"/>
      <c r="L87" s="10"/>
      <c r="M87" s="10"/>
      <c r="N87" s="10"/>
      <c r="O87" s="10"/>
      <c r="P87" s="10"/>
      <c r="Q87" s="10"/>
      <c r="R87" s="10"/>
      <c r="S87" s="11"/>
    </row>
    <row r="88" spans="1:19">
      <c r="A88" s="9" t="s">
        <v>315</v>
      </c>
      <c r="B88" s="10"/>
      <c r="C88" s="10"/>
      <c r="D88" s="10"/>
      <c r="E88" s="10"/>
      <c r="F88" s="10"/>
      <c r="G88" s="10"/>
      <c r="H88" s="10"/>
      <c r="I88" s="10"/>
      <c r="J88" s="10"/>
      <c r="K88" s="10"/>
      <c r="L88" s="10"/>
      <c r="M88" s="10"/>
      <c r="N88" s="10"/>
      <c r="O88" s="10"/>
      <c r="P88" s="10"/>
      <c r="Q88" s="10"/>
      <c r="R88" s="10"/>
      <c r="S88" s="11"/>
    </row>
    <row r="89" spans="1:19">
      <c r="A89" s="9" t="s">
        <v>316</v>
      </c>
      <c r="B89" s="10"/>
      <c r="C89" s="10"/>
      <c r="D89" s="10"/>
      <c r="E89" s="10"/>
      <c r="F89" s="10"/>
      <c r="G89" s="10"/>
      <c r="H89" s="10"/>
      <c r="I89" s="10"/>
      <c r="J89" s="10"/>
      <c r="K89" s="10"/>
      <c r="L89" s="10"/>
      <c r="M89" s="10"/>
      <c r="N89" s="10"/>
      <c r="O89" s="10"/>
      <c r="P89" s="10"/>
      <c r="Q89" s="10"/>
      <c r="R89" s="10"/>
      <c r="S89" s="11"/>
    </row>
    <row r="90" spans="1:19">
      <c r="A90" s="9"/>
      <c r="B90" s="10"/>
      <c r="C90" s="10"/>
      <c r="D90" s="10"/>
      <c r="E90" s="10"/>
      <c r="F90" s="10"/>
      <c r="G90" s="10"/>
      <c r="H90" s="10"/>
      <c r="I90" s="10"/>
      <c r="J90" s="10"/>
      <c r="K90" s="10"/>
      <c r="L90" s="10"/>
      <c r="M90" s="10"/>
      <c r="N90" s="10"/>
      <c r="O90" s="10"/>
      <c r="P90" s="10"/>
      <c r="Q90" s="10"/>
      <c r="R90" s="10"/>
      <c r="S90" s="11"/>
    </row>
    <row r="91" spans="1:19">
      <c r="A91" s="9" t="s">
        <v>317</v>
      </c>
      <c r="B91" s="10"/>
      <c r="C91" s="10"/>
      <c r="D91" s="10"/>
      <c r="E91" s="10">
        <v>40</v>
      </c>
      <c r="F91" s="10"/>
      <c r="G91" s="10"/>
      <c r="H91" s="10"/>
      <c r="I91" s="10"/>
      <c r="J91" s="10"/>
      <c r="K91" s="10"/>
      <c r="L91" s="10"/>
      <c r="M91" s="10"/>
      <c r="N91" s="10"/>
      <c r="O91" s="10"/>
      <c r="P91" s="10"/>
      <c r="Q91" s="10"/>
      <c r="R91" s="10"/>
      <c r="S91" s="11"/>
    </row>
    <row r="92" spans="1:19">
      <c r="A92" s="9" t="s">
        <v>318</v>
      </c>
      <c r="B92" s="10"/>
      <c r="C92" s="10"/>
      <c r="D92" s="10"/>
      <c r="E92" s="10">
        <v>6.0000000000000001E-3</v>
      </c>
      <c r="F92" s="10"/>
      <c r="G92" s="10"/>
      <c r="H92" s="10"/>
      <c r="I92" s="10"/>
      <c r="J92" s="10"/>
      <c r="K92" s="10"/>
      <c r="L92" s="10"/>
      <c r="M92" s="10"/>
      <c r="N92" s="10"/>
      <c r="O92" s="10"/>
      <c r="P92" s="10"/>
      <c r="Q92" s="10"/>
      <c r="R92" s="10"/>
      <c r="S92" s="11"/>
    </row>
    <row r="93" spans="1:19">
      <c r="A93" s="9" t="s">
        <v>321</v>
      </c>
      <c r="B93" s="10"/>
      <c r="C93" s="10"/>
      <c r="D93" s="10"/>
      <c r="E93" s="10">
        <v>0</v>
      </c>
      <c r="F93" s="10"/>
      <c r="G93" s="10"/>
      <c r="H93" s="10"/>
      <c r="I93" s="10"/>
      <c r="J93" s="10"/>
      <c r="K93" s="10"/>
      <c r="L93" s="10"/>
      <c r="M93" s="10"/>
      <c r="N93" s="10"/>
      <c r="O93" s="10"/>
      <c r="P93" s="10"/>
      <c r="Q93" s="10"/>
      <c r="R93" s="10"/>
      <c r="S93" s="11"/>
    </row>
    <row r="94" spans="1:19">
      <c r="A94" s="9"/>
      <c r="B94" s="10"/>
      <c r="C94" s="10"/>
      <c r="D94" s="10"/>
      <c r="E94" s="10"/>
      <c r="F94" s="10"/>
      <c r="G94" s="10"/>
      <c r="H94" s="10"/>
      <c r="I94" s="10"/>
      <c r="J94" s="10"/>
      <c r="K94" s="10"/>
      <c r="L94" s="10"/>
      <c r="M94" s="10"/>
      <c r="N94" s="10"/>
      <c r="O94" s="10"/>
      <c r="P94" s="10"/>
      <c r="Q94" s="10"/>
      <c r="R94" s="10"/>
      <c r="S94" s="11"/>
    </row>
    <row r="95" spans="1:19">
      <c r="A95" s="9" t="s">
        <v>319</v>
      </c>
      <c r="B95" s="10"/>
      <c r="C95" s="10"/>
      <c r="D95" s="10"/>
      <c r="E95" s="10"/>
      <c r="F95" s="10">
        <v>1</v>
      </c>
      <c r="G95" s="10"/>
      <c r="H95" s="10"/>
      <c r="I95" s="10"/>
      <c r="J95" s="10"/>
      <c r="K95" s="10"/>
      <c r="L95" s="10"/>
      <c r="M95" s="10"/>
      <c r="N95" s="10"/>
      <c r="O95" s="10"/>
      <c r="P95" s="10"/>
      <c r="Q95" s="10"/>
      <c r="R95" s="10"/>
      <c r="S95" s="11"/>
    </row>
    <row r="96" spans="1:19">
      <c r="A96" s="9" t="s">
        <v>320</v>
      </c>
      <c r="B96" s="10"/>
      <c r="C96" s="10"/>
      <c r="D96" s="10"/>
      <c r="E96" s="10"/>
      <c r="F96" s="10">
        <v>1</v>
      </c>
      <c r="G96" s="10"/>
      <c r="H96" s="10"/>
      <c r="I96" s="10"/>
      <c r="J96" s="10"/>
      <c r="K96" s="10"/>
      <c r="L96" s="10"/>
      <c r="M96" s="10"/>
      <c r="N96" s="10"/>
      <c r="O96" s="10"/>
      <c r="P96" s="10"/>
      <c r="Q96" s="10"/>
      <c r="R96" s="10"/>
      <c r="S96" s="11"/>
    </row>
    <row r="97" spans="1:19">
      <c r="A97" s="9" t="s">
        <v>322</v>
      </c>
      <c r="B97" s="10"/>
      <c r="C97" s="10"/>
      <c r="D97" s="10"/>
      <c r="E97" s="10"/>
      <c r="F97" s="10"/>
      <c r="G97" s="10"/>
      <c r="H97" s="10"/>
      <c r="I97" s="10"/>
      <c r="J97" s="10"/>
      <c r="K97" s="10"/>
      <c r="L97" s="10"/>
      <c r="M97" s="10"/>
      <c r="N97" s="10"/>
      <c r="O97" s="10"/>
      <c r="P97" s="10"/>
      <c r="Q97" s="10"/>
      <c r="R97" s="10"/>
      <c r="S97" s="11"/>
    </row>
    <row r="98" spans="1:19" ht="15.75" thickBot="1">
      <c r="A98" s="12"/>
      <c r="B98" s="13"/>
      <c r="C98" s="13"/>
      <c r="D98" s="13"/>
      <c r="E98" s="13"/>
      <c r="F98" s="13"/>
      <c r="G98" s="13"/>
      <c r="H98" s="13"/>
      <c r="I98" s="13"/>
      <c r="J98" s="13"/>
      <c r="K98" s="13"/>
      <c r="L98" s="13"/>
      <c r="M98" s="13"/>
      <c r="N98" s="13"/>
      <c r="O98" s="13"/>
      <c r="P98" s="13"/>
      <c r="Q98" s="13"/>
      <c r="R98" s="13"/>
      <c r="S98" s="14"/>
    </row>
    <row r="100" spans="1:19">
      <c r="A100" s="1" t="s">
        <v>278</v>
      </c>
    </row>
    <row r="101" spans="1:19" ht="15.75" thickBot="1">
      <c r="A101" t="s">
        <v>323</v>
      </c>
    </row>
    <row r="102" spans="1:19">
      <c r="A102" s="35"/>
      <c r="B102" s="7"/>
      <c r="C102" s="7"/>
      <c r="D102" s="7"/>
      <c r="E102" s="7"/>
      <c r="F102" s="7"/>
      <c r="G102" s="7"/>
      <c r="H102" s="7"/>
      <c r="I102" s="7"/>
      <c r="J102" s="7"/>
      <c r="K102" s="7"/>
      <c r="L102" s="7"/>
      <c r="M102" s="7"/>
      <c r="N102" s="7"/>
      <c r="O102" s="7"/>
      <c r="P102" s="7"/>
      <c r="Q102" s="7"/>
      <c r="R102" s="7"/>
      <c r="S102" s="8"/>
    </row>
    <row r="103" spans="1:19">
      <c r="A103" s="21" t="s">
        <v>279</v>
      </c>
      <c r="B103" s="10"/>
      <c r="C103" s="10"/>
      <c r="D103" s="10"/>
      <c r="E103" s="10"/>
      <c r="F103" s="10"/>
      <c r="G103" s="10"/>
      <c r="H103" s="10"/>
      <c r="I103" s="10"/>
      <c r="J103" s="10"/>
      <c r="K103" s="10"/>
      <c r="L103" s="10"/>
      <c r="M103" s="10"/>
      <c r="N103" s="10"/>
      <c r="O103" s="10"/>
      <c r="P103" s="10"/>
      <c r="Q103" s="10"/>
      <c r="R103" s="10"/>
      <c r="S103" s="11"/>
    </row>
    <row r="104" spans="1:19">
      <c r="A104" s="9"/>
      <c r="B104" s="10"/>
      <c r="C104" s="10"/>
      <c r="D104" s="10"/>
      <c r="E104" s="10"/>
      <c r="F104" s="10"/>
      <c r="G104" s="10"/>
      <c r="H104" s="10"/>
      <c r="I104" s="10"/>
      <c r="J104" s="10"/>
      <c r="K104" s="10"/>
      <c r="L104" s="10"/>
      <c r="M104" s="10"/>
      <c r="N104" s="10"/>
      <c r="O104" s="10"/>
      <c r="P104" s="10"/>
      <c r="Q104" s="10"/>
      <c r="R104" s="10"/>
      <c r="S104" s="11"/>
    </row>
    <row r="105" spans="1:19">
      <c r="A105" s="9"/>
      <c r="B105" s="10"/>
      <c r="C105" s="10"/>
      <c r="D105" s="10" t="s">
        <v>4</v>
      </c>
      <c r="E105" s="10" t="s">
        <v>5</v>
      </c>
      <c r="F105" s="10" t="s">
        <v>29</v>
      </c>
      <c r="G105" s="10" t="s">
        <v>263</v>
      </c>
      <c r="H105" s="10" t="s">
        <v>31</v>
      </c>
      <c r="I105" s="10" t="s">
        <v>32</v>
      </c>
      <c r="J105" s="10" t="s">
        <v>8</v>
      </c>
      <c r="K105" s="10" t="s">
        <v>9</v>
      </c>
      <c r="L105" s="10" t="s">
        <v>10</v>
      </c>
      <c r="M105" s="10" t="s">
        <v>264</v>
      </c>
      <c r="N105" s="10"/>
      <c r="O105" s="10"/>
      <c r="P105" s="10"/>
      <c r="Q105" s="10"/>
      <c r="R105" s="10"/>
      <c r="S105" s="11"/>
    </row>
    <row r="106" spans="1:19">
      <c r="A106" s="9" t="s">
        <v>107</v>
      </c>
      <c r="B106" s="10"/>
      <c r="C106" s="10"/>
      <c r="D106" s="27">
        <f>$E$27*B20</f>
        <v>0</v>
      </c>
      <c r="E106" s="27">
        <f t="shared" ref="E106:M106" si="3">$E$27*C20</f>
        <v>0</v>
      </c>
      <c r="F106" s="27">
        <f t="shared" si="3"/>
        <v>0</v>
      </c>
      <c r="G106" s="27">
        <f t="shared" si="3"/>
        <v>0</v>
      </c>
      <c r="H106" s="27">
        <f t="shared" si="3"/>
        <v>0</v>
      </c>
      <c r="I106" s="27">
        <f t="shared" si="3"/>
        <v>0</v>
      </c>
      <c r="J106" s="27">
        <f t="shared" si="3"/>
        <v>0</v>
      </c>
      <c r="K106" s="27">
        <f t="shared" si="3"/>
        <v>0</v>
      </c>
      <c r="L106" s="27">
        <f t="shared" si="3"/>
        <v>0</v>
      </c>
      <c r="M106" s="27">
        <f t="shared" si="3"/>
        <v>0</v>
      </c>
      <c r="N106" s="10"/>
      <c r="O106" s="10"/>
      <c r="P106" s="10"/>
      <c r="Q106" s="10"/>
      <c r="R106" s="10"/>
      <c r="S106" s="11"/>
    </row>
    <row r="107" spans="1:19">
      <c r="A107" s="9" t="s">
        <v>281</v>
      </c>
      <c r="B107" s="10"/>
      <c r="C107" s="10"/>
      <c r="D107" s="15">
        <v>0</v>
      </c>
      <c r="E107" s="15">
        <v>0</v>
      </c>
      <c r="F107" s="15">
        <v>0</v>
      </c>
      <c r="G107" s="15">
        <v>0</v>
      </c>
      <c r="H107" s="15">
        <v>0</v>
      </c>
      <c r="I107" s="15">
        <v>0</v>
      </c>
      <c r="J107" s="15">
        <v>0</v>
      </c>
      <c r="K107" s="15">
        <v>0</v>
      </c>
      <c r="L107" s="15">
        <v>0</v>
      </c>
      <c r="M107" s="15">
        <v>0</v>
      </c>
      <c r="N107" s="10"/>
      <c r="O107" s="10"/>
      <c r="P107" s="10"/>
      <c r="Q107" s="10"/>
      <c r="R107" s="10"/>
      <c r="S107" s="11"/>
    </row>
    <row r="108" spans="1:19">
      <c r="A108" s="9" t="s">
        <v>282</v>
      </c>
      <c r="B108" s="10"/>
      <c r="C108" s="10"/>
      <c r="D108" s="27">
        <f t="shared" ref="D108:M108" si="4">D106*(1-D107)</f>
        <v>0</v>
      </c>
      <c r="E108" s="27">
        <f t="shared" si="4"/>
        <v>0</v>
      </c>
      <c r="F108" s="27">
        <f t="shared" si="4"/>
        <v>0</v>
      </c>
      <c r="G108" s="27">
        <f t="shared" si="4"/>
        <v>0</v>
      </c>
      <c r="H108" s="27">
        <f t="shared" si="4"/>
        <v>0</v>
      </c>
      <c r="I108" s="27">
        <f t="shared" si="4"/>
        <v>0</v>
      </c>
      <c r="J108" s="27">
        <f t="shared" si="4"/>
        <v>0</v>
      </c>
      <c r="K108" s="27">
        <f t="shared" si="4"/>
        <v>0</v>
      </c>
      <c r="L108" s="27">
        <f t="shared" si="4"/>
        <v>0</v>
      </c>
      <c r="M108" s="27">
        <f t="shared" si="4"/>
        <v>0</v>
      </c>
      <c r="N108" s="10"/>
      <c r="O108" s="10"/>
      <c r="P108" s="10"/>
      <c r="Q108" s="10"/>
      <c r="R108" s="10"/>
      <c r="S108" s="11"/>
    </row>
    <row r="109" spans="1:19">
      <c r="A109" s="9"/>
      <c r="B109" s="10"/>
      <c r="C109" s="10"/>
      <c r="D109" s="10"/>
      <c r="E109" s="10"/>
      <c r="F109" s="10"/>
      <c r="G109" s="10"/>
      <c r="H109" s="10"/>
      <c r="I109" s="10"/>
      <c r="J109" s="10"/>
      <c r="K109" s="10"/>
      <c r="L109" s="10"/>
      <c r="M109" s="10"/>
      <c r="N109" s="10"/>
      <c r="O109" s="10"/>
      <c r="P109" s="10"/>
      <c r="Q109" s="10"/>
      <c r="R109" s="10"/>
      <c r="S109" s="11"/>
    </row>
    <row r="110" spans="1:19">
      <c r="A110" s="9" t="s">
        <v>283</v>
      </c>
      <c r="B110" s="10"/>
      <c r="C110" s="10"/>
      <c r="D110" s="10"/>
      <c r="E110" s="10"/>
      <c r="F110" s="10"/>
      <c r="G110" s="10"/>
      <c r="H110" s="10"/>
      <c r="I110" s="10"/>
      <c r="J110" s="10"/>
      <c r="K110" s="10"/>
      <c r="L110" s="10"/>
      <c r="M110" s="10"/>
      <c r="N110" s="10"/>
      <c r="O110" s="10"/>
      <c r="P110" s="10"/>
      <c r="Q110" s="10"/>
      <c r="R110" s="10"/>
      <c r="S110" s="11"/>
    </row>
    <row r="111" spans="1:19">
      <c r="A111" s="9"/>
      <c r="B111" s="10"/>
      <c r="C111" s="10"/>
      <c r="D111" s="10"/>
      <c r="E111" s="10"/>
      <c r="F111" s="10"/>
      <c r="G111" s="10"/>
      <c r="H111" s="10"/>
      <c r="I111" s="10"/>
      <c r="J111" s="10"/>
      <c r="K111" s="10"/>
      <c r="L111" s="10"/>
      <c r="M111" s="10"/>
      <c r="N111" s="10"/>
      <c r="O111" s="10"/>
      <c r="P111" s="10"/>
      <c r="Q111" s="10"/>
      <c r="R111" s="10"/>
      <c r="S111" s="11"/>
    </row>
    <row r="112" spans="1:19">
      <c r="A112" s="21" t="s">
        <v>284</v>
      </c>
      <c r="B112" s="10"/>
      <c r="C112" s="10"/>
      <c r="D112" s="10"/>
      <c r="E112" s="10"/>
      <c r="F112" s="10"/>
      <c r="G112" s="10"/>
      <c r="H112" s="10"/>
      <c r="I112" s="10"/>
      <c r="J112" s="10"/>
      <c r="K112" s="10"/>
      <c r="L112" s="10"/>
      <c r="M112" s="10"/>
      <c r="N112" s="10"/>
      <c r="O112" s="10"/>
      <c r="P112" s="10"/>
      <c r="Q112" s="10"/>
      <c r="R112" s="10"/>
      <c r="S112" s="11"/>
    </row>
    <row r="113" spans="1:19">
      <c r="A113" s="9" t="s">
        <v>285</v>
      </c>
      <c r="B113" s="10"/>
      <c r="C113" s="10"/>
      <c r="D113" s="10"/>
      <c r="E113" s="10"/>
      <c r="F113" s="10"/>
      <c r="G113" s="10"/>
      <c r="H113" s="10"/>
      <c r="I113" s="10"/>
      <c r="J113" s="10"/>
      <c r="K113" s="10"/>
      <c r="L113" s="10"/>
      <c r="M113" s="10"/>
      <c r="N113" s="10"/>
      <c r="O113" s="10"/>
      <c r="P113" s="10"/>
      <c r="Q113" s="10"/>
      <c r="R113" s="10"/>
      <c r="S113" s="11"/>
    </row>
    <row r="114" spans="1:19">
      <c r="A114" s="9" t="s">
        <v>286</v>
      </c>
      <c r="B114" s="10"/>
      <c r="C114" s="10"/>
      <c r="D114" s="10"/>
      <c r="E114" s="10"/>
      <c r="F114" s="10"/>
      <c r="G114" s="10"/>
      <c r="H114" s="10"/>
      <c r="I114" s="10"/>
      <c r="J114" s="10"/>
      <c r="K114" s="10"/>
      <c r="L114" s="10"/>
      <c r="M114" s="10"/>
      <c r="N114" s="10"/>
      <c r="O114" s="10"/>
      <c r="P114" s="10"/>
      <c r="Q114" s="10"/>
      <c r="R114" s="10"/>
      <c r="S114" s="11"/>
    </row>
    <row r="115" spans="1:19">
      <c r="A115" s="9" t="s">
        <v>287</v>
      </c>
      <c r="B115" s="10"/>
      <c r="C115" s="10"/>
      <c r="D115" s="10"/>
      <c r="E115" s="10"/>
      <c r="F115" s="10"/>
      <c r="G115" s="10"/>
      <c r="H115" s="10"/>
      <c r="I115" s="10"/>
      <c r="J115" s="10"/>
      <c r="K115" s="10"/>
      <c r="L115" s="10"/>
      <c r="M115" s="10"/>
      <c r="N115" s="10"/>
      <c r="O115" s="10"/>
      <c r="P115" s="10"/>
      <c r="Q115" s="10"/>
      <c r="R115" s="10"/>
      <c r="S115" s="11"/>
    </row>
    <row r="116" spans="1:19">
      <c r="A116" s="9"/>
      <c r="B116" s="10"/>
      <c r="C116" s="10"/>
      <c r="D116" s="10"/>
      <c r="E116" s="10"/>
      <c r="F116" s="10"/>
      <c r="G116" s="10"/>
      <c r="H116" s="10"/>
      <c r="I116" s="10"/>
      <c r="J116" s="10"/>
      <c r="K116" s="10"/>
      <c r="L116" s="10"/>
      <c r="M116" s="10"/>
      <c r="N116" s="10"/>
      <c r="O116" s="10"/>
      <c r="P116" s="10"/>
      <c r="Q116" s="10"/>
      <c r="R116" s="10"/>
      <c r="S116" s="11"/>
    </row>
    <row r="117" spans="1:19">
      <c r="A117" s="9" t="s">
        <v>288</v>
      </c>
      <c r="B117" s="10"/>
      <c r="C117" s="10"/>
      <c r="D117" s="10"/>
      <c r="E117" s="27">
        <f>SUM(D108:M108)</f>
        <v>0</v>
      </c>
      <c r="F117" s="10"/>
      <c r="G117" s="10"/>
      <c r="H117" s="10"/>
      <c r="I117" s="10"/>
      <c r="J117" s="10"/>
      <c r="K117" s="10"/>
      <c r="L117" s="10"/>
      <c r="M117" s="10"/>
      <c r="N117" s="10"/>
      <c r="O117" s="10"/>
      <c r="P117" s="10"/>
      <c r="Q117" s="10"/>
      <c r="R117" s="10"/>
      <c r="S117" s="11"/>
    </row>
    <row r="118" spans="1:19">
      <c r="A118" s="9" t="s">
        <v>289</v>
      </c>
      <c r="B118" s="10"/>
      <c r="C118" s="10"/>
      <c r="D118" s="10"/>
      <c r="E118" s="59">
        <f>IF(E117&gt;0,(C136*D108+D136*E108+E136*F108+F136*G108+G136*H108+H136*I108+I136*J108+J136*K108+K136*L108+L136*M108)/E117,0)</f>
        <v>0</v>
      </c>
      <c r="F118" s="10"/>
      <c r="G118" s="10"/>
      <c r="H118" s="10"/>
      <c r="I118" s="10"/>
      <c r="J118" s="10"/>
      <c r="K118" s="10"/>
      <c r="L118" s="10"/>
      <c r="M118" s="10"/>
      <c r="N118" s="10"/>
      <c r="O118" s="10"/>
      <c r="P118" s="10"/>
      <c r="Q118" s="10"/>
      <c r="R118" s="10"/>
      <c r="S118" s="11"/>
    </row>
    <row r="119" spans="1:19">
      <c r="A119" s="9" t="s">
        <v>290</v>
      </c>
      <c r="B119" s="10"/>
      <c r="C119" s="10"/>
      <c r="D119" s="10"/>
      <c r="E119" s="15">
        <v>0</v>
      </c>
      <c r="F119" s="10"/>
      <c r="G119" s="10"/>
      <c r="H119" s="10"/>
      <c r="I119" s="10"/>
      <c r="J119" s="10"/>
      <c r="K119" s="10"/>
      <c r="L119" s="10"/>
      <c r="M119" s="10"/>
      <c r="N119" s="10"/>
      <c r="O119" s="10"/>
      <c r="P119" s="10"/>
      <c r="Q119" s="10"/>
      <c r="R119" s="10"/>
      <c r="S119" s="11"/>
    </row>
    <row r="120" spans="1:19">
      <c r="A120" s="9" t="s">
        <v>291</v>
      </c>
      <c r="B120" s="10"/>
      <c r="C120" s="10"/>
      <c r="D120" s="10"/>
      <c r="E120" s="10"/>
      <c r="F120" s="10"/>
      <c r="G120" s="10"/>
      <c r="H120" s="10"/>
      <c r="I120" s="10"/>
      <c r="J120" s="10"/>
      <c r="K120" s="10"/>
      <c r="L120" s="10"/>
      <c r="M120" s="10"/>
      <c r="N120" s="10"/>
      <c r="O120" s="10"/>
      <c r="P120" s="10"/>
      <c r="Q120" s="10"/>
      <c r="R120" s="10"/>
      <c r="S120" s="11"/>
    </row>
    <row r="121" spans="1:19">
      <c r="A121" s="9" t="s">
        <v>292</v>
      </c>
      <c r="B121" s="10"/>
      <c r="C121" s="10"/>
      <c r="D121" s="10"/>
      <c r="E121" s="10"/>
      <c r="F121" s="10"/>
      <c r="G121" s="10"/>
      <c r="H121" s="10"/>
      <c r="I121" s="10"/>
      <c r="J121" s="10"/>
      <c r="K121" s="10"/>
      <c r="L121" s="10"/>
      <c r="M121" s="10"/>
      <c r="N121" s="10"/>
      <c r="O121" s="10"/>
      <c r="P121" s="10"/>
      <c r="Q121" s="10"/>
      <c r="R121" s="10"/>
      <c r="S121" s="11"/>
    </row>
    <row r="122" spans="1:19">
      <c r="A122" s="9"/>
      <c r="B122" s="10"/>
      <c r="C122" s="10"/>
      <c r="D122" s="10"/>
      <c r="E122" s="10"/>
      <c r="F122" s="10"/>
      <c r="G122" s="10"/>
      <c r="H122" s="10"/>
      <c r="I122" s="10"/>
      <c r="J122" s="10"/>
      <c r="K122" s="10"/>
      <c r="L122" s="10"/>
      <c r="M122" s="10"/>
      <c r="N122" s="10"/>
      <c r="O122" s="10"/>
      <c r="P122" s="10"/>
      <c r="Q122" s="10"/>
      <c r="R122" s="10"/>
      <c r="S122" s="11"/>
    </row>
    <row r="123" spans="1:19">
      <c r="A123" s="21" t="s">
        <v>293</v>
      </c>
      <c r="B123" s="10"/>
      <c r="C123" s="10"/>
      <c r="D123" s="10"/>
      <c r="E123" s="10"/>
      <c r="F123" s="10"/>
      <c r="G123" s="10"/>
      <c r="H123" s="10"/>
      <c r="I123" s="10"/>
      <c r="J123" s="10"/>
      <c r="K123" s="10"/>
      <c r="L123" s="10"/>
      <c r="M123" s="10"/>
      <c r="N123" s="10"/>
      <c r="O123" s="10"/>
      <c r="P123" s="10"/>
      <c r="Q123" s="10"/>
      <c r="R123" s="10"/>
      <c r="S123" s="11"/>
    </row>
    <row r="124" spans="1:19">
      <c r="A124" s="21" t="s">
        <v>278</v>
      </c>
      <c r="B124" s="10"/>
      <c r="C124" s="10"/>
      <c r="D124" s="10"/>
      <c r="E124" s="10"/>
      <c r="F124" s="10"/>
      <c r="G124" s="10"/>
      <c r="H124" s="10"/>
      <c r="I124" s="10"/>
      <c r="J124" s="10"/>
      <c r="K124" s="10"/>
      <c r="L124" s="10"/>
      <c r="M124" s="10"/>
      <c r="N124" s="10"/>
      <c r="O124" s="10"/>
      <c r="P124" s="10"/>
      <c r="Q124" s="10"/>
      <c r="R124" s="10"/>
      <c r="S124" s="11"/>
    </row>
    <row r="125" spans="1:19">
      <c r="A125" s="9"/>
      <c r="B125" s="10"/>
      <c r="C125" s="10"/>
      <c r="D125" s="10"/>
      <c r="E125" s="10"/>
      <c r="F125" s="10"/>
      <c r="G125" s="10"/>
      <c r="H125" s="10"/>
      <c r="I125" s="10"/>
      <c r="J125" s="10"/>
      <c r="K125" s="10"/>
      <c r="L125" s="10"/>
      <c r="M125" s="10"/>
      <c r="N125" s="10"/>
      <c r="O125" s="10"/>
      <c r="P125" s="10"/>
      <c r="Q125" s="10"/>
      <c r="R125" s="10"/>
      <c r="S125" s="11"/>
    </row>
    <row r="126" spans="1:19">
      <c r="A126" s="37" t="s">
        <v>294</v>
      </c>
      <c r="B126" s="10"/>
      <c r="C126" s="10"/>
      <c r="D126" s="10"/>
      <c r="E126" s="10"/>
      <c r="F126" s="10"/>
      <c r="G126" s="10"/>
      <c r="H126" s="10"/>
      <c r="I126" s="10"/>
      <c r="J126" s="10"/>
      <c r="K126" s="10"/>
      <c r="L126" s="10"/>
      <c r="M126" s="10"/>
      <c r="N126" s="10"/>
      <c r="O126" s="10"/>
      <c r="P126" s="10"/>
      <c r="Q126" s="10"/>
      <c r="R126" s="10"/>
      <c r="S126" s="11"/>
    </row>
    <row r="127" spans="1:19">
      <c r="A127" s="9" t="s">
        <v>297</v>
      </c>
      <c r="B127" s="10"/>
      <c r="C127" s="10"/>
      <c r="D127" s="10"/>
      <c r="E127" s="10"/>
      <c r="F127" s="10"/>
      <c r="G127" s="10"/>
      <c r="H127" s="10"/>
      <c r="I127" s="10"/>
      <c r="J127" s="10"/>
      <c r="K127" s="10"/>
      <c r="L127" s="10"/>
      <c r="M127" s="10"/>
      <c r="N127" s="10"/>
      <c r="O127" s="10"/>
      <c r="P127" s="10"/>
      <c r="Q127" s="10"/>
      <c r="R127" s="10"/>
      <c r="S127" s="11"/>
    </row>
    <row r="128" spans="1:19">
      <c r="A128" s="9"/>
      <c r="B128" s="10"/>
      <c r="C128" s="10"/>
      <c r="D128" s="10"/>
      <c r="E128" s="10"/>
      <c r="F128" s="10"/>
      <c r="G128" s="10"/>
      <c r="H128" s="10"/>
      <c r="I128" s="10"/>
      <c r="J128" s="10"/>
      <c r="K128" s="10"/>
      <c r="L128" s="10"/>
      <c r="M128" s="10"/>
      <c r="N128" s="10"/>
      <c r="O128" s="10"/>
      <c r="P128" s="10"/>
      <c r="Q128" s="10"/>
      <c r="R128" s="10"/>
      <c r="S128" s="11"/>
    </row>
    <row r="129" spans="1:19">
      <c r="A129" s="9"/>
      <c r="B129" s="10"/>
      <c r="C129" s="10" t="s">
        <v>4</v>
      </c>
      <c r="D129" s="10" t="s">
        <v>5</v>
      </c>
      <c r="E129" s="10" t="s">
        <v>29</v>
      </c>
      <c r="F129" s="10" t="s">
        <v>263</v>
      </c>
      <c r="G129" s="10" t="s">
        <v>31</v>
      </c>
      <c r="H129" s="10" t="s">
        <v>32</v>
      </c>
      <c r="I129" s="10" t="s">
        <v>8</v>
      </c>
      <c r="J129" s="10" t="s">
        <v>9</v>
      </c>
      <c r="K129" s="10" t="s">
        <v>10</v>
      </c>
      <c r="L129" s="10" t="s">
        <v>264</v>
      </c>
      <c r="M129" s="10"/>
      <c r="N129" s="10"/>
      <c r="O129" s="10"/>
      <c r="P129" s="10"/>
      <c r="Q129" s="10"/>
      <c r="R129" s="10"/>
      <c r="S129" s="11"/>
    </row>
    <row r="130" spans="1:19">
      <c r="A130" s="9" t="s">
        <v>295</v>
      </c>
      <c r="B130" s="10"/>
      <c r="C130" s="10">
        <v>0.23</v>
      </c>
      <c r="D130" s="10">
        <v>0.23</v>
      </c>
      <c r="E130" s="10">
        <v>0.23</v>
      </c>
      <c r="F130" s="10">
        <v>0.23</v>
      </c>
      <c r="G130" s="10">
        <v>0.23</v>
      </c>
      <c r="H130" s="10">
        <v>0.23</v>
      </c>
      <c r="I130" s="10">
        <v>0.23</v>
      </c>
      <c r="J130" s="10">
        <v>0.23</v>
      </c>
      <c r="K130" s="10">
        <v>0.23</v>
      </c>
      <c r="L130" s="10">
        <v>0.23</v>
      </c>
      <c r="M130" s="10"/>
      <c r="N130" s="10"/>
      <c r="O130" s="10"/>
      <c r="P130" s="10"/>
      <c r="Q130" s="10"/>
      <c r="R130" s="10"/>
      <c r="S130" s="11"/>
    </row>
    <row r="131" spans="1:19">
      <c r="A131" s="9" t="s">
        <v>296</v>
      </c>
      <c r="B131" s="10"/>
      <c r="C131" s="10">
        <v>70</v>
      </c>
      <c r="D131" s="10">
        <v>70</v>
      </c>
      <c r="E131" s="10">
        <v>70</v>
      </c>
      <c r="F131" s="10">
        <v>70</v>
      </c>
      <c r="G131" s="10">
        <v>70</v>
      </c>
      <c r="H131" s="10">
        <v>70</v>
      </c>
      <c r="I131" s="10">
        <v>70</v>
      </c>
      <c r="J131" s="10">
        <v>70</v>
      </c>
      <c r="K131" s="10">
        <v>70</v>
      </c>
      <c r="L131" s="10">
        <v>70</v>
      </c>
      <c r="M131" s="10"/>
      <c r="N131" s="10"/>
      <c r="O131" s="10"/>
      <c r="P131" s="10"/>
      <c r="Q131" s="10"/>
      <c r="R131" s="10"/>
      <c r="S131" s="11"/>
    </row>
    <row r="132" spans="1:19">
      <c r="A132" s="9"/>
      <c r="B132" s="10"/>
      <c r="C132" s="10"/>
      <c r="D132" s="10"/>
      <c r="E132" s="10"/>
      <c r="F132" s="10"/>
      <c r="G132" s="10"/>
      <c r="H132" s="10"/>
      <c r="I132" s="10"/>
      <c r="J132" s="10"/>
      <c r="K132" s="10"/>
      <c r="L132" s="10"/>
      <c r="M132" s="10"/>
      <c r="N132" s="10"/>
      <c r="O132" s="10"/>
      <c r="P132" s="10"/>
      <c r="Q132" s="10"/>
      <c r="R132" s="10"/>
      <c r="S132" s="11"/>
    </row>
    <row r="133" spans="1:19">
      <c r="A133" s="37" t="s">
        <v>298</v>
      </c>
      <c r="B133" s="10"/>
      <c r="C133" s="10"/>
      <c r="D133" s="10"/>
      <c r="E133" s="10"/>
      <c r="F133" s="10"/>
      <c r="G133" s="10"/>
      <c r="H133" s="10"/>
      <c r="I133" s="10"/>
      <c r="J133" s="10"/>
      <c r="K133" s="10"/>
      <c r="L133" s="10"/>
      <c r="M133" s="10"/>
      <c r="N133" s="10"/>
      <c r="O133" s="10"/>
      <c r="P133" s="10"/>
      <c r="Q133" s="10"/>
      <c r="R133" s="10"/>
      <c r="S133" s="11"/>
    </row>
    <row r="134" spans="1:19">
      <c r="A134" s="9" t="s">
        <v>300</v>
      </c>
      <c r="B134" s="10"/>
      <c r="C134" s="10" t="s">
        <v>301</v>
      </c>
      <c r="D134" s="10"/>
      <c r="E134" s="10"/>
      <c r="F134" s="10"/>
      <c r="G134" s="10"/>
      <c r="H134" s="10"/>
      <c r="I134" s="10"/>
      <c r="J134" s="10"/>
      <c r="K134" s="10"/>
      <c r="L134" s="10"/>
      <c r="M134" s="10"/>
      <c r="N134" s="10"/>
      <c r="O134" s="10"/>
      <c r="P134" s="10"/>
      <c r="Q134" s="10"/>
      <c r="R134" s="10"/>
      <c r="S134" s="11"/>
    </row>
    <row r="135" spans="1:19">
      <c r="A135" s="9"/>
      <c r="B135" s="10"/>
      <c r="C135" s="10" t="s">
        <v>4</v>
      </c>
      <c r="D135" s="10" t="s">
        <v>5</v>
      </c>
      <c r="E135" s="10" t="s">
        <v>29</v>
      </c>
      <c r="F135" s="10" t="s">
        <v>263</v>
      </c>
      <c r="G135" s="10" t="s">
        <v>31</v>
      </c>
      <c r="H135" s="10" t="s">
        <v>32</v>
      </c>
      <c r="I135" s="10" t="s">
        <v>8</v>
      </c>
      <c r="J135" s="10" t="s">
        <v>9</v>
      </c>
      <c r="K135" s="10" t="s">
        <v>10</v>
      </c>
      <c r="L135" s="10" t="s">
        <v>264</v>
      </c>
      <c r="M135" s="10"/>
      <c r="N135" s="10"/>
      <c r="O135" s="10"/>
      <c r="P135" s="10"/>
      <c r="Q135" s="10"/>
      <c r="R135" s="10"/>
      <c r="S135" s="11"/>
    </row>
    <row r="136" spans="1:19">
      <c r="A136" s="9" t="s">
        <v>299</v>
      </c>
      <c r="B136" s="10"/>
      <c r="C136" s="10">
        <v>10.5</v>
      </c>
      <c r="D136" s="10">
        <v>-0.5</v>
      </c>
      <c r="E136" s="10">
        <v>-0.5</v>
      </c>
      <c r="F136" s="10">
        <v>-0.5</v>
      </c>
      <c r="G136" s="10">
        <v>25</v>
      </c>
      <c r="H136" s="10">
        <v>28</v>
      </c>
      <c r="I136" s="10">
        <v>13.5</v>
      </c>
      <c r="J136" s="10">
        <v>3.7</v>
      </c>
      <c r="K136" s="10">
        <v>4</v>
      </c>
      <c r="L136" s="10">
        <v>7.4</v>
      </c>
      <c r="M136" s="10"/>
      <c r="N136" s="10"/>
      <c r="O136" s="10"/>
      <c r="P136" s="10"/>
      <c r="Q136" s="10"/>
      <c r="R136" s="10"/>
      <c r="S136" s="11"/>
    </row>
    <row r="137" spans="1:19">
      <c r="A137" s="9"/>
      <c r="B137" s="10"/>
      <c r="C137" s="10"/>
      <c r="D137" s="10"/>
      <c r="E137" s="10"/>
      <c r="F137" s="10"/>
      <c r="G137" s="10"/>
      <c r="H137" s="10"/>
      <c r="I137" s="10"/>
      <c r="J137" s="10"/>
      <c r="K137" s="10"/>
      <c r="L137" s="10"/>
      <c r="M137" s="10"/>
      <c r="N137" s="10"/>
      <c r="O137" s="10"/>
      <c r="P137" s="10"/>
      <c r="Q137" s="10"/>
      <c r="R137" s="10"/>
      <c r="S137" s="11"/>
    </row>
    <row r="138" spans="1:19">
      <c r="A138" s="37" t="s">
        <v>302</v>
      </c>
      <c r="B138" s="10"/>
      <c r="C138" s="10"/>
      <c r="D138" s="10"/>
      <c r="E138" s="10"/>
      <c r="F138" s="10"/>
      <c r="G138" s="10"/>
      <c r="H138" s="10"/>
      <c r="I138" s="10"/>
      <c r="J138" s="10"/>
      <c r="K138" s="10"/>
      <c r="L138" s="10"/>
      <c r="M138" s="10"/>
      <c r="N138" s="10"/>
      <c r="O138" s="10"/>
      <c r="P138" s="10"/>
      <c r="Q138" s="10"/>
      <c r="R138" s="10"/>
      <c r="S138" s="11"/>
    </row>
    <row r="139" spans="1:19">
      <c r="A139" s="37"/>
      <c r="B139" s="10"/>
      <c r="C139" s="10"/>
      <c r="D139" s="10"/>
      <c r="E139" s="10"/>
      <c r="F139" s="10"/>
      <c r="G139" s="10"/>
      <c r="H139" s="10"/>
      <c r="I139" s="10"/>
      <c r="J139" s="10"/>
      <c r="K139" s="10"/>
      <c r="L139" s="10"/>
      <c r="M139" s="10"/>
      <c r="N139" s="10"/>
      <c r="O139" s="10"/>
      <c r="P139" s="10"/>
      <c r="Q139" s="10"/>
      <c r="R139" s="10"/>
      <c r="S139" s="11"/>
    </row>
    <row r="140" spans="1:19">
      <c r="A140" s="9" t="s">
        <v>303</v>
      </c>
      <c r="B140" s="10"/>
      <c r="C140" s="10" t="s">
        <v>4</v>
      </c>
      <c r="D140" s="10" t="s">
        <v>5</v>
      </c>
      <c r="E140" s="10" t="s">
        <v>29</v>
      </c>
      <c r="F140" s="10" t="s">
        <v>263</v>
      </c>
      <c r="G140" s="10" t="s">
        <v>31</v>
      </c>
      <c r="H140" s="10" t="s">
        <v>32</v>
      </c>
      <c r="I140" s="10" t="s">
        <v>8</v>
      </c>
      <c r="J140" s="10" t="s">
        <v>9</v>
      </c>
      <c r="K140" s="10" t="s">
        <v>10</v>
      </c>
      <c r="L140" s="10" t="s">
        <v>264</v>
      </c>
      <c r="M140" s="10"/>
      <c r="N140" s="10"/>
      <c r="O140" s="10"/>
      <c r="P140" s="10"/>
      <c r="Q140" s="10"/>
      <c r="R140" s="10"/>
      <c r="S140" s="11"/>
    </row>
    <row r="141" spans="1:19">
      <c r="A141" s="9" t="s">
        <v>304</v>
      </c>
      <c r="B141" s="10"/>
      <c r="C141" s="10">
        <v>3.2000000000000001E-2</v>
      </c>
      <c r="D141" s="10">
        <v>3.2000000000000001E-2</v>
      </c>
      <c r="E141" s="10">
        <v>3.2000000000000001E-2</v>
      </c>
      <c r="F141" s="10">
        <v>3.2000000000000001E-2</v>
      </c>
      <c r="G141" s="10">
        <v>3.2000000000000001E-2</v>
      </c>
      <c r="H141" s="10">
        <v>3.2000000000000001E-2</v>
      </c>
      <c r="I141" s="10">
        <v>3.2000000000000001E-2</v>
      </c>
      <c r="J141" s="10">
        <v>3.2000000000000001E-2</v>
      </c>
      <c r="K141" s="10">
        <v>3.2000000000000001E-2</v>
      </c>
      <c r="L141" s="10">
        <v>3.2000000000000001E-2</v>
      </c>
      <c r="M141" s="10"/>
      <c r="N141" s="10"/>
      <c r="O141" s="10"/>
      <c r="P141" s="10"/>
      <c r="Q141" s="10"/>
      <c r="R141" s="10"/>
      <c r="S141" s="11"/>
    </row>
    <row r="142" spans="1:19">
      <c r="A142" s="9" t="s">
        <v>305</v>
      </c>
      <c r="B142" s="10"/>
      <c r="C142" s="10">
        <v>8.4000000000000005E-2</v>
      </c>
      <c r="D142" s="10">
        <v>0.9</v>
      </c>
      <c r="E142" s="10">
        <v>0.85</v>
      </c>
      <c r="F142" s="10">
        <v>0.9</v>
      </c>
      <c r="G142" s="10">
        <v>0.09</v>
      </c>
      <c r="H142" s="10">
        <v>0.06</v>
      </c>
      <c r="I142" s="10">
        <v>7.4999999999999997E-2</v>
      </c>
      <c r="J142" s="10">
        <v>7.6999999999999999E-2</v>
      </c>
      <c r="K142" s="10">
        <v>0.42</v>
      </c>
      <c r="L142" s="10">
        <v>0.154</v>
      </c>
      <c r="M142" s="10"/>
      <c r="N142" s="10"/>
      <c r="O142" s="10"/>
      <c r="P142" s="10"/>
      <c r="Q142" s="10"/>
      <c r="R142" s="10"/>
      <c r="S142" s="11"/>
    </row>
    <row r="143" spans="1:19">
      <c r="A143" s="9" t="s">
        <v>306</v>
      </c>
      <c r="B143" s="10"/>
      <c r="C143" s="10"/>
      <c r="D143" s="10"/>
      <c r="E143" s="10"/>
      <c r="F143" s="10"/>
      <c r="G143" s="10"/>
      <c r="H143" s="10"/>
      <c r="I143" s="10"/>
      <c r="J143" s="10"/>
      <c r="K143" s="10"/>
      <c r="L143" s="10"/>
      <c r="M143" s="10"/>
      <c r="N143" s="10"/>
      <c r="O143" s="10"/>
      <c r="P143" s="10"/>
      <c r="Q143" s="10"/>
      <c r="R143" s="10"/>
      <c r="S143" s="11"/>
    </row>
    <row r="144" spans="1:19">
      <c r="A144" s="9" t="s">
        <v>307</v>
      </c>
      <c r="B144" s="10"/>
      <c r="C144" s="10"/>
      <c r="D144" s="10"/>
      <c r="E144" s="10"/>
      <c r="F144" s="10"/>
      <c r="G144" s="10"/>
      <c r="H144" s="10"/>
      <c r="I144" s="10"/>
      <c r="J144" s="10"/>
      <c r="K144" s="10"/>
      <c r="L144" s="10"/>
      <c r="M144" s="10"/>
      <c r="N144" s="10"/>
      <c r="O144" s="10"/>
      <c r="P144" s="10"/>
      <c r="Q144" s="10"/>
      <c r="R144" s="10"/>
      <c r="S144" s="11"/>
    </row>
    <row r="145" spans="1:19">
      <c r="A145" s="9"/>
      <c r="B145" s="10"/>
      <c r="C145" s="10"/>
      <c r="D145" s="10"/>
      <c r="E145" s="10"/>
      <c r="F145" s="10"/>
      <c r="G145" s="10"/>
      <c r="H145" s="10"/>
      <c r="I145" s="10"/>
      <c r="J145" s="10"/>
      <c r="K145" s="10"/>
      <c r="L145" s="10"/>
      <c r="M145" s="10"/>
      <c r="N145" s="10"/>
      <c r="O145" s="10"/>
      <c r="P145" s="10"/>
      <c r="Q145" s="10"/>
      <c r="R145" s="10"/>
      <c r="S145" s="11"/>
    </row>
    <row r="146" spans="1:19">
      <c r="A146" s="21" t="s">
        <v>164</v>
      </c>
      <c r="B146" s="10"/>
      <c r="C146" s="10"/>
      <c r="D146" s="10"/>
      <c r="E146" s="10"/>
      <c r="F146" s="10"/>
      <c r="G146" s="10"/>
      <c r="H146" s="10"/>
      <c r="I146" s="10"/>
      <c r="J146" s="10"/>
      <c r="K146" s="10"/>
      <c r="L146" s="10"/>
      <c r="M146" s="10"/>
      <c r="N146" s="10"/>
      <c r="O146" s="10"/>
      <c r="P146" s="10"/>
      <c r="Q146" s="10"/>
      <c r="R146" s="10"/>
      <c r="S146" s="11"/>
    </row>
    <row r="147" spans="1:19">
      <c r="A147" s="9" t="s">
        <v>308</v>
      </c>
      <c r="B147" s="10"/>
      <c r="C147" s="10"/>
      <c r="D147" s="10"/>
      <c r="E147" s="10"/>
      <c r="F147" s="10"/>
      <c r="G147" s="10"/>
      <c r="H147" s="10"/>
      <c r="I147" s="10"/>
      <c r="J147" s="10"/>
      <c r="K147" s="10"/>
      <c r="L147" s="10"/>
      <c r="M147" s="10"/>
      <c r="N147" s="10"/>
      <c r="O147" s="10"/>
      <c r="P147" s="10"/>
      <c r="Q147" s="10"/>
      <c r="R147" s="10"/>
      <c r="S147" s="11"/>
    </row>
    <row r="148" spans="1:19">
      <c r="A148" s="9" t="s">
        <v>309</v>
      </c>
      <c r="B148" s="10"/>
      <c r="C148" s="10"/>
      <c r="D148" s="10"/>
      <c r="E148" s="10"/>
      <c r="F148" s="10"/>
      <c r="G148" s="10"/>
      <c r="H148" s="10"/>
      <c r="I148" s="10"/>
      <c r="J148" s="10"/>
      <c r="K148" s="10"/>
      <c r="L148" s="10"/>
      <c r="M148" s="10"/>
      <c r="N148" s="10"/>
      <c r="O148" s="10"/>
      <c r="P148" s="10"/>
      <c r="Q148" s="10"/>
      <c r="R148" s="10"/>
      <c r="S148" s="11"/>
    </row>
    <row r="149" spans="1:19">
      <c r="A149" s="9"/>
      <c r="B149" s="10"/>
      <c r="C149" s="10"/>
      <c r="D149" s="10"/>
      <c r="E149" s="10"/>
      <c r="F149" s="10"/>
      <c r="G149" s="10"/>
      <c r="H149" s="10"/>
      <c r="I149" s="10"/>
      <c r="J149" s="10"/>
      <c r="K149" s="10"/>
      <c r="L149" s="10"/>
      <c r="M149" s="10"/>
      <c r="N149" s="10"/>
      <c r="O149" s="10"/>
      <c r="P149" s="10"/>
      <c r="Q149" s="10"/>
      <c r="R149" s="10"/>
      <c r="S149" s="11"/>
    </row>
    <row r="150" spans="1:19">
      <c r="A150" s="9" t="s">
        <v>310</v>
      </c>
      <c r="B150" s="10"/>
      <c r="C150" s="10"/>
      <c r="D150" s="10"/>
      <c r="E150" s="15">
        <v>0.9</v>
      </c>
      <c r="F150" s="10" t="s">
        <v>312</v>
      </c>
      <c r="G150" s="10"/>
      <c r="H150" s="10"/>
      <c r="I150" s="10"/>
      <c r="J150" s="10"/>
      <c r="K150" s="10"/>
      <c r="L150" s="10"/>
      <c r="M150" s="10"/>
      <c r="N150" s="10"/>
      <c r="O150" s="10"/>
      <c r="P150" s="10"/>
      <c r="Q150" s="10"/>
      <c r="R150" s="10"/>
      <c r="S150" s="11"/>
    </row>
    <row r="151" spans="1:19">
      <c r="A151" s="9" t="s">
        <v>311</v>
      </c>
      <c r="B151" s="10"/>
      <c r="C151" s="10"/>
      <c r="D151" s="10"/>
      <c r="E151" s="15">
        <v>0</v>
      </c>
      <c r="F151" s="10"/>
      <c r="G151" s="10"/>
      <c r="H151" s="10"/>
      <c r="I151" s="10"/>
      <c r="J151" s="10"/>
      <c r="K151" s="10"/>
      <c r="L151" s="10"/>
      <c r="M151" s="10"/>
      <c r="N151" s="10"/>
      <c r="O151" s="10"/>
      <c r="P151" s="10"/>
      <c r="Q151" s="10"/>
      <c r="R151" s="10"/>
      <c r="S151" s="11"/>
    </row>
    <row r="152" spans="1:19">
      <c r="A152" s="9"/>
      <c r="B152" s="10"/>
      <c r="C152" s="10"/>
      <c r="D152" s="10"/>
      <c r="E152" s="10"/>
      <c r="F152" s="10"/>
      <c r="G152" s="10"/>
      <c r="H152" s="10"/>
      <c r="I152" s="10"/>
      <c r="J152" s="10"/>
      <c r="K152" s="10"/>
      <c r="L152" s="10"/>
      <c r="M152" s="10"/>
      <c r="N152" s="10"/>
      <c r="O152" s="10"/>
      <c r="P152" s="10"/>
      <c r="Q152" s="10"/>
      <c r="R152" s="10"/>
      <c r="S152" s="11"/>
    </row>
    <row r="153" spans="1:19">
      <c r="A153" s="9" t="s">
        <v>324</v>
      </c>
      <c r="B153" s="10"/>
      <c r="C153" s="10"/>
      <c r="D153" s="10"/>
      <c r="E153" s="10"/>
      <c r="F153" s="10">
        <v>0</v>
      </c>
      <c r="G153" s="10"/>
      <c r="H153" s="10"/>
      <c r="I153" s="10"/>
      <c r="J153" s="10"/>
      <c r="K153" s="10"/>
      <c r="L153" s="10"/>
      <c r="M153" s="10"/>
      <c r="N153" s="10"/>
      <c r="O153" s="10"/>
      <c r="P153" s="10"/>
      <c r="Q153" s="10"/>
      <c r="R153" s="10"/>
      <c r="S153" s="11"/>
    </row>
    <row r="154" spans="1:19">
      <c r="A154" s="9" t="s">
        <v>313</v>
      </c>
      <c r="B154" s="10"/>
      <c r="C154" s="10"/>
      <c r="D154" s="10"/>
      <c r="E154" s="10"/>
      <c r="F154" s="10">
        <v>0</v>
      </c>
      <c r="G154" s="10"/>
      <c r="H154" s="10"/>
      <c r="I154" s="10"/>
      <c r="J154" s="10"/>
      <c r="K154" s="10"/>
      <c r="L154" s="10"/>
      <c r="M154" s="10"/>
      <c r="N154" s="10"/>
      <c r="O154" s="10"/>
      <c r="P154" s="10"/>
      <c r="Q154" s="10"/>
      <c r="R154" s="10"/>
      <c r="S154" s="11"/>
    </row>
    <row r="155" spans="1:19">
      <c r="A155" s="9" t="s">
        <v>314</v>
      </c>
      <c r="B155" s="10"/>
      <c r="C155" s="10"/>
      <c r="D155" s="10"/>
      <c r="E155" s="10"/>
      <c r="F155" s="10"/>
      <c r="G155" s="10"/>
      <c r="H155" s="10"/>
      <c r="I155" s="10"/>
      <c r="J155" s="10"/>
      <c r="K155" s="10"/>
      <c r="L155" s="10"/>
      <c r="M155" s="10"/>
      <c r="N155" s="10"/>
      <c r="O155" s="10"/>
      <c r="P155" s="10"/>
      <c r="Q155" s="10"/>
      <c r="R155" s="10"/>
      <c r="S155" s="11"/>
    </row>
    <row r="156" spans="1:19">
      <c r="A156" s="9"/>
      <c r="B156" s="10"/>
      <c r="C156" s="10"/>
      <c r="D156" s="10"/>
      <c r="E156" s="10"/>
      <c r="F156" s="10"/>
      <c r="G156" s="10"/>
      <c r="H156" s="10"/>
      <c r="I156" s="10"/>
      <c r="J156" s="10"/>
      <c r="K156" s="10"/>
      <c r="L156" s="10"/>
      <c r="M156" s="10"/>
      <c r="N156" s="10"/>
      <c r="O156" s="10"/>
      <c r="P156" s="10"/>
      <c r="Q156" s="10"/>
      <c r="R156" s="10"/>
      <c r="S156" s="11"/>
    </row>
    <row r="157" spans="1:19">
      <c r="A157" s="21" t="s">
        <v>174</v>
      </c>
      <c r="B157" s="10"/>
      <c r="C157" s="10"/>
      <c r="D157" s="10"/>
      <c r="E157" s="10"/>
      <c r="F157" s="10"/>
      <c r="G157" s="10"/>
      <c r="H157" s="10"/>
      <c r="I157" s="10"/>
      <c r="J157" s="10"/>
      <c r="K157" s="10"/>
      <c r="L157" s="10"/>
      <c r="M157" s="10"/>
      <c r="N157" s="10"/>
      <c r="O157" s="10"/>
      <c r="P157" s="10"/>
      <c r="Q157" s="10"/>
      <c r="R157" s="10"/>
      <c r="S157" s="11"/>
    </row>
    <row r="158" spans="1:19">
      <c r="A158" s="9" t="s">
        <v>315</v>
      </c>
      <c r="B158" s="10"/>
      <c r="C158" s="10"/>
      <c r="D158" s="10"/>
      <c r="E158" s="10"/>
      <c r="F158" s="10"/>
      <c r="G158" s="10"/>
      <c r="H158" s="10"/>
      <c r="I158" s="10"/>
      <c r="J158" s="10"/>
      <c r="K158" s="10"/>
      <c r="L158" s="10"/>
      <c r="M158" s="10"/>
      <c r="N158" s="10"/>
      <c r="O158" s="10"/>
      <c r="P158" s="10"/>
      <c r="Q158" s="10"/>
      <c r="R158" s="10"/>
      <c r="S158" s="11"/>
    </row>
    <row r="159" spans="1:19">
      <c r="A159" s="9" t="s">
        <v>316</v>
      </c>
      <c r="B159" s="10"/>
      <c r="C159" s="10"/>
      <c r="D159" s="10"/>
      <c r="E159" s="10"/>
      <c r="F159" s="10"/>
      <c r="G159" s="10"/>
      <c r="H159" s="10"/>
      <c r="I159" s="10"/>
      <c r="J159" s="10"/>
      <c r="K159" s="10"/>
      <c r="L159" s="10"/>
      <c r="M159" s="10"/>
      <c r="N159" s="10"/>
      <c r="O159" s="10"/>
      <c r="P159" s="10"/>
      <c r="Q159" s="10"/>
      <c r="R159" s="10"/>
      <c r="S159" s="11"/>
    </row>
    <row r="160" spans="1:19">
      <c r="A160" s="9"/>
      <c r="B160" s="10"/>
      <c r="C160" s="10"/>
      <c r="D160" s="10"/>
      <c r="E160" s="10"/>
      <c r="F160" s="10"/>
      <c r="G160" s="10"/>
      <c r="H160" s="10"/>
      <c r="I160" s="10"/>
      <c r="J160" s="10"/>
      <c r="K160" s="10"/>
      <c r="L160" s="10"/>
      <c r="M160" s="10"/>
      <c r="N160" s="10"/>
      <c r="O160" s="10"/>
      <c r="P160" s="10"/>
      <c r="Q160" s="10"/>
      <c r="R160" s="10"/>
      <c r="S160" s="11"/>
    </row>
    <row r="161" spans="1:19">
      <c r="A161" s="9" t="s">
        <v>317</v>
      </c>
      <c r="B161" s="10"/>
      <c r="C161" s="10"/>
      <c r="D161" s="10"/>
      <c r="E161" s="10">
        <v>0</v>
      </c>
      <c r="F161" s="10"/>
      <c r="G161" s="10"/>
      <c r="H161" s="10"/>
      <c r="I161" s="10"/>
      <c r="J161" s="10"/>
      <c r="K161" s="10"/>
      <c r="L161" s="10"/>
      <c r="M161" s="10"/>
      <c r="N161" s="10"/>
      <c r="O161" s="10"/>
      <c r="P161" s="10"/>
      <c r="Q161" s="10"/>
      <c r="R161" s="10"/>
      <c r="S161" s="11"/>
    </row>
    <row r="162" spans="1:19">
      <c r="A162" s="9" t="s">
        <v>318</v>
      </c>
      <c r="B162" s="10"/>
      <c r="C162" s="10"/>
      <c r="D162" s="10"/>
      <c r="E162" s="10">
        <v>0</v>
      </c>
      <c r="F162" s="10"/>
      <c r="G162" s="10"/>
      <c r="H162" s="10"/>
      <c r="I162" s="10"/>
      <c r="J162" s="10"/>
      <c r="K162" s="10"/>
      <c r="L162" s="10"/>
      <c r="M162" s="10"/>
      <c r="N162" s="10"/>
      <c r="O162" s="10"/>
      <c r="P162" s="10"/>
      <c r="Q162" s="10"/>
      <c r="R162" s="10"/>
      <c r="S162" s="11"/>
    </row>
    <row r="163" spans="1:19">
      <c r="A163" s="9" t="s">
        <v>321</v>
      </c>
      <c r="B163" s="10"/>
      <c r="C163" s="10"/>
      <c r="D163" s="10"/>
      <c r="E163" s="10">
        <v>0</v>
      </c>
      <c r="F163" s="10"/>
      <c r="G163" s="10"/>
      <c r="H163" s="10"/>
      <c r="I163" s="10"/>
      <c r="J163" s="10"/>
      <c r="K163" s="10"/>
      <c r="L163" s="10"/>
      <c r="M163" s="10"/>
      <c r="N163" s="10"/>
      <c r="O163" s="10"/>
      <c r="P163" s="10"/>
      <c r="Q163" s="10"/>
      <c r="R163" s="10"/>
      <c r="S163" s="11"/>
    </row>
    <row r="164" spans="1:19">
      <c r="A164" s="9"/>
      <c r="B164" s="10"/>
      <c r="C164" s="10"/>
      <c r="D164" s="10"/>
      <c r="E164" s="10"/>
      <c r="F164" s="10"/>
      <c r="G164" s="10"/>
      <c r="H164" s="10"/>
      <c r="I164" s="10"/>
      <c r="J164" s="10"/>
      <c r="K164" s="10"/>
      <c r="L164" s="10"/>
      <c r="M164" s="10"/>
      <c r="N164" s="10"/>
      <c r="O164" s="10"/>
      <c r="P164" s="10"/>
      <c r="Q164" s="10"/>
      <c r="R164" s="10"/>
      <c r="S164" s="11"/>
    </row>
    <row r="165" spans="1:19">
      <c r="A165" s="9" t="s">
        <v>319</v>
      </c>
      <c r="B165" s="10"/>
      <c r="C165" s="10"/>
      <c r="D165" s="10"/>
      <c r="E165" s="10"/>
      <c r="F165" s="10">
        <v>0</v>
      </c>
      <c r="G165" s="10"/>
      <c r="H165" s="10"/>
      <c r="I165" s="10"/>
      <c r="J165" s="10"/>
      <c r="K165" s="10"/>
      <c r="L165" s="10"/>
      <c r="M165" s="10"/>
      <c r="N165" s="10"/>
      <c r="O165" s="10"/>
      <c r="P165" s="10"/>
      <c r="Q165" s="10"/>
      <c r="R165" s="10"/>
      <c r="S165" s="11"/>
    </row>
    <row r="166" spans="1:19">
      <c r="A166" s="9" t="s">
        <v>320</v>
      </c>
      <c r="B166" s="10"/>
      <c r="C166" s="10"/>
      <c r="D166" s="10"/>
      <c r="E166" s="10"/>
      <c r="F166" s="10">
        <v>0</v>
      </c>
      <c r="G166" s="10"/>
      <c r="H166" s="10"/>
      <c r="I166" s="10"/>
      <c r="J166" s="10"/>
      <c r="K166" s="10"/>
      <c r="L166" s="10"/>
      <c r="M166" s="10"/>
      <c r="N166" s="10"/>
      <c r="O166" s="10"/>
      <c r="P166" s="10"/>
      <c r="Q166" s="10"/>
      <c r="R166" s="10"/>
      <c r="S166" s="11"/>
    </row>
    <row r="167" spans="1:19">
      <c r="A167" s="9" t="s">
        <v>322</v>
      </c>
      <c r="B167" s="10"/>
      <c r="C167" s="10"/>
      <c r="D167" s="10"/>
      <c r="E167" s="10"/>
      <c r="F167" s="10"/>
      <c r="G167" s="10"/>
      <c r="H167" s="10"/>
      <c r="I167" s="10"/>
      <c r="J167" s="10"/>
      <c r="K167" s="10"/>
      <c r="L167" s="10"/>
      <c r="M167" s="10"/>
      <c r="N167" s="10"/>
      <c r="O167" s="10"/>
      <c r="P167" s="10"/>
      <c r="Q167" s="10"/>
      <c r="R167" s="10"/>
      <c r="S167" s="11"/>
    </row>
    <row r="168" spans="1:19" ht="15.75" thickBot="1">
      <c r="A168" s="12"/>
      <c r="B168" s="13"/>
      <c r="C168" s="13"/>
      <c r="D168" s="13"/>
      <c r="E168" s="13"/>
      <c r="F168" s="13"/>
      <c r="G168" s="13"/>
      <c r="H168" s="13"/>
      <c r="I168" s="13"/>
      <c r="J168" s="13"/>
      <c r="K168" s="13"/>
      <c r="L168" s="13"/>
      <c r="M168" s="13"/>
      <c r="N168" s="13"/>
      <c r="O168" s="13"/>
      <c r="P168" s="13"/>
      <c r="Q168" s="13"/>
      <c r="R168" s="13"/>
      <c r="S168" s="14"/>
    </row>
    <row r="170" spans="1:19">
      <c r="A170" s="1" t="s">
        <v>325</v>
      </c>
    </row>
    <row r="171" spans="1:19" ht="15.75" thickBot="1"/>
    <row r="172" spans="1:19">
      <c r="A172" s="6" t="s">
        <v>326</v>
      </c>
      <c r="B172" s="7"/>
      <c r="C172" s="7"/>
      <c r="D172" s="7"/>
      <c r="E172" s="7"/>
      <c r="F172" s="7"/>
      <c r="G172" s="7"/>
      <c r="H172" s="7"/>
      <c r="I172" s="7"/>
      <c r="J172" s="7"/>
      <c r="K172" s="7"/>
      <c r="L172" s="7"/>
      <c r="M172" s="7"/>
      <c r="N172" s="7"/>
      <c r="O172" s="7"/>
      <c r="P172" s="7"/>
      <c r="Q172" s="7"/>
      <c r="R172" s="7"/>
      <c r="S172" s="8"/>
    </row>
    <row r="173" spans="1:19">
      <c r="A173" s="9" t="s">
        <v>331</v>
      </c>
      <c r="B173" s="10"/>
      <c r="C173" s="10"/>
      <c r="D173" s="10"/>
      <c r="E173" s="10"/>
      <c r="F173" s="10"/>
      <c r="G173" s="10"/>
      <c r="H173" s="10"/>
      <c r="I173" s="10"/>
      <c r="J173" s="10"/>
      <c r="K173" s="10"/>
      <c r="L173" s="10"/>
      <c r="M173" s="10"/>
      <c r="N173" s="10"/>
      <c r="O173" s="10"/>
      <c r="P173" s="10"/>
      <c r="Q173" s="10"/>
      <c r="R173" s="10"/>
      <c r="S173" s="11"/>
    </row>
    <row r="174" spans="1:19">
      <c r="A174" s="18" t="s">
        <v>332</v>
      </c>
      <c r="B174" s="10"/>
      <c r="C174" s="10"/>
      <c r="D174" s="10"/>
      <c r="E174" s="10"/>
      <c r="F174" s="10"/>
      <c r="G174" s="10"/>
      <c r="H174" s="10"/>
      <c r="I174" s="10"/>
      <c r="J174" s="10"/>
      <c r="K174" s="10"/>
      <c r="L174" s="10"/>
      <c r="M174" s="10"/>
      <c r="N174" s="10"/>
      <c r="O174" s="10"/>
      <c r="P174" s="10"/>
      <c r="Q174" s="10"/>
      <c r="R174" s="10"/>
      <c r="S174" s="11"/>
    </row>
    <row r="175" spans="1:19">
      <c r="A175" s="9"/>
      <c r="B175" s="10"/>
      <c r="C175" s="10"/>
      <c r="D175" s="10"/>
      <c r="E175" s="10"/>
      <c r="F175" s="10"/>
      <c r="G175" s="10"/>
      <c r="H175" s="10"/>
      <c r="I175" s="10"/>
      <c r="J175" s="10"/>
      <c r="K175" s="10"/>
      <c r="L175" s="10"/>
      <c r="M175" s="10"/>
      <c r="N175" s="10"/>
      <c r="O175" s="10"/>
      <c r="P175" s="10"/>
      <c r="Q175" s="10"/>
      <c r="R175" s="10"/>
      <c r="S175" s="11"/>
    </row>
    <row r="176" spans="1:19">
      <c r="A176" s="9"/>
      <c r="B176" s="10"/>
      <c r="C176" s="10"/>
      <c r="D176" s="10"/>
      <c r="E176" s="10" t="s">
        <v>329</v>
      </c>
      <c r="F176" s="10" t="s">
        <v>330</v>
      </c>
      <c r="G176" s="10"/>
      <c r="H176" s="10"/>
      <c r="I176" s="10"/>
      <c r="J176" s="10"/>
      <c r="K176" s="10"/>
      <c r="L176" s="10"/>
      <c r="M176" s="10"/>
      <c r="N176" s="10"/>
      <c r="O176" s="10"/>
      <c r="P176" s="10"/>
      <c r="Q176" s="10"/>
      <c r="R176" s="10"/>
      <c r="S176" s="11"/>
    </row>
    <row r="177" spans="1:19">
      <c r="A177" s="9" t="s">
        <v>327</v>
      </c>
      <c r="B177" s="10"/>
      <c r="C177" s="10"/>
      <c r="D177" s="10"/>
      <c r="E177" s="27">
        <f>'MRF &amp; RDF Sorting'!D79</f>
        <v>0</v>
      </c>
      <c r="F177" s="59">
        <f>'MRF &amp; RDF Sorting'!D140</f>
        <v>0</v>
      </c>
      <c r="G177" s="10"/>
      <c r="H177" s="10"/>
      <c r="I177" s="10"/>
      <c r="J177" s="10"/>
      <c r="K177" s="10"/>
      <c r="L177" s="10"/>
      <c r="M177" s="10"/>
      <c r="N177" s="10"/>
      <c r="O177" s="10"/>
      <c r="P177" s="10"/>
      <c r="Q177" s="10"/>
      <c r="R177" s="10"/>
      <c r="S177" s="11"/>
    </row>
    <row r="178" spans="1:19">
      <c r="A178" s="9" t="s">
        <v>289</v>
      </c>
      <c r="B178" s="10"/>
      <c r="C178" s="10"/>
      <c r="D178" s="10"/>
      <c r="E178" s="10">
        <v>16</v>
      </c>
      <c r="F178" s="10">
        <v>18</v>
      </c>
      <c r="G178" s="10" t="s">
        <v>333</v>
      </c>
      <c r="H178" s="10"/>
      <c r="I178" s="10"/>
      <c r="J178" s="10"/>
      <c r="K178" s="10"/>
      <c r="L178" s="10"/>
      <c r="M178" s="10"/>
      <c r="N178" s="10"/>
      <c r="O178" s="10"/>
      <c r="P178" s="10"/>
      <c r="Q178" s="10"/>
      <c r="R178" s="10"/>
      <c r="S178" s="11"/>
    </row>
    <row r="179" spans="1:19">
      <c r="A179" s="9" t="s">
        <v>290</v>
      </c>
      <c r="B179" s="10"/>
      <c r="C179" s="10"/>
      <c r="D179" s="10"/>
      <c r="E179" s="15">
        <v>0</v>
      </c>
      <c r="F179" s="15">
        <v>0</v>
      </c>
      <c r="G179" s="10"/>
      <c r="H179" s="10"/>
      <c r="I179" s="10"/>
      <c r="J179" s="10"/>
      <c r="K179" s="10"/>
      <c r="L179" s="10"/>
      <c r="M179" s="10"/>
      <c r="N179" s="10"/>
      <c r="O179" s="10"/>
      <c r="P179" s="10"/>
      <c r="Q179" s="10"/>
      <c r="R179" s="10"/>
      <c r="S179" s="11"/>
    </row>
    <row r="180" spans="1:19">
      <c r="A180" s="9" t="s">
        <v>328</v>
      </c>
      <c r="B180" s="10"/>
      <c r="C180" s="10"/>
      <c r="D180" s="10"/>
      <c r="E180" s="10"/>
      <c r="F180" s="10"/>
      <c r="G180" s="10"/>
      <c r="H180" s="10"/>
      <c r="I180" s="10"/>
      <c r="J180" s="10"/>
      <c r="K180" s="10"/>
      <c r="L180" s="10"/>
      <c r="M180" s="10"/>
      <c r="N180" s="10"/>
      <c r="O180" s="10"/>
      <c r="P180" s="10"/>
      <c r="Q180" s="10"/>
      <c r="R180" s="10"/>
      <c r="S180" s="11"/>
    </row>
    <row r="181" spans="1:19">
      <c r="A181" s="9"/>
      <c r="B181" s="10"/>
      <c r="C181" s="10"/>
      <c r="D181" s="10"/>
      <c r="E181" s="10"/>
      <c r="F181" s="10"/>
      <c r="G181" s="10"/>
      <c r="H181" s="10"/>
      <c r="I181" s="10"/>
      <c r="J181" s="10"/>
      <c r="K181" s="10"/>
      <c r="L181" s="10"/>
      <c r="M181" s="10"/>
      <c r="N181" s="10"/>
      <c r="O181" s="10"/>
      <c r="P181" s="10"/>
      <c r="Q181" s="10"/>
      <c r="R181" s="10"/>
      <c r="S181" s="11"/>
    </row>
    <row r="182" spans="1:19">
      <c r="A182" s="21" t="s">
        <v>566</v>
      </c>
      <c r="B182" s="10"/>
      <c r="C182" s="10"/>
      <c r="D182" s="10"/>
      <c r="E182" s="10"/>
      <c r="F182" s="10"/>
      <c r="G182" s="10"/>
      <c r="H182" s="10"/>
      <c r="I182" s="10"/>
      <c r="J182" s="10"/>
      <c r="K182" s="10"/>
      <c r="L182" s="10"/>
      <c r="M182" s="10"/>
      <c r="N182" s="10"/>
      <c r="O182" s="10"/>
      <c r="P182" s="10"/>
      <c r="Q182" s="10"/>
      <c r="R182" s="10"/>
      <c r="S182" s="11"/>
    </row>
    <row r="183" spans="1:19">
      <c r="A183" s="9"/>
      <c r="B183" s="10"/>
      <c r="C183" s="10"/>
      <c r="D183" s="10"/>
      <c r="E183" s="10"/>
      <c r="F183" s="10"/>
      <c r="G183" s="10"/>
      <c r="H183" s="10"/>
      <c r="I183" s="10"/>
      <c r="J183" s="10"/>
      <c r="K183" s="10"/>
      <c r="L183" s="10"/>
      <c r="M183" s="10"/>
      <c r="N183" s="10"/>
      <c r="O183" s="10"/>
      <c r="P183" s="10"/>
      <c r="Q183" s="10"/>
      <c r="R183" s="10"/>
      <c r="S183" s="11"/>
    </row>
    <row r="184" spans="1:19">
      <c r="A184" s="37" t="s">
        <v>567</v>
      </c>
      <c r="B184" s="10"/>
      <c r="C184" s="10"/>
      <c r="D184" s="10"/>
      <c r="E184" s="10"/>
      <c r="F184" s="10"/>
      <c r="G184" s="10"/>
      <c r="H184" s="10"/>
      <c r="I184" s="10"/>
      <c r="J184" s="10"/>
      <c r="K184" s="10"/>
      <c r="L184" s="10"/>
      <c r="M184" s="10"/>
      <c r="N184" s="10"/>
      <c r="O184" s="10"/>
      <c r="P184" s="10"/>
      <c r="Q184" s="10"/>
      <c r="R184" s="10"/>
      <c r="S184" s="11"/>
    </row>
    <row r="185" spans="1:19">
      <c r="A185" s="9"/>
      <c r="B185" s="10"/>
      <c r="C185" s="10" t="s">
        <v>329</v>
      </c>
      <c r="D185" s="10" t="s">
        <v>330</v>
      </c>
      <c r="E185" s="10"/>
      <c r="F185" s="10"/>
      <c r="G185" s="10"/>
      <c r="H185" s="10"/>
      <c r="I185" s="10"/>
      <c r="J185" s="10"/>
      <c r="K185" s="10"/>
      <c r="L185" s="10"/>
      <c r="M185" s="10"/>
      <c r="N185" s="10"/>
      <c r="O185" s="10"/>
      <c r="P185" s="10"/>
      <c r="Q185" s="10"/>
      <c r="R185" s="10"/>
      <c r="S185" s="11"/>
    </row>
    <row r="186" spans="1:19">
      <c r="A186" s="9" t="s">
        <v>347</v>
      </c>
      <c r="B186" s="10"/>
      <c r="C186" s="10">
        <v>0</v>
      </c>
      <c r="D186" s="10">
        <v>0</v>
      </c>
      <c r="E186" s="10"/>
      <c r="F186" s="10"/>
      <c r="G186" s="10"/>
      <c r="H186" s="10"/>
      <c r="I186" s="10"/>
      <c r="J186" s="10"/>
      <c r="K186" s="10"/>
      <c r="L186" s="10"/>
      <c r="M186" s="10"/>
      <c r="N186" s="10"/>
      <c r="O186" s="10"/>
      <c r="P186" s="10"/>
      <c r="Q186" s="10"/>
      <c r="R186" s="10"/>
      <c r="S186" s="11"/>
    </row>
    <row r="187" spans="1:19">
      <c r="A187" s="9" t="s">
        <v>296</v>
      </c>
      <c r="B187" s="10"/>
      <c r="C187" s="10">
        <v>20</v>
      </c>
      <c r="D187" s="10">
        <v>20</v>
      </c>
      <c r="E187" s="10" t="s">
        <v>348</v>
      </c>
      <c r="F187" s="10"/>
      <c r="G187" s="10"/>
      <c r="H187" s="10"/>
      <c r="I187" s="10"/>
      <c r="J187" s="10"/>
      <c r="K187" s="10"/>
      <c r="L187" s="10"/>
      <c r="M187" s="10"/>
      <c r="N187" s="10"/>
      <c r="O187" s="10"/>
      <c r="P187" s="10"/>
      <c r="Q187" s="10"/>
      <c r="R187" s="10"/>
      <c r="S187" s="11"/>
    </row>
    <row r="188" spans="1:19">
      <c r="A188" s="9"/>
      <c r="B188" s="10"/>
      <c r="C188" s="10"/>
      <c r="D188" s="10"/>
      <c r="E188" s="10"/>
      <c r="F188" s="10"/>
      <c r="G188" s="10"/>
      <c r="H188" s="10"/>
      <c r="I188" s="10"/>
      <c r="J188" s="10"/>
      <c r="K188" s="10"/>
      <c r="L188" s="10"/>
      <c r="M188" s="10"/>
      <c r="N188" s="10"/>
      <c r="O188" s="10"/>
      <c r="P188" s="10"/>
      <c r="Q188" s="10"/>
      <c r="R188" s="10"/>
      <c r="S188" s="11"/>
    </row>
    <row r="189" spans="1:19">
      <c r="A189" s="37" t="s">
        <v>349</v>
      </c>
      <c r="B189" s="10"/>
      <c r="C189" s="10"/>
      <c r="D189" s="10"/>
      <c r="E189" s="10"/>
      <c r="F189" s="10"/>
      <c r="G189" s="10"/>
      <c r="H189" s="10"/>
      <c r="I189" s="10"/>
      <c r="J189" s="10"/>
      <c r="K189" s="10"/>
      <c r="L189" s="10"/>
      <c r="M189" s="10"/>
      <c r="N189" s="10"/>
      <c r="O189" s="10"/>
      <c r="P189" s="10"/>
      <c r="Q189" s="10"/>
      <c r="R189" s="10"/>
      <c r="S189" s="11"/>
    </row>
    <row r="190" spans="1:19">
      <c r="A190" s="9"/>
      <c r="B190" s="10"/>
      <c r="C190" s="10" t="s">
        <v>329</v>
      </c>
      <c r="D190" s="10" t="s">
        <v>330</v>
      </c>
      <c r="E190" s="10"/>
      <c r="F190" s="10"/>
      <c r="G190" s="10"/>
      <c r="H190" s="10"/>
      <c r="I190" s="10"/>
      <c r="J190" s="10"/>
      <c r="K190" s="10"/>
      <c r="L190" s="10"/>
      <c r="M190" s="10"/>
      <c r="N190" s="10"/>
      <c r="O190" s="10"/>
      <c r="P190" s="10"/>
      <c r="Q190" s="10"/>
      <c r="R190" s="10"/>
      <c r="S190" s="11"/>
    </row>
    <row r="191" spans="1:19">
      <c r="A191" s="9" t="s">
        <v>350</v>
      </c>
      <c r="B191" s="10"/>
      <c r="C191" s="10">
        <v>16</v>
      </c>
      <c r="D191" s="10">
        <v>18</v>
      </c>
      <c r="E191" s="10" t="s">
        <v>348</v>
      </c>
      <c r="F191" s="10"/>
      <c r="G191" s="10"/>
      <c r="H191" s="10"/>
      <c r="I191" s="10"/>
      <c r="J191" s="10"/>
      <c r="K191" s="10"/>
      <c r="L191" s="10"/>
      <c r="M191" s="10"/>
      <c r="N191" s="10"/>
      <c r="O191" s="10"/>
      <c r="P191" s="10"/>
      <c r="Q191" s="10"/>
      <c r="R191" s="10"/>
      <c r="S191" s="11"/>
    </row>
    <row r="192" spans="1:19">
      <c r="A192" s="9"/>
      <c r="B192" s="10"/>
      <c r="C192" s="10"/>
      <c r="D192" s="10"/>
      <c r="E192" s="10"/>
      <c r="F192" s="10"/>
      <c r="G192" s="10"/>
      <c r="H192" s="10"/>
      <c r="I192" s="10"/>
      <c r="J192" s="10"/>
      <c r="K192" s="10"/>
      <c r="L192" s="10"/>
      <c r="M192" s="10"/>
      <c r="N192" s="10"/>
      <c r="O192" s="10"/>
      <c r="P192" s="10"/>
      <c r="Q192" s="10"/>
      <c r="R192" s="10"/>
      <c r="S192" s="11"/>
    </row>
    <row r="193" spans="1:19">
      <c r="A193" s="37" t="s">
        <v>302</v>
      </c>
      <c r="B193" s="10"/>
      <c r="C193" s="10"/>
      <c r="D193" s="10"/>
      <c r="E193" s="10"/>
      <c r="F193" s="10"/>
      <c r="G193" s="10"/>
      <c r="H193" s="10"/>
      <c r="I193" s="10"/>
      <c r="J193" s="10"/>
      <c r="K193" s="10"/>
      <c r="L193" s="10"/>
      <c r="M193" s="10"/>
      <c r="N193" s="10"/>
      <c r="O193" s="10"/>
      <c r="P193" s="10"/>
      <c r="Q193" s="10"/>
      <c r="R193" s="10"/>
      <c r="S193" s="11"/>
    </row>
    <row r="194" spans="1:19">
      <c r="A194" s="9" t="s">
        <v>352</v>
      </c>
      <c r="B194" s="10"/>
      <c r="C194" s="10"/>
      <c r="D194" s="10"/>
      <c r="E194" s="10"/>
      <c r="F194" s="10"/>
      <c r="G194" s="10"/>
      <c r="H194" s="10"/>
      <c r="I194" s="10"/>
      <c r="J194" s="10"/>
      <c r="K194" s="10"/>
      <c r="L194" s="10"/>
      <c r="M194" s="10"/>
      <c r="N194" s="10"/>
      <c r="O194" s="10"/>
      <c r="P194" s="10"/>
      <c r="Q194" s="10"/>
      <c r="R194" s="10"/>
      <c r="S194" s="11"/>
    </row>
    <row r="195" spans="1:19">
      <c r="A195" s="9"/>
      <c r="B195" s="10"/>
      <c r="C195" s="10" t="s">
        <v>329</v>
      </c>
      <c r="D195" s="10" t="s">
        <v>330</v>
      </c>
      <c r="E195" s="10"/>
      <c r="F195" s="10"/>
      <c r="G195" s="10"/>
      <c r="H195" s="10"/>
      <c r="I195" s="10"/>
      <c r="J195" s="10"/>
      <c r="K195" s="10"/>
      <c r="L195" s="10"/>
      <c r="M195" s="10"/>
      <c r="N195" s="10"/>
      <c r="O195" s="10"/>
      <c r="P195" s="10"/>
      <c r="Q195" s="10"/>
      <c r="R195" s="10"/>
      <c r="S195" s="11"/>
    </row>
    <row r="196" spans="1:19">
      <c r="A196" s="9" t="s">
        <v>304</v>
      </c>
      <c r="B196" s="10"/>
      <c r="C196" s="10">
        <v>1.38E-2</v>
      </c>
      <c r="D196" s="10">
        <v>1.38E-2</v>
      </c>
      <c r="E196" s="10" t="s">
        <v>348</v>
      </c>
      <c r="F196" s="10"/>
      <c r="G196" s="10"/>
      <c r="H196" s="10"/>
      <c r="I196" s="10"/>
      <c r="J196" s="10"/>
      <c r="K196" s="10"/>
      <c r="L196" s="10"/>
      <c r="M196" s="10"/>
      <c r="N196" s="10"/>
      <c r="O196" s="10"/>
      <c r="P196" s="10"/>
      <c r="Q196" s="10"/>
      <c r="R196" s="10"/>
      <c r="S196" s="11"/>
    </row>
    <row r="197" spans="1:19">
      <c r="A197" s="9" t="s">
        <v>305</v>
      </c>
      <c r="B197" s="10"/>
      <c r="C197" s="10">
        <v>8.5999999999999993E-2</v>
      </c>
      <c r="D197" s="10">
        <v>8.5999999999999993E-2</v>
      </c>
      <c r="E197" s="10" t="s">
        <v>348</v>
      </c>
      <c r="F197" s="10"/>
      <c r="G197" s="10"/>
      <c r="H197" s="10"/>
      <c r="I197" s="10"/>
      <c r="J197" s="10"/>
      <c r="K197" s="10"/>
      <c r="L197" s="10"/>
      <c r="M197" s="10"/>
      <c r="N197" s="10"/>
      <c r="O197" s="10"/>
      <c r="P197" s="10"/>
      <c r="Q197" s="10"/>
      <c r="R197" s="10"/>
      <c r="S197" s="11"/>
    </row>
    <row r="198" spans="1:19">
      <c r="A198" s="9" t="s">
        <v>353</v>
      </c>
      <c r="B198" s="10"/>
      <c r="C198" s="10"/>
      <c r="D198" s="10"/>
      <c r="E198" s="10"/>
      <c r="F198" s="10"/>
      <c r="G198" s="10"/>
      <c r="H198" s="10"/>
      <c r="I198" s="10"/>
      <c r="J198" s="10"/>
      <c r="K198" s="10"/>
      <c r="L198" s="10"/>
      <c r="M198" s="10"/>
      <c r="N198" s="10"/>
      <c r="O198" s="10"/>
      <c r="P198" s="10"/>
      <c r="Q198" s="10"/>
      <c r="R198" s="10"/>
      <c r="S198" s="11"/>
    </row>
    <row r="199" spans="1:19">
      <c r="A199" s="9" t="s">
        <v>354</v>
      </c>
      <c r="B199" s="10"/>
      <c r="C199" s="10"/>
      <c r="D199" s="10"/>
      <c r="E199" s="10"/>
      <c r="F199" s="10"/>
      <c r="G199" s="10"/>
      <c r="H199" s="10"/>
      <c r="I199" s="10"/>
      <c r="J199" s="10"/>
      <c r="K199" s="10"/>
      <c r="L199" s="10"/>
      <c r="M199" s="10"/>
      <c r="N199" s="10"/>
      <c r="O199" s="10"/>
      <c r="P199" s="10"/>
      <c r="Q199" s="10"/>
      <c r="R199" s="10"/>
      <c r="S199" s="11"/>
    </row>
    <row r="200" spans="1:19">
      <c r="A200" s="9"/>
      <c r="B200" s="10"/>
      <c r="C200" s="10"/>
      <c r="D200" s="10"/>
      <c r="E200" s="10"/>
      <c r="F200" s="10"/>
      <c r="G200" s="10"/>
      <c r="H200" s="10"/>
      <c r="I200" s="10"/>
      <c r="J200" s="10"/>
      <c r="K200" s="10"/>
      <c r="L200" s="10"/>
      <c r="M200" s="10"/>
      <c r="N200" s="10"/>
      <c r="O200" s="10"/>
      <c r="P200" s="10"/>
      <c r="Q200" s="10"/>
      <c r="R200" s="10"/>
      <c r="S200" s="11"/>
    </row>
    <row r="201" spans="1:19">
      <c r="A201" s="21" t="s">
        <v>164</v>
      </c>
      <c r="B201" s="10"/>
      <c r="C201" s="10"/>
      <c r="D201" s="10"/>
      <c r="E201" s="10"/>
      <c r="F201" s="10"/>
      <c r="G201" s="10"/>
      <c r="H201" s="10"/>
      <c r="I201" s="10"/>
      <c r="J201" s="10"/>
      <c r="K201" s="10"/>
      <c r="L201" s="10"/>
      <c r="M201" s="10"/>
      <c r="N201" s="10"/>
      <c r="O201" s="10"/>
      <c r="P201" s="10"/>
      <c r="Q201" s="10"/>
      <c r="R201" s="10"/>
      <c r="S201" s="11"/>
    </row>
    <row r="202" spans="1:19">
      <c r="A202" s="9" t="s">
        <v>334</v>
      </c>
      <c r="B202" s="10"/>
      <c r="C202" s="10"/>
      <c r="D202" s="10"/>
      <c r="E202" s="10"/>
      <c r="F202" s="10"/>
      <c r="G202" s="10"/>
      <c r="H202" s="10"/>
      <c r="I202" s="10"/>
      <c r="J202" s="10"/>
      <c r="K202" s="10"/>
      <c r="L202" s="10"/>
      <c r="M202" s="10"/>
      <c r="N202" s="10"/>
      <c r="O202" s="10"/>
      <c r="P202" s="10"/>
      <c r="Q202" s="10"/>
      <c r="R202" s="10"/>
      <c r="S202" s="11"/>
    </row>
    <row r="203" spans="1:19">
      <c r="A203" s="9"/>
      <c r="B203" s="10"/>
      <c r="C203" s="10"/>
      <c r="D203" s="10"/>
      <c r="E203" s="10"/>
      <c r="F203" s="10" t="s">
        <v>329</v>
      </c>
      <c r="G203" s="10" t="s">
        <v>330</v>
      </c>
      <c r="H203" s="10"/>
      <c r="I203" s="10"/>
      <c r="J203" s="10"/>
      <c r="K203" s="10"/>
      <c r="L203" s="10"/>
      <c r="M203" s="10"/>
      <c r="N203" s="10"/>
      <c r="O203" s="10"/>
      <c r="P203" s="10"/>
      <c r="Q203" s="10"/>
      <c r="R203" s="10"/>
      <c r="S203" s="11"/>
    </row>
    <row r="204" spans="1:19">
      <c r="A204" s="9" t="s">
        <v>335</v>
      </c>
      <c r="B204" s="10"/>
      <c r="C204" s="10"/>
      <c r="D204" s="10"/>
      <c r="E204" s="10"/>
      <c r="F204" s="10">
        <v>0</v>
      </c>
      <c r="G204" s="10">
        <v>0</v>
      </c>
      <c r="H204" s="10"/>
      <c r="I204" s="10"/>
      <c r="J204" s="10"/>
      <c r="K204" s="10"/>
      <c r="L204" s="10"/>
      <c r="M204" s="10"/>
      <c r="N204" s="10"/>
      <c r="O204" s="10"/>
      <c r="P204" s="10"/>
      <c r="Q204" s="10"/>
      <c r="R204" s="10"/>
      <c r="S204" s="11"/>
    </row>
    <row r="205" spans="1:19">
      <c r="A205" s="9" t="s">
        <v>336</v>
      </c>
      <c r="B205" s="10"/>
      <c r="C205" s="10"/>
      <c r="D205" s="10"/>
      <c r="E205" s="10"/>
      <c r="F205" s="10">
        <v>0</v>
      </c>
      <c r="G205" s="10">
        <v>0</v>
      </c>
      <c r="H205" s="10"/>
      <c r="I205" s="10"/>
      <c r="J205" s="10"/>
      <c r="K205" s="10"/>
      <c r="L205" s="10"/>
      <c r="M205" s="10"/>
      <c r="N205" s="10"/>
      <c r="O205" s="10"/>
      <c r="P205" s="10"/>
      <c r="Q205" s="10"/>
      <c r="R205" s="10"/>
      <c r="S205" s="11"/>
    </row>
    <row r="206" spans="1:19">
      <c r="A206" s="9"/>
      <c r="B206" s="10"/>
      <c r="C206" s="10"/>
      <c r="D206" s="10"/>
      <c r="E206" s="10"/>
      <c r="F206" s="10"/>
      <c r="G206" s="10"/>
      <c r="H206" s="10"/>
      <c r="I206" s="10"/>
      <c r="J206" s="10"/>
      <c r="K206" s="10"/>
      <c r="L206" s="10"/>
      <c r="M206" s="10"/>
      <c r="N206" s="10"/>
      <c r="O206" s="10"/>
      <c r="P206" s="10"/>
      <c r="Q206" s="10"/>
      <c r="R206" s="10"/>
      <c r="S206" s="11"/>
    </row>
    <row r="207" spans="1:19">
      <c r="A207" s="21" t="s">
        <v>174</v>
      </c>
      <c r="B207" s="10"/>
      <c r="C207" s="10"/>
      <c r="D207" s="10"/>
      <c r="E207" s="10"/>
      <c r="F207" s="10"/>
      <c r="G207" s="10"/>
      <c r="H207" s="10"/>
      <c r="I207" s="10"/>
      <c r="J207" s="10"/>
      <c r="K207" s="10"/>
      <c r="L207" s="10"/>
      <c r="M207" s="10"/>
      <c r="N207" s="10"/>
      <c r="O207" s="10"/>
      <c r="P207" s="10"/>
      <c r="Q207" s="10"/>
      <c r="R207" s="10"/>
      <c r="S207" s="11"/>
    </row>
    <row r="208" spans="1:19">
      <c r="A208" s="18" t="s">
        <v>339</v>
      </c>
      <c r="B208" s="10"/>
      <c r="C208" s="10"/>
      <c r="D208" s="10"/>
      <c r="E208" s="10"/>
      <c r="F208" s="10"/>
      <c r="G208" s="10"/>
      <c r="H208" s="10"/>
      <c r="I208" s="10"/>
      <c r="J208" s="10"/>
      <c r="K208" s="10"/>
      <c r="L208" s="10"/>
      <c r="M208" s="10"/>
      <c r="N208" s="10"/>
      <c r="O208" s="10"/>
      <c r="P208" s="10"/>
      <c r="Q208" s="10"/>
      <c r="R208" s="10"/>
      <c r="S208" s="11"/>
    </row>
    <row r="209" spans="1:19">
      <c r="A209" s="18" t="s">
        <v>340</v>
      </c>
      <c r="B209" s="10"/>
      <c r="C209" s="10"/>
      <c r="D209" s="10"/>
      <c r="E209" s="10"/>
      <c r="F209" s="10"/>
      <c r="G209" s="10"/>
      <c r="H209" s="10"/>
      <c r="I209" s="10"/>
      <c r="J209" s="10"/>
      <c r="K209" s="10"/>
      <c r="L209" s="10"/>
      <c r="M209" s="10"/>
      <c r="N209" s="10"/>
      <c r="O209" s="10"/>
      <c r="P209" s="10"/>
      <c r="Q209" s="10"/>
      <c r="R209" s="10"/>
      <c r="S209" s="11"/>
    </row>
    <row r="210" spans="1:19">
      <c r="A210" s="9"/>
      <c r="B210" s="10"/>
      <c r="C210" s="10"/>
      <c r="D210" s="10"/>
      <c r="E210" s="10"/>
      <c r="F210" s="10" t="s">
        <v>329</v>
      </c>
      <c r="G210" s="10" t="s">
        <v>330</v>
      </c>
      <c r="H210" s="10"/>
      <c r="I210" s="10"/>
      <c r="J210" s="10"/>
      <c r="K210" s="10"/>
      <c r="L210" s="10"/>
      <c r="M210" s="10"/>
      <c r="N210" s="10"/>
      <c r="O210" s="10"/>
      <c r="P210" s="10"/>
      <c r="Q210" s="10"/>
      <c r="R210" s="10"/>
      <c r="S210" s="11"/>
    </row>
    <row r="211" spans="1:19">
      <c r="A211" s="9" t="s">
        <v>337</v>
      </c>
      <c r="B211" s="10"/>
      <c r="C211" s="10"/>
      <c r="D211" s="10"/>
      <c r="E211" s="10"/>
      <c r="F211" s="10">
        <v>0</v>
      </c>
      <c r="G211" s="10">
        <v>0</v>
      </c>
      <c r="H211" s="10"/>
      <c r="I211" s="10"/>
      <c r="J211" s="10"/>
      <c r="K211" s="10"/>
      <c r="L211" s="10"/>
      <c r="M211" s="10"/>
      <c r="N211" s="10"/>
      <c r="O211" s="10"/>
      <c r="P211" s="10"/>
      <c r="Q211" s="10"/>
      <c r="R211" s="10"/>
      <c r="S211" s="11"/>
    </row>
    <row r="212" spans="1:19">
      <c r="A212" s="9" t="s">
        <v>338</v>
      </c>
      <c r="B212" s="10"/>
      <c r="C212" s="10"/>
      <c r="D212" s="10"/>
      <c r="E212" s="10"/>
      <c r="F212" s="10">
        <v>0</v>
      </c>
      <c r="G212" s="10">
        <v>0</v>
      </c>
      <c r="H212" s="10"/>
      <c r="I212" s="10"/>
      <c r="J212" s="10"/>
      <c r="K212" s="10"/>
      <c r="L212" s="10"/>
      <c r="M212" s="10"/>
      <c r="N212" s="10"/>
      <c r="O212" s="10"/>
      <c r="P212" s="10"/>
      <c r="Q212" s="10"/>
      <c r="R212" s="10"/>
      <c r="S212" s="11"/>
    </row>
    <row r="213" spans="1:19">
      <c r="A213" s="9" t="s">
        <v>319</v>
      </c>
      <c r="B213" s="10"/>
      <c r="C213" s="10"/>
      <c r="D213" s="10"/>
      <c r="E213" s="10"/>
      <c r="F213" s="10">
        <v>0</v>
      </c>
      <c r="G213" s="10">
        <v>0</v>
      </c>
      <c r="H213" s="10"/>
      <c r="I213" s="10"/>
      <c r="J213" s="10"/>
      <c r="K213" s="10"/>
      <c r="L213" s="10"/>
      <c r="M213" s="10"/>
      <c r="N213" s="10"/>
      <c r="O213" s="10"/>
      <c r="P213" s="10"/>
      <c r="Q213" s="10"/>
      <c r="R213" s="10"/>
      <c r="S213" s="11"/>
    </row>
    <row r="214" spans="1:19">
      <c r="A214" s="9" t="s">
        <v>320</v>
      </c>
      <c r="B214" s="10"/>
      <c r="C214" s="10"/>
      <c r="D214" s="10"/>
      <c r="E214" s="10"/>
      <c r="F214" s="10">
        <v>0</v>
      </c>
      <c r="G214" s="10">
        <v>0</v>
      </c>
      <c r="H214" s="10"/>
      <c r="I214" s="10"/>
      <c r="J214" s="10"/>
      <c r="K214" s="10"/>
      <c r="L214" s="10"/>
      <c r="M214" s="10"/>
      <c r="N214" s="10"/>
      <c r="O214" s="10"/>
      <c r="P214" s="10"/>
      <c r="Q214" s="10"/>
      <c r="R214" s="10"/>
      <c r="S214" s="11"/>
    </row>
    <row r="215" spans="1:19" ht="15.75" thickBot="1">
      <c r="A215" s="12"/>
      <c r="B215" s="13"/>
      <c r="C215" s="13"/>
      <c r="D215" s="13"/>
      <c r="E215" s="13"/>
      <c r="F215" s="13"/>
      <c r="G215" s="13"/>
      <c r="H215" s="13"/>
      <c r="I215" s="13"/>
      <c r="J215" s="13"/>
      <c r="K215" s="13"/>
      <c r="L215" s="13"/>
      <c r="M215" s="13"/>
      <c r="N215" s="13"/>
      <c r="O215" s="13"/>
      <c r="P215" s="13"/>
      <c r="Q215" s="13"/>
      <c r="R215" s="13"/>
      <c r="S215" s="14"/>
    </row>
    <row r="217" spans="1:19" ht="15.75" thickBot="1">
      <c r="A217" s="1" t="s">
        <v>341</v>
      </c>
    </row>
    <row r="218" spans="1:19">
      <c r="A218" s="35" t="s">
        <v>355</v>
      </c>
      <c r="B218" s="7"/>
      <c r="C218" s="7"/>
      <c r="D218" s="7"/>
      <c r="E218" s="7"/>
      <c r="F218" s="7"/>
      <c r="G218" s="7"/>
      <c r="H218" s="7"/>
      <c r="I218" s="7"/>
      <c r="J218" s="7"/>
      <c r="K218" s="7"/>
      <c r="L218" s="7"/>
      <c r="M218" s="7"/>
      <c r="N218" s="7"/>
      <c r="O218" s="8"/>
    </row>
    <row r="219" spans="1:19">
      <c r="A219" s="9" t="s">
        <v>342</v>
      </c>
      <c r="B219" s="10"/>
      <c r="C219" s="10"/>
      <c r="D219" s="10"/>
      <c r="E219" s="10"/>
      <c r="F219" s="10"/>
      <c r="G219" s="10"/>
      <c r="H219" s="10"/>
      <c r="I219" s="10"/>
      <c r="J219" s="10"/>
      <c r="K219" s="10"/>
      <c r="L219" s="10"/>
      <c r="M219" s="10"/>
      <c r="N219" s="10"/>
      <c r="O219" s="11"/>
    </row>
    <row r="220" spans="1:19">
      <c r="A220" s="9" t="s">
        <v>343</v>
      </c>
      <c r="B220" s="10"/>
      <c r="C220" s="10"/>
      <c r="D220" s="10"/>
      <c r="E220" s="10"/>
      <c r="F220" s="10"/>
      <c r="G220" s="10"/>
      <c r="H220" s="10"/>
      <c r="I220" s="10"/>
      <c r="J220" s="10"/>
      <c r="K220" s="10"/>
      <c r="L220" s="10"/>
      <c r="M220" s="10"/>
      <c r="N220" s="10"/>
      <c r="O220" s="11"/>
    </row>
    <row r="221" spans="1:19">
      <c r="A221" s="9" t="s">
        <v>344</v>
      </c>
      <c r="B221" s="10"/>
      <c r="C221" s="10"/>
      <c r="D221" s="10"/>
      <c r="E221" s="10"/>
      <c r="F221" s="10"/>
      <c r="G221" s="10"/>
      <c r="H221" s="10"/>
      <c r="I221" s="10"/>
      <c r="J221" s="10"/>
      <c r="K221" s="10"/>
      <c r="L221" s="10"/>
      <c r="M221" s="10"/>
      <c r="N221" s="10"/>
      <c r="O221" s="11"/>
    </row>
    <row r="222" spans="1:19">
      <c r="A222" s="9"/>
      <c r="B222" s="10"/>
      <c r="C222" s="10"/>
      <c r="D222" s="10"/>
      <c r="E222" s="10"/>
      <c r="F222" s="10"/>
      <c r="G222" s="10"/>
      <c r="H222" s="10"/>
      <c r="I222" s="10"/>
      <c r="J222" s="10"/>
      <c r="K222" s="10"/>
      <c r="L222" s="10"/>
      <c r="M222" s="10"/>
      <c r="N222" s="10"/>
      <c r="O222" s="11"/>
    </row>
    <row r="223" spans="1:19">
      <c r="A223" s="9"/>
      <c r="B223" s="10"/>
      <c r="C223" s="10"/>
      <c r="D223" s="10"/>
      <c r="E223" s="10" t="s">
        <v>4</v>
      </c>
      <c r="F223" s="10" t="s">
        <v>7</v>
      </c>
      <c r="G223" s="10" t="s">
        <v>11</v>
      </c>
      <c r="H223" s="10"/>
      <c r="I223" s="10"/>
      <c r="J223" s="10"/>
      <c r="K223" s="10"/>
      <c r="L223" s="10"/>
      <c r="M223" s="10"/>
      <c r="N223" s="10"/>
      <c r="O223" s="11"/>
    </row>
    <row r="224" spans="1:19">
      <c r="A224" s="9" t="s">
        <v>327</v>
      </c>
      <c r="B224" s="10"/>
      <c r="C224" s="10"/>
      <c r="D224" s="10"/>
      <c r="E224" s="27">
        <f>'MRF &amp; RDF Sorting'!B9*'MRF &amp; RDF Sorting'!B18</f>
        <v>0</v>
      </c>
      <c r="F224" s="27">
        <f>('MRF &amp; RDF Sorting'!F9+'MRF &amp; RDF Sorting'!G9)*'MRF &amp; RDF Sorting'!E18</f>
        <v>0</v>
      </c>
      <c r="G224" s="27">
        <f>E224+F224</f>
        <v>0</v>
      </c>
      <c r="H224" s="10"/>
      <c r="I224" s="10"/>
      <c r="J224" s="10"/>
      <c r="K224" s="10"/>
      <c r="L224" s="10"/>
      <c r="M224" s="10"/>
      <c r="N224" s="10"/>
      <c r="O224" s="11"/>
    </row>
    <row r="225" spans="1:15">
      <c r="A225" s="9" t="s">
        <v>289</v>
      </c>
      <c r="B225" s="10"/>
      <c r="C225" s="10"/>
      <c r="D225" s="10"/>
      <c r="E225" s="27">
        <f>IF((C238*E224+D238*F224)=0,0,(C238*E224+D238*F224)/G224)</f>
        <v>0</v>
      </c>
      <c r="F225" s="10"/>
      <c r="G225" s="10"/>
      <c r="H225" s="10"/>
      <c r="I225" s="10"/>
      <c r="J225" s="10"/>
      <c r="K225" s="10"/>
      <c r="L225" s="10"/>
      <c r="M225" s="10"/>
      <c r="N225" s="10"/>
      <c r="O225" s="11"/>
    </row>
    <row r="226" spans="1:15">
      <c r="A226" s="9" t="s">
        <v>290</v>
      </c>
      <c r="B226" s="10"/>
      <c r="C226" s="10"/>
      <c r="D226" s="10"/>
      <c r="E226" s="15">
        <v>0</v>
      </c>
      <c r="F226" s="10"/>
      <c r="G226" s="10"/>
      <c r="H226" s="10"/>
      <c r="I226" s="10"/>
      <c r="J226" s="10"/>
      <c r="K226" s="10"/>
      <c r="L226" s="10"/>
      <c r="M226" s="10"/>
      <c r="N226" s="10"/>
      <c r="O226" s="11"/>
    </row>
    <row r="227" spans="1:15">
      <c r="A227" s="9" t="s">
        <v>328</v>
      </c>
      <c r="B227" s="10"/>
      <c r="C227" s="10"/>
      <c r="D227" s="10"/>
      <c r="E227" s="10"/>
      <c r="F227" s="10"/>
      <c r="G227" s="10"/>
      <c r="H227" s="10"/>
      <c r="I227" s="10"/>
      <c r="J227" s="10"/>
      <c r="K227" s="10"/>
      <c r="L227" s="10"/>
      <c r="M227" s="10"/>
      <c r="N227" s="10"/>
      <c r="O227" s="11"/>
    </row>
    <row r="228" spans="1:15">
      <c r="A228" s="9"/>
      <c r="B228" s="10"/>
      <c r="C228" s="10"/>
      <c r="D228" s="10"/>
      <c r="E228" s="10"/>
      <c r="F228" s="10"/>
      <c r="G228" s="10"/>
      <c r="H228" s="10"/>
      <c r="I228" s="10"/>
      <c r="J228" s="10"/>
      <c r="K228" s="10"/>
      <c r="L228" s="10"/>
      <c r="M228" s="10"/>
      <c r="N228" s="10"/>
      <c r="O228" s="11"/>
    </row>
    <row r="229" spans="1:15">
      <c r="A229" s="21" t="s">
        <v>345</v>
      </c>
      <c r="B229" s="10"/>
      <c r="C229" s="10"/>
      <c r="D229" s="10"/>
      <c r="E229" s="10"/>
      <c r="F229" s="10"/>
      <c r="G229" s="10"/>
      <c r="H229" s="10"/>
      <c r="I229" s="10"/>
      <c r="J229" s="10"/>
      <c r="K229" s="10"/>
      <c r="L229" s="10"/>
      <c r="M229" s="10"/>
      <c r="N229" s="10"/>
      <c r="O229" s="11"/>
    </row>
    <row r="230" spans="1:15">
      <c r="A230" s="9"/>
      <c r="B230" s="10"/>
      <c r="C230" s="10"/>
      <c r="D230" s="10"/>
      <c r="E230" s="10"/>
      <c r="F230" s="10"/>
      <c r="G230" s="10"/>
      <c r="H230" s="10"/>
      <c r="I230" s="10"/>
      <c r="J230" s="10"/>
      <c r="K230" s="10"/>
      <c r="L230" s="10"/>
      <c r="M230" s="10"/>
      <c r="N230" s="10"/>
      <c r="O230" s="11"/>
    </row>
    <row r="231" spans="1:15">
      <c r="A231" s="37" t="s">
        <v>346</v>
      </c>
      <c r="B231" s="10"/>
      <c r="C231" s="10"/>
      <c r="D231" s="10"/>
      <c r="E231" s="10"/>
      <c r="F231" s="10"/>
      <c r="G231" s="10"/>
      <c r="H231" s="10"/>
      <c r="I231" s="10"/>
      <c r="J231" s="10"/>
      <c r="K231" s="10"/>
      <c r="L231" s="10"/>
      <c r="M231" s="10"/>
      <c r="N231" s="10"/>
      <c r="O231" s="11"/>
    </row>
    <row r="232" spans="1:15">
      <c r="A232" s="9"/>
      <c r="B232" s="10"/>
      <c r="C232" s="10" t="s">
        <v>4</v>
      </c>
      <c r="D232" s="10" t="s">
        <v>7</v>
      </c>
      <c r="E232" s="10"/>
      <c r="F232" s="10"/>
      <c r="G232" s="10"/>
      <c r="H232" s="10"/>
      <c r="I232" s="10"/>
      <c r="J232" s="10"/>
      <c r="K232" s="10"/>
      <c r="L232" s="10"/>
      <c r="M232" s="10"/>
      <c r="N232" s="10"/>
      <c r="O232" s="11"/>
    </row>
    <row r="233" spans="1:15">
      <c r="A233" s="9" t="s">
        <v>347</v>
      </c>
      <c r="B233" s="10"/>
      <c r="C233" s="10">
        <v>0</v>
      </c>
      <c r="D233" s="10">
        <v>0</v>
      </c>
      <c r="E233" s="10"/>
      <c r="F233" s="10"/>
      <c r="G233" s="10"/>
      <c r="H233" s="10"/>
      <c r="I233" s="10"/>
      <c r="J233" s="10"/>
      <c r="K233" s="10"/>
      <c r="L233" s="10"/>
      <c r="M233" s="10"/>
      <c r="N233" s="10"/>
      <c r="O233" s="11"/>
    </row>
    <row r="234" spans="1:15">
      <c r="A234" s="9" t="s">
        <v>296</v>
      </c>
      <c r="B234" s="10"/>
      <c r="C234" s="10">
        <v>20</v>
      </c>
      <c r="D234" s="10">
        <v>20</v>
      </c>
      <c r="E234" s="10" t="s">
        <v>348</v>
      </c>
      <c r="F234" s="10"/>
      <c r="G234" s="10"/>
      <c r="H234" s="10"/>
      <c r="I234" s="10"/>
      <c r="J234" s="10"/>
      <c r="K234" s="10"/>
      <c r="L234" s="10"/>
      <c r="M234" s="10"/>
      <c r="N234" s="10"/>
      <c r="O234" s="11"/>
    </row>
    <row r="235" spans="1:15">
      <c r="A235" s="9"/>
      <c r="B235" s="10"/>
      <c r="C235" s="10"/>
      <c r="D235" s="10"/>
      <c r="E235" s="10"/>
      <c r="F235" s="10"/>
      <c r="G235" s="10"/>
      <c r="H235" s="10"/>
      <c r="I235" s="10"/>
      <c r="J235" s="10"/>
      <c r="K235" s="10"/>
      <c r="L235" s="10"/>
      <c r="M235" s="10"/>
      <c r="N235" s="10"/>
      <c r="O235" s="11"/>
    </row>
    <row r="236" spans="1:15">
      <c r="A236" s="37" t="s">
        <v>349</v>
      </c>
      <c r="B236" s="10"/>
      <c r="C236" s="10"/>
      <c r="D236" s="10"/>
      <c r="E236" s="10"/>
      <c r="F236" s="10"/>
      <c r="G236" s="10"/>
      <c r="H236" s="10"/>
      <c r="I236" s="10"/>
      <c r="J236" s="10"/>
      <c r="K236" s="10"/>
      <c r="L236" s="10"/>
      <c r="M236" s="10"/>
      <c r="N236" s="10"/>
      <c r="O236" s="11"/>
    </row>
    <row r="237" spans="1:15">
      <c r="A237" s="9"/>
      <c r="B237" s="10"/>
      <c r="C237" s="10" t="s">
        <v>4</v>
      </c>
      <c r="D237" s="10" t="s">
        <v>7</v>
      </c>
      <c r="E237" s="10"/>
      <c r="F237" s="10"/>
      <c r="G237" s="10"/>
      <c r="H237" s="10"/>
      <c r="I237" s="10"/>
      <c r="J237" s="10"/>
      <c r="K237" s="10"/>
      <c r="L237" s="10"/>
      <c r="M237" s="10"/>
      <c r="N237" s="10"/>
      <c r="O237" s="11"/>
    </row>
    <row r="238" spans="1:15">
      <c r="A238" s="9" t="s">
        <v>350</v>
      </c>
      <c r="B238" s="10"/>
      <c r="C238" s="10">
        <v>10.5</v>
      </c>
      <c r="D238" s="10">
        <v>28.5</v>
      </c>
      <c r="E238" s="10" t="s">
        <v>351</v>
      </c>
      <c r="F238" s="10"/>
      <c r="G238" s="10"/>
      <c r="H238" s="10"/>
      <c r="I238" s="10"/>
      <c r="J238" s="10"/>
      <c r="K238" s="10"/>
      <c r="L238" s="10"/>
      <c r="M238" s="10"/>
      <c r="N238" s="10"/>
      <c r="O238" s="11"/>
    </row>
    <row r="239" spans="1:15">
      <c r="A239" s="9"/>
      <c r="B239" s="10"/>
      <c r="C239" s="10"/>
      <c r="D239" s="10"/>
      <c r="E239" s="10"/>
      <c r="F239" s="10"/>
      <c r="G239" s="10"/>
      <c r="H239" s="10"/>
      <c r="I239" s="10"/>
      <c r="J239" s="10"/>
      <c r="K239" s="10"/>
      <c r="L239" s="10"/>
      <c r="M239" s="10"/>
      <c r="N239" s="10"/>
      <c r="O239" s="11"/>
    </row>
    <row r="240" spans="1:15">
      <c r="A240" s="37" t="s">
        <v>302</v>
      </c>
      <c r="B240" s="10"/>
      <c r="C240" s="10"/>
      <c r="D240" s="10"/>
      <c r="E240" s="10"/>
      <c r="F240" s="10"/>
      <c r="G240" s="10"/>
      <c r="H240" s="10"/>
      <c r="I240" s="10"/>
      <c r="J240" s="10"/>
      <c r="K240" s="10"/>
      <c r="L240" s="10"/>
      <c r="M240" s="10"/>
      <c r="N240" s="10"/>
      <c r="O240" s="11"/>
    </row>
    <row r="241" spans="1:15">
      <c r="A241" s="9" t="s">
        <v>352</v>
      </c>
      <c r="B241" s="10"/>
      <c r="C241" s="10"/>
      <c r="D241" s="10"/>
      <c r="E241" s="10"/>
      <c r="F241" s="10"/>
      <c r="G241" s="10"/>
      <c r="H241" s="10"/>
      <c r="I241" s="10"/>
      <c r="J241" s="10"/>
      <c r="K241" s="10"/>
      <c r="L241" s="10"/>
      <c r="M241" s="10"/>
      <c r="N241" s="10"/>
      <c r="O241" s="11"/>
    </row>
    <row r="242" spans="1:15">
      <c r="A242" s="9"/>
      <c r="B242" s="10"/>
      <c r="C242" s="10" t="s">
        <v>4</v>
      </c>
      <c r="D242" s="10" t="s">
        <v>7</v>
      </c>
      <c r="E242" s="10"/>
      <c r="F242" s="10"/>
      <c r="G242" s="10"/>
      <c r="H242" s="10"/>
      <c r="I242" s="10"/>
      <c r="J242" s="10"/>
      <c r="K242" s="10"/>
      <c r="L242" s="10"/>
      <c r="M242" s="10"/>
      <c r="N242" s="10"/>
      <c r="O242" s="11"/>
    </row>
    <row r="243" spans="1:15">
      <c r="A243" s="9" t="s">
        <v>304</v>
      </c>
      <c r="B243" s="10"/>
      <c r="C243" s="10">
        <v>1.38E-2</v>
      </c>
      <c r="D243" s="10">
        <v>1.38E-2</v>
      </c>
      <c r="E243" s="10" t="s">
        <v>348</v>
      </c>
      <c r="F243" s="10"/>
      <c r="G243" s="10"/>
      <c r="H243" s="10"/>
      <c r="I243" s="10"/>
      <c r="J243" s="10"/>
      <c r="K243" s="10"/>
      <c r="L243" s="10"/>
      <c r="M243" s="10"/>
      <c r="N243" s="10"/>
      <c r="O243" s="11"/>
    </row>
    <row r="244" spans="1:15">
      <c r="A244" s="9" t="s">
        <v>305</v>
      </c>
      <c r="B244" s="10"/>
      <c r="C244" s="10">
        <v>8.4000000000000005E-2</v>
      </c>
      <c r="D244" s="10">
        <v>7.4999999999999997E-2</v>
      </c>
      <c r="E244" s="10" t="s">
        <v>348</v>
      </c>
      <c r="F244" s="10"/>
      <c r="G244" s="10"/>
      <c r="H244" s="10"/>
      <c r="I244" s="10"/>
      <c r="J244" s="10"/>
      <c r="K244" s="10"/>
      <c r="L244" s="10"/>
      <c r="M244" s="10"/>
      <c r="N244" s="10"/>
      <c r="O244" s="11"/>
    </row>
    <row r="245" spans="1:15">
      <c r="A245" s="9" t="s">
        <v>353</v>
      </c>
      <c r="B245" s="10"/>
      <c r="C245" s="10"/>
      <c r="D245" s="10"/>
      <c r="E245" s="10"/>
      <c r="F245" s="10"/>
      <c r="G245" s="10"/>
      <c r="H245" s="10"/>
      <c r="I245" s="10"/>
      <c r="J245" s="10"/>
      <c r="K245" s="10"/>
      <c r="L245" s="10"/>
      <c r="M245" s="10"/>
      <c r="N245" s="10"/>
      <c r="O245" s="11"/>
    </row>
    <row r="246" spans="1:15">
      <c r="A246" s="9" t="s">
        <v>354</v>
      </c>
      <c r="B246" s="10"/>
      <c r="C246" s="10"/>
      <c r="D246" s="10"/>
      <c r="E246" s="10"/>
      <c r="F246" s="10"/>
      <c r="G246" s="10"/>
      <c r="H246" s="10"/>
      <c r="I246" s="10"/>
      <c r="J246" s="10"/>
      <c r="K246" s="10"/>
      <c r="L246" s="10"/>
      <c r="M246" s="10"/>
      <c r="N246" s="10"/>
      <c r="O246" s="11"/>
    </row>
    <row r="247" spans="1:15">
      <c r="A247" s="9"/>
      <c r="B247" s="10"/>
      <c r="C247" s="10"/>
      <c r="D247" s="10"/>
      <c r="E247" s="10"/>
      <c r="F247" s="10"/>
      <c r="G247" s="10"/>
      <c r="H247" s="10"/>
      <c r="I247" s="10"/>
      <c r="J247" s="10"/>
      <c r="K247" s="10"/>
      <c r="L247" s="10"/>
      <c r="M247" s="10"/>
      <c r="N247" s="10"/>
      <c r="O247" s="11"/>
    </row>
    <row r="248" spans="1:15">
      <c r="A248" s="21" t="s">
        <v>164</v>
      </c>
      <c r="B248" s="10"/>
      <c r="C248" s="10"/>
      <c r="D248" s="10"/>
      <c r="E248" s="10"/>
      <c r="F248" s="10"/>
      <c r="G248" s="10"/>
      <c r="H248" s="10"/>
      <c r="I248" s="10"/>
      <c r="J248" s="10"/>
      <c r="K248" s="10"/>
      <c r="L248" s="10"/>
      <c r="M248" s="10"/>
      <c r="N248" s="10"/>
      <c r="O248" s="11"/>
    </row>
    <row r="249" spans="1:15">
      <c r="A249" s="9" t="s">
        <v>335</v>
      </c>
      <c r="B249" s="10"/>
      <c r="C249" s="10"/>
      <c r="D249" s="10"/>
      <c r="E249" s="10"/>
      <c r="F249" s="10">
        <v>0</v>
      </c>
      <c r="G249" s="10"/>
      <c r="H249" s="10"/>
      <c r="I249" s="10"/>
      <c r="J249" s="10"/>
      <c r="K249" s="10"/>
      <c r="L249" s="10"/>
      <c r="M249" s="10"/>
      <c r="N249" s="10"/>
      <c r="O249" s="11"/>
    </row>
    <row r="250" spans="1:15">
      <c r="A250" s="9" t="s">
        <v>336</v>
      </c>
      <c r="B250" s="10"/>
      <c r="C250" s="10"/>
      <c r="D250" s="10"/>
      <c r="E250" s="10"/>
      <c r="F250" s="10">
        <v>0</v>
      </c>
      <c r="G250" s="10"/>
      <c r="H250" s="10"/>
      <c r="I250" s="10"/>
      <c r="J250" s="10"/>
      <c r="K250" s="10"/>
      <c r="L250" s="10"/>
      <c r="M250" s="10"/>
      <c r="N250" s="10"/>
      <c r="O250" s="11"/>
    </row>
    <row r="251" spans="1:15">
      <c r="A251" s="9"/>
      <c r="B251" s="10"/>
      <c r="C251" s="10"/>
      <c r="D251" s="10"/>
      <c r="E251" s="10"/>
      <c r="F251" s="10"/>
      <c r="G251" s="10"/>
      <c r="H251" s="10"/>
      <c r="I251" s="10"/>
      <c r="J251" s="10"/>
      <c r="K251" s="10"/>
      <c r="L251" s="10"/>
      <c r="M251" s="10"/>
      <c r="N251" s="10"/>
      <c r="O251" s="11"/>
    </row>
    <row r="252" spans="1:15">
      <c r="A252" s="21" t="s">
        <v>174</v>
      </c>
      <c r="B252" s="10"/>
      <c r="C252" s="10"/>
      <c r="D252" s="10"/>
      <c r="E252" s="10"/>
      <c r="F252" s="10"/>
      <c r="G252" s="10"/>
      <c r="H252" s="10"/>
      <c r="I252" s="10"/>
      <c r="J252" s="10"/>
      <c r="K252" s="10"/>
      <c r="L252" s="10"/>
      <c r="M252" s="10"/>
      <c r="N252" s="10"/>
      <c r="O252" s="11"/>
    </row>
    <row r="253" spans="1:15">
      <c r="A253" s="9" t="s">
        <v>337</v>
      </c>
      <c r="B253" s="10"/>
      <c r="C253" s="10"/>
      <c r="D253" s="10"/>
      <c r="E253" s="10"/>
      <c r="F253" s="10">
        <v>0</v>
      </c>
      <c r="G253" s="10"/>
      <c r="H253" s="10"/>
      <c r="I253" s="10"/>
      <c r="J253" s="10"/>
      <c r="K253" s="10"/>
      <c r="L253" s="10"/>
      <c r="M253" s="10"/>
      <c r="N253" s="10"/>
      <c r="O253" s="11"/>
    </row>
    <row r="254" spans="1:15">
      <c r="A254" s="9" t="s">
        <v>338</v>
      </c>
      <c r="B254" s="10"/>
      <c r="C254" s="10"/>
      <c r="D254" s="10"/>
      <c r="E254" s="10"/>
      <c r="F254" s="10">
        <v>0</v>
      </c>
      <c r="G254" s="10"/>
      <c r="H254" s="10"/>
      <c r="I254" s="10"/>
      <c r="J254" s="10"/>
      <c r="K254" s="10"/>
      <c r="L254" s="10"/>
      <c r="M254" s="10"/>
      <c r="N254" s="10"/>
      <c r="O254" s="11"/>
    </row>
    <row r="255" spans="1:15">
      <c r="A255" s="9" t="s">
        <v>319</v>
      </c>
      <c r="B255" s="10"/>
      <c r="C255" s="10"/>
      <c r="D255" s="10"/>
      <c r="E255" s="10"/>
      <c r="F255" s="10">
        <v>0</v>
      </c>
      <c r="G255" s="10"/>
      <c r="H255" s="10"/>
      <c r="I255" s="10"/>
      <c r="J255" s="10"/>
      <c r="K255" s="10"/>
      <c r="L255" s="10"/>
      <c r="M255" s="10"/>
      <c r="N255" s="10"/>
      <c r="O255" s="11"/>
    </row>
    <row r="256" spans="1:15">
      <c r="A256" s="9" t="s">
        <v>320</v>
      </c>
      <c r="B256" s="10"/>
      <c r="C256" s="10"/>
      <c r="D256" s="10"/>
      <c r="E256" s="10"/>
      <c r="F256" s="10">
        <v>0</v>
      </c>
      <c r="G256" s="10"/>
      <c r="H256" s="10"/>
      <c r="I256" s="10"/>
      <c r="J256" s="10"/>
      <c r="K256" s="10"/>
      <c r="L256" s="10"/>
      <c r="M256" s="10"/>
      <c r="N256" s="10"/>
      <c r="O256" s="11"/>
    </row>
    <row r="257" spans="1:15" ht="15.75" thickBot="1">
      <c r="A257" s="12"/>
      <c r="B257" s="13"/>
      <c r="C257" s="13"/>
      <c r="D257" s="13"/>
      <c r="E257" s="13"/>
      <c r="F257" s="13"/>
      <c r="G257" s="13"/>
      <c r="H257" s="13"/>
      <c r="I257" s="13"/>
      <c r="J257" s="13"/>
      <c r="K257" s="13"/>
      <c r="L257" s="13"/>
      <c r="M257" s="13"/>
      <c r="N257" s="13"/>
      <c r="O257" s="14"/>
    </row>
    <row r="259" spans="1:15">
      <c r="A259" s="62" t="s">
        <v>1008</v>
      </c>
    </row>
    <row r="260" spans="1:15" ht="15.75" thickBot="1"/>
    <row r="261" spans="1:15">
      <c r="A261" s="86" t="s">
        <v>1005</v>
      </c>
      <c r="B261" s="7"/>
      <c r="C261" s="7"/>
      <c r="D261" s="7"/>
      <c r="E261" s="7"/>
      <c r="F261" s="7"/>
      <c r="G261" s="7"/>
      <c r="H261" s="7"/>
      <c r="I261" s="7"/>
      <c r="J261" s="7"/>
      <c r="K261" s="7"/>
      <c r="L261" s="7"/>
      <c r="M261" s="7"/>
      <c r="N261" s="8"/>
    </row>
    <row r="262" spans="1:15">
      <c r="A262" s="9" t="s">
        <v>1006</v>
      </c>
      <c r="B262" s="10"/>
      <c r="C262" s="10"/>
      <c r="D262" s="10"/>
      <c r="E262" s="10"/>
      <c r="F262" s="10"/>
      <c r="G262" s="10"/>
      <c r="H262" s="10"/>
      <c r="I262" s="10"/>
      <c r="J262" s="10"/>
      <c r="K262" s="10"/>
      <c r="L262" s="10"/>
      <c r="M262" s="10"/>
      <c r="N262" s="11"/>
    </row>
    <row r="263" spans="1:15">
      <c r="A263" s="9" t="s">
        <v>1007</v>
      </c>
      <c r="B263" s="10"/>
      <c r="C263" s="10"/>
      <c r="D263" s="10"/>
      <c r="E263" s="10"/>
      <c r="F263" s="10"/>
      <c r="G263" s="10"/>
      <c r="H263" s="10"/>
      <c r="I263" s="10"/>
      <c r="J263" s="10"/>
      <c r="K263" s="10"/>
      <c r="L263" s="10"/>
      <c r="M263" s="10"/>
      <c r="N263" s="11"/>
    </row>
    <row r="264" spans="1:15">
      <c r="A264" s="9"/>
      <c r="B264" s="10"/>
      <c r="C264" s="10"/>
      <c r="D264" s="10"/>
      <c r="E264" s="10"/>
      <c r="F264" s="10"/>
      <c r="G264" s="10"/>
      <c r="H264" s="10"/>
      <c r="I264" s="10"/>
      <c r="J264" s="10"/>
      <c r="K264" s="10"/>
      <c r="L264" s="10"/>
      <c r="M264" s="10"/>
      <c r="N264" s="11"/>
    </row>
    <row r="265" spans="1:15">
      <c r="A265" s="76" t="s">
        <v>1011</v>
      </c>
      <c r="B265" s="87"/>
      <c r="C265" s="10"/>
      <c r="D265" s="10"/>
      <c r="E265" s="10"/>
      <c r="F265" s="10"/>
      <c r="G265" s="10"/>
      <c r="H265" s="10"/>
      <c r="I265" s="10"/>
      <c r="J265" s="10"/>
      <c r="K265" s="10"/>
      <c r="L265" s="10"/>
      <c r="M265" s="10"/>
      <c r="N265" s="11"/>
    </row>
    <row r="266" spans="1:15">
      <c r="A266" s="9"/>
      <c r="B266" s="10"/>
      <c r="C266" s="10" t="s">
        <v>1012</v>
      </c>
      <c r="D266" s="10" t="s">
        <v>1013</v>
      </c>
      <c r="E266" s="10" t="s">
        <v>1020</v>
      </c>
      <c r="F266" s="10" t="s">
        <v>1014</v>
      </c>
      <c r="G266" s="10" t="s">
        <v>1015</v>
      </c>
      <c r="H266" s="10" t="s">
        <v>1016</v>
      </c>
      <c r="I266" s="10"/>
      <c r="J266" s="10"/>
      <c r="K266" s="10"/>
      <c r="L266" s="10"/>
      <c r="M266" s="10"/>
      <c r="N266" s="11"/>
    </row>
    <row r="267" spans="1:15">
      <c r="A267" s="9" t="s">
        <v>1009</v>
      </c>
      <c r="B267" s="10"/>
      <c r="C267" s="10">
        <v>88</v>
      </c>
      <c r="D267" s="10">
        <v>41</v>
      </c>
      <c r="E267" s="10">
        <v>308</v>
      </c>
      <c r="F267" s="10">
        <v>13</v>
      </c>
      <c r="G267" s="10">
        <v>125</v>
      </c>
      <c r="H267" s="10">
        <v>24</v>
      </c>
      <c r="I267" s="10"/>
      <c r="J267" s="10"/>
      <c r="K267" s="10"/>
      <c r="L267" s="10"/>
      <c r="M267" s="10"/>
      <c r="N267" s="11"/>
    </row>
    <row r="268" spans="1:15">
      <c r="A268" s="9" t="s">
        <v>1010</v>
      </c>
      <c r="B268" s="10"/>
      <c r="C268" s="10">
        <v>23</v>
      </c>
      <c r="D268" s="10">
        <v>15</v>
      </c>
      <c r="E268" s="10">
        <v>279</v>
      </c>
      <c r="F268" s="10">
        <v>4.5</v>
      </c>
      <c r="G268" s="10">
        <v>33</v>
      </c>
      <c r="H268" s="10">
        <v>4</v>
      </c>
      <c r="I268" s="10"/>
      <c r="J268" s="10"/>
      <c r="K268" s="10"/>
      <c r="L268" s="10"/>
      <c r="M268" s="10"/>
      <c r="N268" s="11"/>
    </row>
    <row r="269" spans="1:15">
      <c r="A269" s="9"/>
      <c r="B269" s="10"/>
      <c r="C269" s="10"/>
      <c r="D269" s="10"/>
      <c r="E269" s="10"/>
      <c r="F269" s="10"/>
      <c r="G269" s="10"/>
      <c r="H269" s="10"/>
      <c r="I269" s="10"/>
      <c r="J269" s="10"/>
      <c r="K269" s="10"/>
      <c r="L269" s="10"/>
      <c r="M269" s="10"/>
      <c r="N269" s="11"/>
    </row>
    <row r="270" spans="1:15">
      <c r="A270" s="76" t="s">
        <v>1017</v>
      </c>
      <c r="B270" s="10"/>
      <c r="C270" s="10"/>
      <c r="D270" s="10"/>
      <c r="E270" s="10" t="s">
        <v>1012</v>
      </c>
      <c r="F270" s="10" t="s">
        <v>1013</v>
      </c>
      <c r="G270" s="10" t="s">
        <v>1020</v>
      </c>
      <c r="H270" s="10" t="s">
        <v>1014</v>
      </c>
      <c r="I270" s="10" t="s">
        <v>1015</v>
      </c>
      <c r="J270" s="10" t="s">
        <v>1016</v>
      </c>
      <c r="K270" s="10"/>
      <c r="L270" s="10"/>
      <c r="M270" s="10"/>
      <c r="N270" s="11"/>
    </row>
    <row r="271" spans="1:15">
      <c r="A271" s="9" t="s">
        <v>1018</v>
      </c>
      <c r="B271" s="10"/>
      <c r="C271" s="10" t="s">
        <v>1009</v>
      </c>
      <c r="D271" s="10"/>
      <c r="E271" s="10">
        <f>IF(C271="US EPA Regulations",C267,C268)</f>
        <v>88</v>
      </c>
      <c r="F271" s="10">
        <f>IF(C271="US EPA Regulations",D267,D268)</f>
        <v>41</v>
      </c>
      <c r="G271" s="10">
        <f>IF(C271="US EPA Regulations",E267,E268)</f>
        <v>308</v>
      </c>
      <c r="H271" s="10">
        <f>IF(C271="US EPA Regulations",F267,F268)</f>
        <v>13</v>
      </c>
      <c r="I271" s="10">
        <f>IF(C271="US EPA Regulations",G267,G268)</f>
        <v>125</v>
      </c>
      <c r="J271" s="10">
        <f>IF(C271="US EPA Regulations",H267,H268)</f>
        <v>24</v>
      </c>
      <c r="K271" s="10"/>
      <c r="L271" s="10"/>
      <c r="M271" s="10"/>
      <c r="N271" s="11"/>
    </row>
    <row r="272" spans="1:15">
      <c r="A272" s="9" t="s">
        <v>1019</v>
      </c>
      <c r="B272" s="10"/>
      <c r="C272" s="10" t="s">
        <v>1009</v>
      </c>
      <c r="D272" s="10"/>
      <c r="E272" s="10">
        <f>IF(C271="US EPA Regulations",C267,C268)</f>
        <v>88</v>
      </c>
      <c r="F272" s="10">
        <f>IF(C271="US EPA Regulations",D267,D268)</f>
        <v>41</v>
      </c>
      <c r="G272" s="10">
        <f>IF(C271="US EPA Regulations",E267,E268)</f>
        <v>308</v>
      </c>
      <c r="H272" s="10">
        <f>IF(C271="US EPA Regulations",F267,F268)</f>
        <v>13</v>
      </c>
      <c r="I272" s="10">
        <f>IF(C271="US EPA Regulations",G267,G268)</f>
        <v>125</v>
      </c>
      <c r="J272" s="10">
        <f>IF(C271="US EPA Regulations",H267,H268)</f>
        <v>24</v>
      </c>
      <c r="K272" s="10"/>
      <c r="L272" s="10"/>
      <c r="M272" s="10"/>
      <c r="N272" s="11"/>
    </row>
    <row r="273" spans="1:14">
      <c r="A273" s="9"/>
      <c r="B273" s="10"/>
      <c r="C273" s="10"/>
      <c r="D273" s="10"/>
      <c r="E273" s="10"/>
      <c r="F273" s="10"/>
      <c r="G273" s="10"/>
      <c r="H273" s="10"/>
      <c r="I273" s="10"/>
      <c r="J273" s="10"/>
      <c r="K273" s="10"/>
      <c r="L273" s="10"/>
      <c r="M273" s="10"/>
      <c r="N273" s="11"/>
    </row>
    <row r="274" spans="1:14">
      <c r="A274" s="76" t="s">
        <v>1021</v>
      </c>
      <c r="B274" s="10"/>
      <c r="C274" s="10"/>
      <c r="D274" s="10"/>
      <c r="E274" s="10"/>
      <c r="F274" s="10"/>
      <c r="G274" s="10"/>
      <c r="H274" s="10"/>
      <c r="I274" s="10"/>
      <c r="J274" s="10"/>
      <c r="K274" s="10"/>
      <c r="L274" s="10"/>
      <c r="M274" s="10"/>
      <c r="N274" s="11"/>
    </row>
    <row r="275" spans="1:14">
      <c r="A275" s="9" t="s">
        <v>1022</v>
      </c>
      <c r="B275" s="10"/>
      <c r="C275" s="10"/>
      <c r="D275" s="10"/>
      <c r="E275" s="10"/>
      <c r="F275" s="10"/>
      <c r="G275" s="10"/>
      <c r="H275" s="10"/>
      <c r="I275" s="10"/>
      <c r="J275" s="10"/>
      <c r="K275" s="10"/>
      <c r="L275" s="10"/>
      <c r="M275" s="10"/>
      <c r="N275" s="11"/>
    </row>
    <row r="276" spans="1:14">
      <c r="A276" s="9" t="s">
        <v>1023</v>
      </c>
      <c r="B276" s="10"/>
      <c r="C276" s="10"/>
      <c r="D276" s="10"/>
      <c r="E276" s="10"/>
      <c r="F276" s="10"/>
      <c r="G276" s="10"/>
      <c r="H276" s="10"/>
      <c r="I276" s="10"/>
      <c r="J276" s="10"/>
      <c r="K276" s="10"/>
      <c r="L276" s="10"/>
      <c r="M276" s="10"/>
      <c r="N276" s="11"/>
    </row>
    <row r="277" spans="1:14">
      <c r="A277" s="9"/>
      <c r="B277" s="10" t="s">
        <v>1026</v>
      </c>
      <c r="C277" s="10" t="s">
        <v>1027</v>
      </c>
      <c r="D277" s="10" t="s">
        <v>1028</v>
      </c>
      <c r="E277" s="10" t="s">
        <v>1029</v>
      </c>
      <c r="F277" s="10" t="s">
        <v>1030</v>
      </c>
      <c r="G277" s="10" t="s">
        <v>1031</v>
      </c>
      <c r="H277" s="10" t="s">
        <v>1032</v>
      </c>
      <c r="I277" s="10" t="s">
        <v>1033</v>
      </c>
      <c r="J277" s="10"/>
      <c r="K277" s="10"/>
      <c r="L277" s="10"/>
      <c r="M277" s="10"/>
      <c r="N277" s="11"/>
    </row>
    <row r="278" spans="1:14">
      <c r="A278" s="9" t="s">
        <v>1024</v>
      </c>
      <c r="B278" s="36">
        <v>0.999</v>
      </c>
      <c r="C278" s="36">
        <v>0.997</v>
      </c>
      <c r="D278" s="36">
        <v>0.99299999999999999</v>
      </c>
      <c r="E278" s="36">
        <v>0.996</v>
      </c>
      <c r="F278" s="36">
        <v>0.92700000000000005</v>
      </c>
      <c r="G278" s="36">
        <v>0.96599999999999997</v>
      </c>
      <c r="H278" s="36">
        <v>0.998</v>
      </c>
      <c r="I278" s="36">
        <v>0.997</v>
      </c>
      <c r="J278" s="10"/>
      <c r="K278" s="10"/>
      <c r="L278" s="10"/>
      <c r="M278" s="10"/>
      <c r="N278" s="11"/>
    </row>
    <row r="279" spans="1:14">
      <c r="A279" s="9" t="s">
        <v>1025</v>
      </c>
      <c r="B279" s="36">
        <v>0.999</v>
      </c>
      <c r="C279" s="36">
        <v>0.997</v>
      </c>
      <c r="D279" s="36">
        <v>0.99299999999999999</v>
      </c>
      <c r="E279" s="36">
        <v>0.996</v>
      </c>
      <c r="F279" s="36">
        <v>0.92700000000000005</v>
      </c>
      <c r="G279" s="36">
        <v>0.96599999999999997</v>
      </c>
      <c r="H279" s="36">
        <v>0.998</v>
      </c>
      <c r="I279" s="36">
        <v>0.997</v>
      </c>
      <c r="J279" s="10"/>
      <c r="K279" s="10"/>
      <c r="L279" s="10"/>
      <c r="M279" s="10"/>
      <c r="N279" s="11"/>
    </row>
    <row r="280" spans="1:14" ht="15.75" thickBot="1">
      <c r="A280" s="12"/>
      <c r="B280" s="13"/>
      <c r="C280" s="13"/>
      <c r="D280" s="13"/>
      <c r="E280" s="13"/>
      <c r="F280" s="13"/>
      <c r="G280" s="13"/>
      <c r="H280" s="13"/>
      <c r="I280" s="13"/>
      <c r="J280" s="13"/>
      <c r="K280" s="13"/>
      <c r="L280" s="13"/>
      <c r="M280" s="13"/>
      <c r="N280" s="14"/>
    </row>
  </sheetData>
  <phoneticPr fontId="4"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CC198"/>
  <sheetViews>
    <sheetView topLeftCell="AO15" zoomScale="70" zoomScaleNormal="70" workbookViewId="0">
      <selection activeCell="BH61" sqref="BH61"/>
    </sheetView>
  </sheetViews>
  <sheetFormatPr defaultRowHeight="15"/>
  <cols>
    <col min="3" max="3" width="15.28515625" customWidth="1"/>
    <col min="4" max="4" width="20.5703125" customWidth="1"/>
    <col min="5" max="5" width="12.85546875" bestFit="1" customWidth="1"/>
    <col min="6" max="6" width="15.140625" customWidth="1"/>
    <col min="7" max="7" width="12.140625" bestFit="1" customWidth="1"/>
    <col min="11" max="11" width="12.42578125" customWidth="1"/>
  </cols>
  <sheetData>
    <row r="1" spans="1:81">
      <c r="A1" s="1" t="s">
        <v>356</v>
      </c>
    </row>
    <row r="2" spans="1:81">
      <c r="A2" t="s">
        <v>583</v>
      </c>
    </row>
    <row r="3" spans="1:81">
      <c r="A3" s="61"/>
    </row>
    <row r="4" spans="1:81">
      <c r="A4" s="60" t="s">
        <v>194</v>
      </c>
    </row>
    <row r="5" spans="1:81" ht="15.75" thickBot="1"/>
    <row r="6" spans="1:81">
      <c r="A6" s="6" t="s">
        <v>358</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8"/>
    </row>
    <row r="7" spans="1:81">
      <c r="A7" s="9" t="s">
        <v>357</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1"/>
    </row>
    <row r="8" spans="1:81">
      <c r="A8" s="9"/>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1"/>
    </row>
    <row r="9" spans="1:81">
      <c r="A9" s="9"/>
      <c r="B9" s="10" t="s">
        <v>4</v>
      </c>
      <c r="C9" s="10" t="s">
        <v>5</v>
      </c>
      <c r="D9" s="10" t="s">
        <v>29</v>
      </c>
      <c r="E9" s="10" t="s">
        <v>30</v>
      </c>
      <c r="F9" s="10" t="s">
        <v>31</v>
      </c>
      <c r="G9" s="10" t="s">
        <v>32</v>
      </c>
      <c r="H9" s="10" t="s">
        <v>8</v>
      </c>
      <c r="I9" s="10" t="s">
        <v>9</v>
      </c>
      <c r="J9" s="10" t="s">
        <v>10</v>
      </c>
      <c r="K9" s="10" t="s">
        <v>264</v>
      </c>
      <c r="L9" s="10" t="s">
        <v>359</v>
      </c>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1"/>
    </row>
    <row r="10" spans="1:81">
      <c r="A10" s="9" t="s">
        <v>141</v>
      </c>
      <c r="B10" s="69">
        <f>SUM(E13:E24)</f>
        <v>3669.375</v>
      </c>
      <c r="C10" s="69">
        <f>SUM(L13:L25)</f>
        <v>3031.25</v>
      </c>
      <c r="D10" s="69">
        <f>SUM(T13:T32)</f>
        <v>3212.5</v>
      </c>
      <c r="E10" s="69">
        <f>SUM(AB13:AB25)</f>
        <v>1250</v>
      </c>
      <c r="F10" s="69">
        <f>SUM(AJ13:AJ25)</f>
        <v>1000</v>
      </c>
      <c r="G10" s="69">
        <f>SUM(AR13:AR25)</f>
        <v>1712.5</v>
      </c>
      <c r="H10" s="69">
        <f>SUM(AZ14:AZ25)</f>
        <v>0</v>
      </c>
      <c r="I10" s="69">
        <f>SUM(BH14:BH26)</f>
        <v>1199.375</v>
      </c>
      <c r="J10" s="69">
        <f>SUM(BP13:BP25)</f>
        <v>593.75</v>
      </c>
      <c r="K10" s="69">
        <f>SUM(BW22:BW25)</f>
        <v>0</v>
      </c>
      <c r="L10" s="69">
        <f>SUM(BW29:BW33)</f>
        <v>21486.90625</v>
      </c>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1"/>
    </row>
    <row r="11" spans="1:81">
      <c r="A11" s="9"/>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1"/>
    </row>
    <row r="12" spans="1:81">
      <c r="A12" s="64" t="s">
        <v>4</v>
      </c>
      <c r="B12" s="10"/>
      <c r="C12" s="10"/>
      <c r="D12" s="10"/>
      <c r="E12" s="10"/>
      <c r="F12" s="10"/>
      <c r="G12" s="65" t="s">
        <v>5</v>
      </c>
      <c r="H12" s="10"/>
      <c r="I12" s="10"/>
      <c r="J12" s="10"/>
      <c r="K12" s="10"/>
      <c r="L12" s="10"/>
      <c r="M12" s="10"/>
      <c r="N12" s="65" t="s">
        <v>29</v>
      </c>
      <c r="O12" s="10"/>
      <c r="P12" s="10"/>
      <c r="Q12" s="10"/>
      <c r="R12" s="10"/>
      <c r="S12" s="10"/>
      <c r="T12" s="10"/>
      <c r="U12" s="10"/>
      <c r="V12" s="65" t="s">
        <v>582</v>
      </c>
      <c r="W12" s="10"/>
      <c r="X12" s="10"/>
      <c r="Y12" s="10"/>
      <c r="Z12" s="10"/>
      <c r="AA12" s="10"/>
      <c r="AB12" s="10"/>
      <c r="AC12" s="10"/>
      <c r="AD12" s="65" t="s">
        <v>31</v>
      </c>
      <c r="AE12" s="10"/>
      <c r="AF12" s="10"/>
      <c r="AG12" s="10"/>
      <c r="AH12" s="10"/>
      <c r="AI12" s="10"/>
      <c r="AJ12" s="10"/>
      <c r="AK12" s="10"/>
      <c r="AL12" s="65" t="s">
        <v>32</v>
      </c>
      <c r="AM12" s="10"/>
      <c r="AN12" s="10"/>
      <c r="AO12" s="10"/>
      <c r="AP12" s="10"/>
      <c r="AQ12" s="10"/>
      <c r="AR12" s="10"/>
      <c r="AS12" s="10"/>
      <c r="AT12" s="65" t="s">
        <v>8</v>
      </c>
      <c r="AU12" s="10"/>
      <c r="AV12" s="10"/>
      <c r="AW12" s="10"/>
      <c r="AX12" s="10"/>
      <c r="AY12" s="10"/>
      <c r="AZ12" s="10"/>
      <c r="BA12" s="10"/>
      <c r="BB12" s="65" t="s">
        <v>9</v>
      </c>
      <c r="BC12" s="10"/>
      <c r="BD12" s="10"/>
      <c r="BE12" s="10"/>
      <c r="BF12" s="10"/>
      <c r="BG12" s="10"/>
      <c r="BH12" s="10"/>
      <c r="BI12" s="10"/>
      <c r="BJ12" s="65" t="s">
        <v>10</v>
      </c>
      <c r="BK12" s="10"/>
      <c r="BL12" s="10"/>
      <c r="BM12" s="10"/>
      <c r="BN12" s="10"/>
      <c r="BO12" s="10"/>
      <c r="BP12" s="10"/>
      <c r="BQ12" s="10"/>
      <c r="BR12" s="10"/>
      <c r="BS12" s="10"/>
      <c r="BT12" s="10"/>
      <c r="BU12" s="10"/>
      <c r="BV12" s="10"/>
      <c r="BW12" s="10"/>
      <c r="BX12" s="10"/>
      <c r="BY12" s="10"/>
      <c r="BZ12" s="10"/>
      <c r="CA12" s="10"/>
      <c r="CB12" s="10"/>
      <c r="CC12" s="11"/>
    </row>
    <row r="13" spans="1:81">
      <c r="A13" s="66" t="s">
        <v>361</v>
      </c>
      <c r="B13" s="10"/>
      <c r="C13" s="10"/>
      <c r="D13" s="10"/>
      <c r="E13" s="69">
        <f>'MRF &amp; RDF Sorting'!B8*'MRF &amp; RDF Sorting'!$B$36</f>
        <v>3562.5</v>
      </c>
      <c r="F13" s="10"/>
      <c r="G13" s="41" t="s">
        <v>380</v>
      </c>
      <c r="H13" s="10"/>
      <c r="I13" s="10"/>
      <c r="J13" s="10"/>
      <c r="K13" s="10"/>
      <c r="L13" s="69">
        <f>'Waste Input'!$B$8*'Waste Input'!B27/1000*(1-'Waste Collection'!E73)*'Waste Collection'!$F$77</f>
        <v>1250</v>
      </c>
      <c r="M13" s="10"/>
      <c r="N13" s="41" t="s">
        <v>418</v>
      </c>
      <c r="O13" s="10"/>
      <c r="P13" s="10"/>
      <c r="Q13" s="10"/>
      <c r="R13" s="10"/>
      <c r="S13" s="10"/>
      <c r="T13" s="69">
        <f>'Waste Input'!$B$8*'Waste Input'!C27/1000*(1-'Waste Collection'!F73)*'Waste Collection'!$F$77</f>
        <v>2500</v>
      </c>
      <c r="U13" s="10"/>
      <c r="V13" s="10" t="s">
        <v>419</v>
      </c>
      <c r="W13" s="10"/>
      <c r="X13" s="10"/>
      <c r="Y13" s="10"/>
      <c r="Z13" s="10"/>
      <c r="AA13" s="10"/>
      <c r="AB13" s="69">
        <f>'Waste Input'!$B$8*'Waste Input'!D27/1000*(1-'Waste Collection'!G73)*'Waste Collection'!$F$77</f>
        <v>1250</v>
      </c>
      <c r="AC13" s="10"/>
      <c r="AD13" s="10" t="s">
        <v>432</v>
      </c>
      <c r="AE13" s="10"/>
      <c r="AF13" s="10"/>
      <c r="AG13" s="10"/>
      <c r="AH13" s="10"/>
      <c r="AI13" s="10"/>
      <c r="AJ13" s="69">
        <f>'Waste Input'!$B$8*'Waste Input'!E27/1000*(1-'Waste Collection'!H73)*'Waste Collection'!$F$77</f>
        <v>250</v>
      </c>
      <c r="AK13" s="10"/>
      <c r="AL13" s="10" t="s">
        <v>445</v>
      </c>
      <c r="AM13" s="10"/>
      <c r="AN13" s="10"/>
      <c r="AO13" s="10"/>
      <c r="AP13" s="10"/>
      <c r="AQ13" s="10"/>
      <c r="AR13" s="69">
        <f>'Waste Input'!$B$8*'Waste Input'!F27/1000*(1-'Waste Collection'!I73)*'Waste Collection'!$F$77</f>
        <v>250</v>
      </c>
      <c r="AS13" s="10"/>
      <c r="AT13" s="10"/>
      <c r="AU13" s="10"/>
      <c r="AV13" s="10"/>
      <c r="AW13" s="10"/>
      <c r="AX13" s="10"/>
      <c r="AY13" s="10"/>
      <c r="AZ13" s="10"/>
      <c r="BA13" s="10"/>
      <c r="BB13" s="10"/>
      <c r="BC13" s="10"/>
      <c r="BD13" s="10"/>
      <c r="BE13" s="10"/>
      <c r="BF13" s="10"/>
      <c r="BG13" s="10"/>
      <c r="BH13" s="10"/>
      <c r="BI13" s="10"/>
      <c r="BJ13" s="10" t="s">
        <v>483</v>
      </c>
      <c r="BK13" s="10"/>
      <c r="BL13" s="10"/>
      <c r="BM13" s="10"/>
      <c r="BN13" s="10"/>
      <c r="BO13" s="10"/>
      <c r="BP13" s="69">
        <f>'Waste Input'!$B$8*'Waste Input'!G27/1000*(1-'Waste Collection'!J73)*'Waste Collection'!$F$77</f>
        <v>0</v>
      </c>
      <c r="BQ13" s="10"/>
      <c r="BR13" s="10"/>
      <c r="BS13" s="10"/>
      <c r="BT13" s="10"/>
      <c r="BU13" s="10"/>
      <c r="BV13" s="10"/>
      <c r="BW13" s="10"/>
      <c r="BX13" s="10"/>
      <c r="BY13" s="10"/>
      <c r="BZ13" s="10"/>
      <c r="CA13" s="10"/>
      <c r="CB13" s="10"/>
      <c r="CC13" s="11"/>
    </row>
    <row r="14" spans="1:81">
      <c r="A14" s="9" t="s">
        <v>360</v>
      </c>
      <c r="B14" s="10"/>
      <c r="C14" s="10"/>
      <c r="D14" s="10"/>
      <c r="E14" s="69">
        <f>'MRF &amp; RDF Sorting'!B67*'MRF &amp; RDF Sorting'!D75*(1-'MRF &amp; RDF Sorting'!F54)</f>
        <v>0</v>
      </c>
      <c r="F14" s="10"/>
      <c r="G14" s="41" t="s">
        <v>381</v>
      </c>
      <c r="H14" s="10"/>
      <c r="I14" s="10"/>
      <c r="J14" s="10"/>
      <c r="K14" s="10"/>
      <c r="L14" s="69">
        <f>'MRF &amp; RDF Sorting'!C8*'MRF &amp; RDF Sorting'!$B$36</f>
        <v>1781.25</v>
      </c>
      <c r="M14" s="10"/>
      <c r="N14" s="10" t="s">
        <v>417</v>
      </c>
      <c r="O14" s="10"/>
      <c r="P14" s="10"/>
      <c r="Q14" s="10"/>
      <c r="R14" s="10"/>
      <c r="S14" s="10"/>
      <c r="T14" s="69">
        <f>'MRF &amp; RDF Sorting'!D8*'MRF &amp; RDF Sorting'!$B$36</f>
        <v>712.5</v>
      </c>
      <c r="U14" s="10"/>
      <c r="V14" s="10" t="s">
        <v>420</v>
      </c>
      <c r="W14" s="10"/>
      <c r="X14" s="10"/>
      <c r="Y14" s="10"/>
      <c r="Z14" s="10"/>
      <c r="AA14" s="10"/>
      <c r="AB14" s="69">
        <f>'MRF &amp; RDF Sorting'!E8*'MRF &amp; RDF Sorting'!$B$36</f>
        <v>0</v>
      </c>
      <c r="AC14" s="10"/>
      <c r="AD14" s="10" t="s">
        <v>433</v>
      </c>
      <c r="AE14" s="10"/>
      <c r="AF14" s="10"/>
      <c r="AG14" s="10"/>
      <c r="AH14" s="10"/>
      <c r="AI14" s="10"/>
      <c r="AJ14" s="69">
        <f>'MRF &amp; RDF Sorting'!F8*'MRF &amp; RDF Sorting'!$B$36</f>
        <v>0</v>
      </c>
      <c r="AK14" s="10"/>
      <c r="AL14" s="10" t="s">
        <v>446</v>
      </c>
      <c r="AM14" s="10"/>
      <c r="AN14" s="10"/>
      <c r="AO14" s="10"/>
      <c r="AP14" s="10"/>
      <c r="AQ14" s="10"/>
      <c r="AR14" s="69">
        <f>'MRF &amp; RDF Sorting'!G8*'MRF &amp; RDF Sorting'!$B$36</f>
        <v>712.5</v>
      </c>
      <c r="AS14" s="10"/>
      <c r="AT14" s="10" t="s">
        <v>458</v>
      </c>
      <c r="AU14" s="10"/>
      <c r="AV14" s="10"/>
      <c r="AW14" s="10"/>
      <c r="AX14" s="10"/>
      <c r="AY14" s="10"/>
      <c r="AZ14" s="69">
        <f>'MRF &amp; RDF Sorting'!H8*'MRF &amp; RDF Sorting'!$B$36</f>
        <v>0</v>
      </c>
      <c r="BA14" s="10"/>
      <c r="BB14" s="10" t="s">
        <v>470</v>
      </c>
      <c r="BC14" s="10"/>
      <c r="BD14" s="10"/>
      <c r="BE14" s="10"/>
      <c r="BF14" s="10"/>
      <c r="BG14" s="10"/>
      <c r="BH14" s="69">
        <f>'MRF &amp; RDF Sorting'!I8*'MRF &amp; RDF Sorting'!$B$36</f>
        <v>593.75</v>
      </c>
      <c r="BI14" s="10"/>
      <c r="BJ14" s="10" t="s">
        <v>484</v>
      </c>
      <c r="BK14" s="10"/>
      <c r="BL14" s="10"/>
      <c r="BM14" s="10"/>
      <c r="BN14" s="10"/>
      <c r="BO14" s="10"/>
      <c r="BP14" s="69">
        <f>'MRF &amp; RDF Sorting'!J8*'MRF &amp; RDF Sorting'!$B$36</f>
        <v>593.75</v>
      </c>
      <c r="BQ14" s="10"/>
      <c r="BR14" s="10"/>
      <c r="BS14" s="10"/>
      <c r="BT14" s="10"/>
      <c r="BU14" s="10"/>
      <c r="BV14" s="10"/>
      <c r="BW14" s="10"/>
      <c r="BX14" s="10"/>
      <c r="BY14" s="10"/>
      <c r="BZ14" s="10"/>
      <c r="CA14" s="10"/>
      <c r="CB14" s="10"/>
      <c r="CC14" s="11"/>
    </row>
    <row r="15" spans="1:81">
      <c r="A15" s="9" t="s">
        <v>362</v>
      </c>
      <c r="B15" s="10"/>
      <c r="C15" s="10"/>
      <c r="D15" s="10"/>
      <c r="E15" s="69">
        <f>E34*(1-'MRF &amp; RDF Sorting'!D82)</f>
        <v>0</v>
      </c>
      <c r="F15" s="10"/>
      <c r="G15" s="41" t="s">
        <v>382</v>
      </c>
      <c r="H15" s="10"/>
      <c r="I15" s="10"/>
      <c r="J15" s="10"/>
      <c r="K15" s="10"/>
      <c r="L15" s="69">
        <f>'MRF &amp; RDF Sorting'!C67*'MRF &amp; RDF Sorting'!$D$75*(1-'MRF &amp; RDF Sorting'!$F$54)</f>
        <v>0</v>
      </c>
      <c r="M15" s="10"/>
      <c r="N15" s="10" t="s">
        <v>416</v>
      </c>
      <c r="O15" s="10"/>
      <c r="P15" s="10"/>
      <c r="Q15" s="10"/>
      <c r="R15" s="10"/>
      <c r="S15" s="10"/>
      <c r="T15" s="69">
        <f>'MRF &amp; RDF Sorting'!D67*'MRF &amp; RDF Sorting'!$D$75*(1-'MRF &amp; RDF Sorting'!$F$54)</f>
        <v>0</v>
      </c>
      <c r="U15" s="10"/>
      <c r="V15" s="10" t="s">
        <v>421</v>
      </c>
      <c r="W15" s="10"/>
      <c r="X15" s="10"/>
      <c r="Y15" s="10"/>
      <c r="Z15" s="10"/>
      <c r="AA15" s="10"/>
      <c r="AB15" s="69">
        <f>'MRF &amp; RDF Sorting'!E67*'MRF &amp; RDF Sorting'!$D$75*(1-'MRF &amp; RDF Sorting'!$F$54)</f>
        <v>0</v>
      </c>
      <c r="AC15" s="10"/>
      <c r="AD15" s="10" t="s">
        <v>434</v>
      </c>
      <c r="AE15" s="10"/>
      <c r="AF15" s="10"/>
      <c r="AG15" s="10"/>
      <c r="AH15" s="10"/>
      <c r="AI15" s="10"/>
      <c r="AJ15" s="74">
        <f>'MRF &amp; RDF Sorting'!F67*'MRF &amp; RDF Sorting'!$D$75*(1-'MRF &amp; RDF Sorting'!$F$54)</f>
        <v>0</v>
      </c>
      <c r="AK15" s="10"/>
      <c r="AL15" s="10" t="s">
        <v>447</v>
      </c>
      <c r="AM15" s="10"/>
      <c r="AN15" s="10"/>
      <c r="AO15" s="10"/>
      <c r="AP15" s="10"/>
      <c r="AQ15" s="10"/>
      <c r="AR15" s="74">
        <f>'MRF &amp; RDF Sorting'!G67*'MRF &amp; RDF Sorting'!$D$75*(1-'MRF &amp; RDF Sorting'!$F$54)</f>
        <v>0</v>
      </c>
      <c r="AS15" s="10"/>
      <c r="AT15" s="10" t="s">
        <v>459</v>
      </c>
      <c r="AU15" s="10"/>
      <c r="AV15" s="10"/>
      <c r="AW15" s="10"/>
      <c r="AX15" s="10"/>
      <c r="AY15" s="10"/>
      <c r="AZ15" s="74">
        <f>'MRF &amp; RDF Sorting'!H67*'MRF &amp; RDF Sorting'!$D$75*(1-'MRF &amp; RDF Sorting'!$F$54)</f>
        <v>0</v>
      </c>
      <c r="BA15" s="67"/>
      <c r="BB15" s="10" t="s">
        <v>471</v>
      </c>
      <c r="BC15" s="10"/>
      <c r="BD15" s="10"/>
      <c r="BE15" s="10"/>
      <c r="BF15" s="10"/>
      <c r="BG15" s="10"/>
      <c r="BH15" s="74">
        <f>'MRF &amp; RDF Sorting'!I67*'MRF &amp; RDF Sorting'!$D$75*(1-'MRF &amp; RDF Sorting'!$F$54)</f>
        <v>0</v>
      </c>
      <c r="BI15" s="10"/>
      <c r="BJ15" s="10" t="s">
        <v>485</v>
      </c>
      <c r="BK15" s="10"/>
      <c r="BL15" s="10"/>
      <c r="BM15" s="10"/>
      <c r="BN15" s="10"/>
      <c r="BO15" s="10"/>
      <c r="BP15" s="74">
        <f>'MRF &amp; RDF Sorting'!J67*'MRF &amp; RDF Sorting'!$D$75*(1-'MRF &amp; RDF Sorting'!$F$54)</f>
        <v>0</v>
      </c>
      <c r="BQ15" s="10"/>
      <c r="BR15" s="10"/>
      <c r="BS15" s="10"/>
      <c r="BT15" s="10"/>
      <c r="BU15" s="10"/>
      <c r="BV15" s="10"/>
      <c r="BW15" s="10"/>
      <c r="BX15" s="10"/>
      <c r="BY15" s="10"/>
      <c r="BZ15" s="10"/>
      <c r="CA15" s="10"/>
      <c r="CB15" s="10"/>
      <c r="CC15" s="11"/>
    </row>
    <row r="16" spans="1:81">
      <c r="A16" s="66" t="s">
        <v>363</v>
      </c>
      <c r="B16" s="10"/>
      <c r="C16" s="10"/>
      <c r="D16" s="10"/>
      <c r="E16" s="69">
        <f>(E29+E30)*'MRF &amp; RDF Sorting'!B62</f>
        <v>0</v>
      </c>
      <c r="F16" s="10"/>
      <c r="G16" s="41" t="s">
        <v>383</v>
      </c>
      <c r="H16" s="10"/>
      <c r="I16" s="10"/>
      <c r="J16" s="10"/>
      <c r="K16" s="10"/>
      <c r="L16" s="69">
        <f>K34*(1-'MRF &amp; RDF Sorting'!$D$82)</f>
        <v>0</v>
      </c>
      <c r="M16" s="10"/>
      <c r="N16" s="10" t="s">
        <v>415</v>
      </c>
      <c r="O16" s="10"/>
      <c r="P16" s="10"/>
      <c r="Q16" s="10"/>
      <c r="R16" s="10"/>
      <c r="S16" s="10"/>
      <c r="T16" s="69">
        <f>S39*(1-'MRF &amp; RDF Sorting'!$D$82)</f>
        <v>0</v>
      </c>
      <c r="U16" s="10"/>
      <c r="V16" s="10" t="s">
        <v>422</v>
      </c>
      <c r="W16" s="10"/>
      <c r="X16" s="10"/>
      <c r="Y16" s="10"/>
      <c r="Z16" s="10"/>
      <c r="AA16" s="10"/>
      <c r="AB16" s="69">
        <f>AA32*(1-'MRF &amp; RDF Sorting'!$D$82)</f>
        <v>0</v>
      </c>
      <c r="AC16" s="10"/>
      <c r="AD16" s="10" t="s">
        <v>435</v>
      </c>
      <c r="AE16" s="10"/>
      <c r="AF16" s="10"/>
      <c r="AG16" s="10"/>
      <c r="AH16" s="10"/>
      <c r="AI16" s="10"/>
      <c r="AJ16" s="69">
        <f>AI32*(1-'MRF &amp; RDF Sorting'!$D$82)</f>
        <v>0</v>
      </c>
      <c r="AK16" s="10"/>
      <c r="AL16" s="10" t="s">
        <v>448</v>
      </c>
      <c r="AM16" s="10"/>
      <c r="AN16" s="10"/>
      <c r="AO16" s="10"/>
      <c r="AP16" s="10"/>
      <c r="AQ16" s="10"/>
      <c r="AR16" s="69">
        <f>AQ32*(1-'MRF &amp; RDF Sorting'!$D$82)</f>
        <v>0</v>
      </c>
      <c r="AS16" s="10"/>
      <c r="AT16" s="10" t="s">
        <v>460</v>
      </c>
      <c r="AU16" s="10"/>
      <c r="AV16" s="10"/>
      <c r="AW16" s="10"/>
      <c r="AX16" s="10"/>
      <c r="AY16" s="10"/>
      <c r="AZ16" s="69">
        <f>AY32*(1-'MRF &amp; RDF Sorting'!$D$82)</f>
        <v>0</v>
      </c>
      <c r="BA16" s="10"/>
      <c r="BB16" s="10" t="s">
        <v>472</v>
      </c>
      <c r="BC16" s="10"/>
      <c r="BD16" s="10"/>
      <c r="BE16" s="10"/>
      <c r="BF16" s="10"/>
      <c r="BG16" s="10"/>
      <c r="BH16" s="69">
        <f>BG33*(1-'MRF &amp; RDF Sorting'!$D$82)</f>
        <v>0</v>
      </c>
      <c r="BI16" s="10"/>
      <c r="BJ16" s="10" t="s">
        <v>486</v>
      </c>
      <c r="BK16" s="10"/>
      <c r="BL16" s="10"/>
      <c r="BM16" s="10"/>
      <c r="BN16" s="10"/>
      <c r="BO16" s="10"/>
      <c r="BP16" s="69">
        <f>BO32*(1-'MRF &amp; RDF Sorting'!$D$82)</f>
        <v>0</v>
      </c>
      <c r="BQ16" s="10"/>
      <c r="BR16" s="10"/>
      <c r="BS16" s="10"/>
      <c r="BT16" s="10"/>
      <c r="BU16" s="10"/>
      <c r="BV16" s="10"/>
      <c r="BW16" s="10"/>
      <c r="BX16" s="10"/>
      <c r="BY16" s="10"/>
      <c r="BZ16" s="10"/>
      <c r="CA16" s="10"/>
      <c r="CB16" s="10"/>
      <c r="CC16" s="11"/>
    </row>
    <row r="17" spans="1:81">
      <c r="A17" s="66" t="s">
        <v>364</v>
      </c>
      <c r="B17" s="10"/>
      <c r="C17" s="10"/>
      <c r="D17" s="10"/>
      <c r="E17" s="69">
        <f>E36*(1-'MRF &amp; RDF Sorting'!F113)</f>
        <v>0</v>
      </c>
      <c r="F17" s="10"/>
      <c r="G17" s="41" t="s">
        <v>384</v>
      </c>
      <c r="H17" s="10"/>
      <c r="I17" s="10"/>
      <c r="J17" s="10"/>
      <c r="K17" s="10"/>
      <c r="L17" s="69">
        <f>(K29+K30)*'MRF &amp; RDF Sorting'!C62</f>
        <v>0</v>
      </c>
      <c r="M17" s="10"/>
      <c r="N17" s="10" t="s">
        <v>414</v>
      </c>
      <c r="O17" s="10"/>
      <c r="P17" s="10"/>
      <c r="Q17" s="10"/>
      <c r="R17" s="10"/>
      <c r="S17" s="10"/>
      <c r="T17" s="69">
        <f>(S34+S35)*'MRF &amp; RDF Sorting'!D62</f>
        <v>0</v>
      </c>
      <c r="U17" s="10"/>
      <c r="V17" s="10" t="s">
        <v>423</v>
      </c>
      <c r="W17" s="10"/>
      <c r="X17" s="10"/>
      <c r="Y17" s="10"/>
      <c r="Z17" s="10"/>
      <c r="AA17" s="10"/>
      <c r="AB17" s="69">
        <f>(AA27+AA28)*'MRF &amp; RDF Sorting'!E62</f>
        <v>0</v>
      </c>
      <c r="AC17" s="10"/>
      <c r="AD17" s="10" t="s">
        <v>436</v>
      </c>
      <c r="AE17" s="10"/>
      <c r="AF17" s="10"/>
      <c r="AG17" s="10"/>
      <c r="AH17" s="10"/>
      <c r="AI17" s="10"/>
      <c r="AJ17" s="69">
        <f>(AI27+AI28)*'MRF &amp; RDF Sorting'!F62</f>
        <v>0</v>
      </c>
      <c r="AK17" s="10"/>
      <c r="AL17" s="10" t="s">
        <v>449</v>
      </c>
      <c r="AM17" s="10"/>
      <c r="AN17" s="10"/>
      <c r="AO17" s="10"/>
      <c r="AP17" s="10"/>
      <c r="AQ17" s="10"/>
      <c r="AR17" s="69">
        <f>(AQ27+AQ28)*'MRF &amp; RDF Sorting'!G62</f>
        <v>0</v>
      </c>
      <c r="AS17" s="10"/>
      <c r="AT17" s="10" t="s">
        <v>461</v>
      </c>
      <c r="AU17" s="10"/>
      <c r="AV17" s="10"/>
      <c r="AW17" s="10"/>
      <c r="AX17" s="10"/>
      <c r="AY17" s="10"/>
      <c r="AZ17" s="69">
        <f>(AY27+AY28)*'MRF &amp; RDF Sorting'!H62</f>
        <v>0</v>
      </c>
      <c r="BA17" s="10"/>
      <c r="BB17" s="10" t="s">
        <v>473</v>
      </c>
      <c r="BC17" s="10"/>
      <c r="BD17" s="10"/>
      <c r="BE17" s="10"/>
      <c r="BF17" s="10"/>
      <c r="BG17" s="10"/>
      <c r="BH17" s="69">
        <f>(BG28+BG29)*'MRF &amp; RDF Sorting'!I62</f>
        <v>0</v>
      </c>
      <c r="BI17" s="10"/>
      <c r="BJ17" s="10" t="s">
        <v>487</v>
      </c>
      <c r="BK17" s="10"/>
      <c r="BL17" s="10"/>
      <c r="BM17" s="10"/>
      <c r="BN17" s="10"/>
      <c r="BO17" s="10"/>
      <c r="BP17" s="69">
        <f>(BO27+BO28)*'MRF &amp; RDF Sorting'!J62</f>
        <v>0</v>
      </c>
      <c r="BQ17" s="10"/>
      <c r="BR17" s="10"/>
      <c r="BS17" s="10"/>
      <c r="BT17" s="10"/>
      <c r="BU17" s="10"/>
      <c r="BV17" s="10"/>
      <c r="BW17" s="10"/>
      <c r="BX17" s="10"/>
      <c r="BY17" s="10"/>
      <c r="BZ17" s="10"/>
      <c r="CA17" s="10"/>
      <c r="CB17" s="10"/>
      <c r="CC17" s="11"/>
    </row>
    <row r="18" spans="1:81">
      <c r="A18" s="66" t="s">
        <v>365</v>
      </c>
      <c r="B18" s="10"/>
      <c r="C18" s="10"/>
      <c r="D18" s="10"/>
      <c r="E18" s="69">
        <f>-E37*(1-'MRF &amp; RDF Sorting'!D143)</f>
        <v>0</v>
      </c>
      <c r="F18" s="10"/>
      <c r="G18" s="41" t="s">
        <v>385</v>
      </c>
      <c r="H18" s="10"/>
      <c r="I18" s="10"/>
      <c r="J18" s="10"/>
      <c r="K18" s="10"/>
      <c r="L18" s="69">
        <f>K36*(1-'MRF &amp; RDF Sorting'!$F$113)</f>
        <v>0</v>
      </c>
      <c r="M18" s="10"/>
      <c r="N18" s="10" t="s">
        <v>413</v>
      </c>
      <c r="O18" s="10"/>
      <c r="P18" s="10"/>
      <c r="Q18" s="10"/>
      <c r="R18" s="10"/>
      <c r="S18" s="10"/>
      <c r="T18" s="69">
        <f>S41*(1-'MRF &amp; RDF Sorting'!$F$113)</f>
        <v>0</v>
      </c>
      <c r="U18" s="10"/>
      <c r="V18" s="10" t="s">
        <v>424</v>
      </c>
      <c r="W18" s="10"/>
      <c r="X18" s="10"/>
      <c r="Y18" s="10"/>
      <c r="Z18" s="10"/>
      <c r="AA18" s="10"/>
      <c r="AB18" s="69">
        <f>AA34*(1-'MRF &amp; RDF Sorting'!$F$113)</f>
        <v>0</v>
      </c>
      <c r="AC18" s="10"/>
      <c r="AD18" s="10" t="s">
        <v>437</v>
      </c>
      <c r="AE18" s="10"/>
      <c r="AF18" s="10"/>
      <c r="AG18" s="10"/>
      <c r="AH18" s="10"/>
      <c r="AI18" s="10"/>
      <c r="AJ18" s="69">
        <f>AI34*(1-'MRF &amp; RDF Sorting'!$F$113)</f>
        <v>0</v>
      </c>
      <c r="AK18" s="10"/>
      <c r="AL18" s="10" t="s">
        <v>450</v>
      </c>
      <c r="AM18" s="10"/>
      <c r="AN18" s="10"/>
      <c r="AO18" s="10"/>
      <c r="AP18" s="10"/>
      <c r="AQ18" s="10"/>
      <c r="AR18" s="69">
        <f>AQ34*(1-'MRF &amp; RDF Sorting'!$F$113)</f>
        <v>0</v>
      </c>
      <c r="AS18" s="10"/>
      <c r="AT18" s="10" t="s">
        <v>462</v>
      </c>
      <c r="AU18" s="10"/>
      <c r="AV18" s="10"/>
      <c r="AW18" s="10"/>
      <c r="AX18" s="10"/>
      <c r="AY18" s="10"/>
      <c r="AZ18" s="69">
        <f>AY34*(1-'MRF &amp; RDF Sorting'!$F$113)</f>
        <v>0</v>
      </c>
      <c r="BA18" s="10"/>
      <c r="BB18" s="10" t="s">
        <v>474</v>
      </c>
      <c r="BC18" s="10"/>
      <c r="BD18" s="10"/>
      <c r="BE18" s="10"/>
      <c r="BF18" s="10"/>
      <c r="BG18" s="10"/>
      <c r="BH18" s="69">
        <f>BG35*(1-'MRF &amp; RDF Sorting'!$F$113)</f>
        <v>0</v>
      </c>
      <c r="BI18" s="10"/>
      <c r="BJ18" s="10" t="s">
        <v>488</v>
      </c>
      <c r="BK18" s="10"/>
      <c r="BL18" s="10"/>
      <c r="BM18" s="10"/>
      <c r="BN18" s="10"/>
      <c r="BO18" s="10"/>
      <c r="BP18" s="69">
        <f>BO34*(1-'MRF &amp; RDF Sorting'!$F$113)</f>
        <v>0</v>
      </c>
      <c r="BQ18" s="10"/>
      <c r="BR18" s="10"/>
      <c r="BS18" s="10"/>
      <c r="BT18" s="10"/>
      <c r="BU18" s="10"/>
      <c r="BV18" s="10"/>
      <c r="BW18" s="10"/>
      <c r="BX18" s="10"/>
      <c r="BY18" s="10"/>
      <c r="BZ18" s="10"/>
      <c r="CA18" s="10"/>
      <c r="CB18" s="10"/>
      <c r="CC18" s="11"/>
    </row>
    <row r="19" spans="1:81">
      <c r="A19" s="66" t="s">
        <v>366</v>
      </c>
      <c r="B19" s="10"/>
      <c r="C19" s="10"/>
      <c r="D19" s="10"/>
      <c r="E19" s="69">
        <f>(E38+E39)*'MRF &amp; RDF Sorting'!B121</f>
        <v>0</v>
      </c>
      <c r="F19" s="10"/>
      <c r="G19" s="41" t="s">
        <v>386</v>
      </c>
      <c r="H19" s="10"/>
      <c r="I19" s="10"/>
      <c r="J19" s="10"/>
      <c r="K19" s="10"/>
      <c r="L19" s="69">
        <f>K39*(1-'MRF &amp; RDF Sorting'!$D$143)</f>
        <v>0</v>
      </c>
      <c r="M19" s="10"/>
      <c r="N19" s="10" t="s">
        <v>412</v>
      </c>
      <c r="O19" s="10"/>
      <c r="P19" s="10"/>
      <c r="Q19" s="10"/>
      <c r="R19" s="10"/>
      <c r="S19" s="10"/>
      <c r="T19" s="69">
        <f>S44*(1-'MRF &amp; RDF Sorting'!$D$143)</f>
        <v>0</v>
      </c>
      <c r="U19" s="10"/>
      <c r="V19" s="10" t="s">
        <v>425</v>
      </c>
      <c r="W19" s="10"/>
      <c r="X19" s="10"/>
      <c r="Y19" s="10"/>
      <c r="Z19" s="10"/>
      <c r="AA19" s="10"/>
      <c r="AB19" s="69">
        <f>AA37*(1-'MRF &amp; RDF Sorting'!$D$143)</f>
        <v>0</v>
      </c>
      <c r="AC19" s="10"/>
      <c r="AD19" s="10" t="s">
        <v>438</v>
      </c>
      <c r="AE19" s="10"/>
      <c r="AF19" s="10"/>
      <c r="AG19" s="10"/>
      <c r="AH19" s="10"/>
      <c r="AI19" s="10"/>
      <c r="AJ19" s="69">
        <f>AI37*(1-'MRF &amp; RDF Sorting'!$D$143)</f>
        <v>0</v>
      </c>
      <c r="AK19" s="10"/>
      <c r="AL19" s="10" t="s">
        <v>451</v>
      </c>
      <c r="AM19" s="10"/>
      <c r="AN19" s="10"/>
      <c r="AO19" s="10"/>
      <c r="AP19" s="10"/>
      <c r="AQ19" s="10"/>
      <c r="AR19" s="69">
        <f>AQ37*(1-'MRF &amp; RDF Sorting'!$D$143)</f>
        <v>0</v>
      </c>
      <c r="AS19" s="10"/>
      <c r="AT19" s="10" t="s">
        <v>463</v>
      </c>
      <c r="AU19" s="10"/>
      <c r="AV19" s="10"/>
      <c r="AW19" s="10"/>
      <c r="AX19" s="10"/>
      <c r="AY19" s="10"/>
      <c r="AZ19" s="69">
        <f>AY37*(1-'MRF &amp; RDF Sorting'!$D$143)</f>
        <v>0</v>
      </c>
      <c r="BA19" s="10"/>
      <c r="BB19" s="10" t="s">
        <v>475</v>
      </c>
      <c r="BC19" s="10"/>
      <c r="BD19" s="10"/>
      <c r="BE19" s="10"/>
      <c r="BF19" s="10"/>
      <c r="BG19" s="10"/>
      <c r="BH19" s="69">
        <f>BG38*(1-'MRF &amp; RDF Sorting'!$D$143)</f>
        <v>0</v>
      </c>
      <c r="BI19" s="10"/>
      <c r="BJ19" s="10" t="s">
        <v>489</v>
      </c>
      <c r="BK19" s="10"/>
      <c r="BL19" s="10"/>
      <c r="BM19" s="10"/>
      <c r="BN19" s="10"/>
      <c r="BO19" s="10"/>
      <c r="BP19" s="69">
        <f>BO37*(1-'MRF &amp; RDF Sorting'!$D$143)</f>
        <v>0</v>
      </c>
      <c r="BQ19" s="10"/>
      <c r="BR19" s="10"/>
      <c r="BS19" s="10"/>
      <c r="BT19" s="10"/>
      <c r="BU19" s="10"/>
      <c r="BV19" s="10"/>
      <c r="BW19" s="10"/>
      <c r="BX19" s="10"/>
      <c r="BY19" s="10"/>
      <c r="BZ19" s="10"/>
      <c r="CA19" s="10"/>
      <c r="CB19" s="10"/>
      <c r="CC19" s="11"/>
    </row>
    <row r="20" spans="1:81">
      <c r="A20" s="9" t="s">
        <v>367</v>
      </c>
      <c r="B20" s="10"/>
      <c r="C20" s="10"/>
      <c r="D20" s="10"/>
      <c r="E20" s="69">
        <f>'Biological Treatment'!C41*'Biological Treatment'!C43*'Biological Treatment'!E66</f>
        <v>106.875</v>
      </c>
      <c r="F20" s="10"/>
      <c r="G20" s="41" t="s">
        <v>387</v>
      </c>
      <c r="H20" s="10"/>
      <c r="I20" s="10"/>
      <c r="J20" s="10"/>
      <c r="K20" s="10"/>
      <c r="L20" s="69">
        <f>(K36+K37)*'MRF &amp; RDF Sorting'!C121</f>
        <v>0</v>
      </c>
      <c r="M20" s="10"/>
      <c r="N20" s="10" t="s">
        <v>411</v>
      </c>
      <c r="O20" s="10"/>
      <c r="P20" s="10"/>
      <c r="Q20" s="10"/>
      <c r="R20" s="10"/>
      <c r="S20" s="10"/>
      <c r="T20" s="69">
        <f>(S41+S42)*'MRF &amp; RDF Sorting'!D121</f>
        <v>0</v>
      </c>
      <c r="U20" s="10"/>
      <c r="V20" s="10" t="s">
        <v>426</v>
      </c>
      <c r="W20" s="10"/>
      <c r="X20" s="10"/>
      <c r="Y20" s="10"/>
      <c r="Z20" s="10"/>
      <c r="AA20" s="10"/>
      <c r="AB20" s="69">
        <f>(AA34+AA35)*'MRF &amp; RDF Sorting'!E121</f>
        <v>0</v>
      </c>
      <c r="AC20" s="10"/>
      <c r="AD20" s="10" t="s">
        <v>439</v>
      </c>
      <c r="AE20" s="10"/>
      <c r="AF20" s="10"/>
      <c r="AG20" s="10"/>
      <c r="AH20" s="10"/>
      <c r="AI20" s="10"/>
      <c r="AJ20" s="69">
        <f>(AI34+AI35)*'MRF &amp; RDF Sorting'!F121</f>
        <v>0</v>
      </c>
      <c r="AK20" s="10"/>
      <c r="AL20" s="10" t="s">
        <v>452</v>
      </c>
      <c r="AM20" s="10"/>
      <c r="AN20" s="10"/>
      <c r="AO20" s="10"/>
      <c r="AP20" s="10"/>
      <c r="AQ20" s="10"/>
      <c r="AR20" s="69">
        <f>(AQ34+AQ35)*'MRF &amp; RDF Sorting'!G121</f>
        <v>0</v>
      </c>
      <c r="AS20" s="10"/>
      <c r="AT20" s="10" t="s">
        <v>464</v>
      </c>
      <c r="AU20" s="10"/>
      <c r="AV20" s="10"/>
      <c r="AW20" s="10"/>
      <c r="AX20" s="10"/>
      <c r="AY20" s="10"/>
      <c r="AZ20" s="69">
        <f>(AY34+AY35)*'MRF &amp; RDF Sorting'!H121</f>
        <v>0</v>
      </c>
      <c r="BA20" s="10"/>
      <c r="BB20" s="10" t="s">
        <v>476</v>
      </c>
      <c r="BC20" s="10"/>
      <c r="BD20" s="10"/>
      <c r="BE20" s="10"/>
      <c r="BF20" s="10"/>
      <c r="BG20" s="10"/>
      <c r="BH20" s="69">
        <f>(BG35+BG36)*'MRF &amp; RDF Sorting'!I121</f>
        <v>0</v>
      </c>
      <c r="BI20" s="10"/>
      <c r="BJ20" s="10" t="s">
        <v>490</v>
      </c>
      <c r="BK20" s="10"/>
      <c r="BL20" s="10"/>
      <c r="BM20" s="10"/>
      <c r="BN20" s="10"/>
      <c r="BO20" s="10"/>
      <c r="BP20" s="69">
        <f>(BO34+BO35)*'MRF &amp; RDF Sorting'!J121</f>
        <v>0</v>
      </c>
      <c r="BQ20" s="10"/>
      <c r="BR20" s="10"/>
      <c r="BS20" s="10"/>
      <c r="BT20" s="10"/>
      <c r="BU20" s="10"/>
      <c r="BV20" s="10"/>
      <c r="BW20" s="10"/>
      <c r="BX20" s="10"/>
      <c r="BY20" s="10"/>
      <c r="BZ20" s="10"/>
      <c r="CA20" s="10"/>
      <c r="CB20" s="10"/>
      <c r="CC20" s="11"/>
    </row>
    <row r="21" spans="1:81">
      <c r="A21" s="9" t="s">
        <v>368</v>
      </c>
      <c r="B21" s="10"/>
      <c r="C21" s="10"/>
      <c r="D21" s="10"/>
      <c r="E21" s="69">
        <f>'Biological Treatment'!C94*'Biological Treatment'!C96*'Biological Treatment'!E120</f>
        <v>0</v>
      </c>
      <c r="F21" s="10"/>
      <c r="G21" s="10" t="s">
        <v>388</v>
      </c>
      <c r="H21" s="10"/>
      <c r="I21" s="10"/>
      <c r="J21" s="10"/>
      <c r="K21" s="10"/>
      <c r="L21" s="69">
        <f>'Biological Treatment'!D41*'Biological Treatment'!D43*'Biological Treatment'!$E$66</f>
        <v>0</v>
      </c>
      <c r="M21" s="10"/>
      <c r="N21" s="10" t="s">
        <v>410</v>
      </c>
      <c r="O21" s="10"/>
      <c r="P21" s="10"/>
      <c r="Q21" s="10"/>
      <c r="R21" s="10"/>
      <c r="S21" s="10"/>
      <c r="T21" s="69">
        <f>'Biological Treatment'!E41*'Biological Treatment'!E43*'Biological Treatment'!$E$66</f>
        <v>0</v>
      </c>
      <c r="U21" s="10"/>
      <c r="V21" s="10" t="s">
        <v>427</v>
      </c>
      <c r="W21" s="10"/>
      <c r="X21" s="10"/>
      <c r="Y21" s="10"/>
      <c r="Z21" s="10"/>
      <c r="AA21" s="10"/>
      <c r="AB21" s="69">
        <f>'Biological Treatment'!F41*'Biological Treatment'!F43*'Biological Treatment'!$E$66</f>
        <v>0</v>
      </c>
      <c r="AC21" s="10"/>
      <c r="AD21" s="10" t="s">
        <v>440</v>
      </c>
      <c r="AE21" s="10"/>
      <c r="AF21" s="10"/>
      <c r="AG21" s="10"/>
      <c r="AH21" s="10"/>
      <c r="AI21" s="10"/>
      <c r="AJ21" s="69">
        <f>'Biological Treatment'!G41*'Biological Treatment'!G43*'Biological Treatment'!$E$66</f>
        <v>750</v>
      </c>
      <c r="AK21" s="10"/>
      <c r="AL21" s="10" t="s">
        <v>453</v>
      </c>
      <c r="AM21" s="10"/>
      <c r="AN21" s="10"/>
      <c r="AO21" s="10"/>
      <c r="AP21" s="10"/>
      <c r="AQ21" s="10"/>
      <c r="AR21" s="69">
        <f>'Biological Treatment'!H41*'Biological Treatment'!H43*'Biological Treatment'!$E$66</f>
        <v>750</v>
      </c>
      <c r="AS21" s="10"/>
      <c r="AT21" s="10" t="s">
        <v>465</v>
      </c>
      <c r="AU21" s="10"/>
      <c r="AV21" s="10"/>
      <c r="AW21" s="10"/>
      <c r="AX21" s="10"/>
      <c r="AY21" s="10"/>
      <c r="AZ21" s="69">
        <f>'Biological Treatment'!I41*'Biological Treatment'!I43*'Biological Treatment'!$E$66</f>
        <v>0</v>
      </c>
      <c r="BA21" s="10"/>
      <c r="BB21" s="10" t="s">
        <v>477</v>
      </c>
      <c r="BC21" s="10"/>
      <c r="BD21" s="10"/>
      <c r="BE21" s="10"/>
      <c r="BF21" s="10"/>
      <c r="BG21" s="10"/>
      <c r="BH21" s="69">
        <f>'Biological Treatment'!J41*'Biological Treatment'!J43*'Biological Treatment'!$E$66</f>
        <v>605.625</v>
      </c>
      <c r="BI21" s="10"/>
      <c r="BJ21" s="10" t="s">
        <v>491</v>
      </c>
      <c r="BK21" s="10"/>
      <c r="BL21" s="10"/>
      <c r="BM21" s="10"/>
      <c r="BN21" s="10"/>
      <c r="BO21" s="10"/>
      <c r="BP21" s="69">
        <f>'Biological Treatment'!K41*'Biological Treatment'!K43*'Biological Treatment'!$E$66</f>
        <v>0</v>
      </c>
      <c r="BQ21" s="10"/>
      <c r="BR21" s="65" t="s">
        <v>264</v>
      </c>
      <c r="BS21" s="10"/>
      <c r="BT21" s="10"/>
      <c r="BU21" s="10"/>
      <c r="BV21" s="10"/>
      <c r="BW21" s="10"/>
      <c r="BX21" s="10"/>
      <c r="BY21" s="10"/>
      <c r="BZ21" s="10"/>
      <c r="CA21" s="10"/>
      <c r="CB21" s="10"/>
      <c r="CC21" s="11"/>
    </row>
    <row r="22" spans="1:81">
      <c r="A22" s="9" t="s">
        <v>369</v>
      </c>
      <c r="B22" s="10"/>
      <c r="C22" s="10"/>
      <c r="D22" s="10"/>
      <c r="E22" s="69">
        <f>'Biological Treatment'!B23*'Biological Treatment'!C30</f>
        <v>0</v>
      </c>
      <c r="F22" s="10"/>
      <c r="G22" s="10" t="s">
        <v>389</v>
      </c>
      <c r="H22" s="10"/>
      <c r="I22" s="10"/>
      <c r="J22" s="10"/>
      <c r="K22" s="10"/>
      <c r="L22" s="69">
        <f>'Biological Treatment'!D94*'Biological Treatment'!D96*'Biological Treatment'!$E$120</f>
        <v>0</v>
      </c>
      <c r="M22" s="10"/>
      <c r="N22" s="68" t="s">
        <v>409</v>
      </c>
      <c r="O22" s="10"/>
      <c r="P22" s="10"/>
      <c r="Q22" s="10"/>
      <c r="R22" s="10"/>
      <c r="S22" s="10"/>
      <c r="T22" s="49" t="s">
        <v>513</v>
      </c>
      <c r="U22" s="10"/>
      <c r="V22" s="10" t="s">
        <v>428</v>
      </c>
      <c r="W22" s="10"/>
      <c r="X22" s="10"/>
      <c r="Y22" s="10"/>
      <c r="Z22" s="10"/>
      <c r="AA22" s="10"/>
      <c r="AB22" s="69">
        <f>'Biological Treatment'!F94*'Biological Treatment'!F96*'Biological Treatment'!$E$120</f>
        <v>0</v>
      </c>
      <c r="AC22" s="10"/>
      <c r="AD22" s="10" t="s">
        <v>441</v>
      </c>
      <c r="AE22" s="10"/>
      <c r="AF22" s="10"/>
      <c r="AG22" s="10"/>
      <c r="AH22" s="10"/>
      <c r="AI22" s="10"/>
      <c r="AJ22" s="69">
        <f>'Biological Treatment'!G94*'Biological Treatment'!G96*'Biological Treatment'!$E$120</f>
        <v>0</v>
      </c>
      <c r="AK22" s="10"/>
      <c r="AL22" s="10" t="s">
        <v>454</v>
      </c>
      <c r="AM22" s="10"/>
      <c r="AN22" s="10"/>
      <c r="AO22" s="10"/>
      <c r="AP22" s="10"/>
      <c r="AQ22" s="10"/>
      <c r="AR22" s="69">
        <f>'Biological Treatment'!H94*'Biological Treatment'!H96*'Biological Treatment'!$E$120</f>
        <v>0</v>
      </c>
      <c r="AS22" s="10"/>
      <c r="AT22" s="10" t="s">
        <v>466</v>
      </c>
      <c r="AU22" s="10"/>
      <c r="AV22" s="10"/>
      <c r="AW22" s="10"/>
      <c r="AX22" s="10"/>
      <c r="AY22" s="10"/>
      <c r="AZ22" s="69">
        <f>'Biological Treatment'!I94*'Biological Treatment'!I96*'Biological Treatment'!$E$120</f>
        <v>0</v>
      </c>
      <c r="BA22" s="10"/>
      <c r="BB22" s="10" t="s">
        <v>478</v>
      </c>
      <c r="BC22" s="10"/>
      <c r="BD22" s="10"/>
      <c r="BE22" s="10"/>
      <c r="BF22" s="10"/>
      <c r="BG22" s="10"/>
      <c r="BH22" s="10" t="s">
        <v>513</v>
      </c>
      <c r="BI22" s="10"/>
      <c r="BJ22" s="10" t="s">
        <v>492</v>
      </c>
      <c r="BK22" s="10"/>
      <c r="BL22" s="10"/>
      <c r="BM22" s="10"/>
      <c r="BN22" s="10"/>
      <c r="BO22" s="10"/>
      <c r="BP22" s="69">
        <f>'Biological Treatment'!K94*'Biological Treatment'!K96*'Biological Treatment'!$E$120</f>
        <v>0</v>
      </c>
      <c r="BQ22" s="10"/>
      <c r="BR22" s="10" t="s">
        <v>496</v>
      </c>
      <c r="BS22" s="10"/>
      <c r="BT22" s="10"/>
      <c r="BU22" s="10"/>
      <c r="BV22" s="10"/>
      <c r="BW22" s="69">
        <f>'Biological Treatment'!C44*(1-'Biological Treatment'!$C$53)*(1-'Biological Treatment'!$C$55)*'Biological Treatment'!$E$67+'Biological Treatment'!J44*(1-'Biological Treatment'!$C$53)*(1-'Biological Treatment'!$C$55)*'Biological Treatment'!$E$67</f>
        <v>0</v>
      </c>
      <c r="BX22" s="10"/>
      <c r="BY22" s="10"/>
      <c r="BZ22" s="10"/>
      <c r="CA22" s="10"/>
      <c r="CB22" s="10"/>
      <c r="CC22" s="11"/>
    </row>
    <row r="23" spans="1:81">
      <c r="A23" s="9" t="s">
        <v>370</v>
      </c>
      <c r="B23" s="10"/>
      <c r="C23" s="10"/>
      <c r="D23" s="10"/>
      <c r="E23" s="69">
        <f>'Thermal Treatment'!D36*'Thermal Treatment'!D37</f>
        <v>0</v>
      </c>
      <c r="F23" s="10"/>
      <c r="G23" s="10" t="s">
        <v>390</v>
      </c>
      <c r="H23" s="10"/>
      <c r="I23" s="10"/>
      <c r="J23" s="10"/>
      <c r="K23" s="10"/>
      <c r="L23" s="69">
        <f>'Biological Treatment'!C23*'Biological Treatment'!$C$30</f>
        <v>0</v>
      </c>
      <c r="M23" s="10"/>
      <c r="N23" s="10" t="s">
        <v>408</v>
      </c>
      <c r="O23" s="10"/>
      <c r="P23" s="10"/>
      <c r="Q23" s="10"/>
      <c r="R23" s="10"/>
      <c r="S23" s="10"/>
      <c r="T23" s="69">
        <f>'Biological Treatment'!E94*'Biological Treatment'!E96*'Biological Treatment'!$E$120</f>
        <v>0</v>
      </c>
      <c r="U23" s="10"/>
      <c r="V23" s="10" t="s">
        <v>429</v>
      </c>
      <c r="W23" s="10"/>
      <c r="X23" s="10"/>
      <c r="Y23" s="10"/>
      <c r="Z23" s="10"/>
      <c r="AA23" s="10"/>
      <c r="AB23" s="69">
        <f>'Biological Treatment'!E23*'Biological Treatment'!$C$30</f>
        <v>0</v>
      </c>
      <c r="AC23" s="10"/>
      <c r="AD23" s="10" t="s">
        <v>442</v>
      </c>
      <c r="AE23" s="10"/>
      <c r="AF23" s="10"/>
      <c r="AG23" s="10"/>
      <c r="AH23" s="10"/>
      <c r="AI23" s="10"/>
      <c r="AJ23" s="69">
        <f>'Biological Treatment'!F23*'Biological Treatment'!$C$30</f>
        <v>0</v>
      </c>
      <c r="AK23" s="10"/>
      <c r="AL23" s="10" t="s">
        <v>455</v>
      </c>
      <c r="AM23" s="10"/>
      <c r="AN23" s="10"/>
      <c r="AO23" s="10"/>
      <c r="AP23" s="10"/>
      <c r="AQ23" s="10"/>
      <c r="AR23" s="69">
        <f>'Biological Treatment'!G23*'Biological Treatment'!$C$30</f>
        <v>0</v>
      </c>
      <c r="AS23" s="10"/>
      <c r="AT23" s="10" t="s">
        <v>467</v>
      </c>
      <c r="AU23" s="10"/>
      <c r="AV23" s="10"/>
      <c r="AW23" s="10"/>
      <c r="AX23" s="10"/>
      <c r="AY23" s="10"/>
      <c r="AZ23" s="69">
        <f>'Biological Treatment'!H23*'Biological Treatment'!$C$30</f>
        <v>0</v>
      </c>
      <c r="BA23" s="10"/>
      <c r="BB23" s="10" t="s">
        <v>479</v>
      </c>
      <c r="BC23" s="10"/>
      <c r="BD23" s="10"/>
      <c r="BE23" s="10"/>
      <c r="BF23" s="10"/>
      <c r="BG23" s="10"/>
      <c r="BH23" s="69">
        <f>'Biological Treatment'!J94*'Biological Treatment'!J96*'Biological Treatment'!$E$120</f>
        <v>0</v>
      </c>
      <c r="BI23" s="10"/>
      <c r="BJ23" s="10" t="s">
        <v>493</v>
      </c>
      <c r="BK23" s="10"/>
      <c r="BL23" s="10"/>
      <c r="BM23" s="10"/>
      <c r="BN23" s="10"/>
      <c r="BO23" s="10"/>
      <c r="BP23" s="69">
        <f>'Biological Treatment'!J23*'Biological Treatment'!$C$30</f>
        <v>0</v>
      </c>
      <c r="BQ23" s="10"/>
      <c r="BR23" s="10" t="s">
        <v>497</v>
      </c>
      <c r="BS23" s="10"/>
      <c r="BT23" s="10"/>
      <c r="BU23" s="10"/>
      <c r="BV23" s="10"/>
      <c r="BW23" s="69">
        <f>'Biological Treatment'!C97*(1-'Biological Treatment'!C106)*(1-'Biological Treatment'!C108)*'Biological Treatment'!E121+'Biological Treatment'!J97*(1-'Biological Treatment'!C106)*(1-'Biological Treatment'!C108)*'Biological Treatment'!E121</f>
        <v>0</v>
      </c>
      <c r="BX23" s="10"/>
      <c r="BY23" s="10"/>
      <c r="BZ23" s="10"/>
      <c r="CA23" s="10"/>
      <c r="CB23" s="10"/>
      <c r="CC23" s="11"/>
    </row>
    <row r="24" spans="1:81">
      <c r="A24" s="9" t="s">
        <v>371</v>
      </c>
      <c r="B24" s="10"/>
      <c r="C24" s="10"/>
      <c r="D24" s="10"/>
      <c r="E24" s="69">
        <f>'Thermal Treatment'!D106*'Thermal Treatment'!D107</f>
        <v>0</v>
      </c>
      <c r="F24" s="10"/>
      <c r="G24" s="10" t="s">
        <v>391</v>
      </c>
      <c r="H24" s="10"/>
      <c r="I24" s="10"/>
      <c r="J24" s="10"/>
      <c r="K24" s="10"/>
      <c r="L24" s="69">
        <f>'Thermal Treatment'!E36*'Thermal Treatment'!E37</f>
        <v>0</v>
      </c>
      <c r="M24" s="10"/>
      <c r="N24" s="68" t="s">
        <v>407</v>
      </c>
      <c r="O24" s="10"/>
      <c r="P24" s="10"/>
      <c r="Q24" s="10"/>
      <c r="R24" s="10"/>
      <c r="S24" s="10"/>
      <c r="T24" s="49" t="s">
        <v>513</v>
      </c>
      <c r="U24" s="10"/>
      <c r="V24" s="10" t="s">
        <v>430</v>
      </c>
      <c r="W24" s="10"/>
      <c r="X24" s="10"/>
      <c r="Y24" s="10"/>
      <c r="Z24" s="10"/>
      <c r="AA24" s="10"/>
      <c r="AB24" s="69">
        <f>'Thermal Treatment'!G36*'Thermal Treatment'!G37</f>
        <v>0</v>
      </c>
      <c r="AC24" s="10"/>
      <c r="AD24" s="10" t="s">
        <v>443</v>
      </c>
      <c r="AE24" s="10"/>
      <c r="AF24" s="10"/>
      <c r="AG24" s="10"/>
      <c r="AH24" s="10"/>
      <c r="AI24" s="10"/>
      <c r="AJ24" s="69">
        <f>'Thermal Treatment'!H36*'Thermal Treatment'!H37</f>
        <v>0</v>
      </c>
      <c r="AK24" s="10"/>
      <c r="AL24" s="10" t="s">
        <v>456</v>
      </c>
      <c r="AM24" s="10"/>
      <c r="AN24" s="10"/>
      <c r="AO24" s="10"/>
      <c r="AP24" s="10"/>
      <c r="AQ24" s="10"/>
      <c r="AR24" s="69">
        <f>'Thermal Treatment'!I36*'Thermal Treatment'!I37</f>
        <v>0</v>
      </c>
      <c r="AS24" s="10"/>
      <c r="AT24" s="10" t="s">
        <v>468</v>
      </c>
      <c r="AU24" s="10"/>
      <c r="AV24" s="10"/>
      <c r="AW24" s="10"/>
      <c r="AX24" s="10"/>
      <c r="AY24" s="10"/>
      <c r="AZ24" s="69">
        <f>'Thermal Treatment'!J36*'Thermal Treatment'!J37</f>
        <v>0</v>
      </c>
      <c r="BA24" s="10"/>
      <c r="BB24" s="10" t="s">
        <v>480</v>
      </c>
      <c r="BC24" s="10"/>
      <c r="BD24" s="10"/>
      <c r="BE24" s="10"/>
      <c r="BF24" s="10"/>
      <c r="BG24" s="10"/>
      <c r="BH24" s="69">
        <f>'Biological Treatment'!I23*'Biological Treatment'!$C$30</f>
        <v>0</v>
      </c>
      <c r="BI24" s="10"/>
      <c r="BJ24" s="10" t="s">
        <v>494</v>
      </c>
      <c r="BK24" s="10"/>
      <c r="BL24" s="10"/>
      <c r="BM24" s="10"/>
      <c r="BN24" s="10"/>
      <c r="BO24" s="10"/>
      <c r="BP24" s="69">
        <f>'Thermal Treatment'!L36*'Thermal Treatment'!L37</f>
        <v>0</v>
      </c>
      <c r="BQ24" s="10"/>
      <c r="BR24" s="10" t="s">
        <v>498</v>
      </c>
      <c r="BS24" s="10"/>
      <c r="BT24" s="10"/>
      <c r="BU24" s="10"/>
      <c r="BV24" s="10"/>
      <c r="BW24" s="69">
        <f>'Thermal Treatment'!M36*'Thermal Treatment'!M37</f>
        <v>0</v>
      </c>
      <c r="BX24" s="10"/>
      <c r="BY24" s="10"/>
      <c r="BZ24" s="10"/>
      <c r="CA24" s="10"/>
      <c r="CB24" s="10"/>
      <c r="CC24" s="11"/>
    </row>
    <row r="25" spans="1:81">
      <c r="A25" s="9"/>
      <c r="B25" s="10"/>
      <c r="C25" s="10"/>
      <c r="D25" s="10"/>
      <c r="E25" s="10"/>
      <c r="F25" s="10"/>
      <c r="G25" s="10" t="s">
        <v>392</v>
      </c>
      <c r="H25" s="10"/>
      <c r="I25" s="10"/>
      <c r="J25" s="10"/>
      <c r="K25" s="10"/>
      <c r="L25" s="69">
        <f>'Thermal Treatment'!E106*'Thermal Treatment'!E107</f>
        <v>0</v>
      </c>
      <c r="M25" s="10"/>
      <c r="N25" s="10" t="s">
        <v>406</v>
      </c>
      <c r="O25" s="10"/>
      <c r="P25" s="10"/>
      <c r="Q25" s="10"/>
      <c r="R25" s="10"/>
      <c r="S25" s="10"/>
      <c r="T25" s="69">
        <f>'Biological Treatment'!D23*'Biological Treatment'!$C$30</f>
        <v>0</v>
      </c>
      <c r="U25" s="10"/>
      <c r="V25" s="10" t="s">
        <v>431</v>
      </c>
      <c r="W25" s="10"/>
      <c r="X25" s="10"/>
      <c r="Y25" s="10"/>
      <c r="Z25" s="10"/>
      <c r="AA25" s="10"/>
      <c r="AB25" s="69">
        <f>'Thermal Treatment'!G106*'Thermal Treatment'!G107</f>
        <v>0</v>
      </c>
      <c r="AC25" s="10"/>
      <c r="AD25" s="10" t="s">
        <v>444</v>
      </c>
      <c r="AE25" s="10"/>
      <c r="AF25" s="10"/>
      <c r="AG25" s="10"/>
      <c r="AH25" s="10"/>
      <c r="AI25" s="10"/>
      <c r="AJ25" s="69">
        <f>'Thermal Treatment'!H106*'Thermal Treatment'!H107</f>
        <v>0</v>
      </c>
      <c r="AK25" s="10"/>
      <c r="AL25" s="10" t="s">
        <v>457</v>
      </c>
      <c r="AM25" s="10"/>
      <c r="AN25" s="10"/>
      <c r="AO25" s="10"/>
      <c r="AP25" s="10"/>
      <c r="AQ25" s="10"/>
      <c r="AR25" s="69">
        <f>'Thermal Treatment'!I106*'Thermal Treatment'!I107</f>
        <v>0</v>
      </c>
      <c r="AS25" s="10"/>
      <c r="AT25" s="10" t="s">
        <v>469</v>
      </c>
      <c r="AU25" s="10"/>
      <c r="AV25" s="10"/>
      <c r="AW25" s="10"/>
      <c r="AX25" s="10"/>
      <c r="AY25" s="10"/>
      <c r="AZ25" s="69">
        <f>'Thermal Treatment'!J106*'Thermal Treatment'!J107</f>
        <v>0</v>
      </c>
      <c r="BA25" s="10"/>
      <c r="BB25" s="10" t="s">
        <v>481</v>
      </c>
      <c r="BC25" s="10"/>
      <c r="BD25" s="10"/>
      <c r="BE25" s="10"/>
      <c r="BF25" s="10"/>
      <c r="BG25" s="10"/>
      <c r="BH25" s="69">
        <f>'Thermal Treatment'!K36*'Thermal Treatment'!K37</f>
        <v>0</v>
      </c>
      <c r="BI25" s="10"/>
      <c r="BJ25" s="10" t="s">
        <v>495</v>
      </c>
      <c r="BK25" s="10"/>
      <c r="BL25" s="10"/>
      <c r="BM25" s="10"/>
      <c r="BN25" s="10"/>
      <c r="BO25" s="10"/>
      <c r="BP25" s="69">
        <f>'Thermal Treatment'!L106*'Thermal Treatment'!L107</f>
        <v>0</v>
      </c>
      <c r="BQ25" s="10"/>
      <c r="BR25" s="10" t="s">
        <v>499</v>
      </c>
      <c r="BS25" s="10"/>
      <c r="BT25" s="10"/>
      <c r="BU25" s="10"/>
      <c r="BV25" s="10"/>
      <c r="BW25" s="69">
        <f>'Thermal Treatment'!M106*'Thermal Treatment'!M107</f>
        <v>0</v>
      </c>
      <c r="BX25" s="10"/>
      <c r="BY25" s="10"/>
      <c r="BZ25" s="10"/>
      <c r="CA25" s="10"/>
      <c r="CB25" s="10"/>
      <c r="CC25" s="11"/>
    </row>
    <row r="26" spans="1:81">
      <c r="A26" s="9"/>
      <c r="B26" s="10"/>
      <c r="C26" s="10"/>
      <c r="D26" s="10"/>
      <c r="E26" s="10"/>
      <c r="F26" s="10"/>
      <c r="G26" s="10"/>
      <c r="H26" s="10"/>
      <c r="I26" s="10"/>
      <c r="J26" s="10"/>
      <c r="K26" s="10"/>
      <c r="L26" s="10"/>
      <c r="M26" s="10"/>
      <c r="N26" s="10" t="s">
        <v>405</v>
      </c>
      <c r="O26" s="10"/>
      <c r="P26" s="10"/>
      <c r="Q26" s="10"/>
      <c r="R26" s="10"/>
      <c r="S26" s="10"/>
      <c r="T26" s="69">
        <f>'Thermal Treatment'!F36*'Thermal Treatment'!F37</f>
        <v>0</v>
      </c>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t="s">
        <v>482</v>
      </c>
      <c r="BC26" s="10"/>
      <c r="BD26" s="10"/>
      <c r="BE26" s="10"/>
      <c r="BF26" s="10"/>
      <c r="BG26" s="10"/>
      <c r="BH26" s="69">
        <f>'Thermal Treatment'!K106*'Thermal Treatment'!K107</f>
        <v>0</v>
      </c>
      <c r="BI26" s="10"/>
      <c r="BJ26" s="10"/>
      <c r="BK26" s="10"/>
      <c r="BL26" s="10"/>
      <c r="BM26" s="10"/>
      <c r="BN26" s="10"/>
      <c r="BO26" s="10"/>
      <c r="BP26" s="10"/>
      <c r="BQ26" s="10"/>
      <c r="BR26" s="10"/>
      <c r="BS26" s="10"/>
      <c r="BT26" s="10"/>
      <c r="BU26" s="10"/>
      <c r="BV26" s="10"/>
      <c r="BW26" s="10"/>
      <c r="BX26" s="10"/>
      <c r="BY26" s="10"/>
      <c r="BZ26" s="10"/>
      <c r="CA26" s="10"/>
      <c r="CB26" s="10"/>
      <c r="CC26" s="11"/>
    </row>
    <row r="27" spans="1:81">
      <c r="A27" s="9"/>
      <c r="B27" s="10"/>
      <c r="C27" s="10"/>
      <c r="D27" s="10"/>
      <c r="E27" s="10"/>
      <c r="F27" s="10"/>
      <c r="G27" s="10"/>
      <c r="H27" s="10"/>
      <c r="I27" s="10"/>
      <c r="J27" s="10"/>
      <c r="K27" s="10"/>
      <c r="L27" s="10"/>
      <c r="M27" s="10"/>
      <c r="N27" s="10" t="s">
        <v>404</v>
      </c>
      <c r="O27" s="10"/>
      <c r="P27" s="10"/>
      <c r="Q27" s="10"/>
      <c r="R27" s="10"/>
      <c r="S27" s="10"/>
      <c r="T27" s="10" t="s">
        <v>513</v>
      </c>
      <c r="U27" s="10"/>
      <c r="V27" s="10" t="s">
        <v>514</v>
      </c>
      <c r="W27" s="10"/>
      <c r="X27" s="10"/>
      <c r="Y27" s="10"/>
      <c r="Z27" s="10"/>
      <c r="AA27" s="69">
        <f>'MRF &amp; RDF Sorting'!E67*'MRF &amp; RDF Sorting'!$D$75</f>
        <v>0</v>
      </c>
      <c r="AB27" s="10"/>
      <c r="AC27" s="10"/>
      <c r="AD27" s="10" t="s">
        <v>525</v>
      </c>
      <c r="AE27" s="10"/>
      <c r="AF27" s="10"/>
      <c r="AG27" s="10"/>
      <c r="AH27" s="10"/>
      <c r="AI27" s="69">
        <f>'MRF &amp; RDF Sorting'!F67*'MRF &amp; RDF Sorting'!$D$75</f>
        <v>0</v>
      </c>
      <c r="AJ27" s="10"/>
      <c r="AK27" s="10"/>
      <c r="AL27" s="10" t="s">
        <v>533</v>
      </c>
      <c r="AM27" s="10"/>
      <c r="AN27" s="10"/>
      <c r="AO27" s="10"/>
      <c r="AP27" s="10"/>
      <c r="AQ27" s="69">
        <f>'MRF &amp; RDF Sorting'!G67*'MRF &amp; RDF Sorting'!$D$75</f>
        <v>0</v>
      </c>
      <c r="AR27" s="10"/>
      <c r="AS27" s="10"/>
      <c r="AT27" s="10" t="s">
        <v>882</v>
      </c>
      <c r="AU27" s="10"/>
      <c r="AV27" s="10"/>
      <c r="AW27" s="10"/>
      <c r="AX27" s="10"/>
      <c r="AY27" s="69">
        <f>'MRF &amp; RDF Sorting'!H67*'MRF &amp; RDF Sorting'!$D$75</f>
        <v>0</v>
      </c>
      <c r="AZ27" s="10"/>
      <c r="BA27" s="10"/>
      <c r="BB27" s="10"/>
      <c r="BC27" s="10"/>
      <c r="BD27" s="10"/>
      <c r="BE27" s="10"/>
      <c r="BF27" s="10"/>
      <c r="BG27" s="10"/>
      <c r="BH27" s="10"/>
      <c r="BI27" s="10"/>
      <c r="BJ27" s="10" t="s">
        <v>549</v>
      </c>
      <c r="BK27" s="10"/>
      <c r="BL27" s="10"/>
      <c r="BM27" s="10"/>
      <c r="BN27" s="10"/>
      <c r="BO27" s="69">
        <f>'MRF &amp; RDF Sorting'!J67*'MRF &amp; RDF Sorting'!$D$75</f>
        <v>0</v>
      </c>
      <c r="BP27" s="10"/>
      <c r="BQ27" s="10"/>
      <c r="BR27" s="10"/>
      <c r="BS27" s="10"/>
      <c r="BT27" s="10"/>
      <c r="BU27" s="10"/>
      <c r="BV27" s="10"/>
      <c r="BW27" s="10"/>
      <c r="BX27" s="10"/>
      <c r="BY27" s="10"/>
      <c r="BZ27" s="10"/>
      <c r="CA27" s="10"/>
      <c r="CB27" s="10"/>
      <c r="CC27" s="11"/>
    </row>
    <row r="28" spans="1:81">
      <c r="A28" s="9"/>
      <c r="B28" s="10"/>
      <c r="C28" s="10"/>
      <c r="D28" s="10"/>
      <c r="E28" s="10"/>
      <c r="F28" s="10"/>
      <c r="G28" s="10"/>
      <c r="H28" s="10"/>
      <c r="I28" s="10"/>
      <c r="J28" s="10"/>
      <c r="K28" s="10"/>
      <c r="L28" s="10"/>
      <c r="M28" s="10"/>
      <c r="N28" s="10" t="s">
        <v>403</v>
      </c>
      <c r="O28" s="10"/>
      <c r="P28" s="10"/>
      <c r="Q28" s="10"/>
      <c r="R28" s="10"/>
      <c r="S28" s="10"/>
      <c r="T28" s="69">
        <f>'Thermal Treatment'!F106*'Thermal Treatment'!F107</f>
        <v>0</v>
      </c>
      <c r="U28" s="10"/>
      <c r="V28" s="10" t="s">
        <v>515</v>
      </c>
      <c r="W28" s="10"/>
      <c r="X28" s="10"/>
      <c r="Y28" s="10"/>
      <c r="Z28" s="10"/>
      <c r="AA28" s="69">
        <f>-AA27*(1-'MRF &amp; RDF Sorting'!$F$54)</f>
        <v>0</v>
      </c>
      <c r="AB28" s="10"/>
      <c r="AC28" s="10"/>
      <c r="AD28" s="10" t="s">
        <v>526</v>
      </c>
      <c r="AE28" s="10"/>
      <c r="AF28" s="10"/>
      <c r="AG28" s="10"/>
      <c r="AH28" s="10"/>
      <c r="AI28" s="69">
        <f>-AI27*(1-'MRF &amp; RDF Sorting'!$F$54)</f>
        <v>0</v>
      </c>
      <c r="AJ28" s="10"/>
      <c r="AK28" s="10"/>
      <c r="AL28" s="10" t="s">
        <v>535</v>
      </c>
      <c r="AM28" s="10"/>
      <c r="AN28" s="10"/>
      <c r="AO28" s="10"/>
      <c r="AP28" s="10"/>
      <c r="AQ28" s="69">
        <f>-AQ27*(1-'MRF &amp; RDF Sorting'!$F$54)</f>
        <v>0</v>
      </c>
      <c r="AR28" s="10"/>
      <c r="AS28" s="10"/>
      <c r="AT28" s="10" t="s">
        <v>881</v>
      </c>
      <c r="AU28" s="10"/>
      <c r="AV28" s="10"/>
      <c r="AW28" s="10"/>
      <c r="AX28" s="10"/>
      <c r="AY28" s="69">
        <f>-AY27*(1-'MRF &amp; RDF Sorting'!$F$54)</f>
        <v>0</v>
      </c>
      <c r="AZ28" s="10"/>
      <c r="BA28" s="10"/>
      <c r="BB28" s="10" t="s">
        <v>541</v>
      </c>
      <c r="BC28" s="10"/>
      <c r="BD28" s="10"/>
      <c r="BE28" s="10"/>
      <c r="BF28" s="10"/>
      <c r="BG28" s="69">
        <f>'MRF &amp; RDF Sorting'!I67*'MRF &amp; RDF Sorting'!$D$75</f>
        <v>0</v>
      </c>
      <c r="BH28" s="10"/>
      <c r="BI28" s="10"/>
      <c r="BJ28" s="10" t="s">
        <v>550</v>
      </c>
      <c r="BK28" s="10"/>
      <c r="BL28" s="10"/>
      <c r="BM28" s="10"/>
      <c r="BN28" s="10"/>
      <c r="BO28" s="69">
        <f>-BO27*(1-'MRF &amp; RDF Sorting'!$F$54)</f>
        <v>0</v>
      </c>
      <c r="BP28" s="10"/>
      <c r="BQ28" s="10"/>
      <c r="BR28" s="65" t="s">
        <v>359</v>
      </c>
      <c r="BS28" s="10"/>
      <c r="BT28" s="10"/>
      <c r="BU28" s="10"/>
      <c r="BV28" s="10"/>
      <c r="BW28" s="10"/>
      <c r="BX28" s="10"/>
      <c r="BY28" s="10"/>
      <c r="BZ28" s="10"/>
      <c r="CA28" s="10"/>
      <c r="CB28" s="10"/>
      <c r="CC28" s="11"/>
    </row>
    <row r="29" spans="1:81">
      <c r="A29" s="9" t="s">
        <v>372</v>
      </c>
      <c r="B29" s="10"/>
      <c r="C29" s="10"/>
      <c r="D29" s="10"/>
      <c r="E29" s="69">
        <f>'MRF &amp; RDF Sorting'!B67*'MRF &amp; RDF Sorting'!$D$75</f>
        <v>0</v>
      </c>
      <c r="F29" s="10"/>
      <c r="G29" s="10" t="s">
        <v>393</v>
      </c>
      <c r="H29" s="10"/>
      <c r="I29" s="10"/>
      <c r="J29" s="10"/>
      <c r="K29" s="69">
        <f>'MRF &amp; RDF Sorting'!C67*'MRF &amp; RDF Sorting'!$D$75</f>
        <v>0</v>
      </c>
      <c r="L29" s="10"/>
      <c r="M29" s="10"/>
      <c r="N29" s="10" t="s">
        <v>402</v>
      </c>
      <c r="O29" s="10"/>
      <c r="P29" s="10"/>
      <c r="Q29" s="10"/>
      <c r="R29" s="10"/>
      <c r="S29" s="10"/>
      <c r="T29" s="10" t="s">
        <v>513</v>
      </c>
      <c r="U29" s="10"/>
      <c r="V29" s="10" t="s">
        <v>516</v>
      </c>
      <c r="W29" s="10"/>
      <c r="X29" s="10"/>
      <c r="Y29" s="10"/>
      <c r="Z29" s="10"/>
      <c r="AA29" s="71">
        <f>'MRF &amp; RDF Sorting'!E61</f>
        <v>0.17100000000000001</v>
      </c>
      <c r="AB29" s="10"/>
      <c r="AC29" s="10"/>
      <c r="AD29" s="10" t="s">
        <v>527</v>
      </c>
      <c r="AE29" s="10"/>
      <c r="AF29" s="10"/>
      <c r="AG29" s="10"/>
      <c r="AH29" s="10"/>
      <c r="AI29" s="71">
        <f>'MRF &amp; RDF Sorting'!F61</f>
        <v>4.4999999999999998E-2</v>
      </c>
      <c r="AJ29" s="10"/>
      <c r="AK29" s="10"/>
      <c r="AL29" s="10" t="s">
        <v>534</v>
      </c>
      <c r="AM29" s="10"/>
      <c r="AN29" s="10"/>
      <c r="AO29" s="10"/>
      <c r="AP29" s="10"/>
      <c r="AQ29" s="71">
        <f>'MRF &amp; RDF Sorting'!G61</f>
        <v>8.7999999999999995E-2</v>
      </c>
      <c r="AR29" s="10"/>
      <c r="AS29" s="10"/>
      <c r="AT29" s="10" t="s">
        <v>883</v>
      </c>
      <c r="AU29" s="10"/>
      <c r="AV29" s="10"/>
      <c r="AW29" s="10"/>
      <c r="AX29" s="10"/>
      <c r="AY29" s="71">
        <f>'MRF &amp; RDF Sorting'!H61</f>
        <v>4.1000000000000002E-2</v>
      </c>
      <c r="AZ29" s="10"/>
      <c r="BA29" s="10"/>
      <c r="BB29" s="10" t="s">
        <v>542</v>
      </c>
      <c r="BC29" s="10"/>
      <c r="BD29" s="10"/>
      <c r="BE29" s="10"/>
      <c r="BF29" s="10"/>
      <c r="BG29" s="69">
        <f>-BG28*(1-'MRF &amp; RDF Sorting'!$F$54)</f>
        <v>0</v>
      </c>
      <c r="BH29" s="10"/>
      <c r="BI29" s="10"/>
      <c r="BJ29" s="10" t="s">
        <v>551</v>
      </c>
      <c r="BK29" s="10"/>
      <c r="BL29" s="10"/>
      <c r="BM29" s="10"/>
      <c r="BN29" s="10"/>
      <c r="BO29" s="71">
        <f>'MRF &amp; RDF Sorting'!J61</f>
        <v>0.61499999999999999</v>
      </c>
      <c r="BP29" s="10"/>
      <c r="BQ29" s="10"/>
      <c r="BR29" s="10" t="s">
        <v>500</v>
      </c>
      <c r="BS29" s="10"/>
      <c r="BT29" s="10"/>
      <c r="BU29" s="10"/>
      <c r="BV29" s="10"/>
      <c r="BW29" s="69">
        <f>(1-'Thermal Treatment'!$E$81)*('Thermal Treatment'!D38*'Thermal Treatment'!C72+'Thermal Treatment'!E38*'Thermal Treatment'!D72)+'Thermal Treatment'!F38*'Thermal Treatment'!E72*(1-'Thermal Treatment'!$E$81)*(1-'Thermal Treatment'!E80)+(1-'Thermal Treatment'!$E$81)*('Thermal Treatment'!G38*'Thermal Treatment'!F72+'Thermal Treatment'!H38*'Thermal Treatment'!G72+'Thermal Treatment'!I38*'Thermal Treatment'!H72+'Thermal Treatment'!J38*'Thermal Treatment'!I72+'Thermal Treatment'!K38*'Thermal Treatment'!J72+'Thermal Treatment'!L38*'Thermal Treatment'!K72+'Thermal Treatment'!M38*'Thermal Treatment'!L72)</f>
        <v>21486.90625</v>
      </c>
      <c r="BX29" s="10"/>
      <c r="BY29" s="10"/>
      <c r="BZ29" s="10"/>
      <c r="CA29" s="10"/>
      <c r="CB29" s="10"/>
      <c r="CC29" s="11"/>
    </row>
    <row r="30" spans="1:81">
      <c r="A30" s="9" t="s">
        <v>373</v>
      </c>
      <c r="B30" s="10"/>
      <c r="C30" s="10"/>
      <c r="D30" s="10"/>
      <c r="E30" s="69">
        <f>-E29*(1-'MRF &amp; RDF Sorting'!$F$54)</f>
        <v>0</v>
      </c>
      <c r="F30" s="10"/>
      <c r="G30" s="10" t="s">
        <v>394</v>
      </c>
      <c r="H30" s="10"/>
      <c r="I30" s="10"/>
      <c r="J30" s="10"/>
      <c r="K30" s="69">
        <f>-K29*(1-'MRF &amp; RDF Sorting'!$F$54)</f>
        <v>0</v>
      </c>
      <c r="L30" s="10"/>
      <c r="M30" s="10"/>
      <c r="N30" s="10" t="s">
        <v>401</v>
      </c>
      <c r="O30" s="10"/>
      <c r="P30" s="10"/>
      <c r="Q30" s="10"/>
      <c r="R30" s="10"/>
      <c r="S30" s="10"/>
      <c r="T30" s="10" t="s">
        <v>513</v>
      </c>
      <c r="U30" s="10"/>
      <c r="V30" s="10" t="s">
        <v>375</v>
      </c>
      <c r="W30" s="10"/>
      <c r="X30" s="10"/>
      <c r="Y30" s="10"/>
      <c r="Z30" s="10"/>
      <c r="AA30" s="72">
        <f>'MRF &amp; RDF Sorting'!$D$82</f>
        <v>0</v>
      </c>
      <c r="AB30" s="10"/>
      <c r="AC30" s="10"/>
      <c r="AD30" s="10" t="s">
        <v>375</v>
      </c>
      <c r="AE30" s="10"/>
      <c r="AF30" s="10"/>
      <c r="AG30" s="10"/>
      <c r="AH30" s="10"/>
      <c r="AI30" s="72">
        <f>'MRF &amp; RDF Sorting'!$D$82</f>
        <v>0</v>
      </c>
      <c r="AJ30" s="10"/>
      <c r="AK30" s="10"/>
      <c r="AL30" s="10" t="s">
        <v>375</v>
      </c>
      <c r="AM30" s="10"/>
      <c r="AN30" s="10"/>
      <c r="AO30" s="10"/>
      <c r="AP30" s="10"/>
      <c r="AQ30" s="72">
        <f>'MRF &amp; RDF Sorting'!$D$82</f>
        <v>0</v>
      </c>
      <c r="AR30" s="10"/>
      <c r="AS30" s="10"/>
      <c r="AT30" s="10" t="s">
        <v>375</v>
      </c>
      <c r="AU30" s="10"/>
      <c r="AV30" s="10"/>
      <c r="AW30" s="10"/>
      <c r="AX30" s="10"/>
      <c r="AY30" s="72">
        <f>'MRF &amp; RDF Sorting'!$D$82</f>
        <v>0</v>
      </c>
      <c r="AZ30" s="10"/>
      <c r="BA30" s="10"/>
      <c r="BB30" s="10" t="s">
        <v>543</v>
      </c>
      <c r="BC30" s="10"/>
      <c r="BD30" s="10"/>
      <c r="BE30" s="10"/>
      <c r="BF30" s="10"/>
      <c r="BG30" s="71">
        <f>'MRF &amp; RDF Sorting'!I61</f>
        <v>0.56200000000000006</v>
      </c>
      <c r="BH30" s="10"/>
      <c r="BI30" s="10"/>
      <c r="BJ30" s="10" t="s">
        <v>375</v>
      </c>
      <c r="BK30" s="10"/>
      <c r="BL30" s="10"/>
      <c r="BM30" s="10"/>
      <c r="BN30" s="10"/>
      <c r="BO30" s="72">
        <f>'MRF &amp; RDF Sorting'!$D$82</f>
        <v>0</v>
      </c>
      <c r="BP30" s="10"/>
      <c r="BQ30" s="10"/>
      <c r="BR30" s="10" t="s">
        <v>501</v>
      </c>
      <c r="BS30" s="10"/>
      <c r="BT30" s="10"/>
      <c r="BU30" s="10"/>
      <c r="BV30" s="10"/>
      <c r="BW30" s="69">
        <f>(1-'Thermal Treatment'!$E$151)*('Thermal Treatment'!D108*'Thermal Treatment'!C142+'Thermal Treatment'!E108*'Thermal Treatment'!D142)+'Thermal Treatment'!F108*'Thermal Treatment'!E142*(1-'Thermal Treatment'!$E$151)*(1-'Thermal Treatment'!E150)+(1-'Thermal Treatment'!$E$151)*('Thermal Treatment'!G108*'Thermal Treatment'!F142+'Thermal Treatment'!H108*'Thermal Treatment'!G142+'Thermal Treatment'!I108*'Thermal Treatment'!H142+'Thermal Treatment'!J108*'Thermal Treatment'!I142+'Thermal Treatment'!K108*'Thermal Treatment'!J142+'Thermal Treatment'!L108*'Thermal Treatment'!K142+'Thermal Treatment'!M108*'Thermal Treatment'!L142)</f>
        <v>0</v>
      </c>
      <c r="BX30" s="10"/>
      <c r="BY30" s="10"/>
      <c r="BZ30" s="10"/>
      <c r="CA30" s="10"/>
      <c r="CB30" s="10"/>
      <c r="CC30" s="11"/>
    </row>
    <row r="31" spans="1:81">
      <c r="A31" s="9" t="s">
        <v>374</v>
      </c>
      <c r="B31" s="10"/>
      <c r="C31" s="10"/>
      <c r="D31" s="10"/>
      <c r="E31" s="71">
        <f>'MRF &amp; RDF Sorting'!B61</f>
        <v>8.7999999999999995E-2</v>
      </c>
      <c r="F31" s="10"/>
      <c r="G31" s="10" t="s">
        <v>395</v>
      </c>
      <c r="H31" s="10"/>
      <c r="I31" s="10"/>
      <c r="J31" s="10"/>
      <c r="K31" s="71">
        <f>'MRF &amp; RDF Sorting'!C61</f>
        <v>0.70499999999999996</v>
      </c>
      <c r="L31" s="10"/>
      <c r="M31" s="10"/>
      <c r="N31" s="10" t="s">
        <v>400</v>
      </c>
      <c r="O31" s="10"/>
      <c r="P31" s="10"/>
      <c r="Q31" s="10"/>
      <c r="R31" s="10"/>
      <c r="S31" s="10"/>
      <c r="T31" s="10" t="s">
        <v>513</v>
      </c>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t="s">
        <v>375</v>
      </c>
      <c r="BC31" s="10"/>
      <c r="BD31" s="10"/>
      <c r="BE31" s="10"/>
      <c r="BF31" s="10"/>
      <c r="BG31" s="72">
        <f>'MRF &amp; RDF Sorting'!$D$82</f>
        <v>0</v>
      </c>
      <c r="BH31" s="10"/>
      <c r="BI31" s="10"/>
      <c r="BJ31" s="10"/>
      <c r="BK31" s="10"/>
      <c r="BL31" s="10"/>
      <c r="BM31" s="10"/>
      <c r="BN31" s="10"/>
      <c r="BO31" s="10"/>
      <c r="BP31" s="10"/>
      <c r="BQ31" s="10"/>
      <c r="BR31" s="10" t="s">
        <v>502</v>
      </c>
      <c r="BS31" s="10"/>
      <c r="BT31" s="10"/>
      <c r="BU31" s="10"/>
      <c r="BV31" s="10"/>
      <c r="BW31" s="69">
        <f>CB31*'Thermal Treatment'!C197</f>
        <v>0</v>
      </c>
      <c r="BX31" s="10"/>
      <c r="BY31" s="10" t="s">
        <v>808</v>
      </c>
      <c r="BZ31" s="10"/>
      <c r="CA31" s="10"/>
      <c r="CB31" s="69">
        <f>-(E41+K42+S47+AA40+AI40+AQ40+AY40+BG41+BO40)</f>
        <v>0</v>
      </c>
      <c r="CC31" s="11"/>
    </row>
    <row r="32" spans="1:81">
      <c r="A32" s="9" t="s">
        <v>375</v>
      </c>
      <c r="B32" s="10"/>
      <c r="C32" s="10"/>
      <c r="D32" s="10"/>
      <c r="E32" s="72">
        <f>'MRF &amp; RDF Sorting'!D82</f>
        <v>0</v>
      </c>
      <c r="F32" s="10"/>
      <c r="G32" s="10" t="s">
        <v>375</v>
      </c>
      <c r="H32" s="10"/>
      <c r="I32" s="10"/>
      <c r="J32" s="10"/>
      <c r="K32" s="72">
        <f>'MRF &amp; RDF Sorting'!$D$82</f>
        <v>0</v>
      </c>
      <c r="L32" s="10"/>
      <c r="M32" s="10"/>
      <c r="N32" s="10" t="s">
        <v>399</v>
      </c>
      <c r="O32" s="10"/>
      <c r="P32" s="10"/>
      <c r="Q32" s="10"/>
      <c r="R32" s="10"/>
      <c r="S32" s="10"/>
      <c r="T32" s="10" t="s">
        <v>513</v>
      </c>
      <c r="U32" s="10"/>
      <c r="V32" s="10" t="s">
        <v>518</v>
      </c>
      <c r="W32" s="10"/>
      <c r="X32" s="10"/>
      <c r="Y32" s="10"/>
      <c r="Z32" s="10"/>
      <c r="AA32" s="69">
        <f>(AA27+AA28)*AA29*(1-AA30)</f>
        <v>0</v>
      </c>
      <c r="AB32" s="10"/>
      <c r="AC32" s="10"/>
      <c r="AD32" s="10" t="s">
        <v>528</v>
      </c>
      <c r="AE32" s="10"/>
      <c r="AF32" s="10"/>
      <c r="AG32" s="10"/>
      <c r="AH32" s="10"/>
      <c r="AI32" s="69">
        <f>(AI27+AI28)*AI29*(1-AI30)</f>
        <v>0</v>
      </c>
      <c r="AJ32" s="10"/>
      <c r="AK32" s="10"/>
      <c r="AL32" s="10" t="s">
        <v>536</v>
      </c>
      <c r="AM32" s="10"/>
      <c r="AN32" s="10"/>
      <c r="AO32" s="10"/>
      <c r="AP32" s="10"/>
      <c r="AQ32" s="69">
        <f>(AQ27+AQ28)*AQ29*(1-AQ30)</f>
        <v>0</v>
      </c>
      <c r="AR32" s="10"/>
      <c r="AS32" s="10"/>
      <c r="AT32" s="10" t="s">
        <v>884</v>
      </c>
      <c r="AU32" s="10"/>
      <c r="AV32" s="10"/>
      <c r="AW32" s="10"/>
      <c r="AX32" s="10"/>
      <c r="AY32" s="69">
        <f>(AY27+AY28)*AY29*(1-AY30)</f>
        <v>0</v>
      </c>
      <c r="AZ32" s="10"/>
      <c r="BA32" s="10"/>
      <c r="BB32" s="10"/>
      <c r="BC32" s="10"/>
      <c r="BD32" s="10"/>
      <c r="BE32" s="10"/>
      <c r="BF32" s="10"/>
      <c r="BG32" s="10"/>
      <c r="BH32" s="10"/>
      <c r="BI32" s="10"/>
      <c r="BJ32" s="10" t="s">
        <v>552</v>
      </c>
      <c r="BK32" s="10"/>
      <c r="BL32" s="10"/>
      <c r="BM32" s="10"/>
      <c r="BN32" s="10"/>
      <c r="BO32" s="69">
        <f>(BO27+BO28)*BO29*(1-BO30)</f>
        <v>0</v>
      </c>
      <c r="BP32" s="10"/>
      <c r="BQ32" s="10"/>
      <c r="BR32" s="10" t="s">
        <v>503</v>
      </c>
      <c r="BS32" s="10"/>
      <c r="BT32" s="10"/>
      <c r="BU32" s="10"/>
      <c r="BV32" s="10"/>
      <c r="BW32" s="69">
        <f>CB32*'Thermal Treatment'!D197</f>
        <v>0</v>
      </c>
      <c r="BX32" s="10"/>
      <c r="BY32" s="10" t="s">
        <v>809</v>
      </c>
      <c r="BZ32" s="10"/>
      <c r="CA32" s="10"/>
      <c r="CB32" s="69">
        <f>-(E42+K43+S48+AA41+AI41+AQ41+AY41+BG42+BO41)</f>
        <v>0</v>
      </c>
      <c r="CC32" s="11"/>
    </row>
    <row r="33" spans="1:81">
      <c r="A33" s="9"/>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t="s">
        <v>544</v>
      </c>
      <c r="BC33" s="10"/>
      <c r="BD33" s="10"/>
      <c r="BE33" s="10"/>
      <c r="BF33" s="10"/>
      <c r="BG33" s="69">
        <f>(BG28+BG29)*BG30*(1-BG31)</f>
        <v>0</v>
      </c>
      <c r="BH33" s="10"/>
      <c r="BI33" s="10"/>
      <c r="BJ33" s="10"/>
      <c r="BK33" s="10"/>
      <c r="BL33" s="10"/>
      <c r="BM33" s="10"/>
      <c r="BN33" s="10"/>
      <c r="BO33" s="10"/>
      <c r="BP33" s="10"/>
      <c r="BQ33" s="10"/>
      <c r="BR33" s="10" t="s">
        <v>504</v>
      </c>
      <c r="BS33" s="10"/>
      <c r="BT33" s="10"/>
      <c r="BU33" s="10"/>
      <c r="BV33" s="10"/>
      <c r="BW33" s="69">
        <f>BW37*'Thermal Treatment'!$C$244+Landfilling!BW38*'Thermal Treatment'!$D$244+'Thermal Treatment'!BW39*'Thermal Treatment'!$D$244</f>
        <v>0</v>
      </c>
      <c r="BX33" s="10"/>
      <c r="BY33" s="10"/>
      <c r="BZ33" s="10"/>
      <c r="CA33" s="10"/>
      <c r="CB33" s="10"/>
      <c r="CC33" s="11"/>
    </row>
    <row r="34" spans="1:81">
      <c r="A34" s="9" t="s">
        <v>376</v>
      </c>
      <c r="B34" s="10"/>
      <c r="C34" s="10"/>
      <c r="D34" s="10"/>
      <c r="E34" s="69">
        <f>(E29+E30)*E31*(1-E32)</f>
        <v>0</v>
      </c>
      <c r="F34" s="10"/>
      <c r="G34" s="10" t="s">
        <v>396</v>
      </c>
      <c r="H34" s="10"/>
      <c r="I34" s="10"/>
      <c r="J34" s="10"/>
      <c r="K34" s="69">
        <f>(K29+K30)*K31*(1-K32)</f>
        <v>0</v>
      </c>
      <c r="L34" s="10"/>
      <c r="M34" s="10"/>
      <c r="N34" s="10" t="s">
        <v>505</v>
      </c>
      <c r="O34" s="10"/>
      <c r="P34" s="10"/>
      <c r="Q34" s="10"/>
      <c r="R34" s="10"/>
      <c r="S34" s="69">
        <f>'MRF &amp; RDF Sorting'!D67*'MRF &amp; RDF Sorting'!$D$75</f>
        <v>0</v>
      </c>
      <c r="T34" s="10"/>
      <c r="U34" s="10"/>
      <c r="V34" s="10" t="s">
        <v>520</v>
      </c>
      <c r="W34" s="10"/>
      <c r="X34" s="10"/>
      <c r="Y34" s="10"/>
      <c r="Z34" s="10"/>
      <c r="AA34" s="69">
        <f>'MRF &amp; RDF Sorting'!E128*'MRF &amp; RDF Sorting'!$D$136</f>
        <v>0</v>
      </c>
      <c r="AB34" s="10"/>
      <c r="AC34" s="10"/>
      <c r="AD34" s="10" t="s">
        <v>529</v>
      </c>
      <c r="AE34" s="10"/>
      <c r="AF34" s="10"/>
      <c r="AG34" s="10"/>
      <c r="AH34" s="10"/>
      <c r="AI34" s="69">
        <f>'MRF &amp; RDF Sorting'!F128*'MRF &amp; RDF Sorting'!$D$136</f>
        <v>0</v>
      </c>
      <c r="AJ34" s="10"/>
      <c r="AK34" s="10"/>
      <c r="AL34" s="10" t="s">
        <v>537</v>
      </c>
      <c r="AM34" s="10"/>
      <c r="AN34" s="10"/>
      <c r="AO34" s="10"/>
      <c r="AP34" s="10"/>
      <c r="AQ34" s="69">
        <f>'MRF &amp; RDF Sorting'!G128*'MRF &amp; RDF Sorting'!$D$136</f>
        <v>0</v>
      </c>
      <c r="AR34" s="10"/>
      <c r="AS34" s="10"/>
      <c r="AT34" s="10" t="s">
        <v>885</v>
      </c>
      <c r="AU34" s="10"/>
      <c r="AV34" s="10"/>
      <c r="AW34" s="10"/>
      <c r="AX34" s="10"/>
      <c r="AY34" s="69">
        <f>'MRF &amp; RDF Sorting'!H128*'MRF &amp; RDF Sorting'!$D$136</f>
        <v>0</v>
      </c>
      <c r="AZ34" s="10"/>
      <c r="BA34" s="10"/>
      <c r="BB34" s="10"/>
      <c r="BC34" s="10"/>
      <c r="BD34" s="10"/>
      <c r="BE34" s="10"/>
      <c r="BF34" s="10"/>
      <c r="BG34" s="10"/>
      <c r="BH34" s="10"/>
      <c r="BI34" s="10"/>
      <c r="BJ34" s="10" t="s">
        <v>553</v>
      </c>
      <c r="BK34" s="10"/>
      <c r="BL34" s="10"/>
      <c r="BM34" s="10"/>
      <c r="BN34" s="10"/>
      <c r="BO34" s="69">
        <f>'MRF &amp; RDF Sorting'!J128*'MRF &amp; RDF Sorting'!$D$136</f>
        <v>0</v>
      </c>
      <c r="BP34" s="10"/>
      <c r="BQ34" s="10"/>
      <c r="BR34" s="10"/>
      <c r="BS34" s="10"/>
      <c r="BT34" s="10"/>
      <c r="BU34" s="10"/>
      <c r="BV34" s="10"/>
      <c r="BW34" s="10"/>
      <c r="BX34" s="10"/>
      <c r="BY34" s="10"/>
      <c r="BZ34" s="10"/>
      <c r="CA34" s="10"/>
      <c r="CB34" s="10"/>
      <c r="CC34" s="11"/>
    </row>
    <row r="35" spans="1:81">
      <c r="A35" s="9"/>
      <c r="B35" s="10"/>
      <c r="C35" s="10"/>
      <c r="D35" s="10"/>
      <c r="E35" s="10"/>
      <c r="F35" s="10"/>
      <c r="G35" s="10"/>
      <c r="H35" s="10"/>
      <c r="I35" s="10"/>
      <c r="J35" s="10"/>
      <c r="K35" s="10"/>
      <c r="L35" s="10"/>
      <c r="M35" s="10"/>
      <c r="N35" s="10" t="s">
        <v>506</v>
      </c>
      <c r="O35" s="10"/>
      <c r="P35" s="10"/>
      <c r="Q35" s="10"/>
      <c r="R35" s="10"/>
      <c r="S35" s="69">
        <f>-S34*(1-'MRF &amp; RDF Sorting'!$F$54)</f>
        <v>0</v>
      </c>
      <c r="T35" s="10"/>
      <c r="U35" s="10"/>
      <c r="V35" s="10" t="s">
        <v>519</v>
      </c>
      <c r="W35" s="10"/>
      <c r="X35" s="10"/>
      <c r="Y35" s="10"/>
      <c r="Z35" s="10"/>
      <c r="AA35" s="69">
        <f>-AA34*(1-'MRF &amp; RDF Sorting'!$F$113)</f>
        <v>0</v>
      </c>
      <c r="AB35" s="10"/>
      <c r="AC35" s="10"/>
      <c r="AD35" s="10" t="s">
        <v>530</v>
      </c>
      <c r="AE35" s="10"/>
      <c r="AF35" s="10"/>
      <c r="AG35" s="10"/>
      <c r="AH35" s="10"/>
      <c r="AI35" s="69">
        <f>-AI34*(1-'MRF &amp; RDF Sorting'!$F$113)</f>
        <v>0</v>
      </c>
      <c r="AJ35" s="10"/>
      <c r="AK35" s="10"/>
      <c r="AL35" s="10" t="s">
        <v>538</v>
      </c>
      <c r="AM35" s="10"/>
      <c r="AN35" s="10"/>
      <c r="AO35" s="10"/>
      <c r="AP35" s="10"/>
      <c r="AQ35" s="69">
        <f>-AQ34*(1-'MRF &amp; RDF Sorting'!$F$113)</f>
        <v>0</v>
      </c>
      <c r="AR35" s="10"/>
      <c r="AS35" s="10"/>
      <c r="AT35" s="10" t="s">
        <v>886</v>
      </c>
      <c r="AU35" s="10"/>
      <c r="AV35" s="10"/>
      <c r="AW35" s="10"/>
      <c r="AX35" s="10"/>
      <c r="AY35" s="69">
        <f>-AY34*(1-'MRF &amp; RDF Sorting'!$F$113)</f>
        <v>0</v>
      </c>
      <c r="AZ35" s="10"/>
      <c r="BA35" s="10"/>
      <c r="BB35" s="10" t="s">
        <v>545</v>
      </c>
      <c r="BC35" s="10"/>
      <c r="BD35" s="10"/>
      <c r="BE35" s="10"/>
      <c r="BF35" s="10"/>
      <c r="BG35" s="69">
        <f>'MRF &amp; RDF Sorting'!I128*'MRF &amp; RDF Sorting'!$D$136</f>
        <v>0</v>
      </c>
      <c r="BH35" s="10"/>
      <c r="BI35" s="10"/>
      <c r="BJ35" s="10" t="s">
        <v>554</v>
      </c>
      <c r="BK35" s="10"/>
      <c r="BL35" s="10"/>
      <c r="BM35" s="10"/>
      <c r="BN35" s="10"/>
      <c r="BO35" s="69">
        <f>-BO34*(1-'MRF &amp; RDF Sorting'!$F$113)</f>
        <v>0</v>
      </c>
      <c r="BP35" s="10"/>
      <c r="BQ35" s="10"/>
      <c r="BR35" s="10"/>
      <c r="BS35" s="10" t="s">
        <v>578</v>
      </c>
      <c r="BT35" s="10"/>
      <c r="BU35" s="10"/>
      <c r="BV35" s="10"/>
      <c r="BW35" s="10"/>
      <c r="BX35" s="10"/>
      <c r="BY35" s="10"/>
      <c r="BZ35" s="10"/>
      <c r="CA35" s="10"/>
      <c r="CB35" s="10"/>
      <c r="CC35" s="11"/>
    </row>
    <row r="36" spans="1:81">
      <c r="A36" s="9" t="s">
        <v>377</v>
      </c>
      <c r="B36" s="10"/>
      <c r="C36" s="10"/>
      <c r="D36" s="10"/>
      <c r="E36" s="69">
        <f>'MRF &amp; RDF Sorting'!B128*'MRF &amp; RDF Sorting'!$D$136</f>
        <v>0</v>
      </c>
      <c r="F36" s="10"/>
      <c r="G36" s="10" t="s">
        <v>397</v>
      </c>
      <c r="H36" s="10"/>
      <c r="I36" s="10"/>
      <c r="J36" s="10"/>
      <c r="K36" s="69">
        <f>'MRF &amp; RDF Sorting'!C128*'MRF &amp; RDF Sorting'!$D$136</f>
        <v>0</v>
      </c>
      <c r="L36" s="10"/>
      <c r="M36" s="10"/>
      <c r="N36" s="10" t="s">
        <v>507</v>
      </c>
      <c r="O36" s="10"/>
      <c r="P36" s="10"/>
      <c r="Q36" s="10"/>
      <c r="R36" s="10"/>
      <c r="S36" s="73">
        <f>'MRF &amp; RDF Sorting'!D61</f>
        <v>0.04</v>
      </c>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t="s">
        <v>546</v>
      </c>
      <c r="BC36" s="10"/>
      <c r="BD36" s="10"/>
      <c r="BE36" s="10"/>
      <c r="BF36" s="10"/>
      <c r="BG36" s="69">
        <f>-BG35*(1-'MRF &amp; RDF Sorting'!$F$113)</f>
        <v>0</v>
      </c>
      <c r="BH36" s="10"/>
      <c r="BI36" s="10"/>
      <c r="BJ36" s="10"/>
      <c r="BK36" s="10"/>
      <c r="BL36" s="10"/>
      <c r="BM36" s="10"/>
      <c r="BN36" s="10"/>
      <c r="BO36" s="10"/>
      <c r="BP36" s="10"/>
      <c r="BQ36" s="10"/>
      <c r="BR36" s="10"/>
      <c r="BS36" s="10" t="s">
        <v>577</v>
      </c>
      <c r="BT36" s="10"/>
      <c r="BU36" s="10"/>
      <c r="BV36" s="10"/>
      <c r="BW36" s="69">
        <f>SUM(BW37:BW39)</f>
        <v>0</v>
      </c>
      <c r="BX36" s="10"/>
      <c r="BY36" s="10"/>
      <c r="BZ36" s="10"/>
      <c r="CA36" s="10"/>
      <c r="CB36" s="10"/>
      <c r="CC36" s="11"/>
    </row>
    <row r="37" spans="1:81">
      <c r="A37" s="9" t="s">
        <v>378</v>
      </c>
      <c r="B37" s="10"/>
      <c r="C37" s="10"/>
      <c r="D37" s="10"/>
      <c r="E37" s="69">
        <f>-(E38+E39)*'MRF &amp; RDF Sorting'!B120*(1-'MRF &amp; RDF Sorting'!$D$143)</f>
        <v>0</v>
      </c>
      <c r="F37" s="10"/>
      <c r="G37" s="10" t="s">
        <v>398</v>
      </c>
      <c r="H37" s="10"/>
      <c r="I37" s="10"/>
      <c r="J37" s="10"/>
      <c r="K37" s="69">
        <f>-K36*(1-'MRF &amp; RDF Sorting'!$F$113)</f>
        <v>0</v>
      </c>
      <c r="L37" s="10"/>
      <c r="M37" s="10"/>
      <c r="N37" s="10" t="s">
        <v>375</v>
      </c>
      <c r="O37" s="10"/>
      <c r="P37" s="10"/>
      <c r="Q37" s="10"/>
      <c r="R37" s="10"/>
      <c r="S37" s="72">
        <f>'MRF &amp; RDF Sorting'!$D$82</f>
        <v>0</v>
      </c>
      <c r="T37" s="10"/>
      <c r="U37" s="10"/>
      <c r="V37" s="10" t="s">
        <v>521</v>
      </c>
      <c r="W37" s="10"/>
      <c r="X37" s="10"/>
      <c r="Y37" s="10"/>
      <c r="Z37" s="10"/>
      <c r="AA37" s="69">
        <f>-(AA34+AA38)*'MRF &amp; RDF Sorting'!E120*(1-'MRF &amp; RDF Sorting'!$D$143)</f>
        <v>0</v>
      </c>
      <c r="AB37" s="10"/>
      <c r="AC37" s="10"/>
      <c r="AD37" s="10" t="s">
        <v>531</v>
      </c>
      <c r="AE37" s="10"/>
      <c r="AF37" s="10"/>
      <c r="AG37" s="10"/>
      <c r="AH37" s="10"/>
      <c r="AI37" s="69">
        <f>-(AI34+AI38)*'MRF &amp; RDF Sorting'!F120*(1-'MRF &amp; RDF Sorting'!$D$143)</f>
        <v>0</v>
      </c>
      <c r="AJ37" s="10"/>
      <c r="AK37" s="10"/>
      <c r="AL37" s="10" t="s">
        <v>539</v>
      </c>
      <c r="AM37" s="10"/>
      <c r="AN37" s="10"/>
      <c r="AO37" s="10"/>
      <c r="AP37" s="10"/>
      <c r="AQ37" s="69">
        <f>-(AQ34+AQ38)*'MRF &amp; RDF Sorting'!G120*(1-'MRF &amp; RDF Sorting'!$D$143)</f>
        <v>0</v>
      </c>
      <c r="AR37" s="10"/>
      <c r="AS37" s="10"/>
      <c r="AT37" s="10" t="s">
        <v>887</v>
      </c>
      <c r="AU37" s="10"/>
      <c r="AV37" s="10"/>
      <c r="AW37" s="10"/>
      <c r="AX37" s="10"/>
      <c r="AY37" s="69">
        <f>-(AY34+AY38)*'MRF &amp; RDF Sorting'!H120*(1-'MRF &amp; RDF Sorting'!$D$143)</f>
        <v>0</v>
      </c>
      <c r="AZ37" s="10"/>
      <c r="BA37" s="10"/>
      <c r="BB37" s="10"/>
      <c r="BC37" s="10"/>
      <c r="BD37" s="10"/>
      <c r="BE37" s="10"/>
      <c r="BF37" s="10"/>
      <c r="BG37" s="10"/>
      <c r="BH37" s="10"/>
      <c r="BI37" s="10"/>
      <c r="BJ37" s="10" t="s">
        <v>555</v>
      </c>
      <c r="BK37" s="10"/>
      <c r="BL37" s="10"/>
      <c r="BM37" s="10"/>
      <c r="BN37" s="10"/>
      <c r="BO37" s="69">
        <f>-(BO34+BO38)*'MRF &amp; RDF Sorting'!J120*(1-'MRF &amp; RDF Sorting'!$D$143)</f>
        <v>0</v>
      </c>
      <c r="BP37" s="10"/>
      <c r="BQ37" s="10"/>
      <c r="BR37" s="10"/>
      <c r="BS37" s="10"/>
      <c r="BT37" s="10" t="s">
        <v>579</v>
      </c>
      <c r="BU37" s="10"/>
      <c r="BV37" s="10"/>
      <c r="BW37" s="69">
        <f>'MRF &amp; RDF Sorting'!B9*'MRF &amp; RDF Sorting'!B18</f>
        <v>0</v>
      </c>
      <c r="BX37" s="10"/>
      <c r="BY37" s="10"/>
      <c r="BZ37" s="10"/>
      <c r="CA37" s="10"/>
      <c r="CB37" s="10"/>
      <c r="CC37" s="11"/>
    </row>
    <row r="38" spans="1:81">
      <c r="A38" s="9"/>
      <c r="B38" s="10" t="s">
        <v>377</v>
      </c>
      <c r="C38" s="10"/>
      <c r="D38" s="10"/>
      <c r="E38" s="69">
        <f>'MRF &amp; RDF Sorting'!B128*'MRF &amp; RDF Sorting'!D136</f>
        <v>0</v>
      </c>
      <c r="F38" s="10"/>
      <c r="G38" s="10"/>
      <c r="H38" s="10"/>
      <c r="I38" s="10"/>
      <c r="J38" s="10"/>
      <c r="K38" s="10"/>
      <c r="L38" s="10"/>
      <c r="M38" s="10"/>
      <c r="N38" s="10"/>
      <c r="O38" s="10"/>
      <c r="P38" s="10"/>
      <c r="Q38" s="10"/>
      <c r="R38" s="10"/>
      <c r="S38" s="10"/>
      <c r="T38" s="10"/>
      <c r="U38" s="10"/>
      <c r="V38" s="10"/>
      <c r="W38" s="10" t="s">
        <v>522</v>
      </c>
      <c r="X38" s="10"/>
      <c r="Y38" s="10"/>
      <c r="Z38" s="10"/>
      <c r="AA38" s="69">
        <f>-AA34*(1-'MRF &amp; RDF Sorting'!$F$113)</f>
        <v>0</v>
      </c>
      <c r="AB38" s="10"/>
      <c r="AC38" s="10"/>
      <c r="AD38" s="10"/>
      <c r="AE38" s="10" t="s">
        <v>532</v>
      </c>
      <c r="AF38" s="10"/>
      <c r="AG38" s="10"/>
      <c r="AH38" s="10"/>
      <c r="AI38" s="69">
        <f>-AI34*(1-'MRF &amp; RDF Sorting'!$F$113)</f>
        <v>0</v>
      </c>
      <c r="AJ38" s="10"/>
      <c r="AK38" s="10"/>
      <c r="AL38" s="10"/>
      <c r="AM38" s="10" t="s">
        <v>540</v>
      </c>
      <c r="AN38" s="10"/>
      <c r="AO38" s="10"/>
      <c r="AP38" s="10"/>
      <c r="AQ38" s="69">
        <f>-AQ34*(1-'MRF &amp; RDF Sorting'!$F$113)</f>
        <v>0</v>
      </c>
      <c r="AR38" s="10"/>
      <c r="AS38" s="10"/>
      <c r="AT38" s="10"/>
      <c r="AU38" s="10" t="s">
        <v>888</v>
      </c>
      <c r="AV38" s="10"/>
      <c r="AW38" s="10"/>
      <c r="AX38" s="10"/>
      <c r="AY38" s="69">
        <f>-AY34*(1-'MRF &amp; RDF Sorting'!$F$113)</f>
        <v>0</v>
      </c>
      <c r="AZ38" s="10"/>
      <c r="BA38" s="10"/>
      <c r="BB38" s="10" t="s">
        <v>547</v>
      </c>
      <c r="BC38" s="10"/>
      <c r="BD38" s="10"/>
      <c r="BE38" s="10"/>
      <c r="BF38" s="10"/>
      <c r="BG38" s="69">
        <f>-(BG35+BG39)*'MRF &amp; RDF Sorting'!I120*(1-'MRF &amp; RDF Sorting'!$D$143)</f>
        <v>0</v>
      </c>
      <c r="BH38" s="10"/>
      <c r="BI38" s="10"/>
      <c r="BJ38" s="10"/>
      <c r="BK38" s="10" t="s">
        <v>556</v>
      </c>
      <c r="BL38" s="10"/>
      <c r="BM38" s="10"/>
      <c r="BN38" s="10"/>
      <c r="BO38" s="69">
        <f>-BO34*(1-'MRF &amp; RDF Sorting'!$F$113)</f>
        <v>0</v>
      </c>
      <c r="BP38" s="10"/>
      <c r="BQ38" s="10"/>
      <c r="BR38" s="10"/>
      <c r="BS38" s="10"/>
      <c r="BT38" s="10" t="s">
        <v>580</v>
      </c>
      <c r="BU38" s="10"/>
      <c r="BV38" s="10"/>
      <c r="BW38" s="69">
        <f>'MRF &amp; RDF Sorting'!F9*'MRF &amp; RDF Sorting'!E18</f>
        <v>0</v>
      </c>
      <c r="BX38" s="10"/>
      <c r="BY38" s="10"/>
      <c r="BZ38" s="10"/>
      <c r="CA38" s="10"/>
      <c r="CB38" s="10"/>
      <c r="CC38" s="11"/>
    </row>
    <row r="39" spans="1:81">
      <c r="A39" s="9"/>
      <c r="B39" s="10" t="s">
        <v>379</v>
      </c>
      <c r="C39" s="10"/>
      <c r="D39" s="10"/>
      <c r="E39" s="69">
        <f>-E38*(1-'MRF &amp; RDF Sorting'!$F$113)</f>
        <v>0</v>
      </c>
      <c r="F39" s="10"/>
      <c r="G39" s="10" t="s">
        <v>510</v>
      </c>
      <c r="H39" s="10"/>
      <c r="I39" s="10"/>
      <c r="J39" s="10"/>
      <c r="K39" s="69">
        <f>-(K36+K40)*'MRF &amp; RDF Sorting'!C120*(1-'MRF &amp; RDF Sorting'!$D$143)</f>
        <v>0</v>
      </c>
      <c r="L39" s="10"/>
      <c r="M39" s="10"/>
      <c r="N39" s="10" t="s">
        <v>517</v>
      </c>
      <c r="O39" s="10"/>
      <c r="P39" s="10"/>
      <c r="Q39" s="10"/>
      <c r="R39" s="10"/>
      <c r="S39" s="69">
        <f>(S34+S35)*S36*(1-S37)</f>
        <v>0</v>
      </c>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t="s">
        <v>548</v>
      </c>
      <c r="BD39" s="10"/>
      <c r="BE39" s="10"/>
      <c r="BF39" s="10"/>
      <c r="BG39" s="69">
        <f>-BG35*(1-'MRF &amp; RDF Sorting'!$F$113)</f>
        <v>0</v>
      </c>
      <c r="BH39" s="10"/>
      <c r="BI39" s="10"/>
      <c r="BJ39" s="10"/>
      <c r="BK39" s="10"/>
      <c r="BL39" s="10"/>
      <c r="BM39" s="10"/>
      <c r="BN39" s="10"/>
      <c r="BO39" s="10"/>
      <c r="BP39" s="10"/>
      <c r="BQ39" s="10"/>
      <c r="BR39" s="10"/>
      <c r="BS39" s="10"/>
      <c r="BT39" s="10" t="s">
        <v>581</v>
      </c>
      <c r="BU39" s="10"/>
      <c r="BV39" s="10"/>
      <c r="BW39" s="69">
        <f>'MRF &amp; RDF Sorting'!G9*'MRF &amp; RDF Sorting'!E18</f>
        <v>0</v>
      </c>
      <c r="BX39" s="10"/>
      <c r="BY39" s="10"/>
      <c r="BZ39" s="10"/>
      <c r="CA39" s="10"/>
      <c r="CB39" s="10"/>
      <c r="CC39" s="11"/>
    </row>
    <row r="40" spans="1:81">
      <c r="A40" s="9"/>
      <c r="B40" s="10"/>
      <c r="C40" s="10"/>
      <c r="D40" s="10"/>
      <c r="E40" s="10"/>
      <c r="F40" s="10"/>
      <c r="G40" s="10"/>
      <c r="H40" s="10" t="s">
        <v>511</v>
      </c>
      <c r="I40" s="10"/>
      <c r="J40" s="10"/>
      <c r="K40" s="69">
        <f>-K36*(1-'MRF &amp; RDF Sorting'!$F$113)</f>
        <v>0</v>
      </c>
      <c r="L40" s="10"/>
      <c r="M40" s="10"/>
      <c r="N40" s="10"/>
      <c r="O40" s="10"/>
      <c r="P40" s="10"/>
      <c r="Q40" s="10"/>
      <c r="R40" s="10"/>
      <c r="S40" s="10"/>
      <c r="T40" s="10"/>
      <c r="U40" s="10"/>
      <c r="V40" s="10" t="s">
        <v>560</v>
      </c>
      <c r="W40" s="10"/>
      <c r="X40" s="10"/>
      <c r="Y40" s="10"/>
      <c r="Z40" s="10"/>
      <c r="AA40" s="69">
        <f>(AA27+AA28)*'MRF &amp; RDF Sorting'!E58</f>
        <v>0</v>
      </c>
      <c r="AB40" s="10"/>
      <c r="AC40" s="10"/>
      <c r="AD40" s="10" t="s">
        <v>561</v>
      </c>
      <c r="AE40" s="10"/>
      <c r="AF40" s="10"/>
      <c r="AG40" s="10"/>
      <c r="AH40" s="10"/>
      <c r="AI40" s="69">
        <f>(AI27+AI28)*'MRF &amp; RDF Sorting'!F58</f>
        <v>0</v>
      </c>
      <c r="AJ40" s="10"/>
      <c r="AK40" s="10"/>
      <c r="AL40" s="10" t="s">
        <v>562</v>
      </c>
      <c r="AM40" s="10"/>
      <c r="AN40" s="10"/>
      <c r="AO40" s="10"/>
      <c r="AP40" s="10"/>
      <c r="AQ40" s="69">
        <f>(AQ27+AQ28)*'MRF &amp; RDF Sorting'!G58</f>
        <v>0</v>
      </c>
      <c r="AR40" s="10"/>
      <c r="AS40" s="10"/>
      <c r="AT40" s="10" t="s">
        <v>563</v>
      </c>
      <c r="AU40" s="10"/>
      <c r="AV40" s="10"/>
      <c r="AW40" s="10"/>
      <c r="AX40" s="10"/>
      <c r="AY40" s="69">
        <f>(AY27+AY28)*'MRF &amp; RDF Sorting'!H58</f>
        <v>0</v>
      </c>
      <c r="AZ40" s="10"/>
      <c r="BA40" s="10"/>
      <c r="BB40" s="10"/>
      <c r="BC40" s="10"/>
      <c r="BD40" s="10"/>
      <c r="BE40" s="10"/>
      <c r="BF40" s="10"/>
      <c r="BG40" s="10"/>
      <c r="BH40" s="10"/>
      <c r="BI40" s="10"/>
      <c r="BJ40" s="10" t="s">
        <v>565</v>
      </c>
      <c r="BK40" s="10"/>
      <c r="BL40" s="10"/>
      <c r="BM40" s="10"/>
      <c r="BN40" s="10"/>
      <c r="BO40" s="69">
        <f>(BO27+BO28)*'MRF &amp; RDF Sorting'!J58</f>
        <v>0</v>
      </c>
      <c r="BP40" s="10"/>
      <c r="BQ40" s="10"/>
      <c r="BR40" s="10"/>
      <c r="BS40" s="10"/>
      <c r="BT40" s="10"/>
      <c r="BU40" s="10"/>
      <c r="BV40" s="10"/>
      <c r="BW40" s="10"/>
      <c r="BX40" s="10"/>
      <c r="BY40" s="10"/>
      <c r="BZ40" s="10"/>
      <c r="CA40" s="10"/>
      <c r="CB40" s="10"/>
      <c r="CC40" s="11"/>
    </row>
    <row r="41" spans="1:81">
      <c r="A41" s="9" t="s">
        <v>557</v>
      </c>
      <c r="B41" s="10"/>
      <c r="C41" s="10"/>
      <c r="D41" s="10"/>
      <c r="E41" s="69">
        <f>(E29+E30)*'MRF &amp; RDF Sorting'!B58</f>
        <v>0</v>
      </c>
      <c r="F41" s="10"/>
      <c r="G41" s="10"/>
      <c r="H41" s="10"/>
      <c r="I41" s="10"/>
      <c r="J41" s="10"/>
      <c r="K41" s="10"/>
      <c r="L41" s="10"/>
      <c r="M41" s="10"/>
      <c r="N41" s="10" t="s">
        <v>508</v>
      </c>
      <c r="O41" s="10"/>
      <c r="P41" s="10"/>
      <c r="Q41" s="10"/>
      <c r="R41" s="10"/>
      <c r="S41" s="69">
        <f>'MRF &amp; RDF Sorting'!D128*'MRF &amp; RDF Sorting'!$D$136</f>
        <v>0</v>
      </c>
      <c r="T41" s="10"/>
      <c r="U41" s="10"/>
      <c r="V41" s="10" t="s">
        <v>571</v>
      </c>
      <c r="W41" s="10"/>
      <c r="X41" s="10"/>
      <c r="Y41" s="10"/>
      <c r="Z41" s="10"/>
      <c r="AA41" s="69">
        <f>(AA34+AA38)*'MRF &amp; RDF Sorting'!E117*(1-'MRF &amp; RDF Sorting'!$F$124)</f>
        <v>0</v>
      </c>
      <c r="AB41" s="10"/>
      <c r="AC41" s="10"/>
      <c r="AD41" s="10" t="s">
        <v>572</v>
      </c>
      <c r="AE41" s="10"/>
      <c r="AF41" s="10"/>
      <c r="AG41" s="10"/>
      <c r="AH41" s="10"/>
      <c r="AI41" s="69">
        <f>(AI34+AI38)*'MRF &amp; RDF Sorting'!F117*(1-'MRF &amp; RDF Sorting'!$F$124)</f>
        <v>0</v>
      </c>
      <c r="AJ41" s="10"/>
      <c r="AK41" s="10"/>
      <c r="AL41" s="10" t="s">
        <v>573</v>
      </c>
      <c r="AM41" s="10"/>
      <c r="AN41" s="10"/>
      <c r="AO41" s="10"/>
      <c r="AP41" s="10"/>
      <c r="AQ41" s="69">
        <f>(AQ34+AQ38)*'MRF &amp; RDF Sorting'!G117*(1-'MRF &amp; RDF Sorting'!$F$124)</f>
        <v>0</v>
      </c>
      <c r="AR41" s="10"/>
      <c r="AS41" s="10"/>
      <c r="AT41" s="10" t="s">
        <v>574</v>
      </c>
      <c r="AU41" s="10"/>
      <c r="AV41" s="10"/>
      <c r="AW41" s="10"/>
      <c r="AX41" s="10"/>
      <c r="AY41" s="69">
        <f>(AY34+AY38)*'MRF &amp; RDF Sorting'!H117*(1-'MRF &amp; RDF Sorting'!$F$124)</f>
        <v>0</v>
      </c>
      <c r="AZ41" s="10"/>
      <c r="BA41" s="10"/>
      <c r="BB41" s="10" t="s">
        <v>564</v>
      </c>
      <c r="BC41" s="10"/>
      <c r="BD41" s="10"/>
      <c r="BE41" s="10"/>
      <c r="BF41" s="10"/>
      <c r="BG41" s="69">
        <f>(BG28+BG29)*'MRF &amp; RDF Sorting'!I58</f>
        <v>0</v>
      </c>
      <c r="BH41" s="10"/>
      <c r="BI41" s="10"/>
      <c r="BJ41" s="10" t="s">
        <v>576</v>
      </c>
      <c r="BK41" s="10"/>
      <c r="BL41" s="10"/>
      <c r="BM41" s="10"/>
      <c r="BN41" s="10"/>
      <c r="BO41" s="69">
        <f>(BO34+BO38)*'MRF &amp; RDF Sorting'!J117*(1-'MRF &amp; RDF Sorting'!$F$124)</f>
        <v>0</v>
      </c>
      <c r="BP41" s="10"/>
      <c r="BQ41" s="10"/>
      <c r="BR41" s="10"/>
      <c r="BS41" s="10"/>
      <c r="BT41" s="10"/>
      <c r="BU41" s="10"/>
      <c r="BV41" s="10"/>
      <c r="BW41" s="10"/>
      <c r="BX41" s="10"/>
      <c r="BY41" s="10"/>
      <c r="BZ41" s="10"/>
      <c r="CA41" s="10"/>
      <c r="CB41" s="10"/>
      <c r="CC41" s="11"/>
    </row>
    <row r="42" spans="1:81">
      <c r="A42" s="9" t="s">
        <v>568</v>
      </c>
      <c r="B42" s="10"/>
      <c r="C42" s="10"/>
      <c r="D42" s="10"/>
      <c r="E42" s="69">
        <f>(E36+E39)*'MRF &amp; RDF Sorting'!B117*(1-'MRF &amp; RDF Sorting'!$F$124)</f>
        <v>0</v>
      </c>
      <c r="F42" s="10"/>
      <c r="G42" s="10" t="s">
        <v>558</v>
      </c>
      <c r="H42" s="10"/>
      <c r="I42" s="10"/>
      <c r="J42" s="10"/>
      <c r="K42" s="69">
        <f>(K29+K30)*'MRF &amp; RDF Sorting'!C58</f>
        <v>0</v>
      </c>
      <c r="L42" s="10"/>
      <c r="M42" s="10"/>
      <c r="N42" s="10" t="s">
        <v>509</v>
      </c>
      <c r="O42" s="10"/>
      <c r="P42" s="10"/>
      <c r="Q42" s="10"/>
      <c r="R42" s="10"/>
      <c r="S42" s="69">
        <f>-S41*(1-'MRF &amp; RDF Sorting'!$F$113)</f>
        <v>0</v>
      </c>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t="s">
        <v>575</v>
      </c>
      <c r="BC42" s="10"/>
      <c r="BD42" s="10"/>
      <c r="BE42" s="10"/>
      <c r="BF42" s="10"/>
      <c r="BG42" s="69">
        <f>(BG35+BG39)*'MRF &amp; RDF Sorting'!I117*(1-'MRF &amp; RDF Sorting'!$F$124)</f>
        <v>0</v>
      </c>
      <c r="BH42" s="10"/>
      <c r="BI42" s="10"/>
      <c r="BJ42" s="10"/>
      <c r="BK42" s="10"/>
      <c r="BL42" s="10"/>
      <c r="BM42" s="10"/>
      <c r="BN42" s="10"/>
      <c r="BO42" s="10"/>
      <c r="BP42" s="10"/>
      <c r="BQ42" s="10"/>
      <c r="BR42" s="10"/>
      <c r="BS42" s="10"/>
      <c r="BT42" s="10"/>
      <c r="BU42" s="10"/>
      <c r="BV42" s="10"/>
      <c r="BW42" s="10"/>
      <c r="BX42" s="10"/>
      <c r="BY42" s="10"/>
      <c r="BZ42" s="10"/>
      <c r="CA42" s="10"/>
      <c r="CB42" s="10"/>
      <c r="CC42" s="11"/>
    </row>
    <row r="43" spans="1:81">
      <c r="A43" s="9"/>
      <c r="B43" s="10"/>
      <c r="C43" s="10"/>
      <c r="D43" s="10"/>
      <c r="E43" s="10"/>
      <c r="F43" s="10"/>
      <c r="G43" s="10" t="s">
        <v>569</v>
      </c>
      <c r="H43" s="10"/>
      <c r="I43" s="10"/>
      <c r="J43" s="10"/>
      <c r="K43" s="69">
        <f>(K36+K40)*'MRF &amp; RDF Sorting'!C117*(1-'MRF &amp; RDF Sorting'!$F$124)</f>
        <v>0</v>
      </c>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1"/>
    </row>
    <row r="44" spans="1:81">
      <c r="A44" s="9"/>
      <c r="B44" s="10"/>
      <c r="C44" s="10"/>
      <c r="D44" s="10"/>
      <c r="E44" s="10"/>
      <c r="F44" s="10"/>
      <c r="G44" s="10"/>
      <c r="H44" s="10"/>
      <c r="I44" s="10"/>
      <c r="J44" s="10"/>
      <c r="K44" s="10"/>
      <c r="L44" s="10"/>
      <c r="M44" s="10"/>
      <c r="N44" s="10" t="s">
        <v>523</v>
      </c>
      <c r="O44" s="10"/>
      <c r="P44" s="10"/>
      <c r="Q44" s="10"/>
      <c r="R44" s="10"/>
      <c r="S44" s="69">
        <f>-(S41+S45)*'MRF &amp; RDF Sorting'!D120*(1-'MRF &amp; RDF Sorting'!$D$143)</f>
        <v>0</v>
      </c>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1"/>
    </row>
    <row r="45" spans="1:81">
      <c r="A45" s="9"/>
      <c r="B45" s="10"/>
      <c r="C45" s="10"/>
      <c r="D45" s="10"/>
      <c r="E45" s="10"/>
      <c r="F45" s="10"/>
      <c r="G45" s="10"/>
      <c r="H45" s="10"/>
      <c r="I45" s="10"/>
      <c r="J45" s="10"/>
      <c r="K45" s="10"/>
      <c r="L45" s="10"/>
      <c r="M45" s="10"/>
      <c r="N45" s="10"/>
      <c r="O45" s="10" t="s">
        <v>524</v>
      </c>
      <c r="P45" s="10"/>
      <c r="Q45" s="10"/>
      <c r="R45" s="10"/>
      <c r="S45" s="69">
        <f>-S41*(1-'MRF &amp; RDF Sorting'!$F$113)</f>
        <v>0</v>
      </c>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1"/>
    </row>
    <row r="46" spans="1:81">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1"/>
    </row>
    <row r="47" spans="1:81">
      <c r="A47" s="9"/>
      <c r="B47" s="10"/>
      <c r="C47" s="10"/>
      <c r="D47" s="10"/>
      <c r="E47" s="10"/>
      <c r="F47" s="10"/>
      <c r="G47" s="10"/>
      <c r="H47" s="10"/>
      <c r="I47" s="10"/>
      <c r="J47" s="10"/>
      <c r="K47" s="10"/>
      <c r="L47" s="10"/>
      <c r="M47" s="10"/>
      <c r="N47" s="10" t="s">
        <v>559</v>
      </c>
      <c r="O47" s="10"/>
      <c r="P47" s="10"/>
      <c r="Q47" s="10"/>
      <c r="R47" s="10"/>
      <c r="S47" s="69">
        <f>(S34+S35)*'MRF &amp; RDF Sorting'!D58</f>
        <v>0</v>
      </c>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1"/>
    </row>
    <row r="48" spans="1:81">
      <c r="A48" s="9"/>
      <c r="B48" s="10"/>
      <c r="C48" s="10"/>
      <c r="D48" s="10"/>
      <c r="E48" s="10"/>
      <c r="F48" s="10"/>
      <c r="G48" s="10"/>
      <c r="H48" s="10"/>
      <c r="I48" s="10"/>
      <c r="J48" s="10"/>
      <c r="K48" s="10"/>
      <c r="L48" s="10"/>
      <c r="M48" s="10"/>
      <c r="N48" s="10" t="s">
        <v>570</v>
      </c>
      <c r="O48" s="10"/>
      <c r="P48" s="10"/>
      <c r="Q48" s="10"/>
      <c r="R48" s="10"/>
      <c r="S48" s="69">
        <f>(S41+S45)*'MRF &amp; RDF Sorting'!D117*(1-'MRF &amp; RDF Sorting'!$F$124)</f>
        <v>0</v>
      </c>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1"/>
    </row>
    <row r="49" spans="1:81">
      <c r="A49" s="9"/>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1"/>
    </row>
    <row r="50" spans="1:81">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1"/>
    </row>
    <row r="51" spans="1:81">
      <c r="A51" s="64" t="s">
        <v>584</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1"/>
    </row>
    <row r="52" spans="1:81">
      <c r="A52" s="9" t="s">
        <v>795</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1"/>
    </row>
    <row r="53" spans="1:81">
      <c r="A53" s="9"/>
      <c r="B53" s="10" t="s">
        <v>4</v>
      </c>
      <c r="C53" s="10" t="s">
        <v>5</v>
      </c>
      <c r="D53" s="10" t="s">
        <v>29</v>
      </c>
      <c r="E53" s="10" t="s">
        <v>30</v>
      </c>
      <c r="F53" s="10" t="s">
        <v>31</v>
      </c>
      <c r="G53" s="10" t="s">
        <v>32</v>
      </c>
      <c r="H53" s="10" t="s">
        <v>8</v>
      </c>
      <c r="I53" s="10" t="s">
        <v>9</v>
      </c>
      <c r="J53" s="10" t="s">
        <v>10</v>
      </c>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1"/>
    </row>
    <row r="54" spans="1:81">
      <c r="A54" s="9" t="s">
        <v>141</v>
      </c>
      <c r="B54" s="69">
        <f>SUM(E57:E80)</f>
        <v>0</v>
      </c>
      <c r="C54" s="69">
        <f>SUM(L57:L78)</f>
        <v>0</v>
      </c>
      <c r="D54" s="69">
        <f>SUM(T57:T78)</f>
        <v>0</v>
      </c>
      <c r="E54" s="69">
        <f>SUM(AB57:AB78)</f>
        <v>0</v>
      </c>
      <c r="F54" s="69">
        <f>SUM(AJ57:AJ83)</f>
        <v>0</v>
      </c>
      <c r="G54" s="69">
        <f>SUM(AR57:AR83)</f>
        <v>0</v>
      </c>
      <c r="H54" s="69">
        <f>SUM(AZ57:AZ75)</f>
        <v>0</v>
      </c>
      <c r="I54" s="69">
        <f>SUM(BH57:BH82)</f>
        <v>0</v>
      </c>
      <c r="J54" s="69">
        <f>SUM(BO57:BO74)</f>
        <v>0</v>
      </c>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1"/>
    </row>
    <row r="55" spans="1:81">
      <c r="A55" s="9"/>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1"/>
    </row>
    <row r="56" spans="1:81">
      <c r="A56" s="64" t="s">
        <v>4</v>
      </c>
      <c r="B56" s="10"/>
      <c r="C56" s="10"/>
      <c r="D56" s="10"/>
      <c r="E56" s="10"/>
      <c r="F56" s="10"/>
      <c r="G56" s="65" t="s">
        <v>5</v>
      </c>
      <c r="H56" s="10"/>
      <c r="I56" s="10"/>
      <c r="J56" s="10"/>
      <c r="K56" s="10"/>
      <c r="L56" s="10"/>
      <c r="M56" s="10"/>
      <c r="N56" s="65" t="s">
        <v>29</v>
      </c>
      <c r="O56" s="10"/>
      <c r="P56" s="10"/>
      <c r="Q56" s="10"/>
      <c r="R56" s="10"/>
      <c r="S56" s="10"/>
      <c r="T56" s="10"/>
      <c r="U56" s="10"/>
      <c r="V56" s="65" t="s">
        <v>582</v>
      </c>
      <c r="W56" s="10"/>
      <c r="X56" s="10"/>
      <c r="Y56" s="10"/>
      <c r="Z56" s="10"/>
      <c r="AA56" s="10"/>
      <c r="AB56" s="10"/>
      <c r="AC56" s="10"/>
      <c r="AD56" s="65" t="s">
        <v>31</v>
      </c>
      <c r="AE56" s="10"/>
      <c r="AF56" s="10"/>
      <c r="AG56" s="10"/>
      <c r="AH56" s="10"/>
      <c r="AI56" s="10"/>
      <c r="AJ56" s="10"/>
      <c r="AK56" s="10"/>
      <c r="AL56" s="65" t="s">
        <v>32</v>
      </c>
      <c r="AM56" s="10"/>
      <c r="AN56" s="10"/>
      <c r="AO56" s="10"/>
      <c r="AP56" s="10"/>
      <c r="AQ56" s="10"/>
      <c r="AR56" s="10"/>
      <c r="AS56" s="10"/>
      <c r="AT56" s="65" t="s">
        <v>8</v>
      </c>
      <c r="AU56" s="10"/>
      <c r="AV56" s="10"/>
      <c r="AW56" s="10"/>
      <c r="AX56" s="10"/>
      <c r="AY56" s="10"/>
      <c r="AZ56" s="10"/>
      <c r="BA56" s="10"/>
      <c r="BB56" s="65" t="s">
        <v>9</v>
      </c>
      <c r="BC56" s="10"/>
      <c r="BD56" s="10"/>
      <c r="BE56" s="10"/>
      <c r="BF56" s="10"/>
      <c r="BG56" s="10"/>
      <c r="BH56" s="10"/>
      <c r="BI56" s="10"/>
      <c r="BJ56" s="65" t="s">
        <v>10</v>
      </c>
      <c r="BK56" s="10"/>
      <c r="BL56" s="10"/>
      <c r="BM56" s="10"/>
      <c r="BN56" s="10"/>
      <c r="BO56" s="10"/>
      <c r="BP56" s="10"/>
      <c r="BQ56" s="10"/>
      <c r="BR56" s="10"/>
      <c r="BS56" s="10"/>
      <c r="BT56" s="10"/>
      <c r="BU56" s="10"/>
      <c r="BV56" s="10"/>
      <c r="BW56" s="10"/>
      <c r="BX56" s="10"/>
      <c r="BY56" s="10"/>
      <c r="BZ56" s="10"/>
      <c r="CA56" s="10"/>
      <c r="CB56" s="10"/>
      <c r="CC56" s="11"/>
    </row>
    <row r="57" spans="1:81">
      <c r="A57" s="66" t="s">
        <v>585</v>
      </c>
      <c r="B57" s="10"/>
      <c r="C57" s="10"/>
      <c r="D57" s="10"/>
      <c r="E57" s="69">
        <f>'Waste Input'!$B$6*'Waste Input'!$B$15/1000*'Waste Input'!B17</f>
        <v>62900</v>
      </c>
      <c r="F57" s="10"/>
      <c r="G57" s="41" t="s">
        <v>610</v>
      </c>
      <c r="H57" s="10"/>
      <c r="I57" s="10"/>
      <c r="J57" s="10"/>
      <c r="K57" s="10"/>
      <c r="L57" s="69">
        <f>'Waste Input'!$B$6*'Waste Input'!$B$15/1000*'Waste Input'!C17</f>
        <v>15300</v>
      </c>
      <c r="M57" s="10"/>
      <c r="N57" s="41" t="s">
        <v>633</v>
      </c>
      <c r="O57" s="10"/>
      <c r="P57" s="10"/>
      <c r="Q57" s="10"/>
      <c r="R57" s="10"/>
      <c r="S57" s="10"/>
      <c r="T57" s="69">
        <f>'Waste Input'!$B$6*'Waste Input'!$B$15/1000*'Waste Input'!$D$17*'Waste Input'!B20</f>
        <v>10710.000000000002</v>
      </c>
      <c r="U57" s="10"/>
      <c r="V57" s="41" t="s">
        <v>655</v>
      </c>
      <c r="W57" s="10"/>
      <c r="X57" s="10"/>
      <c r="Y57" s="10"/>
      <c r="Z57" s="10"/>
      <c r="AA57" s="10"/>
      <c r="AB57" s="69">
        <f>'Waste Input'!$B$6*'Waste Input'!$B$15/1000*'Waste Input'!$D$17*'Waste Input'!C20</f>
        <v>1190.0000000000002</v>
      </c>
      <c r="AC57" s="10"/>
      <c r="AD57" s="41" t="s">
        <v>677</v>
      </c>
      <c r="AE57" s="10"/>
      <c r="AF57" s="10"/>
      <c r="AG57" s="10"/>
      <c r="AH57" s="10"/>
      <c r="AI57" s="10"/>
      <c r="AJ57" s="69">
        <f>'Waste Input'!$B$6*'Waste Input'!$B$15/1000*'Waste Input'!$E$17*'Waste Input'!B23</f>
        <v>8500</v>
      </c>
      <c r="AK57" s="10"/>
      <c r="AL57" s="41" t="s">
        <v>704</v>
      </c>
      <c r="AM57" s="10"/>
      <c r="AN57" s="10"/>
      <c r="AO57" s="10"/>
      <c r="AP57" s="10"/>
      <c r="AQ57" s="10"/>
      <c r="AR57" s="69">
        <f>'Waste Input'!$B$6*'Waste Input'!$B$15/1000*'Waste Input'!$E$17*'Waste Input'!C23</f>
        <v>8500</v>
      </c>
      <c r="AS57" s="10"/>
      <c r="AT57" s="41" t="s">
        <v>731</v>
      </c>
      <c r="AU57" s="10"/>
      <c r="AV57" s="10"/>
      <c r="AW57" s="10"/>
      <c r="AX57" s="10"/>
      <c r="AY57" s="10"/>
      <c r="AZ57" s="69">
        <f>'Waste Input'!$B$6*'Waste Input'!$B$15/1000*'Waste Input'!F17</f>
        <v>3400</v>
      </c>
      <c r="BA57" s="10"/>
      <c r="BB57" s="41" t="s">
        <v>750</v>
      </c>
      <c r="BC57" s="10"/>
      <c r="BD57" s="10"/>
      <c r="BE57" s="10"/>
      <c r="BF57" s="10"/>
      <c r="BG57" s="10"/>
      <c r="BH57" s="69">
        <f>'Waste Input'!$B$6*'Waste Input'!$B$15/1000*'Waste Input'!G17</f>
        <v>32300</v>
      </c>
      <c r="BI57" s="10"/>
      <c r="BJ57" s="41" t="s">
        <v>776</v>
      </c>
      <c r="BK57" s="10"/>
      <c r="BL57" s="10"/>
      <c r="BM57" s="10"/>
      <c r="BN57" s="10"/>
      <c r="BO57" s="69">
        <f>'Waste Input'!$B$6*'Waste Input'!$B$15/1000*'Waste Input'!H17</f>
        <v>27200</v>
      </c>
      <c r="BP57" s="10"/>
      <c r="BQ57" s="10"/>
      <c r="BR57" s="10"/>
      <c r="BS57" s="10"/>
      <c r="BT57" s="10"/>
      <c r="BU57" s="10"/>
      <c r="BV57" s="10"/>
      <c r="BW57" s="10"/>
      <c r="BX57" s="10"/>
      <c r="BY57" s="10"/>
      <c r="BZ57" s="10"/>
      <c r="CA57" s="10"/>
      <c r="CB57" s="10"/>
      <c r="CC57" s="11"/>
    </row>
    <row r="58" spans="1:81">
      <c r="A58" s="9" t="s">
        <v>586</v>
      </c>
      <c r="B58" s="10"/>
      <c r="C58" s="10"/>
      <c r="D58" s="10"/>
      <c r="E58" s="69">
        <f>'Waste Input'!$B$33*'Waste Input'!B35</f>
        <v>2000</v>
      </c>
      <c r="F58" s="10"/>
      <c r="G58" s="10" t="s">
        <v>611</v>
      </c>
      <c r="H58" s="10"/>
      <c r="I58" s="10"/>
      <c r="J58" s="10"/>
      <c r="K58" s="10"/>
      <c r="L58" s="69">
        <f>'Waste Input'!B27/1000*'Waste Input'!$B$8</f>
        <v>1250</v>
      </c>
      <c r="M58" s="10"/>
      <c r="N58" s="10" t="s">
        <v>634</v>
      </c>
      <c r="O58" s="10"/>
      <c r="P58" s="10"/>
      <c r="Q58" s="10"/>
      <c r="R58" s="10"/>
      <c r="S58" s="10"/>
      <c r="T58" s="69">
        <f>'Waste Input'!C27/1000*'Waste Input'!$B$8</f>
        <v>2500</v>
      </c>
      <c r="U58" s="10"/>
      <c r="V58" s="10" t="s">
        <v>656</v>
      </c>
      <c r="W58" s="10"/>
      <c r="X58" s="10"/>
      <c r="Y58" s="10"/>
      <c r="Z58" s="10"/>
      <c r="AA58" s="10"/>
      <c r="AB58" s="69">
        <f>'Waste Input'!D27/1000*'Waste Input'!$B$8</f>
        <v>1250</v>
      </c>
      <c r="AC58" s="10"/>
      <c r="AD58" s="10" t="s">
        <v>678</v>
      </c>
      <c r="AE58" s="10"/>
      <c r="AF58" s="10"/>
      <c r="AG58" s="10"/>
      <c r="AH58" s="10"/>
      <c r="AI58" s="10"/>
      <c r="AJ58" s="69">
        <f>'Waste Input'!E27/1000*'Waste Input'!$B$8</f>
        <v>250</v>
      </c>
      <c r="AK58" s="10"/>
      <c r="AL58" s="10" t="s">
        <v>705</v>
      </c>
      <c r="AM58" s="10"/>
      <c r="AN58" s="10"/>
      <c r="AO58" s="10"/>
      <c r="AP58" s="10"/>
      <c r="AQ58" s="10"/>
      <c r="AR58" s="69">
        <f>'Waste Input'!F27/1000*'Waste Input'!$B$8</f>
        <v>250</v>
      </c>
      <c r="AS58" s="10"/>
      <c r="AT58" s="10" t="s">
        <v>732</v>
      </c>
      <c r="AU58" s="10"/>
      <c r="AV58" s="10"/>
      <c r="AW58" s="10"/>
      <c r="AX58" s="10"/>
      <c r="AY58" s="10"/>
      <c r="AZ58" s="69">
        <f>'Waste Input'!$B$33*'Waste Input'!F35</f>
        <v>500</v>
      </c>
      <c r="BA58" s="10"/>
      <c r="BB58" s="10" t="s">
        <v>751</v>
      </c>
      <c r="BC58" s="10"/>
      <c r="BD58" s="10"/>
      <c r="BE58" s="10"/>
      <c r="BF58" s="10"/>
      <c r="BG58" s="10"/>
      <c r="BH58" s="69">
        <f>'Waste Input'!B30/1000*'Waste Input'!$B$8</f>
        <v>0</v>
      </c>
      <c r="BI58" s="10"/>
      <c r="BJ58" s="10" t="s">
        <v>777</v>
      </c>
      <c r="BK58" s="10"/>
      <c r="BL58" s="10"/>
      <c r="BM58" s="10"/>
      <c r="BN58" s="10"/>
      <c r="BO58" s="69">
        <f>'Waste Input'!G27/1000*'Waste Input'!$B$8</f>
        <v>0</v>
      </c>
      <c r="BP58" s="10"/>
      <c r="BQ58" s="10"/>
      <c r="BR58" s="10"/>
      <c r="BS58" s="10"/>
      <c r="BT58" s="10"/>
      <c r="BU58" s="10"/>
      <c r="BV58" s="10"/>
      <c r="BW58" s="10"/>
      <c r="BX58" s="10"/>
      <c r="BY58" s="10"/>
      <c r="BZ58" s="10"/>
      <c r="CA58" s="10"/>
      <c r="CB58" s="10"/>
      <c r="CC58" s="11"/>
    </row>
    <row r="59" spans="1:81">
      <c r="A59" s="9" t="s">
        <v>587</v>
      </c>
      <c r="B59" s="10"/>
      <c r="C59" s="10"/>
      <c r="D59" s="10"/>
      <c r="E59" s="10">
        <f>-'Waste Collection'!$C$11*'Waste Collection'!E33/1000*(1-'Waste Collection'!E34)</f>
        <v>-4275</v>
      </c>
      <c r="F59" s="10"/>
      <c r="G59" s="10" t="s">
        <v>612</v>
      </c>
      <c r="H59" s="10"/>
      <c r="I59" s="10"/>
      <c r="J59" s="10"/>
      <c r="K59" s="10"/>
      <c r="L59" s="69">
        <f>'Waste Input'!$B$33*'Waste Input'!C35</f>
        <v>1000</v>
      </c>
      <c r="M59" s="10"/>
      <c r="N59" s="10" t="s">
        <v>635</v>
      </c>
      <c r="O59" s="10"/>
      <c r="P59" s="10"/>
      <c r="Q59" s="10"/>
      <c r="R59" s="10"/>
      <c r="S59" s="10"/>
      <c r="T59" s="69">
        <f>'Waste Input'!$B$33*'Waste Input'!$D$35*'Waste Input'!B38</f>
        <v>1800</v>
      </c>
      <c r="U59" s="10"/>
      <c r="V59" s="10" t="s">
        <v>657</v>
      </c>
      <c r="W59" s="10"/>
      <c r="X59" s="10"/>
      <c r="Y59" s="10"/>
      <c r="Z59" s="10"/>
      <c r="AA59" s="10"/>
      <c r="AB59" s="69">
        <f>'Waste Input'!$B$33*'Waste Input'!$D$35*'Waste Input'!C38</f>
        <v>200</v>
      </c>
      <c r="AC59" s="10"/>
      <c r="AD59" s="10" t="s">
        <v>679</v>
      </c>
      <c r="AE59" s="10"/>
      <c r="AF59" s="10"/>
      <c r="AG59" s="10"/>
      <c r="AH59" s="10"/>
      <c r="AI59" s="10"/>
      <c r="AJ59" s="69">
        <f>'Waste Input'!$B$33*'Waste Input'!$E$35*'Waste Input'!B41</f>
        <v>500</v>
      </c>
      <c r="AK59" s="10"/>
      <c r="AL59" s="10" t="s">
        <v>706</v>
      </c>
      <c r="AM59" s="10"/>
      <c r="AN59" s="10"/>
      <c r="AO59" s="10"/>
      <c r="AP59" s="10"/>
      <c r="AQ59" s="10"/>
      <c r="AR59" s="69">
        <f>'Waste Input'!$B$33*'Waste Input'!$E$35*'Waste Input'!C41</f>
        <v>500</v>
      </c>
      <c r="AS59" s="10"/>
      <c r="AT59" s="10" t="s">
        <v>733</v>
      </c>
      <c r="AU59" s="10"/>
      <c r="AV59" s="10"/>
      <c r="AW59" s="10"/>
      <c r="AX59" s="10"/>
      <c r="AY59" s="10"/>
      <c r="AZ59" s="69">
        <f>-'Waste Collection'!$C$11*'Waste Collection'!K24/1000*(1-'Waste Collection'!$H$27-'Waste Collection'!$H$28)</f>
        <v>0</v>
      </c>
      <c r="BA59" s="10"/>
      <c r="BB59" s="10" t="s">
        <v>752</v>
      </c>
      <c r="BC59" s="10"/>
      <c r="BD59" s="10"/>
      <c r="BE59" s="10"/>
      <c r="BF59" s="10"/>
      <c r="BG59" s="10"/>
      <c r="BH59" s="69">
        <f>'Waste Input'!$B$33*'Waste Input'!G35</f>
        <v>2500</v>
      </c>
      <c r="BI59" s="10"/>
      <c r="BJ59" s="10" t="s">
        <v>778</v>
      </c>
      <c r="BK59" s="10"/>
      <c r="BL59" s="10"/>
      <c r="BM59" s="10"/>
      <c r="BN59" s="10"/>
      <c r="BO59" s="69">
        <f>'Waste Input'!$B$33*'Waste Input'!H35</f>
        <v>1000</v>
      </c>
      <c r="BP59" s="10"/>
      <c r="BQ59" s="10"/>
      <c r="BR59" s="10"/>
      <c r="BS59" s="10"/>
      <c r="BT59" s="10"/>
      <c r="BU59" s="10"/>
      <c r="BV59" s="10"/>
      <c r="BW59" s="10"/>
      <c r="BX59" s="10"/>
      <c r="BY59" s="10"/>
      <c r="BZ59" s="10"/>
      <c r="CA59" s="10"/>
      <c r="CB59" s="10"/>
      <c r="CC59" s="11"/>
    </row>
    <row r="60" spans="1:81">
      <c r="A60" s="9" t="s">
        <v>588</v>
      </c>
      <c r="B60" s="10"/>
      <c r="C60" s="10"/>
      <c r="D60" s="10"/>
      <c r="E60" s="10">
        <f>-'Waste Collection'!$C$11*'Waste Collection'!E24/1000*(1-'Waste Collection'!$H$27-'Waste Collection'!$H$28)</f>
        <v>-11875</v>
      </c>
      <c r="F60" s="10"/>
      <c r="G60" s="10" t="s">
        <v>613</v>
      </c>
      <c r="H60" s="10"/>
      <c r="I60" s="10"/>
      <c r="J60" s="10"/>
      <c r="K60" s="10"/>
      <c r="L60" s="10">
        <f>-'Waste Collection'!$C$11*'Waste Collection'!F24/1000*(1-'Waste Collection'!$H$27-'Waste Collection'!$H$28)</f>
        <v>-5937.5</v>
      </c>
      <c r="M60" s="10"/>
      <c r="N60" s="10" t="s">
        <v>636</v>
      </c>
      <c r="O60" s="10"/>
      <c r="P60" s="10"/>
      <c r="Q60" s="10"/>
      <c r="R60" s="10"/>
      <c r="S60" s="10"/>
      <c r="T60" s="10">
        <f>-'Waste Collection'!$C$11*'Waste Collection'!G24/1000*(1-'Waste Collection'!$H$27-'Waste Collection'!$H$28)</f>
        <v>-2375</v>
      </c>
      <c r="U60" s="10"/>
      <c r="V60" s="10" t="s">
        <v>658</v>
      </c>
      <c r="W60" s="10"/>
      <c r="X60" s="10"/>
      <c r="Y60" s="10"/>
      <c r="Z60" s="10"/>
      <c r="AA60" s="10"/>
      <c r="AB60" s="69">
        <f>-'Waste Collection'!$C$11*'Waste Collection'!H24/1000*(1-'Waste Collection'!$H$27-'Waste Collection'!$H$28)</f>
        <v>0</v>
      </c>
      <c r="AC60" s="10"/>
      <c r="AD60" s="10" t="s">
        <v>680</v>
      </c>
      <c r="AE60" s="10"/>
      <c r="AF60" s="10"/>
      <c r="AG60" s="10"/>
      <c r="AH60" s="10"/>
      <c r="AI60" s="10"/>
      <c r="AJ60" s="10">
        <f>-'Waste Input'!$B$8*('Waste Collection'!$E$33+'Waste Collection'!$F$33)/1000*'Waste Collection'!$E$34*'Waste Collection'!E36</f>
        <v>-750</v>
      </c>
      <c r="AK60" s="10"/>
      <c r="AL60" s="10" t="s">
        <v>707</v>
      </c>
      <c r="AM60" s="10"/>
      <c r="AN60" s="10"/>
      <c r="AO60" s="10"/>
      <c r="AP60" s="10"/>
      <c r="AQ60" s="10"/>
      <c r="AR60" s="10">
        <f>-'Waste Input'!$B$8*('Waste Collection'!$E$33+'Waste Collection'!$F$33)/1000*'Waste Collection'!$E$34*'Waste Collection'!E37</f>
        <v>-750</v>
      </c>
      <c r="AS60" s="10"/>
      <c r="AT60" s="10" t="s">
        <v>734</v>
      </c>
      <c r="AU60" s="10"/>
      <c r="AV60" s="10"/>
      <c r="AW60" s="10"/>
      <c r="AX60" s="10"/>
      <c r="AY60" s="10"/>
      <c r="AZ60" s="10" t="s">
        <v>609</v>
      </c>
      <c r="BA60" s="10"/>
      <c r="BB60" s="10" t="s">
        <v>753</v>
      </c>
      <c r="BC60" s="10"/>
      <c r="BD60" s="10"/>
      <c r="BE60" s="10"/>
      <c r="BF60" s="10"/>
      <c r="BG60" s="10"/>
      <c r="BH60" s="69">
        <f>-'Waste Input'!B30/1000*'Waste Input'!$B$8</f>
        <v>0</v>
      </c>
      <c r="BI60" s="10"/>
      <c r="BJ60" s="10" t="s">
        <v>779</v>
      </c>
      <c r="BK60" s="10"/>
      <c r="BL60" s="10"/>
      <c r="BM60" s="10"/>
      <c r="BN60" s="10"/>
      <c r="BO60" s="10">
        <f>-'Waste Collection'!$C$11*'Waste Collection'!L24/1000*'Waste Collection'!$H$28</f>
        <v>-593.75</v>
      </c>
      <c r="BP60" s="10"/>
      <c r="BQ60" s="10"/>
      <c r="BR60" s="10"/>
      <c r="BS60" s="10"/>
      <c r="BT60" s="10"/>
      <c r="BU60" s="10"/>
      <c r="BV60" s="10"/>
      <c r="BW60" s="10"/>
      <c r="BX60" s="10"/>
      <c r="BY60" s="10"/>
      <c r="BZ60" s="10"/>
      <c r="CA60" s="10"/>
      <c r="CB60" s="10"/>
      <c r="CC60" s="11"/>
    </row>
    <row r="61" spans="1:81">
      <c r="A61" s="9" t="s">
        <v>589</v>
      </c>
      <c r="B61" s="10"/>
      <c r="C61" s="10"/>
      <c r="D61" s="10"/>
      <c r="E61" s="10" t="s">
        <v>609</v>
      </c>
      <c r="F61" s="10"/>
      <c r="G61" s="10" t="s">
        <v>614</v>
      </c>
      <c r="H61" s="10"/>
      <c r="I61" s="10"/>
      <c r="J61" s="10"/>
      <c r="K61" s="10"/>
      <c r="L61" s="10" t="s">
        <v>609</v>
      </c>
      <c r="M61" s="10"/>
      <c r="N61" s="10" t="s">
        <v>637</v>
      </c>
      <c r="O61" s="10"/>
      <c r="P61" s="10"/>
      <c r="Q61" s="10"/>
      <c r="R61" s="10"/>
      <c r="S61" s="10"/>
      <c r="T61" s="10" t="s">
        <v>609</v>
      </c>
      <c r="U61" s="10"/>
      <c r="V61" s="10" t="s">
        <v>659</v>
      </c>
      <c r="W61" s="10"/>
      <c r="X61" s="10"/>
      <c r="Y61" s="10"/>
      <c r="Z61" s="10"/>
      <c r="AA61" s="10"/>
      <c r="AB61" s="10" t="s">
        <v>609</v>
      </c>
      <c r="AC61" s="10"/>
      <c r="AD61" s="10" t="s">
        <v>681</v>
      </c>
      <c r="AE61" s="10"/>
      <c r="AF61" s="10"/>
      <c r="AG61" s="10"/>
      <c r="AH61" s="10"/>
      <c r="AI61" s="10"/>
      <c r="AJ61" s="69">
        <f>-'Waste Collection'!$C$11*'Waste Collection'!I24/1000*(1-'Waste Collection'!$H$27-'Waste Collection'!$H$28)</f>
        <v>0</v>
      </c>
      <c r="AK61" s="10"/>
      <c r="AL61" s="10" t="s">
        <v>708</v>
      </c>
      <c r="AM61" s="10"/>
      <c r="AN61" s="10"/>
      <c r="AO61" s="10"/>
      <c r="AP61" s="10"/>
      <c r="AQ61" s="10"/>
      <c r="AR61" s="10">
        <f>-'Waste Collection'!$C$11*'Waste Collection'!J24/1000*(1-'Waste Collection'!$H$27-'Waste Collection'!$H$28)</f>
        <v>-2375</v>
      </c>
      <c r="AS61" s="10"/>
      <c r="AT61" s="10" t="s">
        <v>735</v>
      </c>
      <c r="AU61" s="10"/>
      <c r="AV61" s="10"/>
      <c r="AW61" s="10"/>
      <c r="AX61" s="10"/>
      <c r="AY61" s="10"/>
      <c r="AZ61" s="10" t="s">
        <v>609</v>
      </c>
      <c r="BA61" s="10"/>
      <c r="BB61" s="10" t="s">
        <v>754</v>
      </c>
      <c r="BC61" s="10"/>
      <c r="BD61" s="10"/>
      <c r="BE61" s="10"/>
      <c r="BF61" s="10"/>
      <c r="BG61" s="10"/>
      <c r="BH61" s="10">
        <f>-'Waste Collection'!$C$11*'Waste Collection'!F33/1000*(1-'Waste Collection'!E34)</f>
        <v>-24225</v>
      </c>
      <c r="BI61" s="10"/>
      <c r="BJ61" s="10" t="s">
        <v>780</v>
      </c>
      <c r="BK61" s="10"/>
      <c r="BL61" s="10"/>
      <c r="BM61" s="10"/>
      <c r="BN61" s="10"/>
      <c r="BO61" s="10" t="s">
        <v>609</v>
      </c>
      <c r="BP61" s="10"/>
      <c r="BQ61" s="10"/>
      <c r="BR61" s="10"/>
      <c r="BS61" s="10"/>
      <c r="BT61" s="10"/>
      <c r="BU61" s="10"/>
      <c r="BV61" s="10"/>
      <c r="BW61" s="10"/>
      <c r="BX61" s="10"/>
      <c r="BY61" s="10"/>
      <c r="BZ61" s="10"/>
      <c r="CA61" s="10"/>
      <c r="CB61" s="10"/>
      <c r="CC61" s="11"/>
    </row>
    <row r="62" spans="1:81">
      <c r="A62" s="9" t="s">
        <v>590</v>
      </c>
      <c r="B62" s="10"/>
      <c r="C62" s="10"/>
      <c r="D62" s="10"/>
      <c r="E62" s="10" t="s">
        <v>609</v>
      </c>
      <c r="F62" s="10"/>
      <c r="G62" s="10" t="s">
        <v>615</v>
      </c>
      <c r="H62" s="10"/>
      <c r="I62" s="10"/>
      <c r="J62" s="10"/>
      <c r="K62" s="10"/>
      <c r="L62" s="10" t="s">
        <v>609</v>
      </c>
      <c r="M62" s="10"/>
      <c r="N62" s="10" t="s">
        <v>638</v>
      </c>
      <c r="O62" s="10"/>
      <c r="P62" s="10"/>
      <c r="Q62" s="10"/>
      <c r="R62" s="10"/>
      <c r="S62" s="10"/>
      <c r="T62" s="10" t="s">
        <v>609</v>
      </c>
      <c r="U62" s="10"/>
      <c r="V62" s="10" t="s">
        <v>660</v>
      </c>
      <c r="W62" s="10"/>
      <c r="X62" s="10"/>
      <c r="Y62" s="10"/>
      <c r="Z62" s="10"/>
      <c r="AA62" s="10"/>
      <c r="AB62" s="10" t="s">
        <v>609</v>
      </c>
      <c r="AC62" s="10"/>
      <c r="AD62" s="10" t="s">
        <v>682</v>
      </c>
      <c r="AE62" s="10"/>
      <c r="AF62" s="10"/>
      <c r="AG62" s="10"/>
      <c r="AH62" s="10"/>
      <c r="AI62" s="10"/>
      <c r="AJ62" s="10" t="s">
        <v>609</v>
      </c>
      <c r="AK62" s="10"/>
      <c r="AL62" s="10" t="s">
        <v>709</v>
      </c>
      <c r="AM62" s="10"/>
      <c r="AN62" s="10"/>
      <c r="AO62" s="10"/>
      <c r="AP62" s="10"/>
      <c r="AQ62" s="10"/>
      <c r="AR62" s="10" t="s">
        <v>609</v>
      </c>
      <c r="AS62" s="10"/>
      <c r="AT62" s="10" t="s">
        <v>736</v>
      </c>
      <c r="AU62" s="10"/>
      <c r="AV62" s="10"/>
      <c r="AW62" s="10"/>
      <c r="AX62" s="10"/>
      <c r="AY62" s="10"/>
      <c r="AZ62" s="10" t="s">
        <v>609</v>
      </c>
      <c r="BA62" s="10"/>
      <c r="BB62" s="10" t="s">
        <v>755</v>
      </c>
      <c r="BC62" s="10"/>
      <c r="BD62" s="10"/>
      <c r="BE62" s="10"/>
      <c r="BF62" s="10"/>
      <c r="BG62" s="10"/>
      <c r="BH62" s="10">
        <f>-'Waste Collection'!$C$11*'Waste Collection'!L24/1000*'Waste Collection'!$H$27</f>
        <v>-593.75</v>
      </c>
      <c r="BI62" s="10"/>
      <c r="BJ62" s="10" t="s">
        <v>781</v>
      </c>
      <c r="BK62" s="10"/>
      <c r="BL62" s="10"/>
      <c r="BM62" s="10"/>
      <c r="BN62" s="10"/>
      <c r="BO62" s="10" t="s">
        <v>609</v>
      </c>
      <c r="BP62" s="10"/>
      <c r="BQ62" s="10"/>
      <c r="BR62" s="10"/>
      <c r="BS62" s="10"/>
      <c r="BT62" s="10"/>
      <c r="BU62" s="10"/>
      <c r="BV62" s="10"/>
      <c r="BW62" s="10"/>
      <c r="BX62" s="10"/>
      <c r="BY62" s="10"/>
      <c r="BZ62" s="10"/>
      <c r="CA62" s="10"/>
      <c r="CB62" s="10"/>
      <c r="CC62" s="11"/>
    </row>
    <row r="63" spans="1:81">
      <c r="A63" s="9" t="s">
        <v>591</v>
      </c>
      <c r="B63" s="10"/>
      <c r="C63" s="10"/>
      <c r="D63" s="10"/>
      <c r="E63" s="10" t="s">
        <v>609</v>
      </c>
      <c r="F63" s="10"/>
      <c r="G63" s="10" t="s">
        <v>616</v>
      </c>
      <c r="H63" s="10"/>
      <c r="I63" s="10"/>
      <c r="J63" s="10"/>
      <c r="K63" s="10"/>
      <c r="L63" s="10" t="s">
        <v>609</v>
      </c>
      <c r="M63" s="10"/>
      <c r="N63" s="10" t="s">
        <v>639</v>
      </c>
      <c r="O63" s="10"/>
      <c r="P63" s="10"/>
      <c r="Q63" s="10"/>
      <c r="R63" s="10"/>
      <c r="S63" s="10"/>
      <c r="T63" s="10" t="s">
        <v>609</v>
      </c>
      <c r="U63" s="10"/>
      <c r="V63" s="10" t="s">
        <v>661</v>
      </c>
      <c r="W63" s="10"/>
      <c r="X63" s="10"/>
      <c r="Y63" s="10"/>
      <c r="Z63" s="10"/>
      <c r="AA63" s="10"/>
      <c r="AB63" s="10" t="s">
        <v>609</v>
      </c>
      <c r="AC63" s="10"/>
      <c r="AD63" s="10" t="s">
        <v>683</v>
      </c>
      <c r="AE63" s="10"/>
      <c r="AF63" s="10"/>
      <c r="AG63" s="10"/>
      <c r="AH63" s="10"/>
      <c r="AI63" s="10"/>
      <c r="AJ63" s="10" t="s">
        <v>609</v>
      </c>
      <c r="AK63" s="10"/>
      <c r="AL63" s="10" t="s">
        <v>710</v>
      </c>
      <c r="AM63" s="10"/>
      <c r="AN63" s="10"/>
      <c r="AO63" s="10"/>
      <c r="AP63" s="10"/>
      <c r="AQ63" s="10"/>
      <c r="AR63" s="10" t="s">
        <v>609</v>
      </c>
      <c r="AS63" s="10"/>
      <c r="AT63" s="10" t="s">
        <v>737</v>
      </c>
      <c r="AU63" s="10"/>
      <c r="AV63" s="10"/>
      <c r="AW63" s="10"/>
      <c r="AX63" s="10"/>
      <c r="AY63" s="10"/>
      <c r="AZ63" s="69">
        <f>-'Waste Collection'!$G$11*'Waste Collection'!K48/1000</f>
        <v>0</v>
      </c>
      <c r="BA63" s="10"/>
      <c r="BB63" s="10" t="s">
        <v>756</v>
      </c>
      <c r="BC63" s="10"/>
      <c r="BD63" s="10"/>
      <c r="BE63" s="10"/>
      <c r="BF63" s="10"/>
      <c r="BG63" s="10"/>
      <c r="BH63" s="10" t="s">
        <v>609</v>
      </c>
      <c r="BI63" s="10"/>
      <c r="BJ63" s="10" t="s">
        <v>782</v>
      </c>
      <c r="BK63" s="10"/>
      <c r="BL63" s="10"/>
      <c r="BM63" s="10"/>
      <c r="BN63" s="10"/>
      <c r="BO63" s="10" t="s">
        <v>609</v>
      </c>
      <c r="BP63" s="10"/>
      <c r="BQ63" s="10"/>
      <c r="BR63" s="10"/>
      <c r="BS63" s="10"/>
      <c r="BT63" s="10"/>
      <c r="BU63" s="10"/>
      <c r="BV63" s="10"/>
      <c r="BW63" s="10"/>
      <c r="BX63" s="10"/>
      <c r="BY63" s="10"/>
      <c r="BZ63" s="10"/>
      <c r="CA63" s="10"/>
      <c r="CB63" s="10"/>
      <c r="CC63" s="11"/>
    </row>
    <row r="64" spans="1:81">
      <c r="A64" s="9" t="s">
        <v>592</v>
      </c>
      <c r="B64" s="10"/>
      <c r="C64" s="10"/>
      <c r="D64" s="10"/>
      <c r="E64" s="10" t="s">
        <v>609</v>
      </c>
      <c r="F64" s="10"/>
      <c r="G64" s="10" t="s">
        <v>617</v>
      </c>
      <c r="H64" s="10"/>
      <c r="I64" s="10"/>
      <c r="J64" s="10"/>
      <c r="K64" s="10"/>
      <c r="L64" s="10">
        <f>-'Waste Collection'!$G$11*'Waste Collection'!F48/1000</f>
        <v>-6250</v>
      </c>
      <c r="M64" s="10"/>
      <c r="N64" s="10" t="s">
        <v>640</v>
      </c>
      <c r="O64" s="10"/>
      <c r="P64" s="10"/>
      <c r="Q64" s="10"/>
      <c r="R64" s="10"/>
      <c r="S64" s="10"/>
      <c r="T64" s="10">
        <f>-'Waste Collection'!$G$11*'Waste Collection'!G48/1000</f>
        <v>-5000</v>
      </c>
      <c r="U64" s="10"/>
      <c r="V64" s="10" t="s">
        <v>662</v>
      </c>
      <c r="W64" s="10"/>
      <c r="X64" s="10"/>
      <c r="Y64" s="10"/>
      <c r="Z64" s="10"/>
      <c r="AA64" s="10"/>
      <c r="AB64" s="10">
        <f>-'Waste Collection'!$G$11*'Waste Collection'!H48/1000</f>
        <v>-1000</v>
      </c>
      <c r="AC64" s="10"/>
      <c r="AD64" s="10" t="s">
        <v>684</v>
      </c>
      <c r="AE64" s="10"/>
      <c r="AF64" s="10"/>
      <c r="AG64" s="10"/>
      <c r="AH64" s="10"/>
      <c r="AI64" s="10"/>
      <c r="AJ64" s="10" t="s">
        <v>609</v>
      </c>
      <c r="AK64" s="10"/>
      <c r="AL64" s="10" t="s">
        <v>711</v>
      </c>
      <c r="AM64" s="10"/>
      <c r="AN64" s="10"/>
      <c r="AO64" s="10"/>
      <c r="AP64" s="10"/>
      <c r="AQ64" s="10"/>
      <c r="AR64" s="10" t="s">
        <v>609</v>
      </c>
      <c r="AS64" s="10"/>
      <c r="AT64" s="10" t="s">
        <v>738</v>
      </c>
      <c r="AU64" s="10"/>
      <c r="AV64" s="10"/>
      <c r="AW64" s="10"/>
      <c r="AX64" s="10"/>
      <c r="AY64" s="10"/>
      <c r="AZ64" s="69">
        <f>-'Waste Collection'!$G$11*'Waste Collection'!K61/1000*(1-'Waste Collection'!$D$56-'Waste Collection'!$D$57)</f>
        <v>0</v>
      </c>
      <c r="BA64" s="10"/>
      <c r="BB64" s="10" t="s">
        <v>757</v>
      </c>
      <c r="BC64" s="10"/>
      <c r="BD64" s="10"/>
      <c r="BE64" s="10"/>
      <c r="BF64" s="10"/>
      <c r="BG64" s="10"/>
      <c r="BH64" s="10" t="s">
        <v>609</v>
      </c>
      <c r="BI64" s="10"/>
      <c r="BJ64" s="10" t="s">
        <v>783</v>
      </c>
      <c r="BK64" s="10"/>
      <c r="BL64" s="10"/>
      <c r="BM64" s="10"/>
      <c r="BN64" s="10"/>
      <c r="BO64" s="69">
        <f>-'Waste Collection'!$G$11*'Waste Collection'!L61*'Waste Collection'!$D$57</f>
        <v>0</v>
      </c>
      <c r="BP64" s="10"/>
      <c r="BQ64" s="10"/>
      <c r="BR64" s="10"/>
      <c r="BS64" s="10"/>
      <c r="BT64" s="10"/>
      <c r="BU64" s="10"/>
      <c r="BV64" s="10"/>
      <c r="BW64" s="10"/>
      <c r="BX64" s="10"/>
      <c r="BY64" s="10"/>
      <c r="BZ64" s="10"/>
      <c r="CA64" s="10"/>
      <c r="CB64" s="10"/>
      <c r="CC64" s="11"/>
    </row>
    <row r="65" spans="1:81">
      <c r="A65" s="9" t="s">
        <v>593</v>
      </c>
      <c r="B65" s="10"/>
      <c r="C65" s="10"/>
      <c r="D65" s="10"/>
      <c r="E65" s="10" t="s">
        <v>609</v>
      </c>
      <c r="F65" s="10"/>
      <c r="G65" s="10" t="s">
        <v>618</v>
      </c>
      <c r="H65" s="10"/>
      <c r="I65" s="10"/>
      <c r="J65" s="10"/>
      <c r="K65" s="10"/>
      <c r="L65" s="69">
        <f>-'Waste Collection'!$G$11*'Waste Collection'!F61/1000*(1-'Waste Collection'!$D$56-'Waste Collection'!$D$57)</f>
        <v>0</v>
      </c>
      <c r="M65" s="10"/>
      <c r="N65" s="10" t="s">
        <v>641</v>
      </c>
      <c r="O65" s="10"/>
      <c r="P65" s="10"/>
      <c r="Q65" s="10"/>
      <c r="R65" s="10"/>
      <c r="S65" s="10"/>
      <c r="T65" s="69">
        <f>-'Waste Collection'!$G$11*'Waste Collection'!G61/1000*(1-'Waste Collection'!$D$56-'Waste Collection'!$D$57)</f>
        <v>0</v>
      </c>
      <c r="U65" s="10"/>
      <c r="V65" s="10" t="s">
        <v>663</v>
      </c>
      <c r="W65" s="10"/>
      <c r="X65" s="10"/>
      <c r="Y65" s="10"/>
      <c r="Z65" s="10"/>
      <c r="AA65" s="10"/>
      <c r="AB65" s="69">
        <f>-'Waste Collection'!$G$11*'Waste Collection'!H61/1000*(1-'Waste Collection'!$D$56-'Waste Collection'!$D$57)</f>
        <v>0</v>
      </c>
      <c r="AC65" s="10"/>
      <c r="AD65" s="10" t="s">
        <v>685</v>
      </c>
      <c r="AE65" s="10"/>
      <c r="AF65" s="10"/>
      <c r="AG65" s="10"/>
      <c r="AH65" s="10"/>
      <c r="AI65" s="10"/>
      <c r="AJ65" s="10" t="s">
        <v>609</v>
      </c>
      <c r="AK65" s="10"/>
      <c r="AL65" s="10" t="s">
        <v>712</v>
      </c>
      <c r="AM65" s="10"/>
      <c r="AN65" s="10"/>
      <c r="AO65" s="10"/>
      <c r="AP65" s="10"/>
      <c r="AQ65" s="10"/>
      <c r="AR65" s="10" t="s">
        <v>609</v>
      </c>
      <c r="AS65" s="10"/>
      <c r="AT65" s="10" t="s">
        <v>739</v>
      </c>
      <c r="AU65" s="10"/>
      <c r="AV65" s="10"/>
      <c r="AW65" s="10"/>
      <c r="AX65" s="10"/>
      <c r="AY65" s="10"/>
      <c r="AZ65" s="10" t="s">
        <v>609</v>
      </c>
      <c r="BA65" s="10"/>
      <c r="BB65" s="10" t="s">
        <v>758</v>
      </c>
      <c r="BC65" s="10"/>
      <c r="BD65" s="10"/>
      <c r="BE65" s="10"/>
      <c r="BF65" s="10"/>
      <c r="BG65" s="10"/>
      <c r="BH65" s="10" t="s">
        <v>609</v>
      </c>
      <c r="BI65" s="10"/>
      <c r="BJ65" s="10" t="s">
        <v>784</v>
      </c>
      <c r="BK65" s="10"/>
      <c r="BL65" s="10"/>
      <c r="BM65" s="10"/>
      <c r="BN65" s="10"/>
      <c r="BO65" s="10" t="s">
        <v>609</v>
      </c>
      <c r="BP65" s="10"/>
      <c r="BQ65" s="10"/>
      <c r="BR65" s="10"/>
      <c r="BS65" s="10"/>
      <c r="BT65" s="10"/>
      <c r="BU65" s="10"/>
      <c r="BV65" s="10"/>
      <c r="BW65" s="10"/>
      <c r="BX65" s="10"/>
      <c r="BY65" s="10"/>
      <c r="BZ65" s="10"/>
      <c r="CA65" s="10"/>
      <c r="CB65" s="10"/>
      <c r="CC65" s="11"/>
    </row>
    <row r="66" spans="1:81">
      <c r="A66" s="9" t="s">
        <v>594</v>
      </c>
      <c r="B66" s="10"/>
      <c r="C66" s="10"/>
      <c r="D66" s="10"/>
      <c r="E66" s="10" t="s">
        <v>609</v>
      </c>
      <c r="F66" s="10"/>
      <c r="G66" s="10" t="s">
        <v>619</v>
      </c>
      <c r="H66" s="10"/>
      <c r="I66" s="10"/>
      <c r="J66" s="10"/>
      <c r="K66" s="10"/>
      <c r="L66" s="10" t="s">
        <v>609</v>
      </c>
      <c r="M66" s="10"/>
      <c r="N66" s="10" t="s">
        <v>642</v>
      </c>
      <c r="O66" s="10"/>
      <c r="P66" s="10"/>
      <c r="Q66" s="10"/>
      <c r="R66" s="10"/>
      <c r="S66" s="10"/>
      <c r="T66" s="10" t="s">
        <v>609</v>
      </c>
      <c r="U66" s="10"/>
      <c r="V66" s="10" t="s">
        <v>664</v>
      </c>
      <c r="W66" s="10"/>
      <c r="X66" s="10"/>
      <c r="Y66" s="10"/>
      <c r="Z66" s="10"/>
      <c r="AA66" s="10"/>
      <c r="AB66" s="10" t="s">
        <v>609</v>
      </c>
      <c r="AC66" s="10"/>
      <c r="AD66" s="10" t="s">
        <v>686</v>
      </c>
      <c r="AE66" s="10"/>
      <c r="AF66" s="10"/>
      <c r="AG66" s="10"/>
      <c r="AH66" s="10"/>
      <c r="AI66" s="10"/>
      <c r="AJ66" s="10" t="s">
        <v>609</v>
      </c>
      <c r="AK66" s="10"/>
      <c r="AL66" s="10" t="s">
        <v>713</v>
      </c>
      <c r="AM66" s="10"/>
      <c r="AN66" s="10"/>
      <c r="AO66" s="10"/>
      <c r="AP66" s="10"/>
      <c r="AQ66" s="10"/>
      <c r="AR66" s="10" t="s">
        <v>609</v>
      </c>
      <c r="AS66" s="10"/>
      <c r="AT66" s="10" t="s">
        <v>740</v>
      </c>
      <c r="AU66" s="10"/>
      <c r="AV66" s="10"/>
      <c r="AW66" s="10"/>
      <c r="AX66" s="10"/>
      <c r="AY66" s="10"/>
      <c r="AZ66" s="10" t="s">
        <v>609</v>
      </c>
      <c r="BA66" s="10"/>
      <c r="BB66" s="10" t="s">
        <v>759</v>
      </c>
      <c r="BC66" s="10"/>
      <c r="BD66" s="10"/>
      <c r="BE66" s="10"/>
      <c r="BF66" s="10"/>
      <c r="BG66" s="10"/>
      <c r="BH66" s="10" t="s">
        <v>609</v>
      </c>
      <c r="BI66" s="10"/>
      <c r="BJ66" s="10" t="s">
        <v>785</v>
      </c>
      <c r="BK66" s="10"/>
      <c r="BL66" s="10"/>
      <c r="BM66" s="10"/>
      <c r="BN66" s="10"/>
      <c r="BO66" s="10" t="s">
        <v>609</v>
      </c>
      <c r="BP66" s="10"/>
      <c r="BQ66" s="10"/>
      <c r="BR66" s="10"/>
      <c r="BS66" s="10"/>
      <c r="BT66" s="10"/>
      <c r="BU66" s="10"/>
      <c r="BV66" s="10"/>
      <c r="BW66" s="10"/>
      <c r="BX66" s="10"/>
      <c r="BY66" s="10"/>
      <c r="BZ66" s="10"/>
      <c r="CA66" s="10"/>
      <c r="CB66" s="10"/>
      <c r="CC66" s="11"/>
    </row>
    <row r="67" spans="1:81">
      <c r="A67" s="9" t="s">
        <v>595</v>
      </c>
      <c r="B67" s="10"/>
      <c r="C67" s="10"/>
      <c r="D67" s="10"/>
      <c r="E67" s="10">
        <f>-'Waste Collection'!$G$11*'Waste Collection'!E48/1000</f>
        <v>-6250</v>
      </c>
      <c r="F67" s="10"/>
      <c r="G67" s="10" t="s">
        <v>620</v>
      </c>
      <c r="H67" s="10"/>
      <c r="I67" s="10"/>
      <c r="J67" s="10"/>
      <c r="K67" s="10"/>
      <c r="L67" s="10" t="s">
        <v>609</v>
      </c>
      <c r="M67" s="10"/>
      <c r="N67" s="10" t="s">
        <v>643</v>
      </c>
      <c r="O67" s="10"/>
      <c r="P67" s="10"/>
      <c r="Q67" s="10"/>
      <c r="R67" s="10"/>
      <c r="S67" s="10"/>
      <c r="T67" s="10" t="s">
        <v>609</v>
      </c>
      <c r="U67" s="10"/>
      <c r="V67" s="10" t="s">
        <v>665</v>
      </c>
      <c r="W67" s="10"/>
      <c r="X67" s="10"/>
      <c r="Y67" s="10"/>
      <c r="Z67" s="10"/>
      <c r="AA67" s="10"/>
      <c r="AB67" s="10" t="s">
        <v>609</v>
      </c>
      <c r="AC67" s="10"/>
      <c r="AD67" s="10" t="s">
        <v>687</v>
      </c>
      <c r="AE67" s="10"/>
      <c r="AF67" s="10"/>
      <c r="AG67" s="10"/>
      <c r="AH67" s="10"/>
      <c r="AI67" s="10"/>
      <c r="AJ67" s="10" t="s">
        <v>609</v>
      </c>
      <c r="AK67" s="10"/>
      <c r="AL67" s="10" t="s">
        <v>714</v>
      </c>
      <c r="AM67" s="10"/>
      <c r="AN67" s="10"/>
      <c r="AO67" s="10"/>
      <c r="AP67" s="10"/>
      <c r="AQ67" s="10"/>
      <c r="AR67" s="10" t="s">
        <v>609</v>
      </c>
      <c r="AS67" s="10"/>
      <c r="AT67" s="10" t="s">
        <v>741</v>
      </c>
      <c r="AU67" s="10"/>
      <c r="AV67" s="10"/>
      <c r="AW67" s="10"/>
      <c r="AX67" s="10"/>
      <c r="AY67" s="10"/>
      <c r="AZ67" s="10" t="s">
        <v>609</v>
      </c>
      <c r="BA67" s="10"/>
      <c r="BB67" s="10" t="s">
        <v>760</v>
      </c>
      <c r="BC67" s="10"/>
      <c r="BD67" s="10"/>
      <c r="BE67" s="10"/>
      <c r="BF67" s="10"/>
      <c r="BG67" s="10"/>
      <c r="BH67" s="10" t="s">
        <v>609</v>
      </c>
      <c r="BI67" s="10"/>
      <c r="BJ67" s="10" t="s">
        <v>786</v>
      </c>
      <c r="BK67" s="10"/>
      <c r="BL67" s="10"/>
      <c r="BM67" s="10"/>
      <c r="BN67" s="10"/>
      <c r="BO67" s="10" t="s">
        <v>609</v>
      </c>
      <c r="BP67" s="10"/>
      <c r="BQ67" s="10"/>
      <c r="BR67" s="10"/>
      <c r="BS67" s="10"/>
      <c r="BT67" s="10"/>
      <c r="BU67" s="10"/>
      <c r="BV67" s="10"/>
      <c r="BW67" s="10"/>
      <c r="BX67" s="10"/>
      <c r="BY67" s="10"/>
      <c r="BZ67" s="10"/>
      <c r="CA67" s="10"/>
      <c r="CB67" s="10"/>
      <c r="CC67" s="11"/>
    </row>
    <row r="68" spans="1:81">
      <c r="A68" s="9" t="s">
        <v>596</v>
      </c>
      <c r="B68" s="10"/>
      <c r="C68" s="10"/>
      <c r="D68" s="10"/>
      <c r="E68" s="69">
        <f>-'Waste Collection'!$G$11*'Waste Collection'!E61/1000*(1-'Waste Collection'!$D$56-'Waste Collection'!$D$57)</f>
        <v>0</v>
      </c>
      <c r="F68" s="10"/>
      <c r="G68" s="10" t="s">
        <v>621</v>
      </c>
      <c r="H68" s="10"/>
      <c r="I68" s="10"/>
      <c r="J68" s="10"/>
      <c r="K68" s="10"/>
      <c r="L68" s="10" t="s">
        <v>609</v>
      </c>
      <c r="M68" s="10"/>
      <c r="N68" s="10" t="s">
        <v>644</v>
      </c>
      <c r="O68" s="10"/>
      <c r="P68" s="10"/>
      <c r="Q68" s="10"/>
      <c r="R68" s="10"/>
      <c r="S68" s="10"/>
      <c r="T68" s="10" t="s">
        <v>609</v>
      </c>
      <c r="U68" s="10"/>
      <c r="V68" s="10" t="s">
        <v>666</v>
      </c>
      <c r="W68" s="10"/>
      <c r="X68" s="10"/>
      <c r="Y68" s="10"/>
      <c r="Z68" s="10"/>
      <c r="AA68" s="10"/>
      <c r="AB68" s="10" t="s">
        <v>609</v>
      </c>
      <c r="AC68" s="10"/>
      <c r="AD68" s="10" t="s">
        <v>688</v>
      </c>
      <c r="AE68" s="10"/>
      <c r="AF68" s="10"/>
      <c r="AG68" s="10"/>
      <c r="AH68" s="10"/>
      <c r="AI68" s="10"/>
      <c r="AJ68" s="10">
        <f>-'Waste Collection'!$G$11*'Waste Collection'!I48/1000</f>
        <v>-250</v>
      </c>
      <c r="AK68" s="10"/>
      <c r="AL68" s="10" t="s">
        <v>715</v>
      </c>
      <c r="AM68" s="10"/>
      <c r="AN68" s="10"/>
      <c r="AO68" s="10"/>
      <c r="AP68" s="10"/>
      <c r="AQ68" s="10"/>
      <c r="AR68" s="10">
        <f>-'Waste Collection'!$G$11*'Waste Collection'!J48/1000</f>
        <v>-5000</v>
      </c>
      <c r="AS68" s="10"/>
      <c r="AT68" s="10" t="s">
        <v>742</v>
      </c>
      <c r="AU68" s="10"/>
      <c r="AV68" s="10"/>
      <c r="AW68" s="10"/>
      <c r="AX68" s="10"/>
      <c r="AY68" s="10"/>
      <c r="AZ68" s="10" t="s">
        <v>609</v>
      </c>
      <c r="BA68" s="10"/>
      <c r="BB68" s="10" t="s">
        <v>761</v>
      </c>
      <c r="BC68" s="10"/>
      <c r="BD68" s="10"/>
      <c r="BE68" s="10"/>
      <c r="BF68" s="10"/>
      <c r="BG68" s="10"/>
      <c r="BH68" s="10" t="s">
        <v>609</v>
      </c>
      <c r="BI68" s="10"/>
      <c r="BJ68" s="10" t="s">
        <v>787</v>
      </c>
      <c r="BK68" s="10"/>
      <c r="BL68" s="10"/>
      <c r="BM68" s="10"/>
      <c r="BN68" s="10"/>
      <c r="BO68" s="69">
        <f>-'Waste Input'!$B$8*'Waste Input'!G27/1000*(1-'Waste Collection'!J73)</f>
        <v>0</v>
      </c>
      <c r="BP68" s="10"/>
      <c r="BQ68" s="10"/>
      <c r="BR68" s="10"/>
      <c r="BS68" s="10"/>
      <c r="BT68" s="10"/>
      <c r="BU68" s="10"/>
      <c r="BV68" s="10"/>
      <c r="BW68" s="10"/>
      <c r="BX68" s="10"/>
      <c r="BY68" s="10"/>
      <c r="BZ68" s="10"/>
      <c r="CA68" s="10"/>
      <c r="CB68" s="10"/>
      <c r="CC68" s="11"/>
    </row>
    <row r="69" spans="1:81">
      <c r="A69" s="9" t="s">
        <v>597</v>
      </c>
      <c r="B69" s="10"/>
      <c r="C69" s="10"/>
      <c r="D69" s="10"/>
      <c r="E69" s="10" t="s">
        <v>609</v>
      </c>
      <c r="F69" s="10"/>
      <c r="G69" s="10" t="s">
        <v>622</v>
      </c>
      <c r="H69" s="10"/>
      <c r="I69" s="10"/>
      <c r="J69" s="10"/>
      <c r="K69" s="10"/>
      <c r="L69" s="10" t="s">
        <v>609</v>
      </c>
      <c r="M69" s="10"/>
      <c r="N69" s="10" t="s">
        <v>645</v>
      </c>
      <c r="O69" s="10"/>
      <c r="P69" s="10"/>
      <c r="Q69" s="10"/>
      <c r="R69" s="10"/>
      <c r="S69" s="10"/>
      <c r="T69" s="10" t="s">
        <v>609</v>
      </c>
      <c r="U69" s="10"/>
      <c r="V69" s="10" t="s">
        <v>667</v>
      </c>
      <c r="W69" s="10"/>
      <c r="X69" s="10"/>
      <c r="Y69" s="10"/>
      <c r="Z69" s="10"/>
      <c r="AA69" s="10"/>
      <c r="AB69" s="10" t="s">
        <v>609</v>
      </c>
      <c r="AC69" s="10"/>
      <c r="AD69" s="10" t="s">
        <v>689</v>
      </c>
      <c r="AE69" s="10"/>
      <c r="AF69" s="10"/>
      <c r="AG69" s="10"/>
      <c r="AH69" s="10"/>
      <c r="AI69" s="10"/>
      <c r="AJ69" s="69">
        <f>-'Waste Collection'!$G$11*'Waste Collection'!I61/1000*(1-'Waste Collection'!$D$56-'Waste Collection'!$D$57)</f>
        <v>0</v>
      </c>
      <c r="AK69" s="10"/>
      <c r="AL69" s="10" t="s">
        <v>716</v>
      </c>
      <c r="AM69" s="10"/>
      <c r="AN69" s="10"/>
      <c r="AO69" s="10"/>
      <c r="AP69" s="10"/>
      <c r="AQ69" s="10"/>
      <c r="AR69" s="69">
        <f>-'Waste Collection'!$G$11*'Waste Collection'!J61/1000*(1-'Waste Collection'!$D$56-'Waste Collection'!$D$57)</f>
        <v>0</v>
      </c>
      <c r="AS69" s="10"/>
      <c r="AT69" s="10" t="s">
        <v>743</v>
      </c>
      <c r="AU69" s="10"/>
      <c r="AV69" s="10"/>
      <c r="AW69" s="10"/>
      <c r="AX69" s="10"/>
      <c r="AY69" s="10"/>
      <c r="AZ69" s="10" t="s">
        <v>609</v>
      </c>
      <c r="BA69" s="10"/>
      <c r="BB69" s="10" t="s">
        <v>762</v>
      </c>
      <c r="BC69" s="10"/>
      <c r="BD69" s="10"/>
      <c r="BE69" s="10"/>
      <c r="BF69" s="10"/>
      <c r="BG69" s="10"/>
      <c r="BH69" s="69">
        <f>-'Waste Collection'!$G$11*'Waste Collection'!L48/1000</f>
        <v>0</v>
      </c>
      <c r="BI69" s="10"/>
      <c r="BJ69" s="10" t="s">
        <v>788</v>
      </c>
      <c r="BK69" s="10"/>
      <c r="BL69" s="10"/>
      <c r="BM69" s="10"/>
      <c r="BN69" s="10"/>
      <c r="BO69" s="10" t="s">
        <v>513</v>
      </c>
      <c r="BP69" s="10"/>
      <c r="BQ69" s="10"/>
      <c r="BR69" s="10"/>
      <c r="BS69" s="10"/>
      <c r="BT69" s="10"/>
      <c r="BU69" s="10"/>
      <c r="BV69" s="10"/>
      <c r="BW69" s="10"/>
      <c r="BX69" s="10"/>
      <c r="BY69" s="10"/>
      <c r="BZ69" s="10"/>
      <c r="CA69" s="10"/>
      <c r="CB69" s="10"/>
      <c r="CC69" s="11"/>
    </row>
    <row r="70" spans="1:81">
      <c r="A70" s="9" t="s">
        <v>598</v>
      </c>
      <c r="B70" s="10"/>
      <c r="C70" s="10"/>
      <c r="D70" s="10"/>
      <c r="E70" s="10" t="s">
        <v>609</v>
      </c>
      <c r="F70" s="10"/>
      <c r="G70" s="10" t="s">
        <v>623</v>
      </c>
      <c r="H70" s="10"/>
      <c r="I70" s="10"/>
      <c r="J70" s="10"/>
      <c r="K70" s="10"/>
      <c r="L70" s="10" t="s">
        <v>609</v>
      </c>
      <c r="M70" s="10"/>
      <c r="N70" s="10" t="s">
        <v>646</v>
      </c>
      <c r="O70" s="10"/>
      <c r="P70" s="10"/>
      <c r="Q70" s="10"/>
      <c r="R70" s="10"/>
      <c r="S70" s="10"/>
      <c r="T70" s="10" t="s">
        <v>609</v>
      </c>
      <c r="U70" s="10"/>
      <c r="V70" s="10" t="s">
        <v>668</v>
      </c>
      <c r="W70" s="10"/>
      <c r="X70" s="10"/>
      <c r="Y70" s="10"/>
      <c r="Z70" s="10"/>
      <c r="AA70" s="10"/>
      <c r="AB70" s="10" t="s">
        <v>609</v>
      </c>
      <c r="AC70" s="10"/>
      <c r="AD70" s="10" t="s">
        <v>690</v>
      </c>
      <c r="AE70" s="10"/>
      <c r="AF70" s="10"/>
      <c r="AG70" s="10"/>
      <c r="AH70" s="10"/>
      <c r="AI70" s="10"/>
      <c r="AJ70" s="10" t="s">
        <v>609</v>
      </c>
      <c r="AK70" s="10"/>
      <c r="AL70" s="10" t="s">
        <v>717</v>
      </c>
      <c r="AM70" s="10"/>
      <c r="AN70" s="10"/>
      <c r="AO70" s="10"/>
      <c r="AP70" s="10"/>
      <c r="AQ70" s="10"/>
      <c r="AR70" s="10" t="s">
        <v>609</v>
      </c>
      <c r="AS70" s="10"/>
      <c r="AT70" s="10" t="s">
        <v>744</v>
      </c>
      <c r="AU70" s="10"/>
      <c r="AV70" s="10"/>
      <c r="AW70" s="10"/>
      <c r="AX70" s="10"/>
      <c r="AY70" s="10"/>
      <c r="AZ70" s="10" t="s">
        <v>609</v>
      </c>
      <c r="BA70" s="10"/>
      <c r="BB70" s="10" t="s">
        <v>763</v>
      </c>
      <c r="BC70" s="10"/>
      <c r="BD70" s="10"/>
      <c r="BE70" s="10"/>
      <c r="BF70" s="10"/>
      <c r="BG70" s="10"/>
      <c r="BH70" s="69">
        <f>-'Waste Collection'!$G$11*'Waste Collection'!L61/1000*'Waste Collection'!$D$56</f>
        <v>0</v>
      </c>
      <c r="BI70" s="10"/>
      <c r="BJ70" s="10" t="s">
        <v>789</v>
      </c>
      <c r="BK70" s="10"/>
      <c r="BL70" s="10"/>
      <c r="BM70" s="10"/>
      <c r="BN70" s="10"/>
      <c r="BO70" s="69">
        <f>-'Waste Collection'!L92*'Waste Collection'!$F$115</f>
        <v>0</v>
      </c>
      <c r="BP70" s="10"/>
      <c r="BQ70" s="10"/>
      <c r="BR70" s="10"/>
      <c r="BS70" s="10"/>
      <c r="BT70" s="10"/>
      <c r="BU70" s="10"/>
      <c r="BV70" s="10"/>
      <c r="BW70" s="10"/>
      <c r="BX70" s="10"/>
      <c r="BY70" s="10"/>
      <c r="BZ70" s="10"/>
      <c r="CA70" s="10"/>
      <c r="CB70" s="10"/>
      <c r="CC70" s="11"/>
    </row>
    <row r="71" spans="1:81">
      <c r="A71" s="9" t="s">
        <v>599</v>
      </c>
      <c r="B71" s="10"/>
      <c r="C71" s="10"/>
      <c r="D71" s="10"/>
      <c r="E71" s="10" t="s">
        <v>609</v>
      </c>
      <c r="F71" s="10"/>
      <c r="G71" s="10" t="s">
        <v>624</v>
      </c>
      <c r="H71" s="10"/>
      <c r="I71" s="10"/>
      <c r="J71" s="10"/>
      <c r="K71" s="10"/>
      <c r="L71" s="10" t="s">
        <v>609</v>
      </c>
      <c r="M71" s="10"/>
      <c r="N71" s="10" t="s">
        <v>647</v>
      </c>
      <c r="O71" s="10"/>
      <c r="P71" s="10"/>
      <c r="Q71" s="10"/>
      <c r="R71" s="10"/>
      <c r="S71" s="10"/>
      <c r="T71" s="10" t="s">
        <v>609</v>
      </c>
      <c r="U71" s="10"/>
      <c r="V71" s="10" t="s">
        <v>669</v>
      </c>
      <c r="W71" s="10"/>
      <c r="X71" s="10"/>
      <c r="Y71" s="10"/>
      <c r="Z71" s="10"/>
      <c r="AA71" s="10"/>
      <c r="AB71" s="10" t="s">
        <v>609</v>
      </c>
      <c r="AC71" s="10"/>
      <c r="AD71" s="10" t="s">
        <v>691</v>
      </c>
      <c r="AE71" s="10"/>
      <c r="AF71" s="10"/>
      <c r="AG71" s="10"/>
      <c r="AH71" s="10"/>
      <c r="AI71" s="10"/>
      <c r="AJ71" s="10" t="s">
        <v>609</v>
      </c>
      <c r="AK71" s="10"/>
      <c r="AL71" s="10" t="s">
        <v>718</v>
      </c>
      <c r="AM71" s="10"/>
      <c r="AN71" s="10"/>
      <c r="AO71" s="10"/>
      <c r="AP71" s="10"/>
      <c r="AQ71" s="10"/>
      <c r="AR71" s="10" t="s">
        <v>609</v>
      </c>
      <c r="AS71" s="10"/>
      <c r="AT71" s="10" t="s">
        <v>745</v>
      </c>
      <c r="AU71" s="10"/>
      <c r="AV71" s="10"/>
      <c r="AW71" s="10"/>
      <c r="AX71" s="10"/>
      <c r="AY71" s="10"/>
      <c r="AZ71" s="69">
        <f>-'Waste Collection'!K92*(1-'Waste Collection'!$F$114-'Waste Collection'!$F$115)</f>
        <v>0</v>
      </c>
      <c r="BA71" s="10"/>
      <c r="BB71" s="10" t="s">
        <v>764</v>
      </c>
      <c r="BC71" s="10"/>
      <c r="BD71" s="10"/>
      <c r="BE71" s="10"/>
      <c r="BF71" s="10"/>
      <c r="BG71" s="10"/>
      <c r="BH71" s="10" t="s">
        <v>609</v>
      </c>
      <c r="BI71" s="10"/>
      <c r="BJ71" s="10" t="s">
        <v>790</v>
      </c>
      <c r="BK71" s="10"/>
      <c r="BL71" s="10"/>
      <c r="BM71" s="10"/>
      <c r="BN71" s="10"/>
      <c r="BO71" s="69">
        <f>-'MRF &amp; RDF Sorting'!J67*'MRF &amp; RDF Sorting'!$D$75</f>
        <v>0</v>
      </c>
      <c r="BP71" s="10"/>
      <c r="BQ71" s="10"/>
      <c r="BR71" s="10"/>
      <c r="BS71" s="10"/>
      <c r="BT71" s="10"/>
      <c r="BU71" s="10"/>
      <c r="BV71" s="10"/>
      <c r="BW71" s="10"/>
      <c r="BX71" s="10"/>
      <c r="BY71" s="10"/>
      <c r="BZ71" s="10"/>
      <c r="CA71" s="10"/>
      <c r="CB71" s="10"/>
      <c r="CC71" s="11"/>
    </row>
    <row r="72" spans="1:81">
      <c r="A72" s="9" t="s">
        <v>600</v>
      </c>
      <c r="B72" s="10"/>
      <c r="C72" s="10"/>
      <c r="D72" s="10"/>
      <c r="E72" s="10" t="s">
        <v>609</v>
      </c>
      <c r="F72" s="10"/>
      <c r="G72" s="10" t="s">
        <v>625</v>
      </c>
      <c r="H72" s="10"/>
      <c r="I72" s="10"/>
      <c r="J72" s="10"/>
      <c r="K72" s="10"/>
      <c r="L72" s="69">
        <f>-'Waste Input'!$B$8*'Waste Input'!B27/1000*'Waste Collection'!E73</f>
        <v>0</v>
      </c>
      <c r="M72" s="10"/>
      <c r="N72" s="10" t="s">
        <v>648</v>
      </c>
      <c r="O72" s="10"/>
      <c r="P72" s="10"/>
      <c r="Q72" s="10"/>
      <c r="R72" s="10"/>
      <c r="S72" s="10"/>
      <c r="T72" s="69">
        <f>-'Waste Input'!$B$8*'Waste Input'!C27/1000*'Waste Collection'!F73</f>
        <v>0</v>
      </c>
      <c r="U72" s="10"/>
      <c r="V72" s="10" t="s">
        <v>670</v>
      </c>
      <c r="W72" s="10"/>
      <c r="X72" s="10"/>
      <c r="Y72" s="10"/>
      <c r="Z72" s="10"/>
      <c r="AA72" s="10"/>
      <c r="AB72" s="69">
        <f>-'Waste Input'!$B$8*'Waste Input'!D27/1000*'Waste Collection'!G73</f>
        <v>0</v>
      </c>
      <c r="AC72" s="10"/>
      <c r="AD72" s="10" t="s">
        <v>692</v>
      </c>
      <c r="AE72" s="10"/>
      <c r="AF72" s="10"/>
      <c r="AG72" s="10"/>
      <c r="AH72" s="10"/>
      <c r="AI72" s="10"/>
      <c r="AJ72" s="10" t="s">
        <v>609</v>
      </c>
      <c r="AK72" s="10"/>
      <c r="AL72" s="10" t="s">
        <v>719</v>
      </c>
      <c r="AM72" s="10"/>
      <c r="AN72" s="10"/>
      <c r="AO72" s="10"/>
      <c r="AP72" s="10"/>
      <c r="AQ72" s="10"/>
      <c r="AR72" s="10" t="s">
        <v>609</v>
      </c>
      <c r="AS72" s="10"/>
      <c r="AT72" s="10" t="s">
        <v>746</v>
      </c>
      <c r="AU72" s="10"/>
      <c r="AV72" s="10"/>
      <c r="AW72" s="10"/>
      <c r="AX72" s="10"/>
      <c r="AY72" s="10"/>
      <c r="AZ72" s="69">
        <f>-'MRF &amp; RDF Sorting'!H67*'MRF &amp; RDF Sorting'!$D$75</f>
        <v>0</v>
      </c>
      <c r="BA72" s="10"/>
      <c r="BB72" s="10" t="s">
        <v>765</v>
      </c>
      <c r="BC72" s="10"/>
      <c r="BD72" s="10"/>
      <c r="BE72" s="10"/>
      <c r="BF72" s="10"/>
      <c r="BG72" s="10"/>
      <c r="BH72" s="10" t="s">
        <v>609</v>
      </c>
      <c r="BI72" s="10"/>
      <c r="BJ72" s="10" t="s">
        <v>791</v>
      </c>
      <c r="BK72" s="10"/>
      <c r="BL72" s="10"/>
      <c r="BM72" s="10"/>
      <c r="BN72" s="10"/>
      <c r="BO72" s="69">
        <f>-'MRF &amp; RDF Sorting'!J128*'MRF &amp; RDF Sorting'!$D$136</f>
        <v>0</v>
      </c>
      <c r="BP72" s="10"/>
      <c r="BQ72" s="10"/>
      <c r="BR72" s="10"/>
      <c r="BS72" s="10"/>
      <c r="BT72" s="10"/>
      <c r="BU72" s="10"/>
      <c r="BV72" s="10"/>
      <c r="BW72" s="10"/>
      <c r="BX72" s="10"/>
      <c r="BY72" s="10"/>
      <c r="BZ72" s="10"/>
      <c r="CA72" s="10"/>
      <c r="CB72" s="10"/>
      <c r="CC72" s="11"/>
    </row>
    <row r="73" spans="1:81">
      <c r="A73" s="9" t="s">
        <v>601</v>
      </c>
      <c r="B73" s="10"/>
      <c r="C73" s="10"/>
      <c r="D73" s="10"/>
      <c r="E73" s="10" t="s">
        <v>609</v>
      </c>
      <c r="F73" s="10"/>
      <c r="G73" s="10" t="s">
        <v>626</v>
      </c>
      <c r="H73" s="10"/>
      <c r="I73" s="10"/>
      <c r="J73" s="10"/>
      <c r="K73" s="10"/>
      <c r="L73" s="10">
        <f>-'Waste Input'!$B$8*'Waste Input'!B27/1000*(1-'Waste Collection'!E73)</f>
        <v>-1250</v>
      </c>
      <c r="M73" s="10"/>
      <c r="N73" s="10" t="s">
        <v>649</v>
      </c>
      <c r="O73" s="10"/>
      <c r="P73" s="10"/>
      <c r="Q73" s="10"/>
      <c r="R73" s="10"/>
      <c r="S73" s="10"/>
      <c r="T73" s="10">
        <f>-'Waste Input'!$B$8*'Waste Input'!C27/1000*(1-'Waste Collection'!F73)</f>
        <v>-2500</v>
      </c>
      <c r="U73" s="10"/>
      <c r="V73" s="10" t="s">
        <v>671</v>
      </c>
      <c r="W73" s="10"/>
      <c r="X73" s="10"/>
      <c r="Y73" s="10"/>
      <c r="Z73" s="10"/>
      <c r="AA73" s="10"/>
      <c r="AB73" s="10">
        <f>-'Waste Input'!$B$8*'Waste Input'!D27/1000*(1-'Waste Collection'!G73)</f>
        <v>-1250</v>
      </c>
      <c r="AC73" s="10"/>
      <c r="AD73" s="10" t="s">
        <v>693</v>
      </c>
      <c r="AE73" s="10"/>
      <c r="AF73" s="10"/>
      <c r="AG73" s="10"/>
      <c r="AH73" s="10"/>
      <c r="AI73" s="10"/>
      <c r="AJ73" s="10" t="s">
        <v>609</v>
      </c>
      <c r="AK73" s="10"/>
      <c r="AL73" s="10" t="s">
        <v>720</v>
      </c>
      <c r="AM73" s="10"/>
      <c r="AN73" s="10"/>
      <c r="AO73" s="10"/>
      <c r="AP73" s="10"/>
      <c r="AQ73" s="10"/>
      <c r="AR73" s="10" t="s">
        <v>609</v>
      </c>
      <c r="AS73" s="10"/>
      <c r="AT73" s="10" t="s">
        <v>747</v>
      </c>
      <c r="AU73" s="10"/>
      <c r="AV73" s="10"/>
      <c r="AW73" s="10"/>
      <c r="AX73" s="10"/>
      <c r="AY73" s="10"/>
      <c r="AZ73" s="69">
        <f>-'MRF &amp; RDF Sorting'!H128*'MRF &amp; RDF Sorting'!$D$136</f>
        <v>0</v>
      </c>
      <c r="BA73" s="10"/>
      <c r="BB73" s="10" t="s">
        <v>766</v>
      </c>
      <c r="BC73" s="10"/>
      <c r="BD73" s="10"/>
      <c r="BE73" s="10"/>
      <c r="BF73" s="10"/>
      <c r="BG73" s="10"/>
      <c r="BH73" s="10" t="s">
        <v>609</v>
      </c>
      <c r="BI73" s="10"/>
      <c r="BJ73" s="10" t="s">
        <v>792</v>
      </c>
      <c r="BK73" s="10"/>
      <c r="BL73" s="10"/>
      <c r="BM73" s="10"/>
      <c r="BN73" s="10"/>
      <c r="BO73" s="69">
        <f>-'Biological Treatment'!J17</f>
        <v>0</v>
      </c>
      <c r="BP73" s="10"/>
      <c r="BQ73" s="10"/>
      <c r="BR73" s="10"/>
      <c r="BS73" s="10"/>
      <c r="BT73" s="10"/>
      <c r="BU73" s="10"/>
      <c r="BV73" s="10"/>
      <c r="BW73" s="10"/>
      <c r="BX73" s="10"/>
      <c r="BY73" s="10"/>
      <c r="BZ73" s="10"/>
      <c r="CA73" s="10"/>
      <c r="CB73" s="10"/>
      <c r="CC73" s="11"/>
    </row>
    <row r="74" spans="1:81">
      <c r="A74" s="9" t="s">
        <v>602</v>
      </c>
      <c r="B74" s="10"/>
      <c r="C74" s="10"/>
      <c r="D74" s="10"/>
      <c r="E74" s="10" t="s">
        <v>609</v>
      </c>
      <c r="F74" s="10"/>
      <c r="G74" s="10" t="s">
        <v>627</v>
      </c>
      <c r="H74" s="10"/>
      <c r="I74" s="10"/>
      <c r="J74" s="10"/>
      <c r="K74" s="10"/>
      <c r="L74" s="69">
        <f>-'Waste Collection'!F92*(1-'Waste Collection'!$F$114-'Waste Collection'!$F$115)</f>
        <v>0</v>
      </c>
      <c r="M74" s="10"/>
      <c r="N74" s="10" t="s">
        <v>650</v>
      </c>
      <c r="O74" s="10"/>
      <c r="P74" s="10"/>
      <c r="Q74" s="10"/>
      <c r="R74" s="10"/>
      <c r="S74" s="10"/>
      <c r="T74" s="69">
        <f>-'Waste Collection'!G92*(1-'Waste Collection'!$F$114-'Waste Collection'!$F$115)</f>
        <v>0</v>
      </c>
      <c r="U74" s="10"/>
      <c r="V74" s="10" t="s">
        <v>672</v>
      </c>
      <c r="W74" s="10"/>
      <c r="X74" s="10"/>
      <c r="Y74" s="10"/>
      <c r="Z74" s="10"/>
      <c r="AA74" s="10"/>
      <c r="AB74" s="69">
        <f>-'Waste Collection'!H92*(1-'Waste Collection'!$F$114-'Waste Collection'!$F$115)</f>
        <v>0</v>
      </c>
      <c r="AC74" s="10"/>
      <c r="AD74" s="10" t="s">
        <v>694</v>
      </c>
      <c r="AE74" s="10"/>
      <c r="AF74" s="10"/>
      <c r="AG74" s="10"/>
      <c r="AH74" s="10"/>
      <c r="AI74" s="10"/>
      <c r="AJ74" s="10" t="s">
        <v>609</v>
      </c>
      <c r="AK74" s="10"/>
      <c r="AL74" s="10" t="s">
        <v>721</v>
      </c>
      <c r="AM74" s="10"/>
      <c r="AN74" s="10"/>
      <c r="AO74" s="10"/>
      <c r="AP74" s="10"/>
      <c r="AQ74" s="10"/>
      <c r="AR74" s="10" t="s">
        <v>609</v>
      </c>
      <c r="AS74" s="10"/>
      <c r="AT74" s="10" t="s">
        <v>748</v>
      </c>
      <c r="AU74" s="10"/>
      <c r="AV74" s="10"/>
      <c r="AW74" s="10"/>
      <c r="AX74" s="10"/>
      <c r="AY74" s="10"/>
      <c r="AZ74" s="69">
        <f>-'Biological Treatment'!H17</f>
        <v>0</v>
      </c>
      <c r="BA74" s="10"/>
      <c r="BB74" s="10" t="s">
        <v>767</v>
      </c>
      <c r="BC74" s="10"/>
      <c r="BD74" s="10"/>
      <c r="BE74" s="10"/>
      <c r="BF74" s="10"/>
      <c r="BG74" s="10"/>
      <c r="BH74" s="10" t="s">
        <v>609</v>
      </c>
      <c r="BI74" s="10"/>
      <c r="BJ74" s="10" t="s">
        <v>793</v>
      </c>
      <c r="BK74" s="10"/>
      <c r="BL74" s="10"/>
      <c r="BM74" s="10"/>
      <c r="BN74" s="10"/>
      <c r="BO74" s="10">
        <f>-'Thermal Treatment'!J14</f>
        <v>-27606.25</v>
      </c>
      <c r="BP74" s="10"/>
      <c r="BQ74" s="10"/>
      <c r="BR74" s="10"/>
      <c r="BS74" s="10"/>
      <c r="BT74" s="10"/>
      <c r="BU74" s="10"/>
      <c r="BV74" s="10"/>
      <c r="BW74" s="10"/>
      <c r="BX74" s="10"/>
      <c r="BY74" s="10"/>
      <c r="BZ74" s="10"/>
      <c r="CA74" s="10"/>
      <c r="CB74" s="10"/>
      <c r="CC74" s="11"/>
    </row>
    <row r="75" spans="1:81">
      <c r="A75" s="9" t="s">
        <v>603</v>
      </c>
      <c r="B75" s="10"/>
      <c r="C75" s="10"/>
      <c r="D75" s="10"/>
      <c r="E75" s="69">
        <f>-'Waste Collection'!E103*(1-'Waste Collection'!$F$113)</f>
        <v>0</v>
      </c>
      <c r="F75" s="10"/>
      <c r="G75" s="10" t="s">
        <v>628</v>
      </c>
      <c r="H75" s="10"/>
      <c r="I75" s="10"/>
      <c r="J75" s="10"/>
      <c r="K75" s="10"/>
      <c r="L75" s="69">
        <f>-'MRF &amp; RDF Sorting'!C67*'MRF &amp; RDF Sorting'!$D$75</f>
        <v>0</v>
      </c>
      <c r="M75" s="10"/>
      <c r="N75" s="10" t="s">
        <v>651</v>
      </c>
      <c r="O75" s="10"/>
      <c r="P75" s="10"/>
      <c r="Q75" s="10"/>
      <c r="R75" s="10"/>
      <c r="S75" s="10"/>
      <c r="T75" s="69">
        <f>-'MRF &amp; RDF Sorting'!D67*'MRF &amp; RDF Sorting'!$D$75</f>
        <v>0</v>
      </c>
      <c r="U75" s="10"/>
      <c r="V75" s="10" t="s">
        <v>673</v>
      </c>
      <c r="W75" s="10"/>
      <c r="X75" s="10"/>
      <c r="Y75" s="10"/>
      <c r="Z75" s="10"/>
      <c r="AA75" s="10"/>
      <c r="AB75" s="69">
        <f>-'MRF &amp; RDF Sorting'!E67*'MRF &amp; RDF Sorting'!$D$75</f>
        <v>0</v>
      </c>
      <c r="AC75" s="10"/>
      <c r="AD75" s="10" t="s">
        <v>695</v>
      </c>
      <c r="AE75" s="10"/>
      <c r="AF75" s="10"/>
      <c r="AG75" s="10"/>
      <c r="AH75" s="10"/>
      <c r="AI75" s="10"/>
      <c r="AJ75" s="10" t="s">
        <v>609</v>
      </c>
      <c r="AK75" s="10"/>
      <c r="AL75" s="10" t="s">
        <v>722</v>
      </c>
      <c r="AM75" s="10"/>
      <c r="AN75" s="10"/>
      <c r="AO75" s="10"/>
      <c r="AP75" s="10"/>
      <c r="AQ75" s="10"/>
      <c r="AR75" s="10" t="s">
        <v>609</v>
      </c>
      <c r="AS75" s="10"/>
      <c r="AT75" s="10" t="s">
        <v>749</v>
      </c>
      <c r="AU75" s="10"/>
      <c r="AV75" s="10"/>
      <c r="AW75" s="10"/>
      <c r="AX75" s="10"/>
      <c r="AY75" s="10"/>
      <c r="AZ75" s="10">
        <f>-'Thermal Treatment'!H14</f>
        <v>-3900</v>
      </c>
      <c r="BA75" s="10"/>
      <c r="BB75" s="10" t="s">
        <v>768</v>
      </c>
      <c r="BC75" s="10"/>
      <c r="BD75" s="10"/>
      <c r="BE75" s="10"/>
      <c r="BF75" s="10"/>
      <c r="BG75" s="10"/>
      <c r="BH75" s="10" t="s">
        <v>609</v>
      </c>
      <c r="BI75" s="10"/>
      <c r="BJ75" s="10"/>
      <c r="BK75" s="10"/>
      <c r="BL75" s="10"/>
      <c r="BM75" s="10"/>
      <c r="BN75" s="10"/>
      <c r="BO75" s="10"/>
      <c r="BP75" s="10"/>
      <c r="BQ75" s="10"/>
      <c r="BR75" s="10"/>
      <c r="BS75" s="10"/>
      <c r="BT75" s="10"/>
      <c r="BU75" s="10"/>
      <c r="BV75" s="10"/>
      <c r="BW75" s="10"/>
      <c r="BX75" s="10"/>
      <c r="BY75" s="10"/>
      <c r="BZ75" s="10"/>
      <c r="CA75" s="10"/>
      <c r="CB75" s="10"/>
      <c r="CC75" s="11"/>
    </row>
    <row r="76" spans="1:81">
      <c r="A76" s="9" t="s">
        <v>604</v>
      </c>
      <c r="B76" s="10"/>
      <c r="C76" s="10"/>
      <c r="D76" s="10"/>
      <c r="E76" s="69">
        <f>-'Waste Collection'!E92*(1-'Waste Collection'!$F$114-'Waste Collection'!$F$115)</f>
        <v>0</v>
      </c>
      <c r="F76" s="10"/>
      <c r="G76" s="10" t="s">
        <v>629</v>
      </c>
      <c r="H76" s="10"/>
      <c r="I76" s="10"/>
      <c r="J76" s="10"/>
      <c r="K76" s="10"/>
      <c r="L76" s="69">
        <f>-'MRF &amp; RDF Sorting'!C128*'MRF &amp; RDF Sorting'!$D$136</f>
        <v>0</v>
      </c>
      <c r="M76" s="10"/>
      <c r="N76" s="10" t="s">
        <v>652</v>
      </c>
      <c r="O76" s="10"/>
      <c r="P76" s="10"/>
      <c r="Q76" s="10"/>
      <c r="R76" s="10"/>
      <c r="S76" s="10"/>
      <c r="T76" s="69">
        <f>-'MRF &amp; RDF Sorting'!D128*'MRF &amp; RDF Sorting'!$D$136</f>
        <v>0</v>
      </c>
      <c r="U76" s="10"/>
      <c r="V76" s="10" t="s">
        <v>674</v>
      </c>
      <c r="W76" s="10"/>
      <c r="X76" s="10"/>
      <c r="Y76" s="10"/>
      <c r="Z76" s="10"/>
      <c r="AA76" s="10"/>
      <c r="AB76" s="69">
        <f>-'MRF &amp; RDF Sorting'!E128*'MRF &amp; RDF Sorting'!$D$136</f>
        <v>0</v>
      </c>
      <c r="AC76" s="10"/>
      <c r="AD76" s="10" t="s">
        <v>696</v>
      </c>
      <c r="AE76" s="10"/>
      <c r="AF76" s="10"/>
      <c r="AG76" s="10"/>
      <c r="AH76" s="10"/>
      <c r="AI76" s="10"/>
      <c r="AJ76" s="69">
        <f>-'Waste Input'!$B$8*'Waste Input'!E27/1000*'Waste Collection'!H73</f>
        <v>0</v>
      </c>
      <c r="AK76" s="10"/>
      <c r="AL76" s="10" t="s">
        <v>723</v>
      </c>
      <c r="AM76" s="10"/>
      <c r="AN76" s="10"/>
      <c r="AO76" s="10"/>
      <c r="AP76" s="10"/>
      <c r="AQ76" s="10"/>
      <c r="AR76" s="69">
        <f>-'Waste Input'!$B$8*'Waste Input'!F27/1000*'Waste Collection'!I73</f>
        <v>0</v>
      </c>
      <c r="AS76" s="10"/>
      <c r="AT76" s="10"/>
      <c r="AU76" s="10"/>
      <c r="AV76" s="10"/>
      <c r="AW76" s="10"/>
      <c r="AX76" s="10"/>
      <c r="AY76" s="10"/>
      <c r="AZ76" s="10"/>
      <c r="BA76" s="10"/>
      <c r="BB76" s="10" t="s">
        <v>769</v>
      </c>
      <c r="BC76" s="10"/>
      <c r="BD76" s="10"/>
      <c r="BE76" s="10"/>
      <c r="BF76" s="10"/>
      <c r="BG76" s="10"/>
      <c r="BH76" s="10" t="s">
        <v>609</v>
      </c>
      <c r="BI76" s="10"/>
      <c r="BJ76" s="10"/>
      <c r="BK76" s="10"/>
      <c r="BL76" s="10"/>
      <c r="BM76" s="10"/>
      <c r="BN76" s="10"/>
      <c r="BO76" s="10"/>
      <c r="BP76" s="10"/>
      <c r="BQ76" s="10"/>
      <c r="BR76" s="10"/>
      <c r="BS76" s="10"/>
      <c r="BT76" s="10"/>
      <c r="BU76" s="10"/>
      <c r="BV76" s="10"/>
      <c r="BW76" s="10"/>
      <c r="BX76" s="10"/>
      <c r="BY76" s="10"/>
      <c r="BZ76" s="10"/>
      <c r="CA76" s="10"/>
      <c r="CB76" s="10"/>
      <c r="CC76" s="11"/>
    </row>
    <row r="77" spans="1:81">
      <c r="A77" s="9" t="s">
        <v>605</v>
      </c>
      <c r="B77" s="10"/>
      <c r="C77" s="10"/>
      <c r="D77" s="10"/>
      <c r="E77" s="69">
        <f>-'MRF &amp; RDF Sorting'!B67*'MRF &amp; RDF Sorting'!$D$75</f>
        <v>0</v>
      </c>
      <c r="F77" s="10"/>
      <c r="G77" s="10" t="s">
        <v>630</v>
      </c>
      <c r="H77" s="10"/>
      <c r="I77" s="10"/>
      <c r="J77" s="10"/>
      <c r="K77" s="10"/>
      <c r="L77" s="69">
        <f>-'Biological Treatment'!C17</f>
        <v>0</v>
      </c>
      <c r="M77" s="10"/>
      <c r="N77" s="10" t="s">
        <v>653</v>
      </c>
      <c r="O77" s="10"/>
      <c r="P77" s="10"/>
      <c r="Q77" s="10"/>
      <c r="R77" s="10"/>
      <c r="S77" s="10"/>
      <c r="T77" s="69">
        <f>-'Biological Treatment'!D17</f>
        <v>0</v>
      </c>
      <c r="U77" s="10"/>
      <c r="V77" s="10" t="s">
        <v>675</v>
      </c>
      <c r="W77" s="10"/>
      <c r="X77" s="10"/>
      <c r="Y77" s="10"/>
      <c r="Z77" s="10"/>
      <c r="AA77" s="10"/>
      <c r="AB77" s="69">
        <f>-'Biological Treatment'!E17</f>
        <v>0</v>
      </c>
      <c r="AC77" s="10"/>
      <c r="AD77" s="10" t="s">
        <v>697</v>
      </c>
      <c r="AE77" s="10"/>
      <c r="AF77" s="10"/>
      <c r="AG77" s="10"/>
      <c r="AH77" s="10"/>
      <c r="AI77" s="10"/>
      <c r="AJ77" s="10">
        <f>-'Waste Input'!$B$8*'Waste Input'!E27/1000*(1-'Waste Collection'!H73)</f>
        <v>-250</v>
      </c>
      <c r="AK77" s="10"/>
      <c r="AL77" s="10" t="s">
        <v>724</v>
      </c>
      <c r="AM77" s="10"/>
      <c r="AN77" s="10"/>
      <c r="AO77" s="10"/>
      <c r="AP77" s="10"/>
      <c r="AQ77" s="10"/>
      <c r="AR77" s="10">
        <f>-'Waste Input'!$B$8*'Waste Input'!F27/1000*(1-'Waste Collection'!I73)</f>
        <v>-250</v>
      </c>
      <c r="AS77" s="10"/>
      <c r="AT77" s="10"/>
      <c r="AU77" s="10"/>
      <c r="AV77" s="10"/>
      <c r="AW77" s="10"/>
      <c r="AX77" s="10"/>
      <c r="AY77" s="10"/>
      <c r="AZ77" s="10"/>
      <c r="BA77" s="10"/>
      <c r="BB77" s="10" t="s">
        <v>770</v>
      </c>
      <c r="BC77" s="10"/>
      <c r="BD77" s="10"/>
      <c r="BE77" s="10"/>
      <c r="BF77" s="10"/>
      <c r="BG77" s="10"/>
      <c r="BH77" s="69">
        <f>-'Waste Collection'!F103*(1-'Waste Collection'!$E$104)</f>
        <v>0</v>
      </c>
      <c r="BI77" s="10"/>
      <c r="BJ77" s="10"/>
      <c r="BK77" s="10"/>
      <c r="BL77" s="10"/>
      <c r="BM77" s="10"/>
      <c r="BN77" s="10"/>
      <c r="BO77" s="10"/>
      <c r="BP77" s="10"/>
      <c r="BQ77" s="10"/>
      <c r="BR77" s="10"/>
      <c r="BS77" s="10"/>
      <c r="BT77" s="10"/>
      <c r="BU77" s="10"/>
      <c r="BV77" s="10"/>
      <c r="BW77" s="10"/>
      <c r="BX77" s="10"/>
      <c r="BY77" s="10"/>
      <c r="BZ77" s="10"/>
      <c r="CA77" s="10"/>
      <c r="CB77" s="10"/>
      <c r="CC77" s="11"/>
    </row>
    <row r="78" spans="1:81">
      <c r="A78" s="9" t="s">
        <v>606</v>
      </c>
      <c r="B78" s="10"/>
      <c r="C78" s="10"/>
      <c r="D78" s="10"/>
      <c r="E78" s="69">
        <f>-'MRF &amp; RDF Sorting'!B128*'MRF &amp; RDF Sorting'!$D$136</f>
        <v>0</v>
      </c>
      <c r="F78" s="65"/>
      <c r="G78" s="10" t="s">
        <v>631</v>
      </c>
      <c r="H78" s="10"/>
      <c r="I78" s="10"/>
      <c r="J78" s="10"/>
      <c r="K78" s="10"/>
      <c r="L78" s="10">
        <f>-'Thermal Treatment'!C14</f>
        <v>-4112.4999999999982</v>
      </c>
      <c r="M78" s="10"/>
      <c r="N78" s="10" t="s">
        <v>654</v>
      </c>
      <c r="O78" s="10"/>
      <c r="P78" s="10"/>
      <c r="Q78" s="10"/>
      <c r="R78" s="10"/>
      <c r="S78" s="10"/>
      <c r="T78" s="10">
        <f>-'Thermal Treatment'!D14</f>
        <v>-5135</v>
      </c>
      <c r="U78" s="10"/>
      <c r="V78" s="10" t="s">
        <v>676</v>
      </c>
      <c r="W78" s="10"/>
      <c r="X78" s="10"/>
      <c r="Y78" s="10"/>
      <c r="Z78" s="10"/>
      <c r="AA78" s="10"/>
      <c r="AB78" s="10">
        <f>-'Thermal Treatment'!E14</f>
        <v>-390.00000000000023</v>
      </c>
      <c r="AC78" s="10"/>
      <c r="AD78" s="10" t="s">
        <v>698</v>
      </c>
      <c r="AE78" s="10"/>
      <c r="AF78" s="10"/>
      <c r="AG78" s="10"/>
      <c r="AH78" s="10"/>
      <c r="AI78" s="10"/>
      <c r="AJ78" s="69">
        <f>-('Waste Collection'!E103+'Waste Collection'!F103)*'Waste Collection'!$E$104/2</f>
        <v>0</v>
      </c>
      <c r="AK78" s="10"/>
      <c r="AL78" s="10" t="s">
        <v>725</v>
      </c>
      <c r="AM78" s="10"/>
      <c r="AN78" s="10"/>
      <c r="AO78" s="10"/>
      <c r="AP78" s="10"/>
      <c r="AQ78" s="10"/>
      <c r="AR78" s="69">
        <f>-('Waste Collection'!E103+'Waste Collection'!F103)*'Waste Collection'!$E$104/2</f>
        <v>0</v>
      </c>
      <c r="AS78" s="10"/>
      <c r="AT78" s="10"/>
      <c r="AU78" s="10"/>
      <c r="AV78" s="10"/>
      <c r="AW78" s="10"/>
      <c r="AX78" s="10"/>
      <c r="AY78" s="10"/>
      <c r="AZ78" s="10"/>
      <c r="BA78" s="10"/>
      <c r="BB78" s="10" t="s">
        <v>771</v>
      </c>
      <c r="BC78" s="10"/>
      <c r="BD78" s="10"/>
      <c r="BE78" s="10"/>
      <c r="BF78" s="10"/>
      <c r="BG78" s="10"/>
      <c r="BH78" s="69">
        <f>-'Waste Collection'!L92*'Waste Collection'!$F$114</f>
        <v>0</v>
      </c>
      <c r="BI78" s="10"/>
      <c r="BJ78" s="10"/>
      <c r="BK78" s="10"/>
      <c r="BL78" s="10"/>
      <c r="BM78" s="10"/>
      <c r="BN78" s="10"/>
      <c r="BO78" s="10"/>
      <c r="BP78" s="10"/>
      <c r="BQ78" s="10"/>
      <c r="BR78" s="10"/>
      <c r="BS78" s="10"/>
      <c r="BT78" s="10"/>
      <c r="BU78" s="10"/>
      <c r="BV78" s="10"/>
      <c r="BW78" s="10"/>
      <c r="BX78" s="10"/>
      <c r="BY78" s="10"/>
      <c r="BZ78" s="10"/>
      <c r="CA78" s="10"/>
      <c r="CB78" s="10"/>
      <c r="CC78" s="11"/>
    </row>
    <row r="79" spans="1:81">
      <c r="A79" s="9" t="s">
        <v>607</v>
      </c>
      <c r="B79" s="10"/>
      <c r="C79" s="10"/>
      <c r="D79" s="10"/>
      <c r="E79" s="69">
        <f>-'Biological Treatment'!B17</f>
        <v>0</v>
      </c>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t="s">
        <v>699</v>
      </c>
      <c r="AE79" s="10"/>
      <c r="AF79" s="10"/>
      <c r="AG79" s="10"/>
      <c r="AH79" s="10"/>
      <c r="AI79" s="10"/>
      <c r="AJ79" s="69">
        <f>-'Waste Collection'!I92*(1-'Waste Collection'!$F$114-'Waste Collection'!$F$115)</f>
        <v>0</v>
      </c>
      <c r="AK79" s="10"/>
      <c r="AL79" s="10" t="s">
        <v>726</v>
      </c>
      <c r="AM79" s="10"/>
      <c r="AN79" s="10"/>
      <c r="AO79" s="10"/>
      <c r="AP79" s="10"/>
      <c r="AQ79" s="10"/>
      <c r="AR79" s="69">
        <f>-'Waste Collection'!J92*(1-'Waste Collection'!$F$114-'Waste Collection'!$F$115)</f>
        <v>0</v>
      </c>
      <c r="AS79" s="10"/>
      <c r="AT79" s="10"/>
      <c r="AU79" s="10"/>
      <c r="AV79" s="10"/>
      <c r="AW79" s="10"/>
      <c r="AX79" s="10"/>
      <c r="AY79" s="10"/>
      <c r="AZ79" s="10"/>
      <c r="BA79" s="10"/>
      <c r="BB79" s="10" t="s">
        <v>772</v>
      </c>
      <c r="BC79" s="10"/>
      <c r="BD79" s="10"/>
      <c r="BE79" s="10"/>
      <c r="BF79" s="10"/>
      <c r="BG79" s="10"/>
      <c r="BH79" s="69">
        <f>-'MRF &amp; RDF Sorting'!I67*'MRF &amp; RDF Sorting'!$D$75</f>
        <v>0</v>
      </c>
      <c r="BI79" s="10"/>
      <c r="BJ79" s="10"/>
      <c r="BK79" s="10"/>
      <c r="BL79" s="10"/>
      <c r="BM79" s="10"/>
      <c r="BN79" s="10"/>
      <c r="BO79" s="10"/>
      <c r="BP79" s="10"/>
      <c r="BQ79" s="10"/>
      <c r="BR79" s="10"/>
      <c r="BS79" s="10"/>
      <c r="BT79" s="10"/>
      <c r="BU79" s="10"/>
      <c r="BV79" s="10"/>
      <c r="BW79" s="10"/>
      <c r="BX79" s="10"/>
      <c r="BY79" s="10"/>
      <c r="BZ79" s="10"/>
      <c r="CA79" s="10"/>
      <c r="CB79" s="10"/>
      <c r="CC79" s="11"/>
    </row>
    <row r="80" spans="1:81">
      <c r="A80" s="9" t="s">
        <v>608</v>
      </c>
      <c r="B80" s="10"/>
      <c r="C80" s="10"/>
      <c r="D80" s="10"/>
      <c r="E80" s="10">
        <f>-'Thermal Treatment'!B14</f>
        <v>-42500</v>
      </c>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t="s">
        <v>700</v>
      </c>
      <c r="AE80" s="10"/>
      <c r="AF80" s="10"/>
      <c r="AG80" s="10"/>
      <c r="AH80" s="10"/>
      <c r="AI80" s="10"/>
      <c r="AJ80" s="69">
        <f>-'MRF &amp; RDF Sorting'!F67*'MRF &amp; RDF Sorting'!$D$75</f>
        <v>0</v>
      </c>
      <c r="AK80" s="10"/>
      <c r="AL80" s="10" t="s">
        <v>727</v>
      </c>
      <c r="AM80" s="10"/>
      <c r="AN80" s="10"/>
      <c r="AO80" s="10"/>
      <c r="AP80" s="10"/>
      <c r="AQ80" s="10"/>
      <c r="AR80" s="69">
        <f>-'MRF &amp; RDF Sorting'!G67*'MRF &amp; RDF Sorting'!$D$75</f>
        <v>0</v>
      </c>
      <c r="AS80" s="10"/>
      <c r="AT80" s="10"/>
      <c r="AU80" s="10"/>
      <c r="AV80" s="10"/>
      <c r="AW80" s="10"/>
      <c r="AX80" s="10"/>
      <c r="AY80" s="10"/>
      <c r="AZ80" s="10"/>
      <c r="BA80" s="10"/>
      <c r="BB80" s="10" t="s">
        <v>773</v>
      </c>
      <c r="BC80" s="10"/>
      <c r="BD80" s="10"/>
      <c r="BE80" s="10"/>
      <c r="BF80" s="10"/>
      <c r="BG80" s="10"/>
      <c r="BH80" s="69">
        <f>-'MRF &amp; RDF Sorting'!I128*'MRF &amp; RDF Sorting'!$D$136</f>
        <v>0</v>
      </c>
      <c r="BI80" s="10"/>
      <c r="BJ80" s="10"/>
      <c r="BK80" s="10"/>
      <c r="BL80" s="10"/>
      <c r="BM80" s="10"/>
      <c r="BN80" s="10"/>
      <c r="BO80" s="10"/>
      <c r="BP80" s="10"/>
      <c r="BQ80" s="10"/>
      <c r="BR80" s="10"/>
      <c r="BS80" s="10"/>
      <c r="BT80" s="10"/>
      <c r="BU80" s="10"/>
      <c r="BV80" s="10"/>
      <c r="BW80" s="10"/>
      <c r="BX80" s="10"/>
      <c r="BY80" s="10"/>
      <c r="BZ80" s="10"/>
      <c r="CA80" s="10"/>
      <c r="CB80" s="10"/>
      <c r="CC80" s="11"/>
    </row>
    <row r="81" spans="1:81">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t="s">
        <v>701</v>
      </c>
      <c r="AE81" s="10"/>
      <c r="AF81" s="10"/>
      <c r="AG81" s="10"/>
      <c r="AH81" s="10"/>
      <c r="AI81" s="10"/>
      <c r="AJ81" s="69">
        <f>-'MRF &amp; RDF Sorting'!F128*'MRF &amp; RDF Sorting'!$D$136</f>
        <v>0</v>
      </c>
      <c r="AK81" s="10"/>
      <c r="AL81" s="10" t="s">
        <v>728</v>
      </c>
      <c r="AM81" s="10"/>
      <c r="AN81" s="10"/>
      <c r="AO81" s="10"/>
      <c r="AP81" s="10"/>
      <c r="AQ81" s="10"/>
      <c r="AR81" s="69">
        <f>-'MRF &amp; RDF Sorting'!G128*'MRF &amp; RDF Sorting'!$D$136</f>
        <v>0</v>
      </c>
      <c r="AS81" s="10"/>
      <c r="AT81" s="10"/>
      <c r="AU81" s="10"/>
      <c r="AV81" s="10"/>
      <c r="AW81" s="10"/>
      <c r="AX81" s="10"/>
      <c r="AY81" s="10"/>
      <c r="AZ81" s="10"/>
      <c r="BA81" s="10"/>
      <c r="BB81" s="10" t="s">
        <v>774</v>
      </c>
      <c r="BC81" s="10"/>
      <c r="BD81" s="10"/>
      <c r="BE81" s="10"/>
      <c r="BF81" s="10"/>
      <c r="BG81" s="10"/>
      <c r="BH81" s="69">
        <f>-'Biological Treatment'!I17</f>
        <v>0</v>
      </c>
      <c r="BI81" s="10"/>
      <c r="BJ81" s="10"/>
      <c r="BK81" s="10"/>
      <c r="BL81" s="10"/>
      <c r="BM81" s="10"/>
      <c r="BN81" s="10"/>
      <c r="BO81" s="10"/>
      <c r="BP81" s="10"/>
      <c r="BQ81" s="10"/>
      <c r="BR81" s="10"/>
      <c r="BS81" s="10"/>
      <c r="BT81" s="10"/>
      <c r="BU81" s="10"/>
      <c r="BV81" s="10"/>
      <c r="BW81" s="10"/>
      <c r="BX81" s="10"/>
      <c r="BY81" s="10"/>
      <c r="BZ81" s="10"/>
      <c r="CA81" s="10"/>
      <c r="CB81" s="10"/>
      <c r="CC81" s="11"/>
    </row>
    <row r="82" spans="1:81">
      <c r="A82" s="64" t="s">
        <v>794</v>
      </c>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t="s">
        <v>702</v>
      </c>
      <c r="AE82" s="10"/>
      <c r="AF82" s="10"/>
      <c r="AG82" s="10"/>
      <c r="AH82" s="10"/>
      <c r="AI82" s="10"/>
      <c r="AJ82" s="69">
        <f>-'Biological Treatment'!F17</f>
        <v>0</v>
      </c>
      <c r="AK82" s="10"/>
      <c r="AL82" s="10" t="s">
        <v>729</v>
      </c>
      <c r="AM82" s="10"/>
      <c r="AN82" s="10"/>
      <c r="AO82" s="10"/>
      <c r="AP82" s="10"/>
      <c r="AQ82" s="10"/>
      <c r="AR82" s="69">
        <f>-'Biological Treatment'!G17</f>
        <v>0</v>
      </c>
      <c r="AS82" s="10"/>
      <c r="AT82" s="10"/>
      <c r="AU82" s="10"/>
      <c r="AV82" s="10"/>
      <c r="AW82" s="10"/>
      <c r="AX82" s="10"/>
      <c r="AY82" s="10"/>
      <c r="AZ82" s="10"/>
      <c r="BA82" s="10"/>
      <c r="BB82" s="10" t="s">
        <v>775</v>
      </c>
      <c r="BC82" s="10"/>
      <c r="BD82" s="10"/>
      <c r="BE82" s="10"/>
      <c r="BF82" s="10"/>
      <c r="BG82" s="10"/>
      <c r="BH82" s="10">
        <f>-'Thermal Treatment'!I14</f>
        <v>-9981.2499999999964</v>
      </c>
      <c r="BI82" s="10"/>
      <c r="BJ82" s="10"/>
      <c r="BK82" s="10"/>
      <c r="BL82" s="10"/>
      <c r="BM82" s="10"/>
      <c r="BN82" s="10"/>
      <c r="BO82" s="10"/>
      <c r="BP82" s="10"/>
      <c r="BQ82" s="10"/>
      <c r="BR82" s="10"/>
      <c r="BS82" s="10"/>
      <c r="BT82" s="10"/>
      <c r="BU82" s="10"/>
      <c r="BV82" s="10"/>
      <c r="BW82" s="10"/>
      <c r="BX82" s="10"/>
      <c r="BY82" s="10"/>
      <c r="BZ82" s="10"/>
      <c r="CA82" s="10"/>
      <c r="CB82" s="10"/>
      <c r="CC82" s="11"/>
    </row>
    <row r="83" spans="1:81">
      <c r="A83" s="9" t="s">
        <v>796</v>
      </c>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t="s">
        <v>703</v>
      </c>
      <c r="AE83" s="10"/>
      <c r="AF83" s="10"/>
      <c r="AG83" s="10"/>
      <c r="AH83" s="10"/>
      <c r="AI83" s="10"/>
      <c r="AJ83" s="10">
        <f>-'Thermal Treatment'!F14</f>
        <v>-8000</v>
      </c>
      <c r="AK83" s="10"/>
      <c r="AL83" s="10" t="s">
        <v>730</v>
      </c>
      <c r="AM83" s="10"/>
      <c r="AN83" s="10"/>
      <c r="AO83" s="10"/>
      <c r="AP83" s="10"/>
      <c r="AQ83" s="10"/>
      <c r="AR83" s="10">
        <f>-'Thermal Treatment'!G14</f>
        <v>-875</v>
      </c>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1"/>
    </row>
    <row r="84" spans="1:81">
      <c r="A84" s="9"/>
      <c r="B84" s="10" t="s">
        <v>4</v>
      </c>
      <c r="C84" s="10" t="s">
        <v>5</v>
      </c>
      <c r="D84" s="10" t="s">
        <v>29</v>
      </c>
      <c r="E84" s="10" t="s">
        <v>30</v>
      </c>
      <c r="F84" s="10" t="s">
        <v>31</v>
      </c>
      <c r="G84" s="10" t="s">
        <v>32</v>
      </c>
      <c r="H84" s="10" t="s">
        <v>8</v>
      </c>
      <c r="I84" s="10" t="s">
        <v>9</v>
      </c>
      <c r="J84" s="10" t="s">
        <v>10</v>
      </c>
      <c r="K84" s="10" t="s">
        <v>264</v>
      </c>
      <c r="L84" s="10" t="s">
        <v>359</v>
      </c>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1"/>
    </row>
    <row r="85" spans="1:81">
      <c r="A85" s="9" t="s">
        <v>141</v>
      </c>
      <c r="B85" s="69">
        <f>B10+B54</f>
        <v>3669.375</v>
      </c>
      <c r="C85" s="69">
        <f t="shared" ref="C85:J85" si="0">C10+C54</f>
        <v>3031.25</v>
      </c>
      <c r="D85" s="69">
        <f t="shared" si="0"/>
        <v>3212.5</v>
      </c>
      <c r="E85" s="69">
        <f t="shared" si="0"/>
        <v>1250</v>
      </c>
      <c r="F85" s="69">
        <f t="shared" si="0"/>
        <v>1000</v>
      </c>
      <c r="G85" s="69">
        <f t="shared" si="0"/>
        <v>1712.5</v>
      </c>
      <c r="H85" s="69">
        <f t="shared" si="0"/>
        <v>0</v>
      </c>
      <c r="I85" s="69">
        <f t="shared" si="0"/>
        <v>1199.375</v>
      </c>
      <c r="J85" s="69">
        <f t="shared" si="0"/>
        <v>593.75</v>
      </c>
      <c r="K85" s="69">
        <f>K10</f>
        <v>0</v>
      </c>
      <c r="L85" s="69">
        <f>L10</f>
        <v>21486.90625</v>
      </c>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1"/>
    </row>
    <row r="86" spans="1:81">
      <c r="A86" s="9"/>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1"/>
    </row>
    <row r="87" spans="1:81">
      <c r="A87" s="64" t="s">
        <v>797</v>
      </c>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1"/>
    </row>
    <row r="88" spans="1:81">
      <c r="A88" s="9" t="s">
        <v>798</v>
      </c>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1"/>
    </row>
    <row r="89" spans="1:81">
      <c r="A89" s="9" t="s">
        <v>799</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1"/>
    </row>
    <row r="90" spans="1:81">
      <c r="A90" s="9"/>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1"/>
    </row>
    <row r="91" spans="1:81">
      <c r="A91" s="9"/>
      <c r="B91" s="10"/>
      <c r="C91" s="10"/>
      <c r="D91" s="10" t="s">
        <v>802</v>
      </c>
      <c r="E91" s="10" t="s">
        <v>803</v>
      </c>
      <c r="F91" s="10" t="s">
        <v>11</v>
      </c>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1"/>
    </row>
    <row r="92" spans="1:81">
      <c r="A92" s="9"/>
      <c r="B92" s="10" t="s">
        <v>800</v>
      </c>
      <c r="C92" s="10"/>
      <c r="D92" s="70">
        <f>SUM(B85:L85)</f>
        <v>37155.65625</v>
      </c>
      <c r="E92" s="69">
        <f>SUM(E97:E101)</f>
        <v>3279.9999999999995</v>
      </c>
      <c r="F92" s="70">
        <f>SUM(D92:E92)</f>
        <v>40435.65625</v>
      </c>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1"/>
    </row>
    <row r="93" spans="1:81">
      <c r="A93" s="9" t="s">
        <v>801</v>
      </c>
      <c r="B93" s="10"/>
      <c r="C93" s="10"/>
      <c r="D93" s="71">
        <f>D92/'Waste Input'!$K$45</f>
        <v>0.20030003369272237</v>
      </c>
      <c r="E93" s="71">
        <f>E92/'Waste Input'!$K$45</f>
        <v>1.7681940700808623E-2</v>
      </c>
      <c r="F93" s="71">
        <f>F92/'Waste Input'!$K$45</f>
        <v>0.21798197439353101</v>
      </c>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1"/>
    </row>
    <row r="94" spans="1:81">
      <c r="A94" s="9"/>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1"/>
    </row>
    <row r="95" spans="1:81">
      <c r="A95" s="9"/>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1"/>
    </row>
    <row r="96" spans="1:81">
      <c r="A96" s="64" t="s">
        <v>804</v>
      </c>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1"/>
    </row>
    <row r="97" spans="1:81">
      <c r="A97" s="9" t="s">
        <v>806</v>
      </c>
      <c r="B97" s="10"/>
      <c r="C97" s="10"/>
      <c r="D97" s="10"/>
      <c r="E97" s="69">
        <f>'Thermal Treatment'!D38*'Thermal Treatment'!C71+'Thermal Treatment'!E38*'Thermal Treatment'!D71+'Thermal Treatment'!F38*'Thermal Treatment'!E71+'Thermal Treatment'!G38*'Thermal Treatment'!F71+'Thermal Treatment'!H38*'Thermal Treatment'!G71+'Thermal Treatment'!I38*'Thermal Treatment'!H71+'Thermal Treatment'!J38*'Thermal Treatment'!I71+'Thermal Treatment'!K38*'Thermal Treatment'!J71+'Thermal Treatment'!L38*'Thermal Treatment'!K71+'Thermal Treatment'!M38*'Thermal Treatment'!L71</f>
        <v>3279.9999999999995</v>
      </c>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1"/>
    </row>
    <row r="98" spans="1:81">
      <c r="A98" s="9" t="s">
        <v>805</v>
      </c>
      <c r="B98" s="10"/>
      <c r="C98" s="10"/>
      <c r="D98" s="10"/>
      <c r="E98" s="69">
        <f>'Thermal Treatment'!D108*'Thermal Treatment'!C141+'Thermal Treatment'!E108*'Thermal Treatment'!D141+'Thermal Treatment'!F108*'Thermal Treatment'!E141+'Thermal Treatment'!G108*'Thermal Treatment'!F141+'Thermal Treatment'!H108*'Thermal Treatment'!G141+'Thermal Treatment'!I108*'Thermal Treatment'!H141+'Thermal Treatment'!J108*'Thermal Treatment'!I141+'Thermal Treatment'!K108*'Thermal Treatment'!J141+'Thermal Treatment'!L108*'Thermal Treatment'!K141+'Thermal Treatment'!M108*'Thermal Treatment'!L141</f>
        <v>0</v>
      </c>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1"/>
    </row>
    <row r="99" spans="1:81">
      <c r="A99" s="9" t="s">
        <v>807</v>
      </c>
      <c r="B99" s="10"/>
      <c r="C99" s="10"/>
      <c r="D99" s="10"/>
      <c r="E99" s="69">
        <f>$CB$31*'Thermal Treatment'!C196</f>
        <v>0</v>
      </c>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1"/>
    </row>
    <row r="100" spans="1:81">
      <c r="A100" s="9" t="s">
        <v>810</v>
      </c>
      <c r="B100" s="10"/>
      <c r="C100" s="10"/>
      <c r="D100" s="10"/>
      <c r="E100" s="69">
        <f>$CB$32*'Thermal Treatment'!D196</f>
        <v>0</v>
      </c>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1"/>
    </row>
    <row r="101" spans="1:81">
      <c r="A101" s="9" t="s">
        <v>811</v>
      </c>
      <c r="B101" s="10"/>
      <c r="C101" s="10"/>
      <c r="D101" s="10"/>
      <c r="E101" s="69">
        <f>'Thermal Treatment'!C243*Landfilling!BW36</f>
        <v>0</v>
      </c>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1"/>
    </row>
    <row r="102" spans="1:81" ht="15.75" thickBot="1">
      <c r="A102" s="12"/>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4"/>
    </row>
    <row r="103" spans="1:8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row>
    <row r="104" spans="1:81">
      <c r="A104" s="65" t="s">
        <v>837</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row>
    <row r="105" spans="1:81" ht="15.75" thickBo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row>
    <row r="106" spans="1:81">
      <c r="A106" s="75" t="s">
        <v>823</v>
      </c>
      <c r="B106" s="7"/>
      <c r="C106" s="7"/>
      <c r="D106" s="7"/>
      <c r="E106" s="7"/>
      <c r="F106" s="7"/>
      <c r="G106" s="7"/>
      <c r="H106" s="7"/>
      <c r="I106" s="7"/>
      <c r="J106" s="7"/>
      <c r="K106" s="7"/>
      <c r="L106" s="7"/>
      <c r="M106" s="7"/>
      <c r="N106" s="8"/>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row>
    <row r="107" spans="1:81">
      <c r="A107" s="9"/>
      <c r="B107" s="10"/>
      <c r="C107" s="10"/>
      <c r="D107" s="10"/>
      <c r="E107" s="10"/>
      <c r="F107" s="10"/>
      <c r="G107" s="10"/>
      <c r="H107" s="10"/>
      <c r="I107" s="10"/>
      <c r="J107" s="10"/>
      <c r="K107" s="10"/>
      <c r="L107" s="10"/>
      <c r="M107" s="10"/>
      <c r="N107" s="11"/>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row>
    <row r="108" spans="1:81">
      <c r="A108" s="9" t="s">
        <v>838</v>
      </c>
      <c r="B108" s="10"/>
      <c r="C108" s="10"/>
      <c r="D108" s="10">
        <v>18</v>
      </c>
      <c r="E108" s="10"/>
      <c r="F108" s="10"/>
      <c r="G108" s="10"/>
      <c r="H108" s="10"/>
      <c r="I108" s="10"/>
      <c r="J108" s="10"/>
      <c r="K108" s="10"/>
      <c r="L108" s="10"/>
      <c r="M108" s="10"/>
      <c r="N108" s="11"/>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row>
    <row r="109" spans="1:81">
      <c r="A109" s="9"/>
      <c r="B109" s="10"/>
      <c r="C109" s="10"/>
      <c r="D109" s="10" t="s">
        <v>4</v>
      </c>
      <c r="E109" s="10" t="s">
        <v>5</v>
      </c>
      <c r="F109" s="10" t="s">
        <v>6</v>
      </c>
      <c r="G109" s="49" t="s">
        <v>7</v>
      </c>
      <c r="H109" s="49" t="s">
        <v>8</v>
      </c>
      <c r="I109" s="49" t="s">
        <v>9</v>
      </c>
      <c r="J109" s="49" t="s">
        <v>10</v>
      </c>
      <c r="K109" s="49" t="s">
        <v>264</v>
      </c>
      <c r="L109" s="49" t="s">
        <v>359</v>
      </c>
      <c r="M109" s="10"/>
      <c r="N109" s="11"/>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row>
    <row r="110" spans="1:81">
      <c r="A110" s="9" t="s">
        <v>839</v>
      </c>
      <c r="B110" s="10"/>
      <c r="C110" s="10"/>
      <c r="D110" s="10">
        <v>250</v>
      </c>
      <c r="E110" s="10">
        <v>0</v>
      </c>
      <c r="F110" s="10">
        <v>0</v>
      </c>
      <c r="G110" s="49">
        <v>0</v>
      </c>
      <c r="H110" s="49">
        <v>250</v>
      </c>
      <c r="I110" s="49">
        <v>250</v>
      </c>
      <c r="J110" s="49">
        <v>0</v>
      </c>
      <c r="K110" s="49">
        <v>100</v>
      </c>
      <c r="L110" s="49">
        <v>0</v>
      </c>
      <c r="M110" s="10"/>
      <c r="N110" s="11"/>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row>
    <row r="111" spans="1:81">
      <c r="A111" s="9"/>
      <c r="B111" s="10"/>
      <c r="C111" s="10"/>
      <c r="D111" s="10"/>
      <c r="E111" s="10"/>
      <c r="F111" s="10"/>
      <c r="G111" s="10"/>
      <c r="H111" s="10"/>
      <c r="I111" s="10"/>
      <c r="J111" s="10"/>
      <c r="K111" s="10"/>
      <c r="L111" s="10"/>
      <c r="M111" s="10"/>
      <c r="N111" s="11"/>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row>
    <row r="112" spans="1:81">
      <c r="A112" s="76" t="s">
        <v>840</v>
      </c>
      <c r="B112" s="10"/>
      <c r="C112" s="10"/>
      <c r="D112" s="10"/>
      <c r="E112" s="10"/>
      <c r="F112" s="10"/>
      <c r="G112" s="10"/>
      <c r="H112" s="10"/>
      <c r="I112" s="10"/>
      <c r="J112" s="10"/>
      <c r="K112" s="10"/>
      <c r="L112" s="10"/>
      <c r="M112" s="10"/>
      <c r="N112" s="11"/>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row>
    <row r="113" spans="1:81">
      <c r="A113" s="47" t="s">
        <v>841</v>
      </c>
      <c r="B113" s="10"/>
      <c r="C113" s="10"/>
      <c r="D113" s="10"/>
      <c r="E113" s="10"/>
      <c r="F113" s="10"/>
      <c r="G113" s="10"/>
      <c r="H113" s="10"/>
      <c r="I113" s="10"/>
      <c r="J113" s="10"/>
      <c r="K113" s="10"/>
      <c r="L113" s="10"/>
      <c r="M113" s="10"/>
      <c r="N113" s="11"/>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row>
    <row r="114" spans="1:81">
      <c r="A114" s="9"/>
      <c r="B114" s="10"/>
      <c r="C114" s="10" t="s">
        <v>4</v>
      </c>
      <c r="D114" s="10" t="s">
        <v>5</v>
      </c>
      <c r="E114" s="10" t="s">
        <v>6</v>
      </c>
      <c r="F114" s="49" t="s">
        <v>7</v>
      </c>
      <c r="G114" s="49" t="s">
        <v>8</v>
      </c>
      <c r="H114" s="49" t="s">
        <v>9</v>
      </c>
      <c r="I114" s="49" t="s">
        <v>10</v>
      </c>
      <c r="J114" s="49" t="s">
        <v>264</v>
      </c>
      <c r="K114" s="49" t="s">
        <v>359</v>
      </c>
      <c r="L114" s="49" t="s">
        <v>803</v>
      </c>
      <c r="M114" s="10"/>
      <c r="N114" s="11"/>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row>
    <row r="115" spans="1:81">
      <c r="A115" s="9" t="s">
        <v>842</v>
      </c>
      <c r="B115" s="10"/>
      <c r="C115" s="10">
        <v>0.15</v>
      </c>
      <c r="D115" s="10">
        <v>0.15</v>
      </c>
      <c r="E115" s="10">
        <v>0.15</v>
      </c>
      <c r="F115" s="10">
        <v>0.15</v>
      </c>
      <c r="G115" s="10">
        <v>0.15</v>
      </c>
      <c r="H115" s="10">
        <v>0.15</v>
      </c>
      <c r="I115" s="10">
        <v>0.15</v>
      </c>
      <c r="J115" s="10">
        <v>0.15</v>
      </c>
      <c r="K115" s="10">
        <v>0.15</v>
      </c>
      <c r="L115" s="10">
        <v>0.15</v>
      </c>
      <c r="M115" s="10"/>
      <c r="N115" s="11"/>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row>
    <row r="116" spans="1:81">
      <c r="A116" s="9"/>
      <c r="B116" s="10"/>
      <c r="C116" s="10"/>
      <c r="D116" s="10"/>
      <c r="E116" s="10"/>
      <c r="F116" s="10"/>
      <c r="G116" s="10"/>
      <c r="H116" s="10"/>
      <c r="I116" s="10"/>
      <c r="J116" s="10"/>
      <c r="K116" s="10"/>
      <c r="L116" s="10"/>
      <c r="M116" s="10"/>
      <c r="N116" s="11"/>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row>
    <row r="117" spans="1:81">
      <c r="A117" s="47" t="s">
        <v>843</v>
      </c>
      <c r="B117" s="10"/>
      <c r="C117" s="10"/>
      <c r="D117" s="10"/>
      <c r="E117" s="10"/>
      <c r="F117" s="10">
        <v>1.4999999999999999E-2</v>
      </c>
      <c r="G117" s="10"/>
      <c r="H117" s="10"/>
      <c r="I117" s="10"/>
      <c r="J117" s="10"/>
      <c r="K117" s="10"/>
      <c r="L117" s="10"/>
      <c r="M117" s="10"/>
      <c r="N117" s="11"/>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row>
    <row r="118" spans="1:81">
      <c r="A118" s="9"/>
      <c r="B118" s="10"/>
      <c r="C118" s="10"/>
      <c r="D118" s="10"/>
      <c r="E118" s="10"/>
      <c r="F118" s="10"/>
      <c r="G118" s="10"/>
      <c r="H118" s="10"/>
      <c r="I118" s="10"/>
      <c r="J118" s="10"/>
      <c r="K118" s="10"/>
      <c r="L118" s="10"/>
      <c r="M118" s="10"/>
      <c r="N118" s="11"/>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row>
    <row r="119" spans="1:81">
      <c r="A119" s="76" t="s">
        <v>844</v>
      </c>
      <c r="B119" s="10"/>
      <c r="C119" s="10"/>
      <c r="D119" s="10"/>
      <c r="E119" s="10"/>
      <c r="F119" s="10"/>
      <c r="G119" s="10"/>
      <c r="H119" s="10"/>
      <c r="I119" s="10"/>
      <c r="J119" s="10"/>
      <c r="K119" s="10"/>
      <c r="L119" s="10"/>
      <c r="M119" s="10"/>
      <c r="N119" s="11"/>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row>
    <row r="120" spans="1:81">
      <c r="A120" s="9"/>
      <c r="B120" s="10"/>
      <c r="C120" s="10" t="s">
        <v>4</v>
      </c>
      <c r="D120" s="10" t="s">
        <v>5</v>
      </c>
      <c r="E120" s="10" t="s">
        <v>29</v>
      </c>
      <c r="F120" s="49" t="s">
        <v>30</v>
      </c>
      <c r="G120" s="49" t="s">
        <v>31</v>
      </c>
      <c r="H120" s="49" t="s">
        <v>32</v>
      </c>
      <c r="I120" s="49" t="s">
        <v>8</v>
      </c>
      <c r="J120" s="49" t="s">
        <v>9</v>
      </c>
      <c r="K120" s="49" t="s">
        <v>10</v>
      </c>
      <c r="L120" s="49" t="s">
        <v>264</v>
      </c>
      <c r="M120" s="49" t="s">
        <v>359</v>
      </c>
      <c r="N120" s="77"/>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row>
    <row r="121" spans="1:81">
      <c r="A121" s="9" t="s">
        <v>842</v>
      </c>
      <c r="B121" s="10"/>
      <c r="C121" s="10">
        <v>1.05</v>
      </c>
      <c r="D121" s="10">
        <v>0.51</v>
      </c>
      <c r="E121" s="10">
        <v>0.32</v>
      </c>
      <c r="F121" s="49">
        <v>0.93</v>
      </c>
      <c r="G121" s="49">
        <v>1.04</v>
      </c>
      <c r="H121" s="49">
        <v>1.04</v>
      </c>
      <c r="I121" s="49">
        <v>1.43</v>
      </c>
      <c r="J121" s="49">
        <v>1.1100000000000001</v>
      </c>
      <c r="K121" s="49">
        <v>1.1100000000000001</v>
      </c>
      <c r="L121" s="49">
        <v>0.77</v>
      </c>
      <c r="M121" s="49">
        <v>0.67</v>
      </c>
      <c r="N121" s="11"/>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row>
    <row r="122" spans="1:81">
      <c r="A122" s="9"/>
      <c r="B122" s="10"/>
      <c r="C122" s="10"/>
      <c r="D122" s="10"/>
      <c r="E122" s="10"/>
      <c r="F122" s="10"/>
      <c r="G122" s="10"/>
      <c r="H122" s="10"/>
      <c r="I122" s="10"/>
      <c r="J122" s="10"/>
      <c r="K122" s="10"/>
      <c r="L122" s="10"/>
      <c r="M122" s="10"/>
      <c r="N122" s="11"/>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row>
    <row r="123" spans="1:81">
      <c r="A123" s="9"/>
      <c r="B123" s="10"/>
      <c r="C123" s="10" t="s">
        <v>803</v>
      </c>
      <c r="D123" s="10" t="s">
        <v>845</v>
      </c>
      <c r="E123" s="10" t="s">
        <v>846</v>
      </c>
      <c r="F123" s="10"/>
      <c r="G123" s="10"/>
      <c r="H123" s="10"/>
      <c r="I123" s="10"/>
      <c r="J123" s="10"/>
      <c r="K123" s="10"/>
      <c r="L123" s="10"/>
      <c r="M123" s="10"/>
      <c r="N123" s="11"/>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row>
    <row r="124" spans="1:81" ht="15.75" thickBot="1">
      <c r="A124" s="12" t="s">
        <v>842</v>
      </c>
      <c r="B124" s="13"/>
      <c r="C124" s="13">
        <v>1.67</v>
      </c>
      <c r="D124" s="13">
        <v>0.67</v>
      </c>
      <c r="E124" s="13">
        <v>1.1100000000000001</v>
      </c>
      <c r="F124" s="13"/>
      <c r="G124" s="13"/>
      <c r="H124" s="13"/>
      <c r="I124" s="13"/>
      <c r="J124" s="13"/>
      <c r="K124" s="13"/>
      <c r="L124" s="13"/>
      <c r="M124" s="13"/>
      <c r="N124" s="14"/>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row>
    <row r="126" spans="1:81" ht="15.75" thickBot="1">
      <c r="A126" s="62" t="s">
        <v>812</v>
      </c>
    </row>
    <row r="127" spans="1:81">
      <c r="A127" s="35" t="s">
        <v>813</v>
      </c>
      <c r="B127" s="7"/>
      <c r="C127" s="7"/>
      <c r="D127" s="7"/>
      <c r="E127" s="7"/>
      <c r="F127" s="7"/>
      <c r="G127" s="7"/>
      <c r="H127" s="8"/>
    </row>
    <row r="128" spans="1:81">
      <c r="A128" s="9"/>
      <c r="B128" s="10"/>
      <c r="C128" s="10"/>
      <c r="D128" s="10"/>
      <c r="E128" s="10"/>
      <c r="F128" s="10"/>
      <c r="G128" s="10"/>
      <c r="H128" s="11"/>
    </row>
    <row r="129" spans="1:20">
      <c r="A129" s="64" t="s">
        <v>814</v>
      </c>
      <c r="B129" s="10"/>
      <c r="C129" s="10"/>
      <c r="D129" s="10"/>
      <c r="E129" s="10"/>
      <c r="F129" s="10"/>
      <c r="G129" s="10"/>
      <c r="H129" s="11"/>
    </row>
    <row r="130" spans="1:20">
      <c r="A130" s="9" t="s">
        <v>830</v>
      </c>
      <c r="B130" s="10"/>
      <c r="C130" s="10"/>
      <c r="D130" s="10"/>
      <c r="E130" s="10"/>
      <c r="H130" s="11"/>
    </row>
    <row r="131" spans="1:20">
      <c r="A131" s="66" t="s">
        <v>831</v>
      </c>
      <c r="B131" s="10"/>
      <c r="C131" s="10"/>
      <c r="D131" s="10"/>
      <c r="E131" s="10"/>
      <c r="H131" s="11"/>
    </row>
    <row r="132" spans="1:20">
      <c r="A132" s="9" t="s">
        <v>832</v>
      </c>
      <c r="B132" s="10"/>
      <c r="C132" s="10"/>
      <c r="D132" s="10"/>
      <c r="E132" s="10"/>
      <c r="H132" s="11"/>
    </row>
    <row r="133" spans="1:20">
      <c r="A133" s="9"/>
      <c r="B133" s="10"/>
      <c r="C133" s="10"/>
      <c r="D133" s="10"/>
      <c r="E133" s="10"/>
      <c r="H133" s="11"/>
    </row>
    <row r="134" spans="1:20">
      <c r="A134" s="9"/>
      <c r="B134" s="10"/>
      <c r="C134" s="10"/>
      <c r="D134" s="10"/>
      <c r="E134" s="10"/>
      <c r="F134" s="10" t="s">
        <v>802</v>
      </c>
      <c r="G134" s="10" t="s">
        <v>803</v>
      </c>
      <c r="H134" s="11"/>
    </row>
    <row r="135" spans="1:20">
      <c r="A135" s="9" t="s">
        <v>815</v>
      </c>
      <c r="B135" s="10"/>
      <c r="C135" s="10"/>
      <c r="D135" s="10"/>
      <c r="E135" s="10"/>
      <c r="F135" s="15">
        <v>0</v>
      </c>
      <c r="G135" s="15">
        <v>0</v>
      </c>
      <c r="H135" s="11"/>
    </row>
    <row r="136" spans="1:20">
      <c r="A136" s="9" t="s">
        <v>816</v>
      </c>
      <c r="B136" s="10"/>
      <c r="C136" s="10"/>
      <c r="D136" s="10"/>
      <c r="E136" s="10"/>
      <c r="F136" s="69">
        <f>F135*D92</f>
        <v>0</v>
      </c>
      <c r="G136" s="69">
        <f>G135*E92</f>
        <v>0</v>
      </c>
      <c r="H136" s="11"/>
    </row>
    <row r="137" spans="1:20">
      <c r="A137" s="9" t="s">
        <v>817</v>
      </c>
      <c r="B137" s="10"/>
      <c r="C137" s="10"/>
      <c r="D137" s="10"/>
      <c r="E137" s="10"/>
      <c r="F137" s="10">
        <v>0</v>
      </c>
      <c r="G137" s="10">
        <v>0</v>
      </c>
      <c r="H137" s="11"/>
    </row>
    <row r="138" spans="1:20">
      <c r="A138" s="9" t="s">
        <v>818</v>
      </c>
      <c r="B138" s="10"/>
      <c r="C138" s="10"/>
      <c r="D138" s="10"/>
      <c r="E138" s="10"/>
      <c r="F138" s="10">
        <v>0</v>
      </c>
      <c r="G138" s="10">
        <v>0</v>
      </c>
      <c r="H138" s="11"/>
    </row>
    <row r="139" spans="1:20">
      <c r="A139" s="9" t="s">
        <v>819</v>
      </c>
      <c r="B139" s="10"/>
      <c r="C139" s="10"/>
      <c r="D139" s="10"/>
      <c r="E139" s="10"/>
      <c r="F139" s="10">
        <v>0</v>
      </c>
      <c r="G139" s="10">
        <v>0</v>
      </c>
      <c r="H139" s="11"/>
    </row>
    <row r="140" spans="1:20" ht="15.75" thickBot="1">
      <c r="A140" s="12"/>
      <c r="B140" s="13"/>
      <c r="C140" s="13"/>
      <c r="D140" s="13"/>
      <c r="E140" s="13"/>
      <c r="F140" s="13"/>
      <c r="G140" s="13"/>
      <c r="H140" s="14"/>
    </row>
    <row r="142" spans="1:20" ht="15.75" thickBot="1">
      <c r="A142" s="62" t="s">
        <v>820</v>
      </c>
    </row>
    <row r="143" spans="1:20" s="62" customFormat="1">
      <c r="A143" s="31" t="s">
        <v>833</v>
      </c>
      <c r="B143" s="78"/>
      <c r="C143" s="78"/>
      <c r="D143" s="78"/>
      <c r="E143" s="78"/>
      <c r="F143" s="78"/>
      <c r="G143" s="78"/>
      <c r="H143" s="78"/>
      <c r="I143" s="78"/>
      <c r="J143" s="78"/>
      <c r="K143" s="78"/>
      <c r="L143" s="78"/>
      <c r="M143" s="78"/>
      <c r="N143" s="78"/>
      <c r="O143" s="78"/>
      <c r="P143" s="78"/>
      <c r="Q143" s="78"/>
      <c r="R143" s="78"/>
      <c r="S143" s="78"/>
      <c r="T143" s="79"/>
    </row>
    <row r="144" spans="1:20">
      <c r="A144" s="9"/>
      <c r="B144" s="10"/>
      <c r="C144" s="10"/>
      <c r="D144" s="10"/>
      <c r="E144" s="10"/>
      <c r="F144" s="10"/>
      <c r="G144" s="10"/>
      <c r="H144" s="10"/>
      <c r="I144" s="10"/>
      <c r="J144" s="10"/>
      <c r="K144" s="10"/>
      <c r="L144" s="10"/>
      <c r="M144" s="10"/>
      <c r="N144" s="10"/>
      <c r="O144" s="10"/>
      <c r="P144" s="10"/>
      <c r="Q144" s="10"/>
      <c r="R144" s="10"/>
      <c r="S144" s="10"/>
      <c r="T144" s="11"/>
    </row>
    <row r="145" spans="1:20">
      <c r="A145" s="64" t="s">
        <v>171</v>
      </c>
      <c r="B145" s="10"/>
      <c r="C145" s="10"/>
      <c r="D145" s="10"/>
      <c r="E145" s="10"/>
      <c r="F145" s="10"/>
      <c r="G145" s="10"/>
      <c r="H145" s="10"/>
      <c r="I145" s="10"/>
      <c r="J145" s="10"/>
      <c r="K145" s="10"/>
      <c r="L145" s="10"/>
      <c r="M145" s="10"/>
      <c r="N145" s="10"/>
      <c r="O145" s="10"/>
      <c r="P145" s="10"/>
      <c r="Q145" s="10"/>
      <c r="R145" s="10"/>
      <c r="S145" s="10"/>
      <c r="T145" s="11"/>
    </row>
    <row r="146" spans="1:20">
      <c r="A146" s="9" t="s">
        <v>821</v>
      </c>
      <c r="B146" s="10"/>
      <c r="C146" s="10"/>
      <c r="D146" s="10"/>
      <c r="E146" s="10"/>
      <c r="F146" s="10">
        <v>0</v>
      </c>
      <c r="G146" s="10"/>
      <c r="H146" s="10"/>
      <c r="I146" s="10"/>
      <c r="J146" s="10"/>
      <c r="K146" s="10"/>
      <c r="L146" s="10"/>
      <c r="M146" s="10"/>
      <c r="N146" s="10"/>
      <c r="O146" s="10"/>
      <c r="P146" s="10"/>
      <c r="Q146" s="10"/>
      <c r="R146" s="10"/>
      <c r="S146" s="10"/>
      <c r="T146" s="11"/>
    </row>
    <row r="147" spans="1:20">
      <c r="A147" s="18" t="s">
        <v>822</v>
      </c>
      <c r="B147" s="10"/>
      <c r="C147" s="10"/>
      <c r="D147" s="10"/>
      <c r="E147" s="10"/>
      <c r="F147" s="10">
        <v>0.6</v>
      </c>
      <c r="G147" s="10"/>
      <c r="H147" s="10"/>
      <c r="I147" s="10"/>
      <c r="J147" s="10"/>
      <c r="K147" s="10"/>
      <c r="L147" s="10"/>
      <c r="M147" s="10"/>
      <c r="N147" s="10"/>
      <c r="O147" s="10"/>
      <c r="P147" s="10"/>
      <c r="Q147" s="10"/>
      <c r="R147" s="10"/>
      <c r="S147" s="10"/>
      <c r="T147" s="11"/>
    </row>
    <row r="148" spans="1:20">
      <c r="A148" s="9"/>
      <c r="B148" s="10"/>
      <c r="C148" s="10"/>
      <c r="D148" s="10"/>
      <c r="E148" s="10"/>
      <c r="F148" s="10"/>
      <c r="G148" s="10"/>
      <c r="H148" s="10"/>
      <c r="I148" s="10"/>
      <c r="J148" s="10"/>
      <c r="K148" s="10"/>
      <c r="L148" s="10"/>
      <c r="M148" s="10"/>
      <c r="N148" s="10"/>
      <c r="O148" s="10"/>
      <c r="P148" s="10"/>
      <c r="Q148" s="10"/>
      <c r="R148" s="10"/>
      <c r="S148" s="10"/>
      <c r="T148" s="11"/>
    </row>
    <row r="149" spans="1:20">
      <c r="A149" s="64" t="s">
        <v>823</v>
      </c>
      <c r="B149" s="10"/>
      <c r="C149" s="10"/>
      <c r="D149" s="10"/>
      <c r="E149" s="10"/>
      <c r="F149" s="10"/>
      <c r="G149" s="10"/>
      <c r="H149" s="10"/>
      <c r="I149" s="10"/>
      <c r="J149" s="10"/>
      <c r="K149" s="10"/>
      <c r="L149" s="10"/>
      <c r="M149" s="10"/>
      <c r="N149" s="10"/>
      <c r="O149" s="10"/>
      <c r="P149" s="10"/>
      <c r="Q149" s="10"/>
      <c r="R149" s="10"/>
      <c r="S149" s="10"/>
      <c r="T149" s="11"/>
    </row>
    <row r="150" spans="1:20">
      <c r="A150" s="18" t="s">
        <v>834</v>
      </c>
      <c r="B150" s="10"/>
      <c r="C150" s="10"/>
      <c r="D150" s="10"/>
      <c r="E150" s="10"/>
      <c r="F150" s="10"/>
      <c r="G150" s="10"/>
      <c r="H150" s="10"/>
      <c r="I150" s="10"/>
      <c r="J150" s="10"/>
      <c r="K150" s="10"/>
      <c r="L150" s="10"/>
      <c r="M150" s="10"/>
      <c r="N150" s="10"/>
      <c r="O150" s="10"/>
      <c r="P150" s="10"/>
      <c r="Q150" s="10"/>
      <c r="R150" s="10"/>
      <c r="S150" s="10"/>
      <c r="T150" s="11"/>
    </row>
    <row r="151" spans="1:20">
      <c r="A151" s="18" t="s">
        <v>835</v>
      </c>
      <c r="B151" s="10"/>
      <c r="C151" s="10"/>
      <c r="D151" s="10"/>
      <c r="E151" s="10"/>
      <c r="F151" s="10"/>
      <c r="G151" s="10"/>
      <c r="H151" s="10"/>
      <c r="I151" s="10"/>
      <c r="J151" s="10"/>
      <c r="K151" s="10"/>
      <c r="L151" s="10"/>
      <c r="M151" s="10"/>
      <c r="N151" s="10"/>
      <c r="O151" s="10"/>
      <c r="P151" s="10"/>
      <c r="Q151" s="10"/>
      <c r="R151" s="10"/>
      <c r="S151" s="10"/>
      <c r="T151" s="11"/>
    </row>
    <row r="152" spans="1:20">
      <c r="A152" s="18" t="s">
        <v>836</v>
      </c>
      <c r="B152" s="10"/>
      <c r="C152" s="10"/>
      <c r="D152" s="10"/>
      <c r="E152" s="10"/>
      <c r="F152" s="10"/>
      <c r="G152" s="10"/>
      <c r="H152" s="10"/>
      <c r="I152" s="10"/>
      <c r="J152" s="10"/>
      <c r="K152" s="10"/>
      <c r="L152" s="10"/>
      <c r="M152" s="10"/>
      <c r="N152" s="10"/>
      <c r="O152" s="10"/>
      <c r="P152" s="10"/>
      <c r="Q152" s="10"/>
      <c r="R152" s="10"/>
      <c r="S152" s="10"/>
      <c r="T152" s="11"/>
    </row>
    <row r="153" spans="1:20">
      <c r="A153" s="64"/>
      <c r="B153" s="10"/>
      <c r="C153" s="10"/>
      <c r="D153" s="10"/>
      <c r="E153" s="10"/>
      <c r="F153" s="10"/>
      <c r="G153" s="10"/>
      <c r="H153" s="10"/>
      <c r="I153" s="10"/>
      <c r="J153" s="10"/>
      <c r="K153" s="10"/>
      <c r="L153" s="10"/>
      <c r="M153" s="10"/>
      <c r="N153" s="10"/>
      <c r="O153" s="10"/>
      <c r="P153" s="10"/>
      <c r="Q153" s="10"/>
      <c r="R153" s="10"/>
      <c r="S153" s="10"/>
      <c r="T153" s="11"/>
    </row>
    <row r="154" spans="1:20">
      <c r="A154" s="9" t="s">
        <v>824</v>
      </c>
      <c r="B154" s="10"/>
      <c r="C154" s="10"/>
      <c r="D154" s="69">
        <f>B85*D110+C85*E110+D85*F110+E85*F110+F85*G110+G85*G110+H85*H110+I85*I110+J85*J110+K85*K110+L85*L110</f>
        <v>1217187.5</v>
      </c>
      <c r="E154" s="10"/>
      <c r="F154" s="10" t="s">
        <v>827</v>
      </c>
      <c r="G154" s="10"/>
      <c r="H154" s="10"/>
      <c r="I154" s="15">
        <v>1</v>
      </c>
      <c r="J154" s="10"/>
      <c r="K154" s="10"/>
      <c r="L154" s="10"/>
      <c r="M154" s="10"/>
      <c r="N154" s="10"/>
      <c r="O154" s="10"/>
      <c r="P154" s="10"/>
      <c r="Q154" s="10"/>
      <c r="R154" s="10"/>
      <c r="S154" s="10"/>
      <c r="T154" s="11"/>
    </row>
    <row r="155" spans="1:20">
      <c r="A155" s="9" t="s">
        <v>825</v>
      </c>
      <c r="B155" s="10"/>
      <c r="C155" s="10"/>
      <c r="D155" s="15">
        <v>0.9</v>
      </c>
      <c r="E155" s="10"/>
      <c r="F155" s="10" t="s">
        <v>828</v>
      </c>
      <c r="G155" s="10"/>
      <c r="H155" s="10"/>
      <c r="I155" s="15">
        <v>0.3</v>
      </c>
      <c r="J155" s="10" t="s">
        <v>829</v>
      </c>
      <c r="K155" s="10"/>
      <c r="L155" s="10"/>
      <c r="M155" s="10"/>
      <c r="N155" s="10"/>
      <c r="O155" s="10"/>
      <c r="P155" s="10"/>
      <c r="Q155" s="10"/>
      <c r="R155" s="10"/>
      <c r="S155" s="10"/>
      <c r="T155" s="11"/>
    </row>
    <row r="156" spans="1:20">
      <c r="A156" s="9" t="s">
        <v>826</v>
      </c>
      <c r="B156" s="10"/>
      <c r="C156" s="10"/>
      <c r="D156" s="73">
        <f>1-D155</f>
        <v>9.9999999999999978E-2</v>
      </c>
      <c r="E156" s="10"/>
      <c r="F156" s="10" t="s">
        <v>338</v>
      </c>
      <c r="G156" s="10"/>
      <c r="H156" s="10"/>
      <c r="I156" s="10">
        <v>0.06</v>
      </c>
      <c r="J156" s="10"/>
      <c r="K156" s="10"/>
      <c r="L156" s="10"/>
      <c r="M156" s="10"/>
      <c r="N156" s="10"/>
      <c r="O156" s="10"/>
      <c r="P156" s="10"/>
      <c r="Q156" s="10"/>
      <c r="R156" s="10"/>
      <c r="S156" s="10"/>
      <c r="T156" s="11"/>
    </row>
    <row r="157" spans="1:20">
      <c r="A157" s="9"/>
      <c r="B157" s="10"/>
      <c r="C157" s="10"/>
      <c r="D157" s="10"/>
      <c r="E157" s="10"/>
      <c r="F157" s="10"/>
      <c r="G157" s="10"/>
      <c r="H157" s="10"/>
      <c r="I157" s="10"/>
      <c r="J157" s="10"/>
      <c r="K157" s="10"/>
      <c r="L157" s="10"/>
      <c r="M157" s="10"/>
      <c r="N157" s="10"/>
      <c r="O157" s="10"/>
      <c r="P157" s="10"/>
      <c r="Q157" s="10"/>
      <c r="R157" s="10"/>
      <c r="S157" s="10"/>
      <c r="T157" s="11"/>
    </row>
    <row r="158" spans="1:20">
      <c r="A158" s="64" t="s">
        <v>847</v>
      </c>
      <c r="B158" s="10"/>
      <c r="C158" s="10"/>
      <c r="D158" s="10"/>
      <c r="E158" s="10"/>
      <c r="F158" s="10"/>
      <c r="G158" s="10"/>
      <c r="H158" s="10"/>
      <c r="I158" s="10"/>
      <c r="J158" s="10"/>
      <c r="K158" s="10"/>
      <c r="L158" s="10"/>
      <c r="M158" s="10"/>
      <c r="N158" s="10"/>
      <c r="O158" s="10"/>
      <c r="P158" s="10"/>
      <c r="Q158" s="10"/>
      <c r="R158" s="10"/>
      <c r="S158" s="10"/>
      <c r="T158" s="11"/>
    </row>
    <row r="159" spans="1:20">
      <c r="A159" s="9" t="s">
        <v>848</v>
      </c>
      <c r="B159" s="10"/>
      <c r="C159" s="10"/>
      <c r="D159" s="10"/>
      <c r="E159" s="10"/>
      <c r="F159" s="10"/>
      <c r="G159" s="10"/>
      <c r="H159" s="10"/>
      <c r="I159" s="10"/>
      <c r="J159" s="10"/>
      <c r="K159" s="10"/>
      <c r="L159" s="10"/>
      <c r="M159" s="10"/>
      <c r="N159" s="10"/>
      <c r="O159" s="10"/>
      <c r="P159" s="10"/>
      <c r="Q159" s="10"/>
      <c r="R159" s="10"/>
      <c r="S159" s="10"/>
      <c r="T159" s="11"/>
    </row>
    <row r="160" spans="1:20">
      <c r="A160" s="9" t="s">
        <v>849</v>
      </c>
      <c r="B160" s="10"/>
      <c r="C160" s="10"/>
      <c r="D160" s="10"/>
      <c r="E160" s="10"/>
      <c r="F160" s="10"/>
      <c r="G160" s="10"/>
      <c r="H160" s="10"/>
      <c r="I160" s="10"/>
      <c r="J160" s="10"/>
      <c r="K160" s="10"/>
      <c r="L160" s="10"/>
      <c r="M160" s="10"/>
      <c r="N160" s="10"/>
      <c r="O160" s="10"/>
      <c r="P160" s="10"/>
      <c r="Q160" s="10"/>
      <c r="R160" s="10"/>
      <c r="S160" s="10"/>
      <c r="T160" s="11"/>
    </row>
    <row r="161" spans="1:20">
      <c r="A161" s="9" t="s">
        <v>851</v>
      </c>
      <c r="B161" s="10"/>
      <c r="C161" s="10"/>
      <c r="D161" s="10"/>
      <c r="E161" s="10"/>
      <c r="F161" s="10"/>
      <c r="G161" s="10"/>
      <c r="H161" s="10"/>
      <c r="I161" s="10"/>
      <c r="J161" s="10"/>
      <c r="K161" s="10"/>
      <c r="L161" s="10"/>
      <c r="M161" s="10"/>
      <c r="N161" s="10"/>
      <c r="O161" s="10"/>
      <c r="P161" s="10"/>
      <c r="Q161" s="10"/>
      <c r="R161" s="10"/>
      <c r="S161" s="10"/>
      <c r="T161" s="11"/>
    </row>
    <row r="162" spans="1:20">
      <c r="A162" s="18" t="s">
        <v>850</v>
      </c>
      <c r="B162" s="10"/>
      <c r="C162" s="10"/>
      <c r="D162" s="10"/>
      <c r="E162" s="10"/>
      <c r="F162" s="10"/>
      <c r="G162" s="10"/>
      <c r="H162" s="10"/>
      <c r="I162" s="10"/>
      <c r="J162" s="10"/>
      <c r="K162" s="10"/>
      <c r="L162" s="10"/>
      <c r="M162" s="10"/>
      <c r="N162" s="10"/>
      <c r="O162" s="10"/>
      <c r="P162" s="10"/>
      <c r="Q162" s="10"/>
      <c r="R162" s="10"/>
      <c r="S162" s="10"/>
      <c r="T162" s="11"/>
    </row>
    <row r="163" spans="1:20">
      <c r="A163" s="9"/>
      <c r="B163" s="10"/>
      <c r="C163" s="10"/>
      <c r="D163" s="10"/>
      <c r="E163" s="10"/>
      <c r="F163" s="10"/>
      <c r="G163" s="10"/>
      <c r="H163" s="10"/>
      <c r="I163" s="10"/>
      <c r="J163" s="10"/>
      <c r="K163" s="10"/>
      <c r="L163" s="10"/>
      <c r="M163" s="10"/>
      <c r="N163" s="10"/>
      <c r="O163" s="10"/>
      <c r="P163" s="10"/>
      <c r="Q163" s="10"/>
      <c r="R163" s="10"/>
      <c r="S163" s="10"/>
      <c r="T163" s="11"/>
    </row>
    <row r="164" spans="1:20">
      <c r="A164" s="9" t="s">
        <v>852</v>
      </c>
      <c r="B164" s="10"/>
      <c r="C164" s="10"/>
      <c r="D164" s="80">
        <f>B85*C115+C85*D115+D85*E115+E85*E115+F85*F115+G85*F115+H85*G115+I85*H115+J85*I115+K85*J115+L85*K115</f>
        <v>5573.3484374999998</v>
      </c>
      <c r="E164" s="10"/>
      <c r="F164" s="10"/>
      <c r="G164" s="10"/>
      <c r="H164" s="10"/>
      <c r="I164" s="10"/>
      <c r="J164" s="10"/>
      <c r="K164" s="10"/>
      <c r="L164" s="10"/>
      <c r="M164" s="10"/>
      <c r="N164" s="10"/>
      <c r="O164" s="10"/>
      <c r="P164" s="10"/>
      <c r="Q164" s="10"/>
      <c r="R164" s="10"/>
      <c r="S164" s="10"/>
      <c r="T164" s="11"/>
    </row>
    <row r="165" spans="1:20">
      <c r="A165" s="9" t="s">
        <v>853</v>
      </c>
      <c r="B165" s="10"/>
      <c r="C165" s="10"/>
      <c r="D165" s="15">
        <v>0.95</v>
      </c>
      <c r="E165" s="10"/>
      <c r="F165" s="10" t="s">
        <v>855</v>
      </c>
      <c r="G165" s="10"/>
      <c r="H165" s="10"/>
      <c r="I165" s="10"/>
      <c r="J165" s="15">
        <v>0.95</v>
      </c>
      <c r="K165" s="10"/>
      <c r="L165" s="10"/>
      <c r="M165" s="10"/>
      <c r="N165" s="10"/>
      <c r="O165" s="10"/>
      <c r="P165" s="10"/>
      <c r="Q165" s="10"/>
      <c r="R165" s="10"/>
      <c r="S165" s="10"/>
      <c r="T165" s="11"/>
    </row>
    <row r="166" spans="1:20">
      <c r="A166" s="9" t="s">
        <v>854</v>
      </c>
      <c r="B166" s="10"/>
      <c r="C166" s="10"/>
      <c r="D166" s="73">
        <f>1-D165</f>
        <v>5.0000000000000044E-2</v>
      </c>
      <c r="E166" s="10"/>
      <c r="F166" s="10" t="s">
        <v>856</v>
      </c>
      <c r="G166" s="10"/>
      <c r="H166" s="10"/>
      <c r="I166" s="10"/>
      <c r="J166" s="71">
        <f>D165*J165</f>
        <v>0.90249999999999997</v>
      </c>
      <c r="K166" s="10"/>
      <c r="L166" s="10"/>
      <c r="M166" s="10"/>
      <c r="N166" s="10"/>
      <c r="O166" s="10"/>
      <c r="P166" s="10"/>
      <c r="Q166" s="10"/>
      <c r="R166" s="10"/>
      <c r="S166" s="10"/>
      <c r="T166" s="11"/>
    </row>
    <row r="167" spans="1:20">
      <c r="A167" s="9"/>
      <c r="B167" s="10"/>
      <c r="C167" s="10"/>
      <c r="D167" s="63"/>
      <c r="E167" s="10"/>
      <c r="F167" s="10"/>
      <c r="G167" s="10"/>
      <c r="H167" s="10"/>
      <c r="I167" s="10"/>
      <c r="J167" s="81"/>
      <c r="K167" s="10"/>
      <c r="L167" s="10"/>
      <c r="M167" s="10"/>
      <c r="N167" s="10"/>
      <c r="O167" s="10"/>
      <c r="P167" s="10"/>
      <c r="Q167" s="10"/>
      <c r="R167" s="10"/>
      <c r="S167" s="10"/>
      <c r="T167" s="11"/>
    </row>
    <row r="168" spans="1:20">
      <c r="A168" s="64" t="s">
        <v>174</v>
      </c>
      <c r="B168" s="10"/>
      <c r="C168" s="10"/>
      <c r="D168" s="63"/>
      <c r="E168" s="10"/>
      <c r="F168" s="10"/>
      <c r="G168" s="10"/>
      <c r="H168" s="10"/>
      <c r="I168" s="10"/>
      <c r="J168" s="81"/>
      <c r="K168" s="10"/>
      <c r="L168" s="10"/>
      <c r="M168" s="10"/>
      <c r="N168" s="10"/>
      <c r="O168" s="10"/>
      <c r="P168" s="10"/>
      <c r="Q168" s="10"/>
      <c r="R168" s="10"/>
      <c r="S168" s="10"/>
      <c r="T168" s="11"/>
    </row>
    <row r="169" spans="1:20">
      <c r="A169" s="9" t="s">
        <v>860</v>
      </c>
      <c r="B169" s="10"/>
      <c r="C169" s="10"/>
      <c r="D169" s="63"/>
      <c r="E169" s="10"/>
      <c r="F169" s="10"/>
      <c r="G169" s="10"/>
      <c r="H169" s="10"/>
      <c r="I169" s="10"/>
      <c r="J169" s="81"/>
      <c r="K169" s="10"/>
      <c r="L169" s="10"/>
      <c r="M169" s="10"/>
      <c r="N169" s="10"/>
      <c r="O169" s="10"/>
      <c r="P169" s="10"/>
      <c r="Q169" s="10"/>
      <c r="R169" s="10"/>
      <c r="S169" s="10"/>
      <c r="T169" s="11"/>
    </row>
    <row r="170" spans="1:20">
      <c r="A170" s="64"/>
      <c r="B170" s="10"/>
      <c r="C170" s="10"/>
      <c r="D170" s="63"/>
      <c r="E170" s="10"/>
      <c r="F170" s="10"/>
      <c r="G170" s="10"/>
      <c r="H170" s="10"/>
      <c r="I170" s="10"/>
      <c r="J170" s="81"/>
      <c r="K170" s="10"/>
      <c r="L170" s="10"/>
      <c r="M170" s="10"/>
      <c r="N170" s="10"/>
      <c r="O170" s="10"/>
      <c r="P170" s="10"/>
      <c r="Q170" s="10"/>
      <c r="R170" s="10"/>
      <c r="S170" s="10"/>
      <c r="T170" s="11"/>
    </row>
    <row r="171" spans="1:20">
      <c r="A171" s="9" t="s">
        <v>858</v>
      </c>
      <c r="B171" s="10"/>
      <c r="C171" s="10"/>
      <c r="D171" s="63"/>
      <c r="E171" s="10">
        <v>1</v>
      </c>
      <c r="F171" s="10"/>
      <c r="G171" s="10"/>
      <c r="H171" s="10"/>
      <c r="I171" s="10"/>
      <c r="J171" s="81"/>
      <c r="K171" s="10"/>
      <c r="L171" s="10"/>
      <c r="M171" s="10"/>
      <c r="N171" s="10"/>
      <c r="O171" s="10"/>
      <c r="P171" s="10"/>
      <c r="Q171" s="10"/>
      <c r="R171" s="10"/>
      <c r="S171" s="10"/>
      <c r="T171" s="11"/>
    </row>
    <row r="172" spans="1:20">
      <c r="A172" s="9" t="s">
        <v>859</v>
      </c>
      <c r="B172" s="10"/>
      <c r="C172" s="10"/>
      <c r="D172" s="63"/>
      <c r="E172" s="10">
        <v>24</v>
      </c>
      <c r="F172" s="10"/>
      <c r="G172" s="10"/>
      <c r="H172" s="10"/>
      <c r="I172" s="10"/>
      <c r="J172" s="81"/>
      <c r="K172" s="10"/>
      <c r="L172" s="10"/>
      <c r="M172" s="10"/>
      <c r="N172" s="10"/>
      <c r="O172" s="10"/>
      <c r="P172" s="10"/>
      <c r="Q172" s="10"/>
      <c r="R172" s="10"/>
      <c r="S172" s="10"/>
      <c r="T172" s="11"/>
    </row>
    <row r="173" spans="1:20" ht="15.75" thickBot="1">
      <c r="A173" s="12"/>
      <c r="B173" s="13"/>
      <c r="C173" s="13"/>
      <c r="D173" s="13"/>
      <c r="E173" s="13"/>
      <c r="F173" s="13"/>
      <c r="G173" s="13"/>
      <c r="H173" s="13"/>
      <c r="I173" s="13"/>
      <c r="J173" s="13"/>
      <c r="K173" s="13"/>
      <c r="L173" s="13"/>
      <c r="M173" s="13"/>
      <c r="N173" s="13"/>
      <c r="O173" s="13"/>
      <c r="P173" s="13"/>
      <c r="Q173" s="13"/>
      <c r="R173" s="13"/>
      <c r="S173" s="13"/>
      <c r="T173" s="14"/>
    </row>
    <row r="175" spans="1:20">
      <c r="A175" s="62" t="s">
        <v>857</v>
      </c>
    </row>
    <row r="176" spans="1:20" ht="15.75" thickBot="1"/>
    <row r="177" spans="1:20">
      <c r="A177" s="35" t="s">
        <v>861</v>
      </c>
      <c r="B177" s="7"/>
      <c r="C177" s="7"/>
      <c r="D177" s="7"/>
      <c r="E177" s="7"/>
      <c r="F177" s="7"/>
      <c r="G177" s="7"/>
      <c r="H177" s="7"/>
      <c r="I177" s="7"/>
      <c r="J177" s="7"/>
      <c r="K177" s="7"/>
      <c r="L177" s="7"/>
      <c r="M177" s="7"/>
      <c r="N177" s="7"/>
      <c r="O177" s="7"/>
      <c r="P177" s="7"/>
      <c r="Q177" s="7"/>
      <c r="R177" s="7"/>
      <c r="S177" s="7"/>
      <c r="T177" s="8"/>
    </row>
    <row r="178" spans="1:20">
      <c r="A178" s="9"/>
      <c r="B178" s="10"/>
      <c r="C178" s="10"/>
      <c r="D178" s="10"/>
      <c r="E178" s="10"/>
      <c r="F178" s="10"/>
      <c r="G178" s="10"/>
      <c r="H178" s="10"/>
      <c r="I178" s="10"/>
      <c r="J178" s="10"/>
      <c r="K178" s="10"/>
      <c r="L178" s="10"/>
      <c r="M178" s="10"/>
      <c r="N178" s="10"/>
      <c r="O178" s="10"/>
      <c r="P178" s="10"/>
      <c r="Q178" s="10"/>
      <c r="R178" s="10"/>
      <c r="S178" s="10"/>
      <c r="T178" s="11"/>
    </row>
    <row r="179" spans="1:20">
      <c r="A179" s="64" t="s">
        <v>171</v>
      </c>
      <c r="B179" s="10"/>
      <c r="C179" s="10"/>
      <c r="D179" s="10"/>
      <c r="E179" s="10"/>
      <c r="F179" s="10"/>
      <c r="G179" s="10"/>
      <c r="H179" s="10"/>
      <c r="I179" s="10"/>
      <c r="J179" s="10"/>
      <c r="K179" s="10"/>
      <c r="L179" s="10"/>
      <c r="M179" s="10"/>
      <c r="N179" s="10"/>
      <c r="O179" s="10"/>
      <c r="P179" s="10"/>
      <c r="Q179" s="10"/>
      <c r="R179" s="10"/>
      <c r="S179" s="10"/>
      <c r="T179" s="11"/>
    </row>
    <row r="180" spans="1:20">
      <c r="A180" s="9" t="s">
        <v>821</v>
      </c>
      <c r="B180" s="10"/>
      <c r="C180" s="10"/>
      <c r="D180" s="10"/>
      <c r="E180" s="10"/>
      <c r="F180" s="10">
        <v>0</v>
      </c>
      <c r="G180" s="10"/>
      <c r="H180" s="10"/>
      <c r="I180" s="10"/>
      <c r="J180" s="10"/>
      <c r="K180" s="10"/>
      <c r="L180" s="10"/>
      <c r="M180" s="10"/>
      <c r="N180" s="10"/>
      <c r="O180" s="10"/>
      <c r="P180" s="10"/>
      <c r="Q180" s="10"/>
      <c r="R180" s="10"/>
      <c r="S180" s="10"/>
      <c r="T180" s="11"/>
    </row>
    <row r="181" spans="1:20">
      <c r="A181" s="18" t="s">
        <v>822</v>
      </c>
      <c r="B181" s="10"/>
      <c r="C181" s="10"/>
      <c r="D181" s="10"/>
      <c r="E181" s="10"/>
      <c r="F181" s="10">
        <v>0</v>
      </c>
      <c r="G181" s="10"/>
      <c r="H181" s="10"/>
      <c r="I181" s="10"/>
      <c r="J181" s="10"/>
      <c r="K181" s="10"/>
      <c r="L181" s="10"/>
      <c r="M181" s="10"/>
      <c r="N181" s="10"/>
      <c r="O181" s="10"/>
      <c r="P181" s="10"/>
      <c r="Q181" s="10"/>
      <c r="R181" s="10"/>
      <c r="S181" s="10"/>
      <c r="T181" s="11"/>
    </row>
    <row r="182" spans="1:20">
      <c r="A182" s="9"/>
      <c r="B182" s="10"/>
      <c r="C182" s="10"/>
      <c r="D182" s="10"/>
      <c r="E182" s="10"/>
      <c r="F182" s="10"/>
      <c r="G182" s="10"/>
      <c r="H182" s="10"/>
      <c r="I182" s="10"/>
      <c r="J182" s="10"/>
      <c r="K182" s="10"/>
      <c r="L182" s="10"/>
      <c r="M182" s="10"/>
      <c r="N182" s="10"/>
      <c r="O182" s="10"/>
      <c r="P182" s="10"/>
      <c r="Q182" s="10"/>
      <c r="R182" s="10"/>
      <c r="S182" s="10"/>
      <c r="T182" s="11"/>
    </row>
    <row r="183" spans="1:20">
      <c r="A183" s="64" t="s">
        <v>847</v>
      </c>
      <c r="B183" s="10"/>
      <c r="C183" s="10"/>
      <c r="D183" s="10"/>
      <c r="E183" s="10"/>
      <c r="F183" s="10"/>
      <c r="G183" s="10"/>
      <c r="H183" s="10"/>
      <c r="I183" s="10"/>
      <c r="J183" s="10"/>
      <c r="K183" s="10"/>
      <c r="L183" s="10"/>
      <c r="M183" s="10"/>
      <c r="N183" s="10"/>
      <c r="O183" s="10"/>
      <c r="P183" s="10"/>
      <c r="Q183" s="10"/>
      <c r="R183" s="10"/>
      <c r="S183" s="10"/>
      <c r="T183" s="11"/>
    </row>
    <row r="184" spans="1:20">
      <c r="A184" s="9" t="s">
        <v>848</v>
      </c>
      <c r="B184" s="10"/>
      <c r="C184" s="10"/>
      <c r="D184" s="10"/>
      <c r="E184" s="10"/>
      <c r="F184" s="10"/>
      <c r="G184" s="10"/>
      <c r="H184" s="10"/>
      <c r="I184" s="10"/>
      <c r="J184" s="10"/>
      <c r="K184" s="10"/>
      <c r="L184" s="10"/>
      <c r="M184" s="10"/>
      <c r="N184" s="10"/>
      <c r="O184" s="10"/>
      <c r="P184" s="10"/>
      <c r="Q184" s="10"/>
      <c r="R184" s="10"/>
      <c r="S184" s="10"/>
      <c r="T184" s="11"/>
    </row>
    <row r="185" spans="1:20">
      <c r="A185" s="9" t="s">
        <v>849</v>
      </c>
      <c r="B185" s="10"/>
      <c r="C185" s="10"/>
      <c r="D185" s="10"/>
      <c r="E185" s="10"/>
      <c r="F185" s="10"/>
      <c r="G185" s="10"/>
      <c r="H185" s="10"/>
      <c r="I185" s="10"/>
      <c r="J185" s="10"/>
      <c r="K185" s="10"/>
      <c r="L185" s="10"/>
      <c r="M185" s="10"/>
      <c r="N185" s="10"/>
      <c r="O185" s="10"/>
      <c r="P185" s="10"/>
      <c r="Q185" s="10"/>
      <c r="R185" s="10"/>
      <c r="S185" s="10"/>
      <c r="T185" s="11"/>
    </row>
    <row r="186" spans="1:20">
      <c r="A186" s="9" t="s">
        <v>851</v>
      </c>
      <c r="B186" s="10"/>
      <c r="C186" s="10"/>
      <c r="D186" s="10"/>
      <c r="E186" s="10"/>
      <c r="F186" s="10"/>
      <c r="G186" s="10"/>
      <c r="H186" s="10"/>
      <c r="I186" s="10"/>
      <c r="J186" s="10"/>
      <c r="K186" s="10"/>
      <c r="L186" s="10"/>
      <c r="M186" s="10"/>
      <c r="N186" s="10"/>
      <c r="O186" s="10"/>
      <c r="P186" s="10"/>
      <c r="Q186" s="10"/>
      <c r="R186" s="10"/>
      <c r="S186" s="10"/>
      <c r="T186" s="11"/>
    </row>
    <row r="187" spans="1:20">
      <c r="A187" s="18" t="s">
        <v>850</v>
      </c>
      <c r="B187" s="10"/>
      <c r="C187" s="10"/>
      <c r="D187" s="10"/>
      <c r="E187" s="10"/>
      <c r="F187" s="10"/>
      <c r="G187" s="10"/>
      <c r="H187" s="10"/>
      <c r="I187" s="10"/>
      <c r="J187" s="10"/>
      <c r="K187" s="10"/>
      <c r="L187" s="10"/>
      <c r="M187" s="10"/>
      <c r="N187" s="10"/>
      <c r="O187" s="10"/>
      <c r="P187" s="10"/>
      <c r="Q187" s="10"/>
      <c r="R187" s="10"/>
      <c r="S187" s="10"/>
      <c r="T187" s="11"/>
    </row>
    <row r="188" spans="1:20">
      <c r="A188" s="9"/>
      <c r="B188" s="10"/>
      <c r="C188" s="10"/>
      <c r="D188" s="10"/>
      <c r="E188" s="10"/>
      <c r="F188" s="10"/>
      <c r="G188" s="10"/>
      <c r="H188" s="10"/>
      <c r="I188" s="10"/>
      <c r="J188" s="10"/>
      <c r="K188" s="10"/>
      <c r="L188" s="10"/>
      <c r="M188" s="10"/>
      <c r="N188" s="10"/>
      <c r="O188" s="10"/>
      <c r="P188" s="10"/>
      <c r="Q188" s="10"/>
      <c r="R188" s="10"/>
      <c r="S188" s="10"/>
      <c r="T188" s="11"/>
    </row>
    <row r="189" spans="1:20">
      <c r="A189" s="9" t="s">
        <v>852</v>
      </c>
      <c r="B189" s="10"/>
      <c r="C189" s="10"/>
      <c r="D189" s="80">
        <f>E92*L115</f>
        <v>491.99999999999989</v>
      </c>
      <c r="E189" s="10"/>
      <c r="F189" s="10"/>
      <c r="G189" s="10"/>
      <c r="H189" s="10"/>
      <c r="I189" s="10"/>
      <c r="J189" s="10"/>
      <c r="K189" s="10"/>
      <c r="L189" s="10"/>
      <c r="M189" s="10"/>
      <c r="N189" s="10"/>
      <c r="O189" s="10"/>
      <c r="P189" s="10"/>
      <c r="Q189" s="10"/>
      <c r="R189" s="10"/>
      <c r="S189" s="10"/>
      <c r="T189" s="11"/>
    </row>
    <row r="190" spans="1:20">
      <c r="A190" s="9" t="s">
        <v>853</v>
      </c>
      <c r="B190" s="10"/>
      <c r="C190" s="10"/>
      <c r="D190" s="15">
        <v>0</v>
      </c>
      <c r="E190" s="10"/>
      <c r="F190" s="10" t="s">
        <v>855</v>
      </c>
      <c r="G190" s="10"/>
      <c r="H190" s="10"/>
      <c r="I190" s="10"/>
      <c r="J190" s="15">
        <v>0</v>
      </c>
      <c r="K190" s="10"/>
      <c r="L190" s="10"/>
      <c r="M190" s="10"/>
      <c r="N190" s="10"/>
      <c r="O190" s="10"/>
      <c r="P190" s="10"/>
      <c r="Q190" s="10"/>
      <c r="R190" s="10"/>
      <c r="S190" s="10"/>
      <c r="T190" s="11"/>
    </row>
    <row r="191" spans="1:20">
      <c r="A191" s="9" t="s">
        <v>854</v>
      </c>
      <c r="B191" s="10"/>
      <c r="C191" s="10"/>
      <c r="D191" s="73">
        <f>1-D190</f>
        <v>1</v>
      </c>
      <c r="E191" s="10"/>
      <c r="F191" s="10" t="s">
        <v>856</v>
      </c>
      <c r="G191" s="10"/>
      <c r="H191" s="10"/>
      <c r="I191" s="10"/>
      <c r="J191" s="71">
        <f>D190*J190</f>
        <v>0</v>
      </c>
      <c r="K191" s="10"/>
      <c r="L191" s="10"/>
      <c r="M191" s="10"/>
      <c r="N191" s="10"/>
      <c r="O191" s="10"/>
      <c r="P191" s="10"/>
      <c r="Q191" s="10"/>
      <c r="R191" s="10"/>
      <c r="S191" s="10"/>
      <c r="T191" s="11"/>
    </row>
    <row r="192" spans="1:20">
      <c r="A192" s="9"/>
      <c r="B192" s="10"/>
      <c r="C192" s="10"/>
      <c r="D192" s="63"/>
      <c r="E192" s="10"/>
      <c r="F192" s="10"/>
      <c r="G192" s="10"/>
      <c r="H192" s="10"/>
      <c r="I192" s="10"/>
      <c r="J192" s="81"/>
      <c r="K192" s="10"/>
      <c r="L192" s="10"/>
      <c r="M192" s="10"/>
      <c r="N192" s="10"/>
      <c r="O192" s="10"/>
      <c r="P192" s="10"/>
      <c r="Q192" s="10"/>
      <c r="R192" s="10"/>
      <c r="S192" s="10"/>
      <c r="T192" s="11"/>
    </row>
    <row r="193" spans="1:20">
      <c r="A193" s="64" t="s">
        <v>174</v>
      </c>
      <c r="B193" s="10"/>
      <c r="C193" s="10"/>
      <c r="D193" s="63"/>
      <c r="E193" s="10"/>
      <c r="F193" s="10"/>
      <c r="G193" s="10"/>
      <c r="H193" s="10"/>
      <c r="I193" s="10"/>
      <c r="J193" s="81"/>
      <c r="K193" s="10"/>
      <c r="L193" s="10"/>
      <c r="M193" s="10"/>
      <c r="N193" s="10"/>
      <c r="O193" s="10"/>
      <c r="P193" s="10"/>
      <c r="Q193" s="10"/>
      <c r="R193" s="10"/>
      <c r="S193" s="10"/>
      <c r="T193" s="11"/>
    </row>
    <row r="194" spans="1:20">
      <c r="A194" s="9" t="s">
        <v>860</v>
      </c>
      <c r="B194" s="10"/>
      <c r="C194" s="10"/>
      <c r="D194" s="63"/>
      <c r="E194" s="10"/>
      <c r="F194" s="10"/>
      <c r="G194" s="10"/>
      <c r="H194" s="10"/>
      <c r="I194" s="10"/>
      <c r="J194" s="81"/>
      <c r="K194" s="10"/>
      <c r="L194" s="10"/>
      <c r="M194" s="10"/>
      <c r="N194" s="10"/>
      <c r="O194" s="10"/>
      <c r="P194" s="10"/>
      <c r="Q194" s="10"/>
      <c r="R194" s="10"/>
      <c r="S194" s="10"/>
      <c r="T194" s="11"/>
    </row>
    <row r="195" spans="1:20">
      <c r="A195" s="64"/>
      <c r="B195" s="10"/>
      <c r="C195" s="10"/>
      <c r="D195" s="63"/>
      <c r="E195" s="10"/>
      <c r="F195" s="10"/>
      <c r="G195" s="10"/>
      <c r="H195" s="10"/>
      <c r="I195" s="10"/>
      <c r="J195" s="81"/>
      <c r="K195" s="10"/>
      <c r="L195" s="10"/>
      <c r="M195" s="10"/>
      <c r="N195" s="10"/>
      <c r="O195" s="10"/>
      <c r="P195" s="10"/>
      <c r="Q195" s="10"/>
      <c r="R195" s="10"/>
      <c r="S195" s="10"/>
      <c r="T195" s="11"/>
    </row>
    <row r="196" spans="1:20">
      <c r="A196" s="9" t="s">
        <v>858</v>
      </c>
      <c r="B196" s="10"/>
      <c r="C196" s="10"/>
      <c r="D196" s="63"/>
      <c r="E196" s="10">
        <v>2</v>
      </c>
      <c r="F196" s="10"/>
      <c r="G196" s="10"/>
      <c r="H196" s="10"/>
      <c r="I196" s="10"/>
      <c r="J196" s="81"/>
      <c r="K196" s="10"/>
      <c r="L196" s="10"/>
      <c r="M196" s="10"/>
      <c r="N196" s="10"/>
      <c r="O196" s="10"/>
      <c r="P196" s="10"/>
      <c r="Q196" s="10"/>
      <c r="R196" s="10"/>
      <c r="S196" s="10"/>
      <c r="T196" s="11"/>
    </row>
    <row r="197" spans="1:20">
      <c r="A197" s="9" t="s">
        <v>859</v>
      </c>
      <c r="B197" s="10"/>
      <c r="C197" s="10"/>
      <c r="D197" s="63"/>
      <c r="E197" s="10">
        <v>50</v>
      </c>
      <c r="F197" s="10"/>
      <c r="G197" s="10"/>
      <c r="H197" s="10"/>
      <c r="I197" s="10"/>
      <c r="J197" s="81"/>
      <c r="K197" s="10"/>
      <c r="L197" s="10"/>
      <c r="M197" s="10"/>
      <c r="N197" s="10"/>
      <c r="O197" s="10"/>
      <c r="P197" s="10"/>
      <c r="Q197" s="10"/>
      <c r="R197" s="10"/>
      <c r="S197" s="10"/>
      <c r="T197" s="11"/>
    </row>
    <row r="198" spans="1:20" ht="15.75" thickBot="1">
      <c r="A198" s="12"/>
      <c r="B198" s="13"/>
      <c r="C198" s="13"/>
      <c r="D198" s="13"/>
      <c r="E198" s="13"/>
      <c r="F198" s="13"/>
      <c r="G198" s="13"/>
      <c r="H198" s="13"/>
      <c r="I198" s="13"/>
      <c r="J198" s="13"/>
      <c r="K198" s="13"/>
      <c r="L198" s="13"/>
      <c r="M198" s="13"/>
      <c r="N198" s="13"/>
      <c r="O198" s="13"/>
      <c r="P198" s="13"/>
      <c r="Q198" s="13"/>
      <c r="R198" s="13"/>
      <c r="S198" s="13"/>
      <c r="T198" s="14"/>
    </row>
  </sheetData>
  <phoneticPr fontId="4" type="noConversion"/>
  <conditionalFormatting sqref="E57:E80 L57 L60:L63 L66:L71 T57 T60:T63 T66:T71 AB57 AB60:AB63 AB66:AB71 AJ57 AJ62:AJ67 AJ70:AJ75 AR57 AR62:AR67 AR70:AR75 AZ57:AZ58 AZ60:AZ62 AZ65:AZ70 BH57 BH63:BH68 BH71:BH76 BO57 BO61:BO63 BO65:BO67">
    <cfRule type="cellIs" dxfId="56" priority="145" operator="lessThan">
      <formula>0</formula>
    </cfRule>
    <cfRule type="cellIs" dxfId="55" priority="146" operator="lessThan">
      <formula>0</formula>
    </cfRule>
  </conditionalFormatting>
  <conditionalFormatting sqref="L57:L78 T57:T78 AB57:AB78 AJ57:AJ83 AR57:AR77 AR79:AR83 AZ57:AZ75 BH57:BH82 BO57:BO74">
    <cfRule type="cellIs" dxfId="54" priority="136"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AA51"/>
  <sheetViews>
    <sheetView zoomScale="80" zoomScaleNormal="80" workbookViewId="0">
      <selection activeCell="G10" sqref="G10"/>
    </sheetView>
  </sheetViews>
  <sheetFormatPr defaultRowHeight="15"/>
  <cols>
    <col min="6" max="6" width="15" customWidth="1"/>
    <col min="7" max="7" width="19.140625" customWidth="1"/>
    <col min="8" max="8" width="13.140625" customWidth="1"/>
    <col min="9" max="9" width="15" bestFit="1" customWidth="1"/>
    <col min="10" max="10" width="14.28515625" bestFit="1" customWidth="1"/>
    <col min="11" max="12" width="13.140625" bestFit="1" customWidth="1"/>
    <col min="14" max="14" width="12.28515625" bestFit="1" customWidth="1"/>
  </cols>
  <sheetData>
    <row r="1" spans="1:27">
      <c r="A1" s="62" t="s">
        <v>862</v>
      </c>
    </row>
    <row r="3" spans="1:27" ht="15.75" thickBot="1">
      <c r="A3" s="62" t="s">
        <v>867</v>
      </c>
    </row>
    <row r="4" spans="1:27">
      <c r="A4" s="35" t="s">
        <v>868</v>
      </c>
      <c r="B4" s="7"/>
      <c r="C4" s="7"/>
      <c r="D4" s="7"/>
      <c r="E4" s="7"/>
      <c r="F4" s="7"/>
      <c r="G4" s="7"/>
      <c r="H4" s="7"/>
      <c r="I4" s="7"/>
      <c r="J4" s="7"/>
      <c r="K4" s="7"/>
      <c r="L4" s="7"/>
      <c r="M4" s="7"/>
      <c r="N4" s="7"/>
      <c r="O4" s="7"/>
      <c r="P4" s="7"/>
      <c r="Q4" s="7"/>
      <c r="R4" s="7"/>
      <c r="S4" s="7"/>
      <c r="T4" s="7"/>
      <c r="U4" s="7"/>
      <c r="V4" s="7"/>
      <c r="W4" s="7"/>
      <c r="X4" s="7"/>
      <c r="Y4" s="7"/>
      <c r="Z4" s="7"/>
      <c r="AA4" s="8"/>
    </row>
    <row r="5" spans="1:27">
      <c r="A5" s="9" t="s">
        <v>869</v>
      </c>
      <c r="B5" s="10"/>
      <c r="C5" s="10"/>
      <c r="D5" s="10"/>
      <c r="E5" s="10"/>
      <c r="F5" s="10"/>
      <c r="G5" s="10"/>
      <c r="H5" s="10"/>
      <c r="I5" s="10"/>
      <c r="J5" s="10"/>
      <c r="K5" s="10"/>
      <c r="L5" s="10"/>
      <c r="M5" s="10"/>
      <c r="N5" s="10"/>
      <c r="O5" s="10"/>
      <c r="P5" s="10"/>
      <c r="Q5" s="10"/>
      <c r="R5" s="10"/>
      <c r="S5" s="10"/>
      <c r="T5" s="10"/>
      <c r="U5" s="10"/>
      <c r="V5" s="10"/>
      <c r="W5" s="10"/>
      <c r="X5" s="10"/>
      <c r="Y5" s="10"/>
      <c r="Z5" s="10"/>
      <c r="AA5" s="11"/>
    </row>
    <row r="6" spans="1:27">
      <c r="A6" s="9" t="s">
        <v>870</v>
      </c>
      <c r="B6" s="10"/>
      <c r="C6" s="10"/>
      <c r="D6" s="10"/>
      <c r="E6" s="10"/>
      <c r="F6" s="10"/>
      <c r="G6" s="10"/>
      <c r="H6" s="10"/>
      <c r="I6" s="10"/>
      <c r="J6" s="10"/>
      <c r="K6" s="10"/>
      <c r="L6" s="10"/>
      <c r="M6" s="10"/>
      <c r="N6" s="10"/>
      <c r="O6" s="10"/>
      <c r="P6" s="10"/>
      <c r="Q6" s="10"/>
      <c r="R6" s="10"/>
      <c r="S6" s="10"/>
      <c r="T6" s="10"/>
      <c r="U6" s="10"/>
      <c r="V6" s="10"/>
      <c r="W6" s="10"/>
      <c r="X6" s="10"/>
      <c r="Y6" s="10"/>
      <c r="Z6" s="10"/>
      <c r="AA6" s="11"/>
    </row>
    <row r="7" spans="1:27">
      <c r="A7" s="9" t="s">
        <v>871</v>
      </c>
      <c r="B7" s="10"/>
      <c r="C7" s="10"/>
      <c r="D7" s="10"/>
      <c r="E7" s="10"/>
      <c r="F7" s="10"/>
      <c r="G7" s="10"/>
      <c r="H7" s="10"/>
      <c r="I7" s="10"/>
      <c r="J7" s="10"/>
      <c r="K7" s="10"/>
      <c r="L7" s="10"/>
      <c r="M7" s="10"/>
      <c r="N7" s="10"/>
      <c r="O7" s="10"/>
      <c r="P7" s="10"/>
      <c r="Q7" s="10"/>
      <c r="R7" s="10"/>
      <c r="S7" s="10"/>
      <c r="T7" s="10"/>
      <c r="U7" s="10"/>
      <c r="V7" s="10"/>
      <c r="W7" s="10"/>
      <c r="X7" s="10"/>
      <c r="Y7" s="10"/>
      <c r="Z7" s="10"/>
      <c r="AA7" s="11"/>
    </row>
    <row r="8" spans="1:27">
      <c r="A8" s="9"/>
      <c r="B8" s="10"/>
      <c r="C8" s="10"/>
      <c r="D8" s="10"/>
      <c r="E8" s="10"/>
      <c r="F8" s="10"/>
      <c r="G8" s="10"/>
      <c r="H8" s="10"/>
      <c r="I8" s="10"/>
      <c r="J8" s="10"/>
      <c r="K8" s="10"/>
      <c r="L8" s="10"/>
      <c r="M8" s="10"/>
      <c r="N8" s="10"/>
      <c r="O8" s="10"/>
      <c r="P8" s="10"/>
      <c r="Q8" s="10"/>
      <c r="R8" s="10"/>
      <c r="S8" s="10"/>
      <c r="T8" s="10"/>
      <c r="U8" s="10"/>
      <c r="V8" s="10"/>
      <c r="W8" s="10"/>
      <c r="X8" s="10"/>
      <c r="Y8" s="10"/>
      <c r="Z8" s="10"/>
      <c r="AA8" s="11"/>
    </row>
    <row r="9" spans="1:27">
      <c r="A9" s="9"/>
      <c r="B9" s="10"/>
      <c r="C9" s="10"/>
      <c r="D9" s="10"/>
      <c r="E9" s="10"/>
      <c r="F9" s="10"/>
      <c r="G9" s="10" t="s">
        <v>4</v>
      </c>
      <c r="H9" s="10" t="s">
        <v>5</v>
      </c>
      <c r="I9" s="10" t="s">
        <v>29</v>
      </c>
      <c r="J9" s="10" t="s">
        <v>30</v>
      </c>
      <c r="K9" s="10" t="s">
        <v>31</v>
      </c>
      <c r="L9" s="10" t="s">
        <v>32</v>
      </c>
      <c r="M9" s="10" t="s">
        <v>8</v>
      </c>
      <c r="N9" s="10" t="s">
        <v>359</v>
      </c>
      <c r="O9" s="10"/>
      <c r="P9" s="10"/>
      <c r="Q9" s="10"/>
      <c r="R9" s="10"/>
      <c r="S9" s="10"/>
      <c r="T9" s="10"/>
      <c r="U9" s="10"/>
      <c r="V9" s="10"/>
      <c r="W9" s="10"/>
      <c r="X9" s="10"/>
      <c r="Y9" s="10"/>
      <c r="Z9" s="10"/>
      <c r="AA9" s="11"/>
    </row>
    <row r="10" spans="1:27">
      <c r="A10" s="9" t="s">
        <v>863</v>
      </c>
      <c r="B10" s="10"/>
      <c r="C10" s="10"/>
      <c r="D10" s="10"/>
      <c r="E10" s="10"/>
      <c r="F10" s="10"/>
      <c r="G10" s="69">
        <f>'Waste Collection'!$G$11*'Waste Collection'!E48/1000+'MRF &amp; RDF Sorting'!B9*'MRF &amp; RDF Sorting'!B17</f>
        <v>14562.5</v>
      </c>
      <c r="H10" s="69">
        <f>'Waste Collection'!$G$11*'Waste Collection'!F48/1000+'MRF &amp; RDF Sorting'!C9*'MRF &amp; RDF Sorting'!C17+'Biological Treatment'!D41*'Biological Treatment'!D42+'Biological Treatment'!D94*'Biological Treatment'!D95</f>
        <v>10406.25</v>
      </c>
      <c r="I10" s="80">
        <f>'Waste Collection'!$G$11*'Waste Collection'!G48/1000+'Waste Input'!$B$8*'Waste Input'!C27/1000*'Waste Collection'!F73+'MRF &amp; RDF Sorting'!D9*'MRF &amp; RDF Sorting'!D17+SUM(F15:F23)+SUM(L15:L23)+'Biological Treatment'!E41*'Biological Treatment'!E42+'Biological Treatment'!E94*'Biological Treatment'!E95+'Thermal Treatment'!F38*'Thermal Treatment'!E72*'Thermal Treatment'!$E$80+'Thermal Treatment'!F108*'Thermal Treatment'!E142*'Thermal Treatment'!$E$150</f>
        <v>10590.775</v>
      </c>
      <c r="J10" s="69">
        <f>'Waste Collection'!$G$11*'Waste Collection'!H48/1000+'Waste Input'!$B$8*'Waste Input'!D27/1000*'Waste Collection'!G73+'MRF &amp; RDF Sorting'!E9*'MRF &amp; RDF Sorting'!D17+SUM(S15:S23)+SUM(Z15:Z23)+'Biological Treatment'!F41*'Biological Treatment'!F42+'Biological Treatment'!F94*'Biological Treatment'!F95</f>
        <v>1000</v>
      </c>
      <c r="K10" s="69">
        <f>'Waste Collection'!$G$11*'Waste Collection'!I48/1000+'Waste Input'!$B$8*'Waste Input'!E27/1000*'Waste Collection'!H73+'MRF &amp; RDF Sorting'!F9*'MRF &amp; RDF Sorting'!E17+'Biological Treatment'!G41*'Biological Treatment'!G42+'Biological Treatment'!G94*'Biological Treatment'!G95</f>
        <v>250</v>
      </c>
      <c r="L10" s="69">
        <f>'Waste Collection'!$G$11*'Waste Collection'!J48/1000+'Waste Input'!$B$8*'Waste Input'!F27/1000*'Waste Collection'!I73+'MRF &amp; RDF Sorting'!G9*'MRF &amp; RDF Sorting'!E17+'Biological Treatment'!H41*'Biological Treatment'!H42+'Biological Treatment'!H94*'Biological Treatment'!H95</f>
        <v>6662.5</v>
      </c>
      <c r="M10" s="69">
        <f>'Waste Collection'!$G$11*'Waste Collection'!K48/1000+'MRF &amp; RDF Sorting'!H9*'MRF &amp; RDF Sorting'!F17+'Biological Treatment'!I41*'Biological Treatment'!I42+'Biological Treatment'!I94*'Biological Treatment'!I95</f>
        <v>0</v>
      </c>
      <c r="N10" s="69">
        <f>G25+G26</f>
        <v>0</v>
      </c>
      <c r="O10" s="10"/>
      <c r="P10" s="10"/>
      <c r="Q10" s="10"/>
      <c r="R10" s="10"/>
      <c r="S10" s="10"/>
      <c r="T10" s="10"/>
      <c r="U10" s="10"/>
      <c r="V10" s="10"/>
      <c r="W10" s="10"/>
      <c r="X10" s="10"/>
      <c r="Y10" s="10"/>
      <c r="Z10" s="10"/>
      <c r="AA10" s="11"/>
    </row>
    <row r="11" spans="1:27">
      <c r="A11" s="9" t="s">
        <v>864</v>
      </c>
      <c r="B11" s="10"/>
      <c r="C11" s="10"/>
      <c r="D11" s="10"/>
      <c r="E11" s="10"/>
      <c r="F11" s="10"/>
      <c r="G11" s="36">
        <v>-0.19800000000000001</v>
      </c>
      <c r="H11" s="36">
        <v>2.9000000000000001E-2</v>
      </c>
      <c r="I11" s="36">
        <v>5.7000000000000002E-2</v>
      </c>
      <c r="J11" s="36">
        <v>0.98599999999999999</v>
      </c>
      <c r="K11" s="36">
        <v>9.1999999999999998E-2</v>
      </c>
      <c r="L11" s="36">
        <v>0.184</v>
      </c>
      <c r="M11" s="36">
        <v>0</v>
      </c>
      <c r="N11" s="36">
        <v>0</v>
      </c>
      <c r="O11" s="10"/>
      <c r="P11" s="10"/>
      <c r="Q11" s="10"/>
      <c r="R11" s="10"/>
      <c r="S11" s="10"/>
      <c r="T11" s="10"/>
      <c r="U11" s="10"/>
      <c r="V11" s="10"/>
      <c r="W11" s="10"/>
      <c r="X11" s="10"/>
      <c r="Y11" s="10"/>
      <c r="Z11" s="10"/>
      <c r="AA11" s="11"/>
    </row>
    <row r="12" spans="1:27">
      <c r="A12" s="9" t="s">
        <v>866</v>
      </c>
      <c r="B12" s="10"/>
      <c r="C12" s="10"/>
      <c r="D12" s="10"/>
      <c r="E12" s="10"/>
      <c r="F12" s="10"/>
      <c r="G12" s="69">
        <f>G10*(1+G11)</f>
        <v>11679.125</v>
      </c>
      <c r="H12" s="69">
        <f t="shared" ref="H12:N12" si="0">H10*(1+H11)</f>
        <v>10708.03125</v>
      </c>
      <c r="I12" s="69">
        <f t="shared" si="0"/>
        <v>11194.449175</v>
      </c>
      <c r="J12" s="69">
        <f t="shared" si="0"/>
        <v>1986</v>
      </c>
      <c r="K12" s="69">
        <f t="shared" si="0"/>
        <v>273</v>
      </c>
      <c r="L12" s="69">
        <f t="shared" si="0"/>
        <v>7888.4</v>
      </c>
      <c r="M12" s="69">
        <f t="shared" si="0"/>
        <v>0</v>
      </c>
      <c r="N12" s="69">
        <f t="shared" si="0"/>
        <v>0</v>
      </c>
      <c r="O12" s="10"/>
      <c r="P12" s="10"/>
      <c r="Q12" s="10"/>
      <c r="R12" s="10"/>
      <c r="S12" s="10"/>
      <c r="T12" s="10"/>
      <c r="U12" s="10"/>
      <c r="V12" s="10"/>
      <c r="W12" s="10"/>
      <c r="X12" s="10"/>
      <c r="Y12" s="10"/>
      <c r="Z12" s="10"/>
      <c r="AA12" s="11"/>
    </row>
    <row r="13" spans="1:27">
      <c r="A13" s="9" t="s">
        <v>865</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1"/>
    </row>
    <row r="14" spans="1:27">
      <c r="A14" s="9"/>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1"/>
    </row>
    <row r="15" spans="1:27">
      <c r="A15" s="9" t="s">
        <v>872</v>
      </c>
      <c r="B15" s="10"/>
      <c r="C15" s="10"/>
      <c r="D15" s="10"/>
      <c r="E15" s="10"/>
      <c r="F15" s="69">
        <f>(Landfilling!E29+Landfilling!E30)*'MRF &amp; RDF Sorting'!B59</f>
        <v>0</v>
      </c>
      <c r="G15" s="10"/>
      <c r="H15" s="10" t="s">
        <v>889</v>
      </c>
      <c r="I15" s="10"/>
      <c r="J15" s="10"/>
      <c r="K15" s="10"/>
      <c r="L15" s="69">
        <f>(Landfilling!E29+Landfilling!E30)*'MRF &amp; RDF Sorting'!B118</f>
        <v>0</v>
      </c>
      <c r="M15" s="10"/>
      <c r="N15" s="10" t="s">
        <v>898</v>
      </c>
      <c r="O15" s="10"/>
      <c r="P15" s="10"/>
      <c r="Q15" s="10"/>
      <c r="R15" s="10"/>
      <c r="S15" s="69">
        <f>(Landfilling!E29+Landfilling!E30)*'MRF &amp; RDF Sorting'!B60</f>
        <v>0</v>
      </c>
      <c r="T15" s="10"/>
      <c r="U15" s="10" t="s">
        <v>907</v>
      </c>
      <c r="V15" s="10"/>
      <c r="W15" s="10"/>
      <c r="X15" s="10"/>
      <c r="Y15" s="10"/>
      <c r="Z15" s="10">
        <f>(Landfilling!E29+Landfilling!E30)*'MRF &amp; RDF Sorting'!B119</f>
        <v>0</v>
      </c>
      <c r="AA15" s="11"/>
    </row>
    <row r="16" spans="1:27">
      <c r="A16" s="9" t="s">
        <v>873</v>
      </c>
      <c r="B16" s="10"/>
      <c r="C16" s="10"/>
      <c r="D16" s="10"/>
      <c r="E16" s="10"/>
      <c r="F16" s="69">
        <f>(Landfilling!K29+Landfilling!K30)*'MRF &amp; RDF Sorting'!C59</f>
        <v>0</v>
      </c>
      <c r="G16" s="10"/>
      <c r="H16" s="10" t="s">
        <v>890</v>
      </c>
      <c r="I16" s="10"/>
      <c r="J16" s="10"/>
      <c r="K16" s="10"/>
      <c r="L16" s="69">
        <f>(Landfilling!K29+Landfilling!K30)*'MRF &amp; RDF Sorting'!C118</f>
        <v>0</v>
      </c>
      <c r="M16" s="10"/>
      <c r="N16" s="10" t="s">
        <v>899</v>
      </c>
      <c r="O16" s="10"/>
      <c r="P16" s="10"/>
      <c r="Q16" s="10"/>
      <c r="R16" s="10"/>
      <c r="S16" s="69">
        <f>(Landfilling!K29+Landfilling!K30)*'MRF &amp; RDF Sorting'!C60</f>
        <v>0</v>
      </c>
      <c r="T16" s="10"/>
      <c r="U16" s="10" t="s">
        <v>908</v>
      </c>
      <c r="V16" s="10"/>
      <c r="W16" s="10"/>
      <c r="X16" s="10"/>
      <c r="Y16" s="10"/>
      <c r="Z16" s="10">
        <f>(Landfilling!K29+Landfilling!K30)*'MRF &amp; RDF Sorting'!C119</f>
        <v>0</v>
      </c>
      <c r="AA16" s="11"/>
    </row>
    <row r="17" spans="1:27">
      <c r="A17" s="9" t="s">
        <v>874</v>
      </c>
      <c r="B17" s="10"/>
      <c r="C17" s="10"/>
      <c r="D17" s="10"/>
      <c r="E17" s="10"/>
      <c r="F17" s="69">
        <f>(Landfilling!S34+Landfilling!S35)*'MRF &amp; RDF Sorting'!D59</f>
        <v>0</v>
      </c>
      <c r="G17" s="10"/>
      <c r="H17" s="10" t="s">
        <v>891</v>
      </c>
      <c r="I17" s="10"/>
      <c r="J17" s="10"/>
      <c r="K17" s="10"/>
      <c r="L17" s="69">
        <f>(Landfilling!S34+Landfilling!S35)*'MRF &amp; RDF Sorting'!D118</f>
        <v>0</v>
      </c>
      <c r="M17" s="10"/>
      <c r="N17" s="10" t="s">
        <v>900</v>
      </c>
      <c r="O17" s="10"/>
      <c r="P17" s="10"/>
      <c r="Q17" s="10"/>
      <c r="R17" s="10"/>
      <c r="S17" s="69">
        <f>(Landfilling!S34+Landfilling!S35)*'MRF &amp; RDF Sorting'!D60</f>
        <v>0</v>
      </c>
      <c r="T17" s="10"/>
      <c r="U17" s="10" t="s">
        <v>909</v>
      </c>
      <c r="V17" s="10"/>
      <c r="W17" s="10"/>
      <c r="X17" s="10"/>
      <c r="Y17" s="10"/>
      <c r="Z17" s="10">
        <f>(Landfilling!S34+Landfilling!S35)*'MRF &amp; RDF Sorting'!D119</f>
        <v>0</v>
      </c>
      <c r="AA17" s="11"/>
    </row>
    <row r="18" spans="1:27">
      <c r="A18" s="9" t="s">
        <v>875</v>
      </c>
      <c r="B18" s="10"/>
      <c r="C18" s="10"/>
      <c r="D18" s="10"/>
      <c r="E18" s="10"/>
      <c r="F18" s="69">
        <f>(Landfilling!AA27+Landfilling!AA28)*'MRF &amp; RDF Sorting'!E59</f>
        <v>0</v>
      </c>
      <c r="G18" s="10"/>
      <c r="H18" s="10" t="s">
        <v>892</v>
      </c>
      <c r="I18" s="10"/>
      <c r="J18" s="10"/>
      <c r="K18" s="10"/>
      <c r="L18" s="69">
        <f>(Landfilling!AA27+Landfilling!AA28)*'MRF &amp; RDF Sorting'!E118</f>
        <v>0</v>
      </c>
      <c r="M18" s="10"/>
      <c r="N18" s="10" t="s">
        <v>901</v>
      </c>
      <c r="O18" s="10"/>
      <c r="P18" s="10"/>
      <c r="Q18" s="10"/>
      <c r="R18" s="10"/>
      <c r="S18" s="69">
        <f>(Landfilling!AA27+Landfilling!AA28)*'MRF &amp; RDF Sorting'!E60</f>
        <v>0</v>
      </c>
      <c r="T18" s="10"/>
      <c r="U18" s="10" t="s">
        <v>910</v>
      </c>
      <c r="V18" s="10"/>
      <c r="W18" s="10"/>
      <c r="X18" s="10"/>
      <c r="Y18" s="10"/>
      <c r="Z18" s="10">
        <f>(Landfilling!AA27+Landfilling!AA28)*'MRF &amp; RDF Sorting'!E119</f>
        <v>0</v>
      </c>
      <c r="AA18" s="11"/>
    </row>
    <row r="19" spans="1:27">
      <c r="A19" s="9" t="s">
        <v>876</v>
      </c>
      <c r="B19" s="10"/>
      <c r="C19" s="10"/>
      <c r="D19" s="10"/>
      <c r="E19" s="10"/>
      <c r="F19" s="69">
        <f>(Landfilling!AI27+Landfilling!AI28)*'MRF &amp; RDF Sorting'!F59</f>
        <v>0</v>
      </c>
      <c r="G19" s="10"/>
      <c r="H19" s="10" t="s">
        <v>893</v>
      </c>
      <c r="I19" s="10"/>
      <c r="J19" s="10"/>
      <c r="K19" s="10"/>
      <c r="L19" s="69">
        <f>(Landfilling!AI27+Landfilling!AI28)*'MRF &amp; RDF Sorting'!F118</f>
        <v>0</v>
      </c>
      <c r="M19" s="10"/>
      <c r="N19" s="10" t="s">
        <v>902</v>
      </c>
      <c r="O19" s="10"/>
      <c r="P19" s="10"/>
      <c r="Q19" s="10"/>
      <c r="R19" s="10"/>
      <c r="S19" s="69">
        <f>(Landfilling!AI27+Landfilling!AI28)*'MRF &amp; RDF Sorting'!F60</f>
        <v>0</v>
      </c>
      <c r="T19" s="10"/>
      <c r="U19" s="10" t="s">
        <v>911</v>
      </c>
      <c r="V19" s="10"/>
      <c r="W19" s="10"/>
      <c r="X19" s="10"/>
      <c r="Y19" s="10"/>
      <c r="Z19" s="10">
        <f>(Landfilling!AI27+Landfilling!AI28)*'MRF &amp; RDF Sorting'!F119</f>
        <v>0</v>
      </c>
      <c r="AA19" s="11"/>
    </row>
    <row r="20" spans="1:27">
      <c r="A20" s="9" t="s">
        <v>877</v>
      </c>
      <c r="B20" s="10"/>
      <c r="C20" s="10"/>
      <c r="D20" s="10"/>
      <c r="E20" s="10"/>
      <c r="F20" s="69">
        <f>(Landfilling!AQ27+Landfilling!AQ28)*'MRF &amp; RDF Sorting'!G59</f>
        <v>0</v>
      </c>
      <c r="G20" s="10"/>
      <c r="H20" s="10" t="s">
        <v>894</v>
      </c>
      <c r="I20" s="10"/>
      <c r="J20" s="10"/>
      <c r="K20" s="10"/>
      <c r="L20" s="69">
        <f>(Landfilling!AQ27+Landfilling!AQ28)*'MRF &amp; RDF Sorting'!G118</f>
        <v>0</v>
      </c>
      <c r="M20" s="10"/>
      <c r="N20" s="10" t="s">
        <v>903</v>
      </c>
      <c r="O20" s="10"/>
      <c r="P20" s="10"/>
      <c r="Q20" s="10"/>
      <c r="R20" s="10"/>
      <c r="S20" s="69">
        <f>(Landfilling!AQ27+Landfilling!AQ28)*'MRF &amp; RDF Sorting'!G60</f>
        <v>0</v>
      </c>
      <c r="T20" s="10"/>
      <c r="U20" s="10" t="s">
        <v>912</v>
      </c>
      <c r="V20" s="10"/>
      <c r="W20" s="10"/>
      <c r="X20" s="10"/>
      <c r="Y20" s="10"/>
      <c r="Z20" s="10">
        <f>(Landfilling!AQ27+Landfilling!AQ28)*'MRF &amp; RDF Sorting'!G119</f>
        <v>0</v>
      </c>
      <c r="AA20" s="11"/>
    </row>
    <row r="21" spans="1:27">
      <c r="A21" s="9" t="s">
        <v>878</v>
      </c>
      <c r="B21" s="10"/>
      <c r="C21" s="10"/>
      <c r="D21" s="10"/>
      <c r="E21" s="10"/>
      <c r="F21" s="69">
        <f>(Landfilling!AY27+Landfilling!AY28)*'MRF &amp; RDF Sorting'!H59</f>
        <v>0</v>
      </c>
      <c r="G21" s="10"/>
      <c r="H21" s="10" t="s">
        <v>895</v>
      </c>
      <c r="I21" s="10"/>
      <c r="J21" s="10"/>
      <c r="K21" s="10"/>
      <c r="L21" s="69">
        <f>(Landfilling!AY27+Landfilling!AY28)*'MRF &amp; RDF Sorting'!H118</f>
        <v>0</v>
      </c>
      <c r="M21" s="10"/>
      <c r="N21" s="10" t="s">
        <v>904</v>
      </c>
      <c r="O21" s="10"/>
      <c r="P21" s="10"/>
      <c r="Q21" s="10"/>
      <c r="R21" s="10"/>
      <c r="S21" s="69">
        <f>(Landfilling!AY27+Landfilling!AY28)*'MRF &amp; RDF Sorting'!H60</f>
        <v>0</v>
      </c>
      <c r="T21" s="10"/>
      <c r="U21" s="10" t="s">
        <v>913</v>
      </c>
      <c r="V21" s="10"/>
      <c r="W21" s="10"/>
      <c r="X21" s="10"/>
      <c r="Y21" s="10"/>
      <c r="Z21" s="10">
        <f>(Landfilling!AY27+Landfilling!AY28)*'MRF &amp; RDF Sorting'!H119</f>
        <v>0</v>
      </c>
      <c r="AA21" s="11"/>
    </row>
    <row r="22" spans="1:27">
      <c r="A22" s="9" t="s">
        <v>879</v>
      </c>
      <c r="B22" s="10"/>
      <c r="C22" s="10"/>
      <c r="D22" s="10"/>
      <c r="E22" s="10"/>
      <c r="F22" s="69">
        <f>(Landfilling!BG28+Landfilling!BG29)*'MRF &amp; RDF Sorting'!I59</f>
        <v>0</v>
      </c>
      <c r="G22" s="10"/>
      <c r="H22" s="10" t="s">
        <v>896</v>
      </c>
      <c r="I22" s="10"/>
      <c r="J22" s="10"/>
      <c r="K22" s="10"/>
      <c r="L22" s="69">
        <f>(Landfilling!BG28+Landfilling!BG29)*'MRF &amp; RDF Sorting'!I118</f>
        <v>0</v>
      </c>
      <c r="M22" s="10"/>
      <c r="N22" s="10" t="s">
        <v>905</v>
      </c>
      <c r="O22" s="10"/>
      <c r="P22" s="10"/>
      <c r="Q22" s="10"/>
      <c r="R22" s="10"/>
      <c r="S22" s="69">
        <f>(Landfilling!BG28+Landfilling!BG29)*'MRF &amp; RDF Sorting'!I60</f>
        <v>0</v>
      </c>
      <c r="T22" s="10"/>
      <c r="U22" s="10" t="s">
        <v>914</v>
      </c>
      <c r="V22" s="10"/>
      <c r="W22" s="10"/>
      <c r="X22" s="10"/>
      <c r="Y22" s="10"/>
      <c r="Z22" s="10">
        <f>(Landfilling!BG28+Landfilling!BG29)*'MRF &amp; RDF Sorting'!I119</f>
        <v>0</v>
      </c>
      <c r="AA22" s="11"/>
    </row>
    <row r="23" spans="1:27">
      <c r="A23" s="9" t="s">
        <v>880</v>
      </c>
      <c r="B23" s="10"/>
      <c r="C23" s="10"/>
      <c r="D23" s="10"/>
      <c r="E23" s="10"/>
      <c r="F23" s="69">
        <f>(Landfilling!BO27+Landfilling!BO28)*'MRF &amp; RDF Sorting'!J59</f>
        <v>0</v>
      </c>
      <c r="G23" s="10"/>
      <c r="H23" s="10" t="s">
        <v>897</v>
      </c>
      <c r="I23" s="10"/>
      <c r="J23" s="10"/>
      <c r="K23" s="10"/>
      <c r="L23" s="69">
        <f>(Landfilling!BO27+Landfilling!BO28)*'MRF &amp; RDF Sorting'!J118</f>
        <v>0</v>
      </c>
      <c r="M23" s="10"/>
      <c r="N23" s="10" t="s">
        <v>906</v>
      </c>
      <c r="O23" s="10"/>
      <c r="P23" s="10"/>
      <c r="Q23" s="10"/>
      <c r="R23" s="10"/>
      <c r="S23" s="69">
        <f>(Landfilling!BO27+Landfilling!BO28)*'MRF &amp; RDF Sorting'!J60</f>
        <v>0</v>
      </c>
      <c r="T23" s="10"/>
      <c r="U23" s="10" t="s">
        <v>915</v>
      </c>
      <c r="V23" s="10"/>
      <c r="W23" s="10"/>
      <c r="X23" s="10"/>
      <c r="Y23" s="10"/>
      <c r="Z23" s="10">
        <f>(Landfilling!BO27+Landfilling!BO28)*'MRF &amp; RDF Sorting'!J119</f>
        <v>0</v>
      </c>
      <c r="AA23" s="11"/>
    </row>
    <row r="24" spans="1:27">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1"/>
    </row>
    <row r="25" spans="1:27">
      <c r="A25" s="9" t="s">
        <v>916</v>
      </c>
      <c r="B25" s="10"/>
      <c r="C25" s="10"/>
      <c r="D25" s="10"/>
      <c r="E25" s="10"/>
      <c r="F25" s="10"/>
      <c r="G25" s="69">
        <f>'Thermal Treatment'!D38*'Thermal Treatment'!C72*'Thermal Treatment'!$E$81+'Thermal Treatment'!E38*'Thermal Treatment'!D72*'Thermal Treatment'!$E$81+'Thermal Treatment'!F38*'Thermal Treatment'!E72*(1-'Thermal Treatment'!E80)*'Thermal Treatment'!$E$81+'Thermal Treatment'!G38*'Thermal Treatment'!F72*'Thermal Treatment'!$E$81+'Thermal Treatment'!H38*'Thermal Treatment'!G72*'Thermal Treatment'!$E$81+'Thermal Treatment'!I38*'Thermal Treatment'!H72*'Thermal Treatment'!$E$81+'Thermal Treatment'!J38*'Thermal Treatment'!I72*'Thermal Treatment'!$E$81+'Thermal Treatment'!K38*'Thermal Treatment'!J72*'Thermal Treatment'!$E$81+'Thermal Treatment'!L38*'Thermal Treatment'!K72*'Thermal Treatment'!$E$81+'Thermal Treatment'!M38*'Thermal Treatment'!L72*'Thermal Treatment'!$E$81</f>
        <v>0</v>
      </c>
      <c r="H25" s="10"/>
      <c r="I25" s="10"/>
      <c r="J25" s="10"/>
      <c r="K25" s="10"/>
      <c r="L25" s="10"/>
      <c r="M25" s="10"/>
      <c r="N25" s="10"/>
      <c r="O25" s="10"/>
      <c r="P25" s="10"/>
      <c r="Q25" s="10"/>
      <c r="R25" s="10"/>
      <c r="S25" s="10"/>
      <c r="T25" s="10"/>
      <c r="U25" s="10"/>
      <c r="V25" s="10"/>
      <c r="W25" s="10"/>
      <c r="X25" s="10"/>
      <c r="Y25" s="10"/>
      <c r="Z25" s="10"/>
      <c r="AA25" s="11"/>
    </row>
    <row r="26" spans="1:27" ht="15.75" thickBot="1">
      <c r="A26" s="12" t="s">
        <v>917</v>
      </c>
      <c r="B26" s="13"/>
      <c r="C26" s="13"/>
      <c r="D26" s="13"/>
      <c r="E26" s="13"/>
      <c r="F26" s="13"/>
      <c r="G26" s="82">
        <f>'Thermal Treatment'!D108*'Thermal Treatment'!C142*'Thermal Treatment'!$E$151+'Thermal Treatment'!E108*'Thermal Treatment'!D142*'Thermal Treatment'!$E$151+'Thermal Treatment'!F108*'Thermal Treatment'!E142*(1-'Thermal Treatment'!E150)*'Thermal Treatment'!$E$151+'Thermal Treatment'!G108*'Thermal Treatment'!F142*'Thermal Treatment'!$E$151+'Thermal Treatment'!H108*'Thermal Treatment'!G142*'Thermal Treatment'!$E$151+'Thermal Treatment'!I108*'Thermal Treatment'!H142*'Thermal Treatment'!$E$151+'Thermal Treatment'!J108*'Thermal Treatment'!I142*'Thermal Treatment'!$E$151+'Thermal Treatment'!K108*'Thermal Treatment'!J142*'Thermal Treatment'!$E$151+'Thermal Treatment'!L108*'Thermal Treatment'!K142*'Thermal Treatment'!$E$151+'Thermal Treatment'!M108*'Thermal Treatment'!L142*'Thermal Treatment'!$E$151</f>
        <v>0</v>
      </c>
      <c r="H26" s="13"/>
      <c r="I26" s="13"/>
      <c r="J26" s="13"/>
      <c r="K26" s="13"/>
      <c r="L26" s="13"/>
      <c r="M26" s="13"/>
      <c r="N26" s="13"/>
      <c r="O26" s="13"/>
      <c r="P26" s="13"/>
      <c r="Q26" s="13"/>
      <c r="R26" s="13"/>
      <c r="S26" s="13"/>
      <c r="T26" s="13"/>
      <c r="U26" s="13"/>
      <c r="V26" s="13"/>
      <c r="W26" s="13"/>
      <c r="X26" s="13"/>
      <c r="Y26" s="13"/>
      <c r="Z26" s="13"/>
      <c r="AA26" s="14"/>
    </row>
    <row r="28" spans="1:27" ht="15.75" thickBot="1">
      <c r="A28" s="62" t="s">
        <v>918</v>
      </c>
    </row>
    <row r="29" spans="1:27">
      <c r="A29" s="35" t="s">
        <v>919</v>
      </c>
      <c r="B29" s="7"/>
      <c r="C29" s="7"/>
      <c r="D29" s="7"/>
      <c r="E29" s="7"/>
      <c r="F29" s="7"/>
      <c r="G29" s="7"/>
      <c r="H29" s="7"/>
      <c r="I29" s="7"/>
      <c r="J29" s="7"/>
      <c r="K29" s="7"/>
      <c r="L29" s="7"/>
      <c r="M29" s="7"/>
      <c r="N29" s="7"/>
      <c r="O29" s="8"/>
    </row>
    <row r="30" spans="1:27">
      <c r="A30" s="9"/>
      <c r="B30" s="10"/>
      <c r="C30" s="10"/>
      <c r="D30" s="10"/>
      <c r="E30" s="10"/>
      <c r="F30" s="10"/>
      <c r="G30" s="10"/>
      <c r="H30" s="10"/>
      <c r="I30" s="10"/>
      <c r="J30" s="10"/>
      <c r="K30" s="10"/>
      <c r="L30" s="10"/>
      <c r="M30" s="10"/>
      <c r="N30" s="10"/>
      <c r="O30" s="11"/>
    </row>
    <row r="31" spans="1:27">
      <c r="A31" s="9"/>
      <c r="B31" s="10"/>
      <c r="C31" s="10"/>
      <c r="D31" s="10"/>
      <c r="E31" s="10"/>
      <c r="F31" s="10" t="s">
        <v>922</v>
      </c>
      <c r="G31" s="10" t="s">
        <v>921</v>
      </c>
      <c r="H31" s="10" t="s">
        <v>11</v>
      </c>
      <c r="I31" s="10"/>
      <c r="J31" s="10"/>
      <c r="K31" s="10"/>
      <c r="L31" s="10"/>
      <c r="M31" s="10"/>
      <c r="N31" s="10"/>
      <c r="O31" s="11"/>
    </row>
    <row r="32" spans="1:27" ht="15.75" thickBot="1">
      <c r="A32" s="12" t="s">
        <v>920</v>
      </c>
      <c r="B32" s="13"/>
      <c r="C32" s="13"/>
      <c r="D32" s="13"/>
      <c r="E32" s="13"/>
      <c r="F32" s="82">
        <f>'Biological Treatment'!$C$54*'Biological Treatment'!$C$55</f>
        <v>13893.75</v>
      </c>
      <c r="G32" s="82">
        <f>'Biological Treatment'!$C$107*'Biological Treatment'!$C$108</f>
        <v>0</v>
      </c>
      <c r="H32" s="82">
        <f>SUM(F32:G32)</f>
        <v>13893.75</v>
      </c>
      <c r="I32" s="13"/>
      <c r="J32" s="13"/>
      <c r="K32" s="13"/>
      <c r="L32" s="13"/>
      <c r="M32" s="13"/>
      <c r="N32" s="13"/>
      <c r="O32" s="14"/>
    </row>
    <row r="34" spans="1:19" ht="15.75" thickBot="1">
      <c r="A34" s="62" t="s">
        <v>923</v>
      </c>
    </row>
    <row r="35" spans="1:19">
      <c r="A35" s="35" t="s">
        <v>924</v>
      </c>
      <c r="B35" s="7"/>
      <c r="C35" s="7"/>
      <c r="D35" s="7"/>
      <c r="E35" s="7"/>
      <c r="F35" s="7"/>
      <c r="G35" s="7"/>
      <c r="H35" s="7"/>
      <c r="I35" s="7"/>
      <c r="J35" s="7"/>
      <c r="K35" s="7"/>
      <c r="L35" s="7"/>
      <c r="M35" s="7"/>
      <c r="N35" s="7"/>
      <c r="O35" s="7"/>
      <c r="P35" s="7"/>
      <c r="Q35" s="7"/>
      <c r="R35" s="7"/>
      <c r="S35" s="8"/>
    </row>
    <row r="36" spans="1:19">
      <c r="A36" s="9" t="s">
        <v>925</v>
      </c>
      <c r="B36" s="10"/>
      <c r="C36" s="10"/>
      <c r="D36" s="10"/>
      <c r="E36" s="10"/>
      <c r="F36" s="10"/>
      <c r="G36" s="10"/>
      <c r="H36" s="10"/>
      <c r="I36" s="10"/>
      <c r="J36" s="10"/>
      <c r="K36" s="10"/>
      <c r="L36" s="10"/>
      <c r="M36" s="10"/>
      <c r="N36" s="10"/>
      <c r="O36" s="10"/>
      <c r="P36" s="10"/>
      <c r="Q36" s="10"/>
      <c r="R36" s="10"/>
      <c r="S36" s="11"/>
    </row>
    <row r="37" spans="1:19">
      <c r="A37" s="9" t="s">
        <v>926</v>
      </c>
      <c r="B37" s="10"/>
      <c r="C37" s="10"/>
      <c r="D37" s="10"/>
      <c r="E37" s="10"/>
      <c r="F37" s="10"/>
      <c r="G37" s="10"/>
      <c r="H37" s="10"/>
      <c r="I37" s="10"/>
      <c r="J37" s="10"/>
      <c r="K37" s="10"/>
      <c r="L37" s="10"/>
      <c r="M37" s="10"/>
      <c r="N37" s="10"/>
      <c r="O37" s="10"/>
      <c r="P37" s="10"/>
      <c r="Q37" s="10"/>
      <c r="R37" s="10"/>
      <c r="S37" s="11"/>
    </row>
    <row r="38" spans="1:19">
      <c r="A38" s="9"/>
      <c r="B38" s="10"/>
      <c r="C38" s="10"/>
      <c r="D38" s="10"/>
      <c r="E38" s="10"/>
      <c r="F38" s="10"/>
      <c r="G38" s="10"/>
      <c r="H38" s="10"/>
      <c r="I38" s="10"/>
      <c r="J38" s="10"/>
      <c r="K38" s="10"/>
      <c r="L38" s="10"/>
      <c r="M38" s="10"/>
      <c r="N38" s="10"/>
      <c r="O38" s="10"/>
      <c r="P38" s="10"/>
      <c r="Q38" s="10"/>
      <c r="R38" s="10"/>
      <c r="S38" s="11"/>
    </row>
    <row r="39" spans="1:19">
      <c r="A39" s="9"/>
      <c r="B39" s="10"/>
      <c r="C39" s="10"/>
      <c r="D39" s="10" t="s">
        <v>4</v>
      </c>
      <c r="E39" s="10" t="s">
        <v>5</v>
      </c>
      <c r="F39" s="10" t="s">
        <v>29</v>
      </c>
      <c r="G39" s="10" t="s">
        <v>30</v>
      </c>
      <c r="H39" s="10" t="s">
        <v>31</v>
      </c>
      <c r="I39" s="10" t="s">
        <v>32</v>
      </c>
      <c r="J39" s="10" t="s">
        <v>8</v>
      </c>
      <c r="K39" s="10" t="s">
        <v>359</v>
      </c>
      <c r="L39" s="10"/>
      <c r="M39" s="10"/>
      <c r="N39" s="10"/>
      <c r="O39" s="10"/>
      <c r="P39" s="10"/>
      <c r="Q39" s="10"/>
      <c r="R39" s="10"/>
      <c r="S39" s="11"/>
    </row>
    <row r="40" spans="1:19" ht="15.75" thickBot="1">
      <c r="A40" s="12" t="s">
        <v>927</v>
      </c>
      <c r="B40" s="13"/>
      <c r="C40" s="13"/>
      <c r="D40" s="13">
        <v>10</v>
      </c>
      <c r="E40" s="13">
        <v>20</v>
      </c>
      <c r="F40" s="13">
        <v>30</v>
      </c>
      <c r="G40" s="13">
        <v>40</v>
      </c>
      <c r="H40" s="13">
        <v>50</v>
      </c>
      <c r="I40" s="13">
        <v>60</v>
      </c>
      <c r="J40" s="13">
        <v>0</v>
      </c>
      <c r="K40" s="13">
        <v>0</v>
      </c>
      <c r="L40" s="13"/>
      <c r="M40" s="13"/>
      <c r="N40" s="13"/>
      <c r="O40" s="13"/>
      <c r="P40" s="13"/>
      <c r="Q40" s="13"/>
      <c r="R40" s="13"/>
      <c r="S40" s="14"/>
    </row>
    <row r="42" spans="1:19" ht="15.75" thickBot="1">
      <c r="A42" s="62" t="s">
        <v>928</v>
      </c>
    </row>
    <row r="43" spans="1:19">
      <c r="A43" s="35" t="s">
        <v>929</v>
      </c>
      <c r="B43" s="7"/>
      <c r="C43" s="7"/>
      <c r="D43" s="7"/>
      <c r="E43" s="7"/>
      <c r="F43" s="7"/>
      <c r="G43" s="7"/>
      <c r="H43" s="7"/>
      <c r="I43" s="7"/>
      <c r="J43" s="7"/>
      <c r="K43" s="7"/>
      <c r="L43" s="7"/>
      <c r="M43" s="8"/>
    </row>
    <row r="44" spans="1:19">
      <c r="A44" s="9" t="s">
        <v>930</v>
      </c>
      <c r="B44" s="10"/>
      <c r="C44" s="10"/>
      <c r="D44" s="10"/>
      <c r="E44" s="10"/>
      <c r="F44" s="10"/>
      <c r="G44" s="10"/>
      <c r="H44" s="10"/>
      <c r="I44" s="10"/>
      <c r="J44" s="10"/>
      <c r="K44" s="10"/>
      <c r="L44" s="10"/>
      <c r="M44" s="11"/>
    </row>
    <row r="45" spans="1:19">
      <c r="A45" s="9" t="s">
        <v>931</v>
      </c>
      <c r="B45" s="10"/>
      <c r="C45" s="10"/>
      <c r="D45" s="10"/>
      <c r="E45" s="10"/>
      <c r="F45" s="10"/>
      <c r="G45" s="10"/>
      <c r="H45" s="10"/>
      <c r="I45" s="10"/>
      <c r="J45" s="10"/>
      <c r="K45" s="10"/>
      <c r="L45" s="10"/>
      <c r="M45" s="11"/>
    </row>
    <row r="46" spans="1:19">
      <c r="A46" s="9"/>
      <c r="B46" s="10"/>
      <c r="C46" s="10"/>
      <c r="D46" s="10"/>
      <c r="E46" s="10"/>
      <c r="F46" s="10"/>
      <c r="G46" s="10"/>
      <c r="H46" s="10"/>
      <c r="I46" s="10"/>
      <c r="J46" s="10"/>
      <c r="K46" s="10"/>
      <c r="L46" s="10"/>
      <c r="M46" s="11"/>
    </row>
    <row r="47" spans="1:19">
      <c r="A47" s="9"/>
      <c r="B47" s="10"/>
      <c r="C47" s="10"/>
      <c r="D47" s="10"/>
      <c r="E47" s="10" t="s">
        <v>4</v>
      </c>
      <c r="F47" s="10" t="s">
        <v>5</v>
      </c>
      <c r="G47" s="10" t="s">
        <v>29</v>
      </c>
      <c r="H47" s="10" t="s">
        <v>30</v>
      </c>
      <c r="I47" s="10" t="s">
        <v>31</v>
      </c>
      <c r="J47" s="10" t="s">
        <v>32</v>
      </c>
      <c r="K47" s="10" t="s">
        <v>8</v>
      </c>
      <c r="L47" s="10" t="s">
        <v>359</v>
      </c>
      <c r="M47" s="11"/>
    </row>
    <row r="48" spans="1:19">
      <c r="A48" s="9" t="s">
        <v>932</v>
      </c>
      <c r="B48" s="10"/>
      <c r="C48" s="10"/>
      <c r="D48" s="10"/>
      <c r="E48" s="10">
        <v>1</v>
      </c>
      <c r="F48" s="10">
        <v>1</v>
      </c>
      <c r="G48" s="10">
        <v>1</v>
      </c>
      <c r="H48" s="10">
        <v>1</v>
      </c>
      <c r="I48" s="10">
        <v>1</v>
      </c>
      <c r="J48" s="10">
        <v>1</v>
      </c>
      <c r="K48" s="10">
        <v>1</v>
      </c>
      <c r="L48" s="10">
        <v>1</v>
      </c>
      <c r="M48" s="11"/>
    </row>
    <row r="49" spans="1:13">
      <c r="A49" s="9" t="s">
        <v>933</v>
      </c>
      <c r="B49" s="10"/>
      <c r="C49" s="10"/>
      <c r="D49" s="10"/>
      <c r="E49" s="10">
        <v>2</v>
      </c>
      <c r="F49" s="10">
        <v>2</v>
      </c>
      <c r="G49" s="10">
        <v>2</v>
      </c>
      <c r="H49" s="10">
        <v>2</v>
      </c>
      <c r="I49" s="10">
        <v>2</v>
      </c>
      <c r="J49" s="10">
        <v>2</v>
      </c>
      <c r="K49" s="10">
        <v>2</v>
      </c>
      <c r="L49" s="10">
        <v>2</v>
      </c>
      <c r="M49" s="11"/>
    </row>
    <row r="50" spans="1:13">
      <c r="A50" s="9" t="s">
        <v>934</v>
      </c>
      <c r="B50" s="10"/>
      <c r="C50" s="10"/>
      <c r="D50" s="10"/>
      <c r="E50" s="10">
        <v>0</v>
      </c>
      <c r="F50" s="10">
        <v>0</v>
      </c>
      <c r="G50" s="10">
        <v>0</v>
      </c>
      <c r="H50" s="10">
        <v>0</v>
      </c>
      <c r="I50" s="10">
        <v>0</v>
      </c>
      <c r="J50" s="10">
        <v>0</v>
      </c>
      <c r="K50" s="10">
        <v>0</v>
      </c>
      <c r="L50" s="10">
        <v>0</v>
      </c>
      <c r="M50" s="11"/>
    </row>
    <row r="51" spans="1:13" ht="15.75" thickBot="1">
      <c r="A51" s="12"/>
      <c r="B51" s="13"/>
      <c r="C51" s="13"/>
      <c r="D51" s="13"/>
      <c r="E51" s="13"/>
      <c r="F51" s="13"/>
      <c r="G51" s="13"/>
      <c r="H51" s="13"/>
      <c r="I51" s="13"/>
      <c r="J51" s="13"/>
      <c r="K51" s="13"/>
      <c r="L51" s="13"/>
      <c r="M51" s="1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AK527"/>
  <sheetViews>
    <sheetView topLeftCell="A468" zoomScale="60" zoomScaleNormal="60" workbookViewId="0">
      <pane xSplit="1" topLeftCell="B1" activePane="topRight" state="frozen"/>
      <selection activeCell="A125" sqref="A125"/>
      <selection pane="topRight" activeCell="H485" sqref="H485"/>
    </sheetView>
  </sheetViews>
  <sheetFormatPr defaultRowHeight="15"/>
  <cols>
    <col min="1" max="1" width="23.140625" customWidth="1"/>
    <col min="2" max="2" width="35.140625" customWidth="1"/>
    <col min="3" max="3" width="10.85546875" customWidth="1"/>
    <col min="4" max="4" width="23" bestFit="1" customWidth="1"/>
    <col min="5" max="5" width="21.5703125" bestFit="1" customWidth="1"/>
    <col min="6" max="6" width="28" bestFit="1" customWidth="1"/>
    <col min="7" max="7" width="27" bestFit="1" customWidth="1"/>
    <col min="8" max="8" width="34.85546875" bestFit="1" customWidth="1"/>
    <col min="9" max="9" width="24" bestFit="1" customWidth="1"/>
    <col min="10" max="10" width="41.85546875" customWidth="1"/>
    <col min="11" max="11" width="16.5703125" customWidth="1"/>
    <col min="12" max="12" width="17.85546875" customWidth="1"/>
    <col min="13" max="13" width="19" customWidth="1"/>
    <col min="14" max="14" width="30.5703125" bestFit="1" customWidth="1"/>
    <col min="15" max="15" width="20.5703125" bestFit="1" customWidth="1"/>
    <col min="16" max="16" width="20.85546875" bestFit="1" customWidth="1"/>
    <col min="17" max="17" width="22" customWidth="1"/>
    <col min="18" max="18" width="28.7109375" bestFit="1" customWidth="1"/>
    <col min="19" max="19" width="13.28515625" customWidth="1"/>
    <col min="20" max="20" width="27.5703125" bestFit="1" customWidth="1"/>
    <col min="21" max="21" width="18.42578125" customWidth="1"/>
  </cols>
  <sheetData>
    <row r="1" spans="1:23">
      <c r="A1" s="62" t="s">
        <v>935</v>
      </c>
    </row>
    <row r="2" spans="1:23">
      <c r="A2" t="s">
        <v>936</v>
      </c>
    </row>
    <row r="3" spans="1:23">
      <c r="A3" t="s">
        <v>937</v>
      </c>
    </row>
    <row r="5" spans="1:23">
      <c r="A5" s="62" t="s">
        <v>940</v>
      </c>
    </row>
    <row r="6" spans="1:23" ht="15.75" thickBot="1"/>
    <row r="7" spans="1:23">
      <c r="A7" s="75" t="s">
        <v>938</v>
      </c>
      <c r="B7" s="7"/>
      <c r="C7" s="7"/>
      <c r="D7" s="7"/>
      <c r="E7" s="7"/>
      <c r="F7" s="7"/>
      <c r="G7" s="7"/>
      <c r="H7" s="7"/>
      <c r="I7" s="7"/>
      <c r="J7" s="7"/>
      <c r="K7" s="7"/>
      <c r="L7" s="7"/>
      <c r="M7" s="7"/>
      <c r="N7" s="7"/>
      <c r="O7" s="7"/>
      <c r="P7" s="7"/>
      <c r="Q7" s="7"/>
      <c r="R7" s="7"/>
      <c r="S7" s="7"/>
      <c r="T7" s="7"/>
      <c r="U7" s="7"/>
      <c r="V7" s="7"/>
      <c r="W7" s="8"/>
    </row>
    <row r="8" spans="1:23">
      <c r="A8" s="9" t="s">
        <v>939</v>
      </c>
      <c r="B8" s="10"/>
      <c r="C8" s="10"/>
      <c r="D8" s="10"/>
      <c r="E8" s="10"/>
      <c r="F8" s="10"/>
      <c r="G8" s="10"/>
      <c r="H8" s="10"/>
      <c r="I8" s="10"/>
      <c r="J8" s="10"/>
      <c r="K8" s="10"/>
      <c r="L8" s="10"/>
      <c r="M8" s="10"/>
      <c r="N8" s="10"/>
      <c r="O8" s="10"/>
      <c r="P8" s="10"/>
      <c r="Q8" s="10"/>
      <c r="R8" s="10"/>
      <c r="S8" s="10"/>
      <c r="T8" s="10"/>
      <c r="U8" s="10"/>
      <c r="V8" s="10"/>
      <c r="W8" s="11"/>
    </row>
    <row r="9" spans="1:23">
      <c r="A9" s="9"/>
      <c r="B9" s="10"/>
      <c r="C9" s="10"/>
      <c r="D9" s="10"/>
      <c r="E9" s="10"/>
      <c r="F9" s="10"/>
      <c r="G9" s="10"/>
      <c r="H9" s="10"/>
      <c r="I9" s="10"/>
      <c r="J9" s="10"/>
      <c r="K9" s="10"/>
      <c r="L9" s="10"/>
      <c r="M9" s="10"/>
      <c r="N9" s="10"/>
      <c r="O9" s="10"/>
      <c r="P9" s="10"/>
      <c r="Q9" s="10"/>
      <c r="R9" s="10"/>
      <c r="S9" s="10"/>
      <c r="T9" s="10"/>
      <c r="U9" s="10"/>
      <c r="V9" s="10"/>
      <c r="W9" s="11"/>
    </row>
    <row r="10" spans="1:23">
      <c r="A10" s="9"/>
      <c r="B10" s="10"/>
      <c r="C10" s="10"/>
      <c r="D10" s="10"/>
      <c r="E10" s="10" t="s">
        <v>942</v>
      </c>
      <c r="F10" s="10" t="s">
        <v>943</v>
      </c>
      <c r="G10" s="10" t="s">
        <v>944</v>
      </c>
      <c r="H10" s="10" t="s">
        <v>945</v>
      </c>
      <c r="I10" s="10" t="s">
        <v>946</v>
      </c>
      <c r="J10" s="10" t="s">
        <v>947</v>
      </c>
      <c r="K10" s="10"/>
      <c r="L10" s="10"/>
      <c r="M10" s="10"/>
      <c r="N10" s="10"/>
      <c r="O10" s="10"/>
      <c r="P10" s="10"/>
      <c r="Q10" s="10"/>
      <c r="R10" s="10"/>
      <c r="S10" s="10"/>
      <c r="T10" s="10"/>
      <c r="U10" s="10"/>
      <c r="V10" s="10"/>
      <c r="W10" s="11"/>
    </row>
    <row r="11" spans="1:23">
      <c r="A11" s="9" t="s">
        <v>941</v>
      </c>
      <c r="B11" s="10"/>
      <c r="C11" s="10"/>
      <c r="D11" s="10"/>
      <c r="E11" s="36">
        <v>0.17399999999999999</v>
      </c>
      <c r="F11" s="36">
        <v>7.8E-2</v>
      </c>
      <c r="G11" s="36">
        <v>0.107</v>
      </c>
      <c r="H11" s="36">
        <v>7.3999999999999996E-2</v>
      </c>
      <c r="I11" s="36">
        <v>0.40300000000000002</v>
      </c>
      <c r="J11" s="36">
        <v>0.16400000000000001</v>
      </c>
      <c r="K11" s="83"/>
      <c r="L11" s="83"/>
      <c r="M11" s="83"/>
      <c r="N11" s="83"/>
      <c r="O11" s="83"/>
      <c r="P11" s="10"/>
      <c r="Q11" s="10"/>
      <c r="R11" s="10"/>
      <c r="S11" s="10"/>
      <c r="T11" s="10"/>
      <c r="U11" s="10"/>
      <c r="V11" s="10"/>
      <c r="W11" s="11"/>
    </row>
    <row r="12" spans="1:23">
      <c r="A12" s="9" t="s">
        <v>948</v>
      </c>
      <c r="B12" s="10"/>
      <c r="C12" s="10"/>
      <c r="D12" s="10"/>
      <c r="E12" s="36">
        <v>0.17399999999999999</v>
      </c>
      <c r="F12" s="36">
        <v>7.8E-2</v>
      </c>
      <c r="G12" s="36">
        <v>0.107</v>
      </c>
      <c r="H12" s="36">
        <v>7.3999999999999996E-2</v>
      </c>
      <c r="I12" s="36">
        <v>0.40300000000000002</v>
      </c>
      <c r="J12" s="36">
        <v>0.16400000000000001</v>
      </c>
      <c r="K12" s="10"/>
      <c r="L12" s="10"/>
      <c r="M12" s="10"/>
      <c r="N12" s="10"/>
      <c r="O12" s="10"/>
      <c r="P12" s="10"/>
      <c r="Q12" s="10"/>
      <c r="R12" s="10"/>
      <c r="S12" s="10"/>
      <c r="T12" s="10"/>
      <c r="U12" s="10"/>
      <c r="V12" s="10"/>
      <c r="W12" s="11"/>
    </row>
    <row r="13" spans="1:23">
      <c r="A13" s="9"/>
      <c r="B13" s="10"/>
      <c r="C13" s="10"/>
      <c r="D13" s="10"/>
      <c r="E13" s="10"/>
      <c r="F13" s="10"/>
      <c r="G13" s="10"/>
      <c r="H13" s="10"/>
      <c r="I13" s="10"/>
      <c r="J13" s="10"/>
      <c r="K13" s="10"/>
      <c r="L13" s="10"/>
      <c r="M13" s="10"/>
      <c r="N13" s="10"/>
      <c r="O13" s="10"/>
      <c r="P13" s="10"/>
      <c r="Q13" s="10"/>
      <c r="R13" s="10"/>
      <c r="S13" s="10"/>
      <c r="T13" s="10"/>
      <c r="U13" s="10"/>
      <c r="V13" s="10"/>
      <c r="W13" s="11"/>
    </row>
    <row r="14" spans="1:23">
      <c r="A14" s="9" t="s">
        <v>949</v>
      </c>
      <c r="B14" s="10"/>
      <c r="C14" s="10"/>
      <c r="D14" s="10"/>
      <c r="E14" s="10"/>
      <c r="F14" s="10"/>
      <c r="G14" s="10"/>
      <c r="H14" s="10"/>
      <c r="I14" s="10"/>
      <c r="J14" s="10"/>
      <c r="K14" s="10"/>
      <c r="L14" s="10"/>
      <c r="M14" s="10"/>
      <c r="N14" s="10"/>
      <c r="O14" s="10"/>
      <c r="P14" s="10"/>
      <c r="Q14" s="10"/>
      <c r="R14" s="10"/>
      <c r="S14" s="10"/>
      <c r="T14" s="10"/>
      <c r="U14" s="10"/>
      <c r="V14" s="10"/>
      <c r="W14" s="11"/>
    </row>
    <row r="15" spans="1:23">
      <c r="A15" s="9"/>
      <c r="B15" s="10"/>
      <c r="C15" s="10"/>
      <c r="D15" s="10"/>
      <c r="E15" s="10"/>
      <c r="F15" s="10"/>
      <c r="G15" s="10"/>
      <c r="H15" s="10"/>
      <c r="I15" s="10"/>
      <c r="J15" s="10"/>
      <c r="K15" s="10"/>
      <c r="L15" s="10"/>
      <c r="M15" s="10"/>
      <c r="N15" s="10"/>
      <c r="O15" s="10"/>
      <c r="P15" s="10"/>
      <c r="Q15" s="10"/>
      <c r="R15" s="10"/>
      <c r="S15" s="10"/>
      <c r="T15" s="10"/>
      <c r="U15" s="10"/>
      <c r="V15" s="10"/>
      <c r="W15" s="11"/>
    </row>
    <row r="16" spans="1:23">
      <c r="A16" s="76" t="s">
        <v>950</v>
      </c>
      <c r="B16" s="10"/>
      <c r="C16" s="10"/>
      <c r="D16" s="10"/>
      <c r="E16" s="10"/>
      <c r="F16" s="10"/>
      <c r="G16" s="10"/>
      <c r="H16" s="10"/>
      <c r="I16" s="10"/>
      <c r="J16" s="10"/>
      <c r="K16" s="10"/>
      <c r="L16" s="10"/>
      <c r="M16" s="10"/>
      <c r="N16" s="10"/>
      <c r="O16" s="10"/>
      <c r="P16" s="10"/>
      <c r="Q16" s="10"/>
      <c r="R16" s="10"/>
      <c r="S16" s="10"/>
      <c r="T16" s="10"/>
      <c r="U16" s="10"/>
      <c r="V16" s="10"/>
      <c r="W16" s="11"/>
    </row>
    <row r="17" spans="1:23">
      <c r="A17" s="9" t="s">
        <v>951</v>
      </c>
      <c r="B17" s="10"/>
      <c r="C17" s="10"/>
      <c r="D17" s="10"/>
      <c r="E17" s="10"/>
      <c r="F17" s="10"/>
      <c r="G17" s="10"/>
      <c r="H17" s="10"/>
      <c r="I17" s="10"/>
      <c r="J17" s="10"/>
      <c r="K17" s="10"/>
      <c r="L17" s="10"/>
      <c r="M17" s="10"/>
      <c r="N17" s="10"/>
      <c r="O17" s="10"/>
      <c r="P17" s="10"/>
      <c r="Q17" s="10"/>
      <c r="R17" s="10"/>
      <c r="S17" s="10"/>
      <c r="T17" s="10"/>
      <c r="U17" s="10"/>
      <c r="V17" s="10"/>
      <c r="W17" s="11"/>
    </row>
    <row r="18" spans="1:23">
      <c r="A18" s="9"/>
      <c r="B18" s="10"/>
      <c r="C18" s="10"/>
      <c r="D18" s="10"/>
      <c r="E18" s="10"/>
      <c r="F18" s="10"/>
      <c r="G18" s="10"/>
      <c r="H18" s="10"/>
      <c r="I18" s="10"/>
      <c r="J18" s="10"/>
      <c r="K18" s="10"/>
      <c r="L18" s="10"/>
      <c r="M18" s="10"/>
      <c r="N18" s="10"/>
      <c r="O18" s="10"/>
      <c r="P18" s="10"/>
      <c r="Q18" s="10"/>
      <c r="R18" s="10"/>
      <c r="S18" s="10"/>
      <c r="T18" s="10"/>
      <c r="U18" s="10"/>
      <c r="V18" s="10"/>
      <c r="W18" s="11"/>
    </row>
    <row r="19" spans="1:23">
      <c r="A19" s="9"/>
      <c r="B19" s="10"/>
      <c r="C19" s="10"/>
      <c r="D19" s="10"/>
      <c r="E19" s="10" t="s">
        <v>942</v>
      </c>
      <c r="F19" s="10" t="s">
        <v>943</v>
      </c>
      <c r="G19" s="10" t="s">
        <v>944</v>
      </c>
      <c r="H19" s="10" t="s">
        <v>945</v>
      </c>
      <c r="I19" s="10" t="s">
        <v>946</v>
      </c>
      <c r="J19" s="10" t="s">
        <v>947</v>
      </c>
      <c r="K19" s="10" t="s">
        <v>952</v>
      </c>
      <c r="L19" s="10"/>
      <c r="M19" s="10"/>
      <c r="N19" s="10"/>
      <c r="O19" s="10"/>
      <c r="P19" s="10"/>
      <c r="Q19" s="10"/>
      <c r="R19" s="10"/>
      <c r="S19" s="10"/>
      <c r="T19" s="10"/>
      <c r="U19" s="10"/>
      <c r="V19" s="10"/>
      <c r="W19" s="11"/>
    </row>
    <row r="20" spans="1:23">
      <c r="A20" s="9"/>
      <c r="B20" s="10"/>
      <c r="C20" s="10"/>
      <c r="D20" s="10" t="s">
        <v>276</v>
      </c>
      <c r="E20" s="36">
        <v>0.28499999999999998</v>
      </c>
      <c r="F20" s="36">
        <v>0.248</v>
      </c>
      <c r="G20" s="36">
        <v>0.27100000000000002</v>
      </c>
      <c r="H20" s="36">
        <v>0.34200000000000003</v>
      </c>
      <c r="I20" s="36">
        <v>0.27200000000000002</v>
      </c>
      <c r="J20" s="36">
        <v>0.76500000000000001</v>
      </c>
      <c r="K20" s="84">
        <f>E11*E20+F11*F20+G11*G20+H11*H20+I11*I20+J11*J20</f>
        <v>0.35831500000000005</v>
      </c>
      <c r="L20" s="84"/>
      <c r="M20" s="84"/>
      <c r="N20" s="84"/>
      <c r="O20" s="84"/>
      <c r="P20" s="10"/>
      <c r="Q20" s="10"/>
      <c r="R20" s="10"/>
      <c r="S20" s="10"/>
      <c r="T20" s="10"/>
      <c r="U20" s="10"/>
      <c r="V20" s="10"/>
      <c r="W20" s="11"/>
    </row>
    <row r="21" spans="1:23">
      <c r="A21" s="9"/>
      <c r="B21" s="10"/>
      <c r="C21" s="10"/>
      <c r="D21" s="10"/>
      <c r="E21" s="10"/>
      <c r="F21" s="10"/>
      <c r="G21" s="10"/>
      <c r="H21" s="10"/>
      <c r="I21" s="10"/>
      <c r="J21" s="10"/>
      <c r="K21" s="10"/>
      <c r="L21" s="10"/>
      <c r="M21" s="10"/>
      <c r="N21" s="10"/>
      <c r="O21" s="10"/>
      <c r="P21" s="10"/>
      <c r="Q21" s="10"/>
      <c r="R21" s="10"/>
      <c r="S21" s="10"/>
      <c r="T21" s="10"/>
      <c r="U21" s="10"/>
      <c r="V21" s="10"/>
      <c r="W21" s="11"/>
    </row>
    <row r="22" spans="1:23">
      <c r="A22" s="76" t="s">
        <v>953</v>
      </c>
      <c r="B22" s="10"/>
      <c r="C22" s="10"/>
      <c r="D22" s="10"/>
      <c r="E22" s="10"/>
      <c r="F22" s="10"/>
      <c r="G22" s="10"/>
      <c r="H22" s="10"/>
      <c r="I22" s="10"/>
      <c r="J22" s="10"/>
      <c r="K22" s="10"/>
      <c r="L22" s="10"/>
      <c r="M22" s="10"/>
      <c r="N22" s="10"/>
      <c r="O22" s="10"/>
      <c r="P22" s="10"/>
      <c r="Q22" s="10"/>
      <c r="R22" s="10"/>
      <c r="S22" s="10"/>
      <c r="T22" s="10"/>
      <c r="U22" s="10"/>
      <c r="V22" s="10"/>
      <c r="W22" s="11"/>
    </row>
    <row r="23" spans="1:23">
      <c r="A23" s="9" t="s">
        <v>954</v>
      </c>
      <c r="B23" s="10"/>
      <c r="C23" s="10"/>
      <c r="D23" s="10"/>
      <c r="E23" s="10"/>
      <c r="F23" s="10"/>
      <c r="G23" s="10"/>
      <c r="H23" s="10"/>
      <c r="I23" s="10"/>
      <c r="J23" s="10"/>
      <c r="K23" s="10"/>
      <c r="L23" s="10"/>
      <c r="M23" s="10"/>
      <c r="N23" s="10"/>
      <c r="O23" s="10"/>
      <c r="P23" s="10"/>
      <c r="Q23" s="10"/>
      <c r="R23" s="10"/>
      <c r="S23" s="10"/>
      <c r="T23" s="10"/>
      <c r="U23" s="10"/>
      <c r="V23" s="10"/>
      <c r="W23" s="11"/>
    </row>
    <row r="24" spans="1:23">
      <c r="A24" s="9" t="s">
        <v>955</v>
      </c>
      <c r="B24" s="10"/>
      <c r="C24" s="10"/>
      <c r="D24" s="10"/>
      <c r="E24" s="10"/>
      <c r="F24" s="10"/>
      <c r="G24" s="10"/>
      <c r="H24" s="10"/>
      <c r="I24" s="10"/>
      <c r="J24" s="10"/>
      <c r="K24" s="10"/>
      <c r="L24" s="10"/>
      <c r="M24" s="10"/>
      <c r="N24" s="10"/>
      <c r="O24" s="10"/>
      <c r="P24" s="10"/>
      <c r="Q24" s="10"/>
      <c r="R24" s="10"/>
      <c r="S24" s="10"/>
      <c r="T24" s="10"/>
      <c r="U24" s="10"/>
      <c r="V24" s="10"/>
      <c r="W24" s="11"/>
    </row>
    <row r="25" spans="1:23">
      <c r="A25" s="9"/>
      <c r="B25" s="10"/>
      <c r="C25" s="10"/>
      <c r="D25" s="10"/>
      <c r="E25" s="10"/>
      <c r="F25" s="10"/>
      <c r="G25" s="10"/>
      <c r="H25" s="10"/>
      <c r="I25" s="10"/>
      <c r="J25" s="10"/>
      <c r="K25" s="10"/>
      <c r="L25" s="10"/>
      <c r="M25" s="10"/>
      <c r="N25" s="10"/>
      <c r="O25" s="10"/>
      <c r="P25" s="10"/>
      <c r="Q25" s="10"/>
      <c r="R25" s="10"/>
      <c r="S25" s="10"/>
      <c r="T25" s="10"/>
      <c r="U25" s="10"/>
      <c r="V25" s="10"/>
      <c r="W25" s="11"/>
    </row>
    <row r="26" spans="1:23">
      <c r="A26" s="9" t="s">
        <v>956</v>
      </c>
      <c r="B26" s="10"/>
      <c r="C26" s="10"/>
      <c r="D26" s="10"/>
      <c r="E26" s="10">
        <v>7.9000000000000001E-2</v>
      </c>
      <c r="F26" s="10"/>
      <c r="G26" s="10"/>
      <c r="H26" s="10"/>
      <c r="I26" s="10"/>
      <c r="J26" s="10"/>
      <c r="K26" s="10"/>
      <c r="L26" s="10"/>
      <c r="M26" s="10"/>
      <c r="N26" s="10"/>
      <c r="O26" s="10"/>
      <c r="P26" s="10"/>
      <c r="Q26" s="10"/>
      <c r="R26" s="10"/>
      <c r="S26" s="10"/>
      <c r="T26" s="10"/>
      <c r="U26" s="10"/>
      <c r="V26" s="10"/>
      <c r="W26" s="11"/>
    </row>
    <row r="27" spans="1:23">
      <c r="A27" s="9" t="s">
        <v>957</v>
      </c>
      <c r="B27" s="10"/>
      <c r="C27" s="10"/>
      <c r="D27" s="10"/>
      <c r="E27" s="10">
        <v>5.2999999999999999E-2</v>
      </c>
      <c r="F27" s="10"/>
      <c r="G27" s="10"/>
      <c r="H27" s="10"/>
      <c r="I27" s="10"/>
      <c r="J27" s="10"/>
      <c r="K27" s="10"/>
      <c r="L27" s="10"/>
      <c r="M27" s="10"/>
      <c r="N27" s="10"/>
      <c r="O27" s="10"/>
      <c r="P27" s="10"/>
      <c r="Q27" s="10"/>
      <c r="R27" s="10"/>
      <c r="S27" s="10"/>
      <c r="T27" s="10"/>
      <c r="U27" s="10"/>
      <c r="V27" s="10"/>
      <c r="W27" s="11"/>
    </row>
    <row r="28" spans="1:23">
      <c r="A28" s="9" t="s">
        <v>958</v>
      </c>
      <c r="B28" s="10"/>
      <c r="C28" s="10"/>
      <c r="D28" s="10"/>
      <c r="E28" s="10">
        <v>0.32800000000000001</v>
      </c>
      <c r="F28" s="10"/>
      <c r="G28" s="10"/>
      <c r="H28" s="10"/>
      <c r="I28" s="10"/>
      <c r="J28" s="10"/>
      <c r="K28" s="10"/>
      <c r="L28" s="10"/>
      <c r="M28" s="10"/>
      <c r="N28" s="10"/>
      <c r="O28" s="10"/>
      <c r="P28" s="10"/>
      <c r="Q28" s="10"/>
      <c r="R28" s="10"/>
      <c r="S28" s="10"/>
      <c r="T28" s="10"/>
      <c r="U28" s="10"/>
      <c r="V28" s="10"/>
      <c r="W28" s="11"/>
    </row>
    <row r="29" spans="1:23">
      <c r="A29" s="9"/>
      <c r="B29" s="10"/>
      <c r="C29" s="10"/>
      <c r="D29" s="10"/>
      <c r="E29" s="10"/>
      <c r="F29" s="10"/>
      <c r="G29" s="10"/>
      <c r="H29" s="10"/>
      <c r="I29" s="10"/>
      <c r="J29" s="10"/>
      <c r="K29" s="10"/>
      <c r="L29" s="10"/>
      <c r="M29" s="10"/>
      <c r="N29" s="10"/>
      <c r="O29" s="10"/>
      <c r="P29" s="10"/>
      <c r="Q29" s="10"/>
      <c r="R29" s="10"/>
      <c r="S29" s="10"/>
      <c r="T29" s="10"/>
      <c r="U29" s="10"/>
      <c r="V29" s="10"/>
      <c r="W29" s="11"/>
    </row>
    <row r="30" spans="1:23">
      <c r="A30" s="76" t="s">
        <v>60</v>
      </c>
      <c r="B30" s="10"/>
      <c r="C30" s="10"/>
      <c r="D30" s="10"/>
      <c r="E30" s="10"/>
      <c r="F30" s="10"/>
      <c r="G30" s="10"/>
      <c r="H30" s="10"/>
      <c r="I30" s="10"/>
      <c r="J30" s="10"/>
      <c r="K30" s="10"/>
      <c r="L30" s="10"/>
      <c r="M30" s="10"/>
      <c r="N30" s="10"/>
      <c r="O30" s="10"/>
      <c r="P30" s="10"/>
      <c r="Q30" s="10"/>
      <c r="R30" s="10"/>
      <c r="S30" s="10"/>
      <c r="T30" s="10"/>
      <c r="U30" s="10"/>
      <c r="V30" s="10"/>
      <c r="W30" s="11"/>
    </row>
    <row r="31" spans="1:23">
      <c r="A31" s="9" t="s">
        <v>959</v>
      </c>
      <c r="B31" s="10"/>
      <c r="C31" s="10"/>
      <c r="D31" s="10"/>
      <c r="E31" s="10"/>
      <c r="F31" s="10"/>
      <c r="G31" s="10"/>
      <c r="H31" s="10"/>
      <c r="I31" s="10"/>
      <c r="J31" s="10"/>
      <c r="K31" s="10"/>
      <c r="L31" s="10"/>
      <c r="M31" s="10"/>
      <c r="N31" s="10"/>
      <c r="O31" s="10"/>
      <c r="P31" s="10"/>
      <c r="Q31" s="10"/>
      <c r="R31" s="10"/>
      <c r="S31" s="10"/>
      <c r="T31" s="10"/>
      <c r="U31" s="10"/>
      <c r="V31" s="10"/>
      <c r="W31" s="11"/>
    </row>
    <row r="32" spans="1:23">
      <c r="A32" s="9"/>
      <c r="B32" s="10"/>
      <c r="C32" s="10"/>
      <c r="D32" s="10"/>
      <c r="E32" s="10"/>
      <c r="F32" s="10"/>
      <c r="G32" s="10"/>
      <c r="H32" s="10"/>
      <c r="I32" s="10"/>
      <c r="J32" s="10"/>
      <c r="K32" s="10"/>
      <c r="L32" s="10"/>
      <c r="M32" s="10"/>
      <c r="N32" s="10"/>
      <c r="O32" s="10"/>
      <c r="P32" s="10"/>
      <c r="Q32" s="10"/>
      <c r="R32" s="10"/>
      <c r="S32" s="10"/>
      <c r="T32" s="10"/>
      <c r="U32" s="10"/>
      <c r="V32" s="10"/>
      <c r="W32" s="11"/>
    </row>
    <row r="33" spans="1:23">
      <c r="A33" s="9" t="s">
        <v>960</v>
      </c>
      <c r="B33" s="10"/>
      <c r="C33" s="10"/>
      <c r="D33" s="10">
        <v>20</v>
      </c>
      <c r="E33" s="10"/>
      <c r="F33" s="10"/>
      <c r="G33" s="10"/>
      <c r="H33" s="10"/>
      <c r="I33" s="10"/>
      <c r="J33" s="10"/>
      <c r="K33" s="10"/>
      <c r="L33" s="10"/>
      <c r="M33" s="10"/>
      <c r="N33" s="10"/>
      <c r="O33" s="10"/>
      <c r="P33" s="10"/>
      <c r="Q33" s="10"/>
      <c r="R33" s="10"/>
      <c r="S33" s="10"/>
      <c r="T33" s="10"/>
      <c r="U33" s="10"/>
      <c r="V33" s="10"/>
      <c r="W33" s="11"/>
    </row>
    <row r="34" spans="1:23">
      <c r="A34" s="9"/>
      <c r="B34" s="10"/>
      <c r="C34" s="10"/>
      <c r="D34" s="10"/>
      <c r="E34" s="10"/>
      <c r="F34" s="10"/>
      <c r="G34" s="10"/>
      <c r="H34" s="10"/>
      <c r="I34" s="10"/>
      <c r="J34" s="10"/>
      <c r="K34" s="10"/>
      <c r="L34" s="10"/>
      <c r="M34" s="10"/>
      <c r="N34" s="10"/>
      <c r="O34" s="10"/>
      <c r="P34" s="10"/>
      <c r="Q34" s="10"/>
      <c r="R34" s="10"/>
      <c r="S34" s="10"/>
      <c r="T34" s="10"/>
      <c r="U34" s="10"/>
      <c r="V34" s="10"/>
      <c r="W34" s="11"/>
    </row>
    <row r="35" spans="1:23">
      <c r="A35" s="76" t="s">
        <v>961</v>
      </c>
      <c r="B35" s="10"/>
      <c r="C35" s="10"/>
      <c r="D35" s="10"/>
      <c r="E35" s="10"/>
      <c r="F35" s="10"/>
      <c r="G35" s="10"/>
      <c r="H35" s="10"/>
      <c r="I35" s="10"/>
      <c r="J35" s="10"/>
      <c r="K35" s="10"/>
      <c r="L35" s="10"/>
      <c r="M35" s="10"/>
      <c r="N35" s="10"/>
      <c r="O35" s="10"/>
      <c r="P35" s="10"/>
      <c r="Q35" s="10"/>
      <c r="R35" s="10"/>
      <c r="S35" s="10"/>
      <c r="T35" s="10"/>
      <c r="U35" s="10"/>
      <c r="V35" s="10"/>
      <c r="W35" s="11"/>
    </row>
    <row r="36" spans="1:23">
      <c r="A36" s="9" t="s">
        <v>962</v>
      </c>
      <c r="B36" s="10"/>
      <c r="C36" s="10"/>
      <c r="D36" s="10"/>
      <c r="E36" s="10"/>
      <c r="F36" s="10"/>
      <c r="G36" s="10"/>
      <c r="H36" s="10"/>
      <c r="I36" s="10"/>
      <c r="J36" s="10"/>
      <c r="K36" s="10"/>
      <c r="L36" s="10"/>
      <c r="M36" s="10"/>
      <c r="N36" s="10"/>
      <c r="O36" s="10"/>
      <c r="P36" s="10"/>
      <c r="Q36" s="10"/>
      <c r="R36" s="10"/>
      <c r="S36" s="10"/>
      <c r="T36" s="10"/>
      <c r="U36" s="10"/>
      <c r="V36" s="10"/>
      <c r="W36" s="11"/>
    </row>
    <row r="37" spans="1:23">
      <c r="A37" s="9" t="s">
        <v>963</v>
      </c>
      <c r="B37" s="10"/>
      <c r="C37" s="10"/>
      <c r="D37" s="10"/>
      <c r="E37" s="10"/>
      <c r="F37" s="10"/>
      <c r="G37" s="10"/>
      <c r="H37" s="10"/>
      <c r="I37" s="10"/>
      <c r="J37" s="10"/>
      <c r="K37" s="10"/>
      <c r="L37" s="10"/>
      <c r="M37" s="10"/>
      <c r="N37" s="10"/>
      <c r="O37" s="10"/>
      <c r="P37" s="10"/>
      <c r="Q37" s="10"/>
      <c r="R37" s="10"/>
      <c r="S37" s="10"/>
      <c r="T37" s="10"/>
      <c r="U37" s="10"/>
      <c r="V37" s="10"/>
      <c r="W37" s="11"/>
    </row>
    <row r="38" spans="1:23">
      <c r="A38" s="9"/>
      <c r="B38" s="10"/>
      <c r="C38" s="10"/>
      <c r="D38" s="10"/>
      <c r="E38" s="10"/>
      <c r="F38" s="10"/>
      <c r="G38" s="10"/>
      <c r="H38" s="10"/>
      <c r="I38" s="10"/>
      <c r="J38" s="10"/>
      <c r="K38" s="10"/>
      <c r="L38" s="10"/>
      <c r="M38" s="10"/>
      <c r="N38" s="10"/>
      <c r="O38" s="10"/>
      <c r="P38" s="10"/>
      <c r="Q38" s="10"/>
      <c r="R38" s="10"/>
      <c r="S38" s="10"/>
      <c r="T38" s="10"/>
      <c r="U38" s="10"/>
      <c r="V38" s="10"/>
      <c r="W38" s="11"/>
    </row>
    <row r="39" spans="1:23">
      <c r="A39" s="9" t="s">
        <v>964</v>
      </c>
      <c r="B39" s="10"/>
      <c r="C39" s="85">
        <v>3.5999999999999999E-3</v>
      </c>
      <c r="D39" s="10"/>
      <c r="E39" s="10"/>
      <c r="F39" s="10"/>
      <c r="G39" s="10"/>
      <c r="H39" s="10"/>
      <c r="I39" s="10"/>
      <c r="J39" s="10"/>
      <c r="K39" s="10"/>
      <c r="L39" s="10"/>
      <c r="M39" s="10"/>
      <c r="N39" s="10"/>
      <c r="O39" s="10"/>
      <c r="P39" s="10"/>
      <c r="Q39" s="10"/>
      <c r="R39" s="10"/>
      <c r="S39" s="10"/>
      <c r="T39" s="10"/>
      <c r="U39" s="10"/>
      <c r="V39" s="10"/>
      <c r="W39" s="11"/>
    </row>
    <row r="40" spans="1:23">
      <c r="A40" s="9" t="s">
        <v>965</v>
      </c>
      <c r="B40" s="10"/>
      <c r="C40" s="85">
        <v>3.4349999999999999E-2</v>
      </c>
      <c r="D40" s="10"/>
      <c r="E40" s="10"/>
      <c r="F40" s="10"/>
      <c r="G40" s="10"/>
      <c r="H40" s="10"/>
      <c r="I40" s="10"/>
      <c r="J40" s="10"/>
      <c r="K40" s="10"/>
      <c r="L40" s="10"/>
      <c r="M40" s="10"/>
      <c r="N40" s="10"/>
      <c r="O40" s="10"/>
      <c r="P40" s="10"/>
      <c r="Q40" s="10"/>
      <c r="R40" s="10"/>
      <c r="S40" s="10"/>
      <c r="T40" s="10"/>
      <c r="U40" s="10"/>
      <c r="V40" s="10"/>
      <c r="W40" s="11"/>
    </row>
    <row r="41" spans="1:23">
      <c r="A41" s="9" t="s">
        <v>966</v>
      </c>
      <c r="B41" s="10"/>
      <c r="C41" s="85">
        <v>3.8136000000000003E-2</v>
      </c>
      <c r="D41" s="10"/>
      <c r="E41" s="10"/>
      <c r="F41" s="10"/>
      <c r="G41" s="10"/>
      <c r="H41" s="10"/>
      <c r="I41" s="10"/>
      <c r="J41" s="10"/>
      <c r="K41" s="10"/>
      <c r="L41" s="10"/>
      <c r="M41" s="10"/>
      <c r="N41" s="10"/>
      <c r="O41" s="10"/>
      <c r="P41" s="10"/>
      <c r="Q41" s="10"/>
      <c r="R41" s="10"/>
      <c r="S41" s="10"/>
      <c r="T41" s="10"/>
      <c r="U41" s="10"/>
      <c r="V41" s="10"/>
      <c r="W41" s="11"/>
    </row>
    <row r="42" spans="1:23">
      <c r="A42" s="9" t="s">
        <v>967</v>
      </c>
      <c r="B42" s="10"/>
      <c r="C42" s="85">
        <v>4.02E-2</v>
      </c>
      <c r="D42" s="10"/>
      <c r="E42" s="10"/>
      <c r="F42" s="10"/>
      <c r="G42" s="10"/>
      <c r="H42" s="10"/>
      <c r="I42" s="10"/>
      <c r="J42" s="10"/>
      <c r="K42" s="10"/>
      <c r="L42" s="10"/>
      <c r="M42" s="10"/>
      <c r="N42" s="10"/>
      <c r="O42" s="10"/>
      <c r="P42" s="10"/>
      <c r="Q42" s="10"/>
      <c r="R42" s="10"/>
      <c r="S42" s="10"/>
      <c r="T42" s="10"/>
      <c r="U42" s="10"/>
      <c r="V42" s="10"/>
      <c r="W42" s="11"/>
    </row>
    <row r="43" spans="1:23">
      <c r="A43" s="9"/>
      <c r="B43" s="10"/>
      <c r="C43" s="10"/>
      <c r="D43" s="10"/>
      <c r="E43" s="10"/>
      <c r="F43" s="10"/>
      <c r="G43" s="10"/>
      <c r="H43" s="10"/>
      <c r="I43" s="10"/>
      <c r="J43" s="10"/>
      <c r="K43" s="10"/>
      <c r="L43" s="10"/>
      <c r="M43" s="10"/>
      <c r="N43" s="10"/>
      <c r="O43" s="10"/>
      <c r="P43" s="10"/>
      <c r="Q43" s="10"/>
      <c r="R43" s="10"/>
      <c r="S43" s="10"/>
      <c r="T43" s="10"/>
      <c r="U43" s="10"/>
      <c r="V43" s="10"/>
      <c r="W43" s="11"/>
    </row>
    <row r="44" spans="1:23">
      <c r="A44" s="76" t="s">
        <v>968</v>
      </c>
      <c r="B44" s="10"/>
      <c r="C44" s="10"/>
      <c r="D44" s="10"/>
      <c r="E44" s="10"/>
      <c r="F44" s="10"/>
      <c r="G44" s="10"/>
      <c r="H44" s="10"/>
      <c r="I44" s="10"/>
      <c r="J44" s="10"/>
      <c r="K44" s="10"/>
      <c r="L44" s="10"/>
      <c r="M44" s="10"/>
      <c r="N44" s="10"/>
      <c r="O44" s="10"/>
      <c r="P44" s="10"/>
      <c r="Q44" s="10"/>
      <c r="R44" s="10"/>
      <c r="S44" s="10"/>
      <c r="T44" s="10"/>
      <c r="U44" s="10"/>
      <c r="V44" s="10"/>
      <c r="W44" s="11"/>
    </row>
    <row r="45" spans="1:23">
      <c r="A45" s="9" t="s">
        <v>969</v>
      </c>
      <c r="B45" s="10"/>
      <c r="C45" s="10"/>
      <c r="D45" s="10"/>
      <c r="E45" s="10"/>
      <c r="F45" s="10"/>
      <c r="G45" s="10"/>
      <c r="H45" s="10"/>
      <c r="I45" s="10"/>
      <c r="J45" s="10"/>
      <c r="K45" s="10"/>
      <c r="L45" s="10"/>
      <c r="M45" s="10"/>
      <c r="N45" s="10"/>
      <c r="O45" s="10"/>
      <c r="P45" s="10"/>
      <c r="Q45" s="10"/>
      <c r="R45" s="10"/>
      <c r="S45" s="10"/>
      <c r="T45" s="10"/>
      <c r="U45" s="10"/>
      <c r="V45" s="10"/>
      <c r="W45" s="11"/>
    </row>
    <row r="46" spans="1:23">
      <c r="A46" s="9"/>
      <c r="B46" s="10"/>
      <c r="C46" s="10"/>
      <c r="D46" s="10"/>
      <c r="E46" s="10"/>
      <c r="F46" s="10"/>
      <c r="G46" s="10"/>
      <c r="H46" s="10"/>
      <c r="I46" s="10"/>
      <c r="J46" s="10"/>
      <c r="K46" s="10"/>
      <c r="L46" s="10"/>
      <c r="M46" s="10"/>
      <c r="N46" s="10"/>
      <c r="O46" s="10"/>
      <c r="P46" s="10"/>
      <c r="Q46" s="10"/>
      <c r="R46" s="10"/>
      <c r="S46" s="10"/>
      <c r="T46" s="10"/>
      <c r="U46" s="10"/>
      <c r="V46" s="10"/>
      <c r="W46" s="11"/>
    </row>
    <row r="47" spans="1:23">
      <c r="A47" s="9"/>
      <c r="B47" s="10" t="s">
        <v>973</v>
      </c>
      <c r="C47" s="10"/>
      <c r="D47" s="10"/>
      <c r="E47" s="10"/>
      <c r="F47" s="10"/>
      <c r="G47" s="10"/>
      <c r="H47" s="10"/>
      <c r="I47" s="10"/>
      <c r="J47" s="10"/>
      <c r="K47" s="10"/>
      <c r="L47" s="10"/>
      <c r="M47" s="10"/>
      <c r="N47" s="10"/>
      <c r="O47" s="10"/>
      <c r="P47" s="10"/>
      <c r="Q47" s="10"/>
      <c r="R47" s="10"/>
      <c r="S47" s="10"/>
      <c r="T47" s="10"/>
      <c r="U47" s="10"/>
      <c r="V47" s="10"/>
      <c r="W47" s="11"/>
    </row>
    <row r="48" spans="1:23">
      <c r="A48" s="9" t="s">
        <v>970</v>
      </c>
      <c r="B48" s="36">
        <v>0.63600000000000001</v>
      </c>
      <c r="C48" s="10"/>
      <c r="D48" s="10"/>
      <c r="E48" s="10"/>
      <c r="F48" s="10"/>
      <c r="G48" s="10"/>
      <c r="H48" s="10"/>
      <c r="I48" s="10"/>
      <c r="J48" s="10"/>
      <c r="K48" s="10"/>
      <c r="L48" s="10"/>
      <c r="M48" s="10"/>
      <c r="N48" s="10"/>
      <c r="O48" s="10"/>
      <c r="P48" s="10"/>
      <c r="Q48" s="10"/>
      <c r="R48" s="10"/>
      <c r="S48" s="10"/>
      <c r="T48" s="10"/>
      <c r="U48" s="10"/>
      <c r="V48" s="10"/>
      <c r="W48" s="11"/>
    </row>
    <row r="49" spans="1:24">
      <c r="A49" s="9" t="s">
        <v>971</v>
      </c>
      <c r="B49" s="36">
        <v>0.75900000000000001</v>
      </c>
      <c r="C49" s="10"/>
      <c r="D49" s="10"/>
      <c r="E49" s="10"/>
      <c r="F49" s="10"/>
      <c r="G49" s="10"/>
      <c r="H49" s="10"/>
      <c r="I49" s="10"/>
      <c r="J49" s="10"/>
      <c r="K49" s="10"/>
      <c r="L49" s="10"/>
      <c r="M49" s="10"/>
      <c r="N49" s="10"/>
      <c r="O49" s="10"/>
      <c r="P49" s="10"/>
      <c r="Q49" s="10"/>
      <c r="R49" s="10"/>
      <c r="S49" s="10"/>
      <c r="T49" s="10"/>
      <c r="U49" s="10"/>
      <c r="V49" s="10"/>
      <c r="W49" s="11"/>
    </row>
    <row r="50" spans="1:24">
      <c r="A50" s="9" t="s">
        <v>972</v>
      </c>
      <c r="B50" s="36">
        <v>0.80200000000000005</v>
      </c>
      <c r="C50" s="10"/>
      <c r="D50" s="10"/>
      <c r="E50" s="10"/>
      <c r="F50" s="10"/>
      <c r="G50" s="10"/>
      <c r="H50" s="10"/>
      <c r="I50" s="10"/>
      <c r="J50" s="10"/>
      <c r="K50" s="10"/>
      <c r="L50" s="10"/>
      <c r="M50" s="10"/>
      <c r="N50" s="10"/>
      <c r="O50" s="10"/>
      <c r="P50" s="10"/>
      <c r="Q50" s="10"/>
      <c r="R50" s="10"/>
      <c r="S50" s="10"/>
      <c r="T50" s="10"/>
      <c r="U50" s="10"/>
      <c r="V50" s="10"/>
      <c r="W50" s="11"/>
    </row>
    <row r="51" spans="1:24" ht="15.75" thickBot="1">
      <c r="A51" s="12"/>
      <c r="B51" s="13"/>
      <c r="C51" s="13"/>
      <c r="D51" s="13"/>
      <c r="E51" s="13"/>
      <c r="F51" s="13"/>
      <c r="G51" s="13"/>
      <c r="H51" s="13"/>
      <c r="I51" s="13"/>
      <c r="J51" s="13"/>
      <c r="K51" s="13"/>
      <c r="L51" s="13"/>
      <c r="M51" s="13"/>
      <c r="N51" s="13"/>
      <c r="O51" s="13"/>
      <c r="P51" s="13"/>
      <c r="Q51" s="13"/>
      <c r="R51" s="13"/>
      <c r="S51" s="13"/>
      <c r="T51" s="13"/>
      <c r="U51" s="13"/>
      <c r="V51" s="13"/>
      <c r="W51" s="14"/>
    </row>
    <row r="53" spans="1:24">
      <c r="A53" s="62" t="s">
        <v>974</v>
      </c>
    </row>
    <row r="54" spans="1:24" ht="15.75" thickBot="1"/>
    <row r="55" spans="1:24">
      <c r="A55" s="75" t="s">
        <v>975</v>
      </c>
      <c r="B55" s="7"/>
      <c r="C55" s="7"/>
      <c r="D55" s="7"/>
      <c r="E55" s="7"/>
      <c r="F55" s="7"/>
      <c r="G55" s="7"/>
      <c r="H55" s="7"/>
      <c r="I55" s="7"/>
      <c r="J55" s="7"/>
      <c r="K55" s="7"/>
      <c r="L55" s="7"/>
      <c r="M55" s="7"/>
      <c r="N55" s="7"/>
      <c r="O55" s="7"/>
      <c r="P55" s="7"/>
      <c r="Q55" s="7"/>
      <c r="R55" s="7"/>
      <c r="S55" s="7"/>
      <c r="T55" s="7"/>
      <c r="U55" s="7"/>
      <c r="V55" s="7"/>
      <c r="W55" s="7"/>
      <c r="X55" s="8"/>
    </row>
    <row r="56" spans="1:24">
      <c r="A56" s="9" t="s">
        <v>976</v>
      </c>
      <c r="B56" s="10"/>
      <c r="C56" s="10"/>
      <c r="D56" s="10"/>
      <c r="E56" s="10"/>
      <c r="F56" s="10"/>
      <c r="G56" s="10"/>
      <c r="H56" s="10"/>
      <c r="I56" s="10"/>
      <c r="J56" s="10"/>
      <c r="K56" s="10"/>
      <c r="L56" s="10"/>
      <c r="M56" s="10"/>
      <c r="N56" s="10"/>
      <c r="O56" s="10"/>
      <c r="P56" s="10"/>
      <c r="Q56" s="10"/>
      <c r="R56" s="10"/>
      <c r="S56" s="10"/>
      <c r="T56" s="10"/>
      <c r="U56" s="10"/>
      <c r="V56" s="10"/>
      <c r="W56" s="10"/>
      <c r="X56" s="11"/>
    </row>
    <row r="57" spans="1:24">
      <c r="A57" s="9" t="s">
        <v>977</v>
      </c>
      <c r="B57" s="10"/>
      <c r="C57" s="10"/>
      <c r="D57" s="10"/>
      <c r="E57" s="10"/>
      <c r="F57" s="10"/>
      <c r="G57" s="10"/>
      <c r="H57" s="10"/>
      <c r="I57" s="10"/>
      <c r="J57" s="10"/>
      <c r="K57" s="10"/>
      <c r="L57" s="10"/>
      <c r="M57" s="10"/>
      <c r="N57" s="10"/>
      <c r="O57" s="10"/>
      <c r="P57" s="10"/>
      <c r="Q57" s="10"/>
      <c r="R57" s="10"/>
      <c r="S57" s="10"/>
      <c r="T57" s="10"/>
      <c r="U57" s="10"/>
      <c r="V57" s="10"/>
      <c r="W57" s="10"/>
      <c r="X57" s="11"/>
    </row>
    <row r="58" spans="1:24">
      <c r="A58" s="9"/>
      <c r="B58" s="10"/>
      <c r="C58" s="10"/>
      <c r="D58" s="10"/>
      <c r="E58" s="10"/>
      <c r="F58" s="10"/>
      <c r="G58" s="10"/>
      <c r="H58" s="10"/>
      <c r="I58" s="10"/>
      <c r="J58" s="10"/>
      <c r="K58" s="10"/>
      <c r="L58" s="10"/>
      <c r="M58" s="10"/>
      <c r="N58" s="10"/>
      <c r="O58" s="10"/>
      <c r="P58" s="10"/>
      <c r="Q58" s="10"/>
      <c r="R58" s="10"/>
      <c r="S58" s="10"/>
      <c r="T58" s="10"/>
      <c r="U58" s="10"/>
      <c r="V58" s="10"/>
      <c r="W58" s="10"/>
      <c r="X58" s="11"/>
    </row>
    <row r="59" spans="1:24">
      <c r="A59" s="76" t="s">
        <v>978</v>
      </c>
      <c r="B59" s="10"/>
      <c r="C59" s="10"/>
      <c r="D59" s="10"/>
      <c r="E59" s="10"/>
      <c r="F59" s="10"/>
      <c r="G59" s="10"/>
      <c r="H59" s="10"/>
      <c r="I59" s="10"/>
      <c r="J59" s="10"/>
      <c r="K59" s="10"/>
      <c r="L59" s="10"/>
      <c r="M59" s="10"/>
      <c r="N59" s="10"/>
      <c r="O59" s="10"/>
      <c r="P59" s="10"/>
      <c r="Q59" s="10"/>
      <c r="R59" s="10"/>
      <c r="S59" s="10"/>
      <c r="T59" s="10"/>
      <c r="U59" s="10"/>
      <c r="V59" s="10"/>
      <c r="W59" s="10"/>
      <c r="X59" s="11"/>
    </row>
    <row r="60" spans="1:24">
      <c r="A60" s="9" t="s">
        <v>1321</v>
      </c>
      <c r="B60" s="10"/>
      <c r="C60" s="10"/>
      <c r="D60" s="10"/>
      <c r="E60" s="10"/>
      <c r="F60" s="10"/>
      <c r="G60" s="10"/>
      <c r="H60" s="10"/>
      <c r="I60" s="10"/>
      <c r="J60" s="10"/>
      <c r="K60" s="10"/>
      <c r="L60" s="10"/>
      <c r="M60" s="10"/>
      <c r="N60" s="10"/>
      <c r="O60" s="10"/>
      <c r="P60" s="10"/>
      <c r="Q60" s="10"/>
      <c r="R60" s="10"/>
      <c r="S60" s="10"/>
      <c r="T60" s="10"/>
      <c r="U60" s="10"/>
      <c r="V60" s="10"/>
      <c r="W60" s="10"/>
      <c r="X60" s="11"/>
    </row>
    <row r="61" spans="1:24">
      <c r="A61" s="9" t="s">
        <v>979</v>
      </c>
      <c r="B61" s="10"/>
      <c r="C61" s="10"/>
      <c r="D61" s="10"/>
      <c r="E61" s="10"/>
      <c r="F61" s="10"/>
      <c r="G61" s="10"/>
      <c r="H61" s="10"/>
      <c r="I61" s="10"/>
      <c r="J61" s="10"/>
      <c r="K61" s="10"/>
      <c r="L61" s="10"/>
      <c r="M61" s="10"/>
      <c r="N61" s="10"/>
      <c r="O61" s="10"/>
      <c r="P61" s="10"/>
      <c r="Q61" s="10"/>
      <c r="R61" s="10"/>
      <c r="S61" s="10"/>
      <c r="T61" s="10"/>
      <c r="U61" s="10"/>
      <c r="V61" s="10"/>
      <c r="W61" s="10"/>
      <c r="X61" s="11"/>
    </row>
    <row r="62" spans="1:24">
      <c r="A62" s="9" t="s">
        <v>980</v>
      </c>
      <c r="B62" s="10"/>
      <c r="C62" s="10"/>
      <c r="D62" s="10"/>
      <c r="E62" s="10"/>
      <c r="F62" s="10"/>
      <c r="G62" s="10"/>
      <c r="H62" s="10"/>
      <c r="I62" s="10"/>
      <c r="J62" s="10"/>
      <c r="K62" s="10"/>
      <c r="L62" s="10"/>
      <c r="M62" s="10"/>
      <c r="N62" s="10"/>
      <c r="O62" s="10"/>
      <c r="P62" s="10"/>
      <c r="Q62" s="10"/>
      <c r="R62" s="10"/>
      <c r="S62" s="10"/>
      <c r="T62" s="10"/>
      <c r="U62" s="10"/>
      <c r="V62" s="10"/>
      <c r="W62" s="10"/>
      <c r="X62" s="11"/>
    </row>
    <row r="63" spans="1:24">
      <c r="A63" s="9" t="s">
        <v>981</v>
      </c>
      <c r="B63" s="10"/>
      <c r="C63" s="10"/>
      <c r="D63" s="10"/>
      <c r="E63" s="10"/>
      <c r="F63" s="10"/>
      <c r="G63" s="10"/>
      <c r="H63" s="10"/>
      <c r="I63" s="10"/>
      <c r="J63" s="10"/>
      <c r="K63" s="10"/>
      <c r="L63" s="10"/>
      <c r="M63" s="10"/>
      <c r="N63" s="10"/>
      <c r="O63" s="10"/>
      <c r="P63" s="10"/>
      <c r="Q63" s="10"/>
      <c r="R63" s="10"/>
      <c r="S63" s="10"/>
      <c r="T63" s="10"/>
      <c r="U63" s="10"/>
      <c r="V63" s="10"/>
      <c r="W63" s="10"/>
      <c r="X63" s="11"/>
    </row>
    <row r="64" spans="1:24">
      <c r="A64" s="9" t="s">
        <v>982</v>
      </c>
      <c r="B64" s="10"/>
      <c r="C64" s="10"/>
      <c r="D64" s="10"/>
      <c r="E64" s="10"/>
      <c r="F64" s="10"/>
      <c r="G64" s="10"/>
      <c r="H64" s="10"/>
      <c r="I64" s="10"/>
      <c r="J64" s="10"/>
      <c r="K64" s="10"/>
      <c r="L64" s="10"/>
      <c r="M64" s="10"/>
      <c r="N64" s="10"/>
      <c r="O64" s="10"/>
      <c r="P64" s="10"/>
      <c r="Q64" s="10"/>
      <c r="R64" s="10"/>
      <c r="S64" s="10"/>
      <c r="T64" s="10"/>
      <c r="U64" s="10"/>
      <c r="V64" s="10"/>
      <c r="W64" s="10"/>
      <c r="X64" s="11"/>
    </row>
    <row r="65" spans="1:24">
      <c r="A65" s="9" t="s">
        <v>983</v>
      </c>
      <c r="B65" s="10"/>
      <c r="C65" s="10"/>
      <c r="D65" s="10"/>
      <c r="E65" s="10"/>
      <c r="F65" s="10"/>
      <c r="G65" s="10"/>
      <c r="H65" s="10"/>
      <c r="I65" s="10"/>
      <c r="J65" s="10"/>
      <c r="K65" s="10"/>
      <c r="L65" s="10"/>
      <c r="M65" s="10"/>
      <c r="N65" s="10"/>
      <c r="O65" s="10"/>
      <c r="P65" s="10"/>
      <c r="Q65" s="10"/>
      <c r="R65" s="10"/>
      <c r="S65" s="10"/>
      <c r="T65" s="10"/>
      <c r="U65" s="10"/>
      <c r="V65" s="10"/>
      <c r="W65" s="10"/>
      <c r="X65" s="11"/>
    </row>
    <row r="66" spans="1:24">
      <c r="A66" s="9" t="s">
        <v>984</v>
      </c>
      <c r="B66" s="10"/>
      <c r="C66" s="10"/>
      <c r="D66" s="10"/>
      <c r="E66" s="10"/>
      <c r="F66" s="10"/>
      <c r="G66" s="10"/>
      <c r="H66" s="10"/>
      <c r="I66" s="10"/>
      <c r="J66" s="10"/>
      <c r="K66" s="10"/>
      <c r="L66" s="10"/>
      <c r="M66" s="10"/>
      <c r="N66" s="10"/>
      <c r="O66" s="10"/>
      <c r="P66" s="10"/>
      <c r="Q66" s="10"/>
      <c r="R66" s="10"/>
      <c r="S66" s="10"/>
      <c r="T66" s="10"/>
      <c r="U66" s="10"/>
      <c r="V66" s="10"/>
      <c r="W66" s="10"/>
      <c r="X66" s="11"/>
    </row>
    <row r="67" spans="1:24">
      <c r="A67" s="9"/>
      <c r="B67" s="10"/>
      <c r="C67" s="10"/>
      <c r="D67" s="10"/>
      <c r="E67" s="10"/>
      <c r="F67" s="10"/>
      <c r="G67" s="10"/>
      <c r="H67" s="10"/>
      <c r="I67" s="10"/>
      <c r="J67" s="10"/>
      <c r="K67" s="10"/>
      <c r="L67" s="10"/>
      <c r="M67" s="10"/>
      <c r="N67" s="10"/>
      <c r="O67" s="10"/>
      <c r="P67" s="10"/>
      <c r="Q67" s="10"/>
      <c r="R67" s="10"/>
      <c r="S67" s="10"/>
      <c r="T67" s="10"/>
      <c r="U67" s="10"/>
      <c r="V67" s="10"/>
      <c r="W67" s="10"/>
      <c r="X67" s="11"/>
    </row>
    <row r="68" spans="1:24">
      <c r="A68" s="9" t="s">
        <v>985</v>
      </c>
      <c r="B68" s="10"/>
      <c r="C68" s="10"/>
      <c r="D68" s="10"/>
      <c r="E68" s="10"/>
      <c r="F68" s="10">
        <v>0</v>
      </c>
      <c r="G68" s="10"/>
      <c r="H68" s="10"/>
      <c r="I68" s="10"/>
      <c r="J68" s="10"/>
      <c r="K68" s="10"/>
      <c r="L68" s="10"/>
      <c r="M68" s="10"/>
      <c r="N68" s="10"/>
      <c r="O68" s="10"/>
      <c r="P68" s="10"/>
      <c r="Q68" s="10"/>
      <c r="R68" s="10"/>
      <c r="S68" s="10"/>
      <c r="T68" s="10"/>
      <c r="U68" s="10"/>
      <c r="V68" s="10"/>
      <c r="W68" s="10"/>
      <c r="X68" s="11"/>
    </row>
    <row r="69" spans="1:24">
      <c r="A69" s="9" t="s">
        <v>986</v>
      </c>
      <c r="B69" s="10"/>
      <c r="C69" s="10"/>
      <c r="D69" s="10"/>
      <c r="E69" s="10"/>
      <c r="F69" s="10">
        <v>10</v>
      </c>
      <c r="G69" s="10"/>
      <c r="H69" s="10"/>
      <c r="I69" s="10"/>
      <c r="J69" s="10"/>
      <c r="K69" s="10"/>
      <c r="L69" s="10"/>
      <c r="M69" s="10"/>
      <c r="N69" s="10"/>
      <c r="O69" s="10"/>
      <c r="P69" s="10"/>
      <c r="Q69" s="10"/>
      <c r="R69" s="10"/>
      <c r="S69" s="10"/>
      <c r="T69" s="10"/>
      <c r="U69" s="10"/>
      <c r="V69" s="10"/>
      <c r="W69" s="10"/>
      <c r="X69" s="11"/>
    </row>
    <row r="70" spans="1:24">
      <c r="A70" s="9" t="s">
        <v>998</v>
      </c>
      <c r="B70" s="10"/>
      <c r="C70" s="10"/>
      <c r="D70" s="10"/>
      <c r="E70" s="10"/>
      <c r="F70" s="69">
        <f>F68/F69</f>
        <v>0</v>
      </c>
      <c r="G70" s="10"/>
      <c r="H70" s="10"/>
      <c r="I70" s="10"/>
      <c r="J70" s="10"/>
      <c r="K70" s="10"/>
      <c r="L70" s="10"/>
      <c r="M70" s="10"/>
      <c r="N70" s="10"/>
      <c r="O70" s="10"/>
      <c r="P70" s="10"/>
      <c r="Q70" s="10"/>
      <c r="R70" s="10"/>
      <c r="S70" s="10"/>
      <c r="T70" s="10"/>
      <c r="U70" s="10"/>
      <c r="V70" s="10"/>
      <c r="W70" s="10"/>
      <c r="X70" s="11"/>
    </row>
    <row r="71" spans="1:24">
      <c r="A71" s="9" t="s">
        <v>987</v>
      </c>
      <c r="B71" s="10"/>
      <c r="C71" s="10"/>
      <c r="D71" s="10"/>
      <c r="E71" s="10"/>
      <c r="F71" s="10">
        <v>0</v>
      </c>
      <c r="G71" s="10"/>
      <c r="H71" s="10"/>
      <c r="I71" s="10"/>
      <c r="J71" s="10"/>
      <c r="K71" s="10"/>
      <c r="L71" s="10"/>
      <c r="M71" s="10"/>
      <c r="N71" s="10"/>
      <c r="O71" s="10"/>
      <c r="P71" s="10"/>
      <c r="Q71" s="10"/>
      <c r="R71" s="10"/>
      <c r="S71" s="10"/>
      <c r="T71" s="10"/>
      <c r="U71" s="10"/>
      <c r="V71" s="10"/>
      <c r="W71" s="10"/>
      <c r="X71" s="11"/>
    </row>
    <row r="72" spans="1:24">
      <c r="A72" s="9" t="s">
        <v>988</v>
      </c>
      <c r="B72" s="10"/>
      <c r="C72" s="10"/>
      <c r="D72" s="10"/>
      <c r="E72" s="10"/>
      <c r="F72" s="10">
        <v>0.6</v>
      </c>
      <c r="G72" s="10"/>
      <c r="H72" s="10"/>
      <c r="I72" s="10"/>
      <c r="J72" s="10"/>
      <c r="K72" s="10"/>
      <c r="L72" s="10"/>
      <c r="M72" s="10"/>
      <c r="N72" s="10"/>
      <c r="O72" s="10"/>
      <c r="P72" s="10"/>
      <c r="Q72" s="10"/>
      <c r="R72" s="10"/>
      <c r="S72" s="10"/>
      <c r="T72" s="10"/>
      <c r="U72" s="10"/>
      <c r="V72" s="10"/>
      <c r="W72" s="10"/>
      <c r="X72" s="11"/>
    </row>
    <row r="73" spans="1:24">
      <c r="A73" s="9"/>
      <c r="B73" s="10"/>
      <c r="C73" s="10"/>
      <c r="D73" s="10"/>
      <c r="E73" s="10"/>
      <c r="F73" s="10"/>
      <c r="G73" s="10"/>
      <c r="H73" s="10"/>
      <c r="I73" s="10"/>
      <c r="J73" s="10"/>
      <c r="K73" s="10"/>
      <c r="L73" s="10"/>
      <c r="M73" s="10"/>
      <c r="N73" s="10"/>
      <c r="O73" s="10"/>
      <c r="P73" s="10"/>
      <c r="Q73" s="10"/>
      <c r="R73" s="10"/>
      <c r="S73" s="10"/>
      <c r="T73" s="10"/>
      <c r="U73" s="10"/>
      <c r="V73" s="10"/>
      <c r="W73" s="10"/>
      <c r="X73" s="11"/>
    </row>
    <row r="74" spans="1:24">
      <c r="A74" s="76" t="s">
        <v>989</v>
      </c>
      <c r="B74" s="10"/>
      <c r="C74" s="10"/>
      <c r="D74" s="10"/>
      <c r="E74" s="10"/>
      <c r="F74" s="10"/>
      <c r="G74" s="10"/>
      <c r="H74" s="10"/>
      <c r="I74" s="10"/>
      <c r="J74" s="10"/>
      <c r="K74" s="10"/>
      <c r="L74" s="10"/>
      <c r="M74" s="10"/>
      <c r="N74" s="10"/>
      <c r="O74" s="10"/>
      <c r="P74" s="10"/>
      <c r="Q74" s="10"/>
      <c r="R74" s="10"/>
      <c r="S74" s="10"/>
      <c r="T74" s="10"/>
      <c r="U74" s="10"/>
      <c r="V74" s="10"/>
      <c r="W74" s="10"/>
      <c r="X74" s="11"/>
    </row>
    <row r="75" spans="1:24">
      <c r="A75" s="9" t="s">
        <v>990</v>
      </c>
      <c r="B75" s="10"/>
      <c r="C75" s="10"/>
      <c r="D75" s="10"/>
      <c r="E75" s="10"/>
      <c r="F75" s="10"/>
      <c r="G75" s="10"/>
      <c r="H75" s="10"/>
      <c r="I75" s="10"/>
      <c r="J75" s="10"/>
      <c r="K75" s="10"/>
      <c r="L75" s="10"/>
      <c r="M75" s="10"/>
      <c r="N75" s="10"/>
      <c r="O75" s="10"/>
      <c r="P75" s="10"/>
      <c r="Q75" s="10"/>
      <c r="R75" s="10"/>
      <c r="S75" s="10"/>
      <c r="T75" s="10"/>
      <c r="U75" s="10"/>
      <c r="V75" s="10"/>
      <c r="W75" s="10"/>
      <c r="X75" s="11"/>
    </row>
    <row r="76" spans="1:24">
      <c r="A76" s="9" t="s">
        <v>991</v>
      </c>
      <c r="B76" s="10"/>
      <c r="C76" s="10"/>
      <c r="D76" s="10"/>
      <c r="E76" s="10"/>
      <c r="F76" s="10"/>
      <c r="G76" s="10"/>
      <c r="H76" s="10"/>
      <c r="I76" s="10"/>
      <c r="J76" s="10"/>
      <c r="K76" s="10"/>
      <c r="L76" s="10"/>
      <c r="M76" s="10"/>
      <c r="N76" s="10"/>
      <c r="O76" s="10"/>
      <c r="P76" s="10"/>
      <c r="Q76" s="10"/>
      <c r="R76" s="10"/>
      <c r="S76" s="10"/>
      <c r="T76" s="10"/>
      <c r="U76" s="10"/>
      <c r="V76" s="10"/>
      <c r="W76" s="10"/>
      <c r="X76" s="11"/>
    </row>
    <row r="77" spans="1:24">
      <c r="A77" s="9" t="s">
        <v>992</v>
      </c>
      <c r="B77" s="10"/>
      <c r="C77" s="10"/>
      <c r="D77" s="10"/>
      <c r="E77" s="10"/>
      <c r="F77" s="10"/>
      <c r="G77" s="10"/>
      <c r="H77" s="10"/>
      <c r="I77" s="10"/>
      <c r="J77" s="10"/>
      <c r="K77" s="10"/>
      <c r="L77" s="10"/>
      <c r="M77" s="10"/>
      <c r="N77" s="10"/>
      <c r="O77" s="10"/>
      <c r="P77" s="10"/>
      <c r="Q77" s="10"/>
      <c r="R77" s="10"/>
      <c r="S77" s="10"/>
      <c r="T77" s="10"/>
      <c r="U77" s="10"/>
      <c r="V77" s="10"/>
      <c r="W77" s="10"/>
      <c r="X77" s="11"/>
    </row>
    <row r="78" spans="1:24">
      <c r="A78" s="9" t="s">
        <v>993</v>
      </c>
      <c r="B78" s="10"/>
      <c r="C78" s="10"/>
      <c r="D78" s="10"/>
      <c r="E78" s="10"/>
      <c r="F78" s="10"/>
      <c r="G78" s="10"/>
      <c r="H78" s="10"/>
      <c r="I78" s="10"/>
      <c r="J78" s="10"/>
      <c r="K78" s="10"/>
      <c r="L78" s="10"/>
      <c r="M78" s="10"/>
      <c r="N78" s="10"/>
      <c r="O78" s="10"/>
      <c r="P78" s="10"/>
      <c r="Q78" s="10"/>
      <c r="R78" s="10"/>
      <c r="S78" s="10"/>
      <c r="T78" s="10"/>
      <c r="U78" s="10"/>
      <c r="V78" s="10"/>
      <c r="W78" s="10"/>
      <c r="X78" s="11"/>
    </row>
    <row r="79" spans="1:24">
      <c r="A79" s="9"/>
      <c r="B79" s="10"/>
      <c r="C79" s="10"/>
      <c r="D79" s="10"/>
      <c r="E79" s="10"/>
      <c r="F79" s="10"/>
      <c r="G79" s="10"/>
      <c r="H79" s="10"/>
      <c r="I79" s="10"/>
      <c r="J79" s="10"/>
      <c r="K79" s="10"/>
      <c r="L79" s="10"/>
      <c r="M79" s="10"/>
      <c r="N79" s="10"/>
      <c r="O79" s="10"/>
      <c r="P79" s="10"/>
      <c r="Q79" s="10"/>
      <c r="R79" s="10"/>
      <c r="S79" s="10"/>
      <c r="T79" s="10"/>
      <c r="U79" s="10"/>
      <c r="V79" s="10"/>
      <c r="W79" s="10"/>
      <c r="X79" s="11"/>
    </row>
    <row r="80" spans="1:24">
      <c r="A80" s="9"/>
      <c r="B80" s="10"/>
      <c r="C80" s="10"/>
      <c r="D80" s="10" t="s">
        <v>995</v>
      </c>
      <c r="E80" s="10" t="s">
        <v>996</v>
      </c>
      <c r="F80" s="10" t="s">
        <v>91</v>
      </c>
      <c r="G80" s="10"/>
      <c r="H80" s="10"/>
      <c r="I80" s="10"/>
      <c r="J80" s="10"/>
      <c r="K80" s="10"/>
      <c r="L80" s="10"/>
      <c r="M80" s="10"/>
      <c r="N80" s="10"/>
      <c r="O80" s="10"/>
      <c r="P80" s="10"/>
      <c r="Q80" s="10"/>
      <c r="R80" s="10"/>
      <c r="S80" s="10"/>
      <c r="T80" s="10"/>
      <c r="U80" s="10"/>
      <c r="V80" s="10"/>
      <c r="W80" s="10"/>
      <c r="X80" s="11"/>
    </row>
    <row r="81" spans="1:24">
      <c r="A81" s="9" t="s">
        <v>994</v>
      </c>
      <c r="B81" s="10"/>
      <c r="C81" s="10"/>
      <c r="D81" s="10">
        <v>0</v>
      </c>
      <c r="E81" s="10">
        <v>0</v>
      </c>
      <c r="F81" s="10">
        <v>0</v>
      </c>
      <c r="G81" s="10"/>
      <c r="H81" s="10"/>
      <c r="I81" s="10"/>
      <c r="J81" s="10"/>
      <c r="K81" s="10"/>
      <c r="L81" s="10"/>
      <c r="M81" s="10"/>
      <c r="N81" s="10"/>
      <c r="O81" s="10"/>
      <c r="P81" s="10"/>
      <c r="Q81" s="10"/>
      <c r="R81" s="10"/>
      <c r="S81" s="10"/>
      <c r="T81" s="10"/>
      <c r="U81" s="10"/>
      <c r="V81" s="10"/>
      <c r="W81" s="10"/>
      <c r="X81" s="11"/>
    </row>
    <row r="82" spans="1:24" ht="15.75" customHeight="1">
      <c r="A82" s="9" t="s">
        <v>997</v>
      </c>
      <c r="B82" s="10"/>
      <c r="C82" s="10"/>
      <c r="D82" s="10">
        <v>0</v>
      </c>
      <c r="E82" s="10">
        <v>0</v>
      </c>
      <c r="F82" s="10">
        <v>0</v>
      </c>
      <c r="G82" s="10"/>
      <c r="H82" s="10"/>
      <c r="I82" s="10"/>
      <c r="J82" s="10"/>
      <c r="K82" s="10"/>
      <c r="L82" s="10"/>
      <c r="M82" s="10"/>
      <c r="N82" s="10"/>
      <c r="O82" s="10"/>
      <c r="P82" s="10"/>
      <c r="Q82" s="10"/>
      <c r="R82" s="10"/>
      <c r="S82" s="10"/>
      <c r="T82" s="10"/>
      <c r="U82" s="10"/>
      <c r="V82" s="10"/>
      <c r="W82" s="10"/>
      <c r="X82" s="11"/>
    </row>
    <row r="83" spans="1:24">
      <c r="A83" s="9" t="s">
        <v>998</v>
      </c>
      <c r="B83" s="10"/>
      <c r="C83" s="10"/>
      <c r="D83" s="69">
        <f>D81*D82/1000</f>
        <v>0</v>
      </c>
      <c r="E83" s="69">
        <f t="shared" ref="E83:F83" si="0">E81*E82/1000</f>
        <v>0</v>
      </c>
      <c r="F83" s="69">
        <f t="shared" si="0"/>
        <v>0</v>
      </c>
      <c r="G83" s="10"/>
      <c r="H83" s="10"/>
      <c r="I83" s="10"/>
      <c r="J83" s="10"/>
      <c r="K83" s="10"/>
      <c r="L83" s="10"/>
      <c r="M83" s="10"/>
      <c r="N83" s="10"/>
      <c r="O83" s="10"/>
      <c r="P83" s="10"/>
      <c r="Q83" s="10"/>
      <c r="R83" s="10"/>
      <c r="S83" s="10"/>
      <c r="T83" s="10"/>
      <c r="U83" s="10"/>
      <c r="V83" s="10"/>
      <c r="W83" s="10"/>
      <c r="X83" s="11"/>
    </row>
    <row r="84" spans="1:24">
      <c r="A84" s="9" t="s">
        <v>999</v>
      </c>
      <c r="B84" s="10"/>
      <c r="C84" s="10"/>
      <c r="D84" s="15">
        <v>0</v>
      </c>
      <c r="E84" s="15">
        <v>0</v>
      </c>
      <c r="F84" s="15">
        <v>0</v>
      </c>
      <c r="G84" s="10"/>
      <c r="H84" s="10"/>
      <c r="I84" s="10"/>
      <c r="J84" s="10"/>
      <c r="K84" s="10"/>
      <c r="L84" s="10"/>
      <c r="M84" s="10"/>
      <c r="N84" s="10"/>
      <c r="O84" s="10"/>
      <c r="P84" s="10"/>
      <c r="Q84" s="10"/>
      <c r="R84" s="10"/>
      <c r="S84" s="10"/>
      <c r="T84" s="10"/>
      <c r="U84" s="10"/>
      <c r="V84" s="10"/>
      <c r="W84" s="10"/>
      <c r="X84" s="11"/>
    </row>
    <row r="85" spans="1:24">
      <c r="A85" s="9" t="s">
        <v>1000</v>
      </c>
      <c r="B85" s="10"/>
      <c r="C85" s="10"/>
      <c r="D85" s="73">
        <f>1-D84</f>
        <v>1</v>
      </c>
      <c r="E85" s="73">
        <f t="shared" ref="E85:F85" si="1">1-E84</f>
        <v>1</v>
      </c>
      <c r="F85" s="73">
        <f t="shared" si="1"/>
        <v>1</v>
      </c>
      <c r="G85" s="10"/>
      <c r="H85" s="10"/>
      <c r="I85" s="10"/>
      <c r="J85" s="10"/>
      <c r="K85" s="10"/>
      <c r="L85" s="10"/>
      <c r="M85" s="10"/>
      <c r="N85" s="10"/>
      <c r="O85" s="10"/>
      <c r="P85" s="10"/>
      <c r="Q85" s="10"/>
      <c r="R85" s="10"/>
      <c r="S85" s="10"/>
      <c r="T85" s="10"/>
      <c r="U85" s="10"/>
      <c r="V85" s="10"/>
      <c r="W85" s="10"/>
      <c r="X85" s="11"/>
    </row>
    <row r="86" spans="1:24">
      <c r="A86" s="9"/>
      <c r="B86" s="10"/>
      <c r="C86" s="10"/>
      <c r="D86" s="10"/>
      <c r="E86" s="10"/>
      <c r="F86" s="10"/>
      <c r="G86" s="10"/>
      <c r="H86" s="10"/>
      <c r="I86" s="10"/>
      <c r="J86" s="10"/>
      <c r="K86" s="10"/>
      <c r="L86" s="10"/>
      <c r="M86" s="10"/>
      <c r="N86" s="10"/>
      <c r="O86" s="10"/>
      <c r="P86" s="10"/>
      <c r="Q86" s="10"/>
      <c r="R86" s="10"/>
      <c r="S86" s="10"/>
      <c r="T86" s="10"/>
      <c r="U86" s="10"/>
      <c r="V86" s="10"/>
      <c r="W86" s="10"/>
      <c r="X86" s="11"/>
    </row>
    <row r="87" spans="1:24">
      <c r="A87" s="76" t="s">
        <v>1001</v>
      </c>
      <c r="B87" s="10"/>
      <c r="C87" s="10"/>
      <c r="D87" s="10"/>
      <c r="E87" s="10"/>
      <c r="F87" s="10"/>
      <c r="G87" s="10"/>
      <c r="H87" s="10"/>
      <c r="I87" s="10"/>
      <c r="J87" s="10"/>
      <c r="K87" s="10"/>
      <c r="L87" s="10"/>
      <c r="M87" s="10"/>
      <c r="N87" s="10"/>
      <c r="O87" s="10"/>
      <c r="P87" s="10"/>
      <c r="Q87" s="10"/>
      <c r="R87" s="10"/>
      <c r="S87" s="10"/>
      <c r="T87" s="10"/>
      <c r="U87" s="10"/>
      <c r="V87" s="10"/>
      <c r="W87" s="10"/>
      <c r="X87" s="11"/>
    </row>
    <row r="88" spans="1:24">
      <c r="A88" s="9" t="s">
        <v>1002</v>
      </c>
      <c r="B88" s="10"/>
      <c r="C88" s="10"/>
      <c r="D88" s="69">
        <f>F70*'Waste Input'!$B$8</f>
        <v>0</v>
      </c>
      <c r="E88" s="10"/>
      <c r="F88" s="10"/>
      <c r="G88" s="10"/>
      <c r="H88" s="10"/>
      <c r="I88" s="10"/>
      <c r="J88" s="10"/>
      <c r="K88" s="10"/>
      <c r="L88" s="10"/>
      <c r="M88" s="10"/>
      <c r="N88" s="10"/>
      <c r="O88" s="10"/>
      <c r="P88" s="10"/>
      <c r="Q88" s="10"/>
      <c r="R88" s="10"/>
      <c r="S88" s="10"/>
      <c r="T88" s="10"/>
      <c r="U88" s="10"/>
      <c r="V88" s="10"/>
      <c r="W88" s="10"/>
      <c r="X88" s="11"/>
    </row>
    <row r="89" spans="1:24">
      <c r="A89" s="9" t="s">
        <v>1003</v>
      </c>
      <c r="B89" s="10"/>
      <c r="C89" s="10"/>
      <c r="D89" s="69">
        <f>(D83/1000*D84+E83/1000*E84+F83/1000*F84)*'Waste Input'!$B$8</f>
        <v>0</v>
      </c>
      <c r="E89" s="10"/>
      <c r="F89" s="10"/>
      <c r="G89" s="10"/>
      <c r="H89" s="10"/>
      <c r="I89" s="10"/>
      <c r="J89" s="10"/>
      <c r="K89" s="10"/>
      <c r="L89" s="10"/>
      <c r="M89" s="10"/>
      <c r="N89" s="10"/>
      <c r="O89" s="10"/>
      <c r="P89" s="10"/>
      <c r="Q89" s="10"/>
      <c r="R89" s="10"/>
      <c r="S89" s="10"/>
      <c r="T89" s="10"/>
      <c r="U89" s="10"/>
      <c r="V89" s="10"/>
      <c r="W89" s="10"/>
      <c r="X89" s="11"/>
    </row>
    <row r="90" spans="1:24">
      <c r="A90" s="9" t="s">
        <v>1004</v>
      </c>
      <c r="B90" s="10"/>
      <c r="C90" s="10"/>
      <c r="D90" s="69">
        <f>(D83/1000*D85+E83/1000*E85+F83/1000*F85)*'Waste Input'!$B$8</f>
        <v>0</v>
      </c>
      <c r="E90" s="10"/>
      <c r="F90" s="10"/>
      <c r="G90" s="10"/>
      <c r="H90" s="10"/>
      <c r="I90" s="10"/>
      <c r="J90" s="10"/>
      <c r="K90" s="10"/>
      <c r="L90" s="10"/>
      <c r="M90" s="10"/>
      <c r="N90" s="10"/>
      <c r="O90" s="10"/>
      <c r="P90" s="10"/>
      <c r="Q90" s="10"/>
      <c r="R90" s="10"/>
      <c r="S90" s="10"/>
      <c r="T90" s="10"/>
      <c r="U90" s="10"/>
      <c r="V90" s="10"/>
      <c r="W90" s="10"/>
      <c r="X90" s="11"/>
    </row>
    <row r="91" spans="1:24" ht="15.75" thickBot="1">
      <c r="A91" s="12"/>
      <c r="B91" s="13"/>
      <c r="C91" s="13"/>
      <c r="D91" s="13"/>
      <c r="E91" s="13"/>
      <c r="F91" s="13"/>
      <c r="G91" s="13"/>
      <c r="H91" s="13"/>
      <c r="I91" s="13"/>
      <c r="J91" s="13"/>
      <c r="K91" s="13"/>
      <c r="L91" s="13"/>
      <c r="M91" s="13"/>
      <c r="N91" s="13"/>
      <c r="O91" s="13"/>
      <c r="P91" s="13"/>
      <c r="Q91" s="13"/>
      <c r="R91" s="13"/>
      <c r="S91" s="13"/>
      <c r="T91" s="13"/>
      <c r="U91" s="13"/>
      <c r="V91" s="13"/>
      <c r="W91" s="13"/>
      <c r="X91" s="14"/>
    </row>
    <row r="93" spans="1:24">
      <c r="A93" s="62" t="s">
        <v>1034</v>
      </c>
    </row>
    <row r="94" spans="1:24" ht="15.75" thickBot="1"/>
    <row r="95" spans="1:24">
      <c r="A95" s="75" t="s">
        <v>1035</v>
      </c>
      <c r="B95" s="7"/>
      <c r="C95" s="7"/>
      <c r="D95" s="7"/>
      <c r="E95" s="7"/>
      <c r="F95" s="7"/>
      <c r="G95" s="7"/>
      <c r="H95" s="7"/>
      <c r="I95" s="7"/>
      <c r="J95" s="7"/>
      <c r="K95" s="7"/>
      <c r="L95" s="7"/>
      <c r="M95" s="7"/>
      <c r="N95" s="7"/>
      <c r="O95" s="7"/>
      <c r="P95" s="7"/>
      <c r="Q95" s="7"/>
      <c r="R95" s="7"/>
      <c r="S95" s="7"/>
      <c r="T95" s="8"/>
    </row>
    <row r="96" spans="1:24">
      <c r="A96" s="9" t="s">
        <v>1036</v>
      </c>
      <c r="B96" s="10"/>
      <c r="C96" s="10"/>
      <c r="D96" s="10"/>
      <c r="E96" s="10"/>
      <c r="F96" s="10"/>
      <c r="G96" s="10"/>
      <c r="H96" s="10"/>
      <c r="I96" s="10"/>
      <c r="J96" s="10"/>
      <c r="K96" s="10"/>
      <c r="L96" s="10"/>
      <c r="M96" s="10"/>
      <c r="N96" s="10"/>
      <c r="O96" s="10"/>
      <c r="P96" s="10"/>
      <c r="Q96" s="10"/>
      <c r="R96" s="10"/>
      <c r="S96" s="10"/>
      <c r="T96" s="11"/>
    </row>
    <row r="97" spans="1:20">
      <c r="A97" s="9"/>
      <c r="B97" s="10"/>
      <c r="C97" s="10"/>
      <c r="D97" s="10"/>
      <c r="E97" s="10"/>
      <c r="F97" s="10"/>
      <c r="G97" s="10"/>
      <c r="H97" s="10"/>
      <c r="I97" s="10"/>
      <c r="J97" s="10"/>
      <c r="K97" s="10"/>
      <c r="L97" s="10"/>
      <c r="M97" s="10"/>
      <c r="N97" s="10"/>
      <c r="O97" s="10"/>
      <c r="P97" s="10"/>
      <c r="Q97" s="10"/>
      <c r="R97" s="10"/>
      <c r="S97" s="10"/>
      <c r="T97" s="11"/>
    </row>
    <row r="98" spans="1:20">
      <c r="A98" s="9"/>
      <c r="B98" s="10"/>
      <c r="C98" s="10" t="s">
        <v>4</v>
      </c>
      <c r="D98" s="10" t="s">
        <v>5</v>
      </c>
      <c r="E98" s="10" t="s">
        <v>29</v>
      </c>
      <c r="F98" s="10" t="s">
        <v>30</v>
      </c>
      <c r="G98" s="10" t="s">
        <v>31</v>
      </c>
      <c r="H98" s="10" t="s">
        <v>32</v>
      </c>
      <c r="I98" s="10" t="s">
        <v>8</v>
      </c>
      <c r="J98" s="10" t="s">
        <v>359</v>
      </c>
      <c r="K98" s="10"/>
      <c r="L98" s="10"/>
      <c r="M98" s="10"/>
      <c r="N98" s="10"/>
      <c r="O98" s="10"/>
      <c r="P98" s="10"/>
      <c r="Q98" s="10"/>
      <c r="R98" s="10"/>
      <c r="S98" s="10"/>
      <c r="T98" s="11"/>
    </row>
    <row r="99" spans="1:20">
      <c r="A99" s="9" t="s">
        <v>1037</v>
      </c>
      <c r="B99" s="10"/>
      <c r="C99" s="15">
        <v>0.18</v>
      </c>
      <c r="D99" s="15">
        <v>0.03</v>
      </c>
      <c r="E99" s="15">
        <v>0.08</v>
      </c>
      <c r="F99" s="15">
        <v>0.05</v>
      </c>
      <c r="G99" s="15">
        <v>0.05</v>
      </c>
      <c r="H99" s="15">
        <v>0.15</v>
      </c>
      <c r="I99" s="15">
        <v>0.1</v>
      </c>
      <c r="J99" s="15">
        <v>0</v>
      </c>
      <c r="K99" s="10"/>
      <c r="L99" s="10"/>
      <c r="M99" s="10"/>
      <c r="N99" s="10"/>
      <c r="O99" s="10"/>
      <c r="P99" s="10"/>
      <c r="Q99" s="10"/>
      <c r="R99" s="10"/>
      <c r="S99" s="10"/>
      <c r="T99" s="11"/>
    </row>
    <row r="100" spans="1:20" ht="15.75" thickBot="1">
      <c r="A100" s="12"/>
      <c r="B100" s="13"/>
      <c r="C100" s="13"/>
      <c r="D100" s="13"/>
      <c r="E100" s="13"/>
      <c r="F100" s="13"/>
      <c r="G100" s="13"/>
      <c r="H100" s="13"/>
      <c r="I100" s="13"/>
      <c r="J100" s="13"/>
      <c r="K100" s="13"/>
      <c r="L100" s="13"/>
      <c r="M100" s="13"/>
      <c r="N100" s="13"/>
      <c r="O100" s="13"/>
      <c r="P100" s="13"/>
      <c r="Q100" s="13"/>
      <c r="R100" s="13"/>
      <c r="S100" s="13"/>
      <c r="T100" s="14"/>
    </row>
    <row r="102" spans="1:20">
      <c r="A102" s="62" t="s">
        <v>10</v>
      </c>
    </row>
    <row r="103" spans="1:20" ht="15.75" thickBot="1"/>
    <row r="104" spans="1:20">
      <c r="A104" s="75" t="s">
        <v>1038</v>
      </c>
      <c r="B104" s="7"/>
      <c r="C104" s="7"/>
      <c r="D104" s="7"/>
      <c r="E104" s="7"/>
      <c r="F104" s="7"/>
      <c r="G104" s="7"/>
      <c r="H104" s="7"/>
      <c r="I104" s="8"/>
    </row>
    <row r="105" spans="1:20">
      <c r="A105" s="9" t="s">
        <v>1039</v>
      </c>
      <c r="B105" s="10">
        <v>277.77999999999997</v>
      </c>
      <c r="C105" s="10"/>
      <c r="D105" s="10"/>
      <c r="E105" s="10"/>
      <c r="F105" s="10"/>
      <c r="G105" s="10"/>
      <c r="H105" s="10"/>
      <c r="I105" s="11"/>
    </row>
    <row r="106" spans="1:20">
      <c r="A106" s="9" t="s">
        <v>1040</v>
      </c>
      <c r="B106" s="10">
        <v>0.27800000000000002</v>
      </c>
      <c r="C106" s="10"/>
      <c r="D106" s="10"/>
      <c r="E106" s="10"/>
      <c r="F106" s="10"/>
      <c r="G106" s="10"/>
      <c r="H106" s="10"/>
      <c r="I106" s="11"/>
    </row>
    <row r="107" spans="1:20">
      <c r="A107" s="76"/>
      <c r="B107" s="10"/>
      <c r="C107" s="10"/>
      <c r="D107" s="10"/>
      <c r="E107" s="10"/>
      <c r="F107" s="10"/>
      <c r="G107" s="10"/>
      <c r="H107" s="10"/>
      <c r="I107" s="11"/>
    </row>
    <row r="108" spans="1:20">
      <c r="A108" s="76" t="s">
        <v>1041</v>
      </c>
      <c r="B108" s="10"/>
      <c r="C108" s="10"/>
      <c r="D108" s="10"/>
      <c r="E108" s="10"/>
      <c r="F108" s="10"/>
      <c r="G108" s="10"/>
      <c r="H108" s="10"/>
      <c r="I108" s="11"/>
    </row>
    <row r="109" spans="1:20">
      <c r="A109" s="18" t="s">
        <v>1042</v>
      </c>
      <c r="B109" s="10"/>
      <c r="C109" s="10"/>
      <c r="D109" s="10"/>
      <c r="E109" s="10"/>
      <c r="F109" s="10"/>
      <c r="G109" s="10"/>
      <c r="H109" s="10"/>
      <c r="I109" s="11"/>
    </row>
    <row r="110" spans="1:20">
      <c r="A110" s="9"/>
      <c r="B110" s="10"/>
      <c r="C110" s="10"/>
      <c r="D110" s="10"/>
      <c r="E110" s="10"/>
      <c r="F110" s="10"/>
      <c r="G110" s="10"/>
      <c r="H110" s="10"/>
      <c r="I110" s="11"/>
    </row>
    <row r="111" spans="1:20">
      <c r="A111" s="18" t="s">
        <v>1043</v>
      </c>
      <c r="B111" s="10"/>
      <c r="C111" s="10"/>
      <c r="D111" s="10"/>
      <c r="E111" s="10"/>
      <c r="F111" s="10"/>
      <c r="G111" s="10"/>
      <c r="H111" s="10"/>
      <c r="I111" s="11"/>
    </row>
    <row r="112" spans="1:20">
      <c r="A112" s="18" t="s">
        <v>1044</v>
      </c>
      <c r="B112" s="10"/>
      <c r="C112" s="10">
        <v>1</v>
      </c>
      <c r="D112" s="10"/>
      <c r="E112" s="10"/>
      <c r="F112" s="10"/>
      <c r="G112" s="10"/>
      <c r="H112" s="10"/>
      <c r="I112" s="11"/>
    </row>
    <row r="113" spans="1:9">
      <c r="A113" s="18" t="s">
        <v>1045</v>
      </c>
      <c r="B113" s="10"/>
      <c r="C113" s="10">
        <v>21</v>
      </c>
      <c r="D113" s="10"/>
      <c r="E113" s="10"/>
      <c r="F113" s="10"/>
      <c r="G113" s="10"/>
      <c r="H113" s="10"/>
      <c r="I113" s="11"/>
    </row>
    <row r="114" spans="1:9">
      <c r="A114" s="18" t="s">
        <v>1046</v>
      </c>
      <c r="B114" s="10"/>
      <c r="C114" s="10">
        <v>310</v>
      </c>
      <c r="D114" s="10"/>
      <c r="E114" s="10"/>
      <c r="F114" s="10"/>
      <c r="G114" s="10"/>
      <c r="H114" s="10"/>
      <c r="I114" s="11"/>
    </row>
    <row r="115" spans="1:9">
      <c r="A115" s="9"/>
      <c r="B115" s="10"/>
      <c r="C115" s="10"/>
      <c r="D115" s="10"/>
      <c r="E115" s="10"/>
      <c r="F115" s="10"/>
      <c r="G115" s="10"/>
      <c r="H115" s="10"/>
      <c r="I115" s="11"/>
    </row>
    <row r="116" spans="1:9">
      <c r="A116" s="9" t="s">
        <v>1047</v>
      </c>
      <c r="B116" s="10"/>
      <c r="C116" s="10"/>
      <c r="D116" s="10"/>
      <c r="E116" s="10"/>
      <c r="F116" s="10"/>
      <c r="G116" s="10"/>
      <c r="H116" s="10"/>
      <c r="I116" s="11"/>
    </row>
    <row r="117" spans="1:9">
      <c r="A117" s="9"/>
      <c r="B117" s="10"/>
      <c r="C117" s="10"/>
      <c r="D117" s="10"/>
      <c r="E117" s="10"/>
      <c r="F117" s="10"/>
      <c r="G117" s="10"/>
      <c r="H117" s="10"/>
      <c r="I117" s="11"/>
    </row>
    <row r="118" spans="1:9">
      <c r="A118" s="9" t="s">
        <v>1049</v>
      </c>
      <c r="B118" s="10"/>
      <c r="C118" s="10"/>
      <c r="D118" s="10"/>
      <c r="E118" s="10"/>
      <c r="F118" s="10"/>
      <c r="G118" s="10"/>
      <c r="H118" s="10"/>
      <c r="I118" s="11"/>
    </row>
    <row r="119" spans="1:9">
      <c r="A119" s="18" t="s">
        <v>1044</v>
      </c>
      <c r="B119" s="10"/>
      <c r="C119" s="10">
        <v>1</v>
      </c>
      <c r="D119" s="10"/>
      <c r="E119" s="10"/>
      <c r="F119" s="10"/>
      <c r="G119" s="10"/>
      <c r="H119" s="10"/>
      <c r="I119" s="11"/>
    </row>
    <row r="120" spans="1:9">
      <c r="A120" s="18" t="s">
        <v>1045</v>
      </c>
      <c r="B120" s="10"/>
      <c r="C120" s="10">
        <v>62</v>
      </c>
      <c r="D120" s="10"/>
      <c r="E120" s="10"/>
      <c r="F120" s="10"/>
      <c r="G120" s="10"/>
      <c r="H120" s="10"/>
      <c r="I120" s="11"/>
    </row>
    <row r="121" spans="1:9">
      <c r="A121" s="18" t="s">
        <v>1046</v>
      </c>
      <c r="B121" s="10"/>
      <c r="C121" s="10">
        <v>290</v>
      </c>
      <c r="D121" s="10"/>
      <c r="E121" s="10"/>
      <c r="F121" s="10"/>
      <c r="G121" s="10"/>
      <c r="H121" s="10"/>
      <c r="I121" s="11"/>
    </row>
    <row r="122" spans="1:9">
      <c r="A122" s="9"/>
      <c r="B122" s="10"/>
      <c r="C122" s="10"/>
      <c r="D122" s="10"/>
      <c r="E122" s="10"/>
      <c r="F122" s="10"/>
      <c r="G122" s="10"/>
      <c r="H122" s="10"/>
      <c r="I122" s="11"/>
    </row>
    <row r="123" spans="1:9">
      <c r="A123" s="9" t="s">
        <v>1048</v>
      </c>
      <c r="B123" s="10"/>
      <c r="C123" s="10"/>
      <c r="D123" s="10"/>
      <c r="E123" s="10"/>
      <c r="F123" s="10"/>
      <c r="G123" s="10"/>
      <c r="H123" s="10"/>
      <c r="I123" s="11"/>
    </row>
    <row r="124" spans="1:9">
      <c r="A124" s="18" t="s">
        <v>1044</v>
      </c>
      <c r="B124" s="10"/>
      <c r="C124" s="10">
        <v>1</v>
      </c>
      <c r="D124" s="10"/>
      <c r="E124" s="10"/>
      <c r="F124" s="10"/>
      <c r="G124" s="10"/>
      <c r="H124" s="10"/>
      <c r="I124" s="11"/>
    </row>
    <row r="125" spans="1:9">
      <c r="A125" s="18" t="s">
        <v>1045</v>
      </c>
      <c r="B125" s="10"/>
      <c r="C125" s="10">
        <v>7.5</v>
      </c>
      <c r="D125" s="10"/>
      <c r="E125" s="10"/>
      <c r="F125" s="10"/>
      <c r="G125" s="10"/>
      <c r="H125" s="10"/>
      <c r="I125" s="11"/>
    </row>
    <row r="126" spans="1:9">
      <c r="A126" s="18" t="s">
        <v>1046</v>
      </c>
      <c r="B126" s="10"/>
      <c r="C126" s="10">
        <v>180</v>
      </c>
      <c r="D126" s="10"/>
      <c r="E126" s="10"/>
      <c r="F126" s="10"/>
      <c r="G126" s="10"/>
      <c r="H126" s="10"/>
      <c r="I126" s="11"/>
    </row>
    <row r="127" spans="1:9" ht="15.75" thickBot="1">
      <c r="A127" s="12"/>
      <c r="B127" s="13"/>
      <c r="C127" s="13"/>
      <c r="D127" s="13"/>
      <c r="E127" s="13"/>
      <c r="F127" s="13"/>
      <c r="G127" s="13"/>
      <c r="H127" s="13"/>
      <c r="I127" s="14"/>
    </row>
    <row r="129" spans="1:37">
      <c r="A129" s="62" t="s">
        <v>1322</v>
      </c>
    </row>
    <row r="130" spans="1:37">
      <c r="A130" s="2" t="s">
        <v>1421</v>
      </c>
    </row>
    <row r="131" spans="1:37">
      <c r="A131" t="s">
        <v>1367</v>
      </c>
    </row>
    <row r="132" spans="1:37">
      <c r="A132" t="s">
        <v>1368</v>
      </c>
    </row>
    <row r="133" spans="1:37" ht="15.75" thickBot="1"/>
    <row r="134" spans="1:37">
      <c r="A134" s="93"/>
      <c r="B134" s="7"/>
      <c r="C134" s="78" t="s">
        <v>4</v>
      </c>
      <c r="D134" s="78" t="s">
        <v>5</v>
      </c>
      <c r="E134" s="78" t="s">
        <v>1323</v>
      </c>
      <c r="F134" s="78" t="s">
        <v>1324</v>
      </c>
      <c r="G134" s="78" t="s">
        <v>1325</v>
      </c>
      <c r="H134" s="78" t="s">
        <v>1326</v>
      </c>
      <c r="I134" s="79" t="s">
        <v>8</v>
      </c>
      <c r="J134" s="126" t="s">
        <v>1453</v>
      </c>
      <c r="K134" s="126" t="s">
        <v>1455</v>
      </c>
      <c r="L134" s="126" t="s">
        <v>1429</v>
      </c>
      <c r="M134" s="126" t="s">
        <v>1428</v>
      </c>
      <c r="N134" s="126" t="s">
        <v>1430</v>
      </c>
      <c r="O134" s="126" t="s">
        <v>330</v>
      </c>
      <c r="P134" s="126" t="s">
        <v>207</v>
      </c>
      <c r="R134" s="126" t="s">
        <v>1447</v>
      </c>
      <c r="T134" s="126" t="s">
        <v>1448</v>
      </c>
      <c r="U134" s="62" t="s">
        <v>1454</v>
      </c>
    </row>
    <row r="135" spans="1:37">
      <c r="A135" s="64" t="s">
        <v>1327</v>
      </c>
      <c r="B135" s="10"/>
      <c r="C135" s="10">
        <v>5.59</v>
      </c>
      <c r="D135" s="10">
        <v>3.46</v>
      </c>
      <c r="E135" s="10">
        <v>18.59</v>
      </c>
      <c r="F135" s="10">
        <v>174.56</v>
      </c>
      <c r="G135" s="10">
        <v>15.42</v>
      </c>
      <c r="H135" s="10">
        <v>25.63</v>
      </c>
      <c r="I135" s="11">
        <v>52</v>
      </c>
      <c r="J135" s="49">
        <v>0</v>
      </c>
      <c r="K135" s="49">
        <v>0</v>
      </c>
      <c r="L135" s="49"/>
      <c r="M135" s="49"/>
      <c r="N135" s="49"/>
      <c r="O135" s="49"/>
    </row>
    <row r="136" spans="1:37">
      <c r="A136" s="9"/>
      <c r="B136" s="10"/>
      <c r="C136" s="10"/>
      <c r="D136" s="10"/>
      <c r="E136" s="10"/>
      <c r="F136" s="10"/>
      <c r="G136" s="10"/>
      <c r="H136" s="10"/>
      <c r="I136" s="11"/>
    </row>
    <row r="137" spans="1:37">
      <c r="A137" s="64" t="s">
        <v>1328</v>
      </c>
      <c r="B137" s="10"/>
      <c r="C137" s="10"/>
      <c r="D137" s="10"/>
      <c r="E137" s="10"/>
      <c r="F137" s="10"/>
      <c r="G137" s="10"/>
      <c r="H137" s="10"/>
      <c r="I137" s="11"/>
    </row>
    <row r="138" spans="1:37">
      <c r="A138" s="9" t="s">
        <v>1016</v>
      </c>
      <c r="B138" s="10"/>
      <c r="C138" s="10">
        <v>-602</v>
      </c>
      <c r="D138" s="10">
        <v>784</v>
      </c>
      <c r="E138" s="10">
        <v>280</v>
      </c>
      <c r="F138" s="10">
        <v>21065</v>
      </c>
      <c r="G138" s="10"/>
      <c r="H138" s="10">
        <v>1842</v>
      </c>
      <c r="I138" s="11"/>
      <c r="J138" s="49">
        <v>0</v>
      </c>
      <c r="K138" s="49">
        <v>0</v>
      </c>
      <c r="L138">
        <v>0</v>
      </c>
      <c r="M138">
        <v>0</v>
      </c>
      <c r="N138">
        <v>0</v>
      </c>
      <c r="O138">
        <v>0</v>
      </c>
      <c r="P138">
        <v>0</v>
      </c>
      <c r="R138">
        <v>4.3E-3</v>
      </c>
      <c r="S138" t="s">
        <v>1449</v>
      </c>
      <c r="T138">
        <v>0</v>
      </c>
      <c r="U138">
        <v>0.31929999999999997</v>
      </c>
      <c r="V138" t="s">
        <v>1456</v>
      </c>
    </row>
    <row r="139" spans="1:37">
      <c r="A139" s="9" t="s">
        <v>1015</v>
      </c>
      <c r="B139" s="10"/>
      <c r="C139" s="10">
        <v>-89</v>
      </c>
      <c r="D139" s="10">
        <v>975</v>
      </c>
      <c r="E139" s="10">
        <v>14170</v>
      </c>
      <c r="F139" s="10">
        <v>61377</v>
      </c>
      <c r="G139" s="10"/>
      <c r="H139" s="10">
        <v>320</v>
      </c>
      <c r="I139" s="11"/>
      <c r="J139" s="49">
        <v>0</v>
      </c>
      <c r="K139" s="49">
        <v>0</v>
      </c>
      <c r="L139">
        <v>0</v>
      </c>
      <c r="M139">
        <v>0</v>
      </c>
      <c r="N139">
        <v>0</v>
      </c>
      <c r="O139">
        <v>0</v>
      </c>
      <c r="R139">
        <v>0.8</v>
      </c>
      <c r="S139" t="s">
        <v>1450</v>
      </c>
      <c r="T139">
        <v>1.2500000000000001E-2</v>
      </c>
      <c r="U139">
        <v>18.067</v>
      </c>
      <c r="V139" t="s">
        <v>1456</v>
      </c>
    </row>
    <row r="140" spans="1:37">
      <c r="A140" s="9" t="s">
        <v>1329</v>
      </c>
      <c r="B140" s="10"/>
      <c r="C140" s="10">
        <v>-199000</v>
      </c>
      <c r="D140" s="10">
        <v>88600</v>
      </c>
      <c r="E140" s="10">
        <v>1880000</v>
      </c>
      <c r="F140" s="10">
        <v>7237000</v>
      </c>
      <c r="G140" s="10">
        <v>1020100</v>
      </c>
      <c r="H140" s="10">
        <v>1706675</v>
      </c>
      <c r="I140" s="11"/>
      <c r="J140" s="49">
        <v>320000</v>
      </c>
      <c r="K140" s="49">
        <v>0</v>
      </c>
      <c r="L140">
        <v>0</v>
      </c>
      <c r="M140">
        <v>0</v>
      </c>
      <c r="N140">
        <v>0</v>
      </c>
      <c r="O140">
        <v>0</v>
      </c>
      <c r="P140">
        <v>440000</v>
      </c>
      <c r="Q140" t="s">
        <v>1422</v>
      </c>
      <c r="R140">
        <v>1964.29</v>
      </c>
      <c r="S140" t="s">
        <v>1451</v>
      </c>
      <c r="T140">
        <v>883.93</v>
      </c>
      <c r="U140">
        <v>21297.4</v>
      </c>
      <c r="V140" t="s">
        <v>1456</v>
      </c>
      <c r="AK140" t="s">
        <v>1423</v>
      </c>
    </row>
    <row r="141" spans="1:37" ht="16.5" customHeight="1">
      <c r="A141" s="9" t="s">
        <v>1330</v>
      </c>
      <c r="B141" s="10"/>
      <c r="C141" s="10">
        <v>-475</v>
      </c>
      <c r="D141" s="10">
        <v>60</v>
      </c>
      <c r="E141" s="10">
        <v>8880</v>
      </c>
      <c r="F141" s="10">
        <v>15853</v>
      </c>
      <c r="G141" s="10"/>
      <c r="H141" s="10"/>
      <c r="I141" s="11"/>
      <c r="J141" s="49">
        <v>0</v>
      </c>
      <c r="K141" s="49">
        <v>0</v>
      </c>
      <c r="P141">
        <v>0</v>
      </c>
      <c r="Q141" t="s">
        <v>1425</v>
      </c>
      <c r="R141">
        <v>0</v>
      </c>
      <c r="S141" t="s">
        <v>1452</v>
      </c>
      <c r="T141">
        <v>392.86</v>
      </c>
      <c r="U141">
        <v>3.3786</v>
      </c>
      <c r="V141" t="s">
        <v>1456</v>
      </c>
      <c r="AK141" t="s">
        <v>1424</v>
      </c>
    </row>
    <row r="142" spans="1:37">
      <c r="A142" s="9" t="s">
        <v>1020</v>
      </c>
      <c r="B142" s="10"/>
      <c r="C142" s="10">
        <v>-330</v>
      </c>
      <c r="D142" s="10">
        <v>-1380</v>
      </c>
      <c r="E142" s="10">
        <v>2830</v>
      </c>
      <c r="F142" s="10">
        <v>15107</v>
      </c>
      <c r="G142" s="10">
        <v>5610</v>
      </c>
      <c r="H142" s="10">
        <v>9011</v>
      </c>
      <c r="I142" s="11"/>
      <c r="J142" s="49">
        <v>0</v>
      </c>
      <c r="K142" s="49">
        <v>0</v>
      </c>
      <c r="L142">
        <v>0</v>
      </c>
      <c r="M142">
        <v>0</v>
      </c>
      <c r="N142">
        <v>0</v>
      </c>
      <c r="O142">
        <v>0</v>
      </c>
      <c r="P142">
        <v>1</v>
      </c>
      <c r="Q142" t="s">
        <v>1426</v>
      </c>
      <c r="R142">
        <v>0.1</v>
      </c>
      <c r="S142" t="s">
        <v>1451</v>
      </c>
      <c r="T142">
        <v>0</v>
      </c>
      <c r="U142">
        <v>85.382000000000005</v>
      </c>
      <c r="V142" t="s">
        <v>1456</v>
      </c>
    </row>
    <row r="143" spans="1:37">
      <c r="A143" s="9" t="s">
        <v>1332</v>
      </c>
      <c r="B143" s="10"/>
      <c r="C143" s="10">
        <v>-11.07</v>
      </c>
      <c r="D143" s="10">
        <v>0.46</v>
      </c>
      <c r="E143" s="10">
        <v>5.05</v>
      </c>
      <c r="F143" s="10">
        <v>39.69</v>
      </c>
      <c r="G143" s="10"/>
      <c r="H143" s="10">
        <v>-51.1</v>
      </c>
      <c r="I143" s="11"/>
      <c r="J143" s="49">
        <v>0</v>
      </c>
      <c r="K143" s="49">
        <v>0</v>
      </c>
      <c r="P143">
        <v>0</v>
      </c>
      <c r="R143">
        <v>0</v>
      </c>
      <c r="S143" t="s">
        <v>1451</v>
      </c>
      <c r="T143">
        <v>0</v>
      </c>
      <c r="U143">
        <v>68.548159999999996</v>
      </c>
      <c r="V143" t="s">
        <v>1456</v>
      </c>
    </row>
    <row r="144" spans="1:37">
      <c r="A144" s="9" t="s">
        <v>1407</v>
      </c>
      <c r="B144" s="10"/>
      <c r="C144" s="10">
        <v>2320</v>
      </c>
      <c r="D144" s="10">
        <v>2242</v>
      </c>
      <c r="E144" s="10">
        <v>3500</v>
      </c>
      <c r="F144" s="10">
        <v>53080</v>
      </c>
      <c r="G144" s="10">
        <v>-4870</v>
      </c>
      <c r="H144" s="10">
        <v>3998</v>
      </c>
      <c r="I144" s="11"/>
      <c r="J144" s="49">
        <v>0</v>
      </c>
      <c r="K144" s="49">
        <v>0</v>
      </c>
      <c r="L144">
        <v>0</v>
      </c>
      <c r="M144">
        <v>0</v>
      </c>
      <c r="N144">
        <v>0</v>
      </c>
      <c r="O144">
        <v>0</v>
      </c>
      <c r="P144">
        <v>2.5</v>
      </c>
      <c r="Q144" t="s">
        <v>1427</v>
      </c>
      <c r="R144">
        <v>2.5000000000000001E-2</v>
      </c>
      <c r="S144" t="s">
        <v>1451</v>
      </c>
      <c r="T144">
        <v>0</v>
      </c>
      <c r="U144">
        <v>57.319800000000001</v>
      </c>
      <c r="V144" t="s">
        <v>1456</v>
      </c>
    </row>
    <row r="145" spans="1:22">
      <c r="A145" s="9" t="s">
        <v>1013</v>
      </c>
      <c r="B145" s="10"/>
      <c r="C145" s="10">
        <v>-15.57</v>
      </c>
      <c r="D145" s="10">
        <v>58.5</v>
      </c>
      <c r="E145" s="10">
        <v>-43.6</v>
      </c>
      <c r="F145" s="10">
        <v>678.3</v>
      </c>
      <c r="G145" s="10"/>
      <c r="H145" s="10"/>
      <c r="I145" s="11"/>
      <c r="J145" s="49">
        <v>0</v>
      </c>
      <c r="K145" s="49">
        <v>0</v>
      </c>
      <c r="L145">
        <v>0</v>
      </c>
      <c r="M145">
        <v>0</v>
      </c>
      <c r="N145">
        <v>0</v>
      </c>
      <c r="O145">
        <v>0</v>
      </c>
      <c r="P145">
        <v>1.1000000000000001</v>
      </c>
      <c r="Q145" t="s">
        <v>1427</v>
      </c>
      <c r="R145">
        <v>1.2E-2</v>
      </c>
      <c r="S145" t="s">
        <v>1451</v>
      </c>
      <c r="T145">
        <v>6.5000000000000002E-2</v>
      </c>
      <c r="U145">
        <v>1.1057999999999999</v>
      </c>
      <c r="V145" t="s">
        <v>1456</v>
      </c>
    </row>
    <row r="146" spans="1:22">
      <c r="A146" s="9" t="s">
        <v>1334</v>
      </c>
      <c r="B146" s="10"/>
      <c r="C146" s="10">
        <f>-1.78</f>
        <v>-1.78</v>
      </c>
      <c r="D146" s="10">
        <v>-15.2</v>
      </c>
      <c r="E146" s="10">
        <v>-3.8</v>
      </c>
      <c r="F146" s="10">
        <v>60.5</v>
      </c>
      <c r="G146" s="10"/>
      <c r="H146" s="10">
        <v>0.99</v>
      </c>
      <c r="I146" s="11"/>
      <c r="J146" s="49">
        <v>0</v>
      </c>
      <c r="K146" s="49">
        <v>0</v>
      </c>
      <c r="P146">
        <v>2.0999999999999999E-3</v>
      </c>
      <c r="Q146" t="s">
        <v>1427</v>
      </c>
      <c r="R146">
        <v>2.0999999999999999E-5</v>
      </c>
      <c r="S146" t="s">
        <v>1451</v>
      </c>
      <c r="T146">
        <v>1.2999999999999999E-2</v>
      </c>
      <c r="U146">
        <v>0</v>
      </c>
      <c r="V146" t="s">
        <v>1456</v>
      </c>
    </row>
    <row r="147" spans="1:22">
      <c r="A147" s="9" t="s">
        <v>1335</v>
      </c>
      <c r="B147" s="10"/>
      <c r="C147" s="10">
        <v>-3.71</v>
      </c>
      <c r="D147" s="10"/>
      <c r="E147" s="10">
        <v>9.9</v>
      </c>
      <c r="F147" s="10"/>
      <c r="G147" s="10"/>
      <c r="H147" s="10"/>
      <c r="I147" s="11"/>
      <c r="J147" s="49">
        <v>0</v>
      </c>
      <c r="K147" s="49">
        <v>0</v>
      </c>
      <c r="P147">
        <v>3.3000000000000002E-2</v>
      </c>
      <c r="Q147" t="s">
        <v>1427</v>
      </c>
      <c r="R147">
        <v>3.3E-4</v>
      </c>
      <c r="S147" t="s">
        <v>1451</v>
      </c>
      <c r="T147">
        <v>0.2</v>
      </c>
      <c r="U147">
        <v>0</v>
      </c>
      <c r="V147" t="s">
        <v>1456</v>
      </c>
    </row>
    <row r="148" spans="1:22">
      <c r="A148" s="9" t="s">
        <v>1359</v>
      </c>
      <c r="B148" s="10"/>
      <c r="C148" s="10"/>
      <c r="D148" s="10"/>
      <c r="E148" s="10"/>
      <c r="F148" s="10"/>
      <c r="G148" s="10"/>
      <c r="H148" s="10"/>
      <c r="I148" s="11"/>
      <c r="J148" s="49">
        <v>0</v>
      </c>
      <c r="K148" s="49">
        <v>0</v>
      </c>
      <c r="P148">
        <v>2.3E-3</v>
      </c>
      <c r="Q148" t="s">
        <v>1427</v>
      </c>
      <c r="R148">
        <v>0.06</v>
      </c>
      <c r="S148" t="s">
        <v>1451</v>
      </c>
      <c r="T148">
        <v>2</v>
      </c>
      <c r="U148">
        <v>0</v>
      </c>
      <c r="V148" t="s">
        <v>1456</v>
      </c>
    </row>
    <row r="149" spans="1:22">
      <c r="A149" s="9" t="s">
        <v>1336</v>
      </c>
      <c r="B149" s="10"/>
      <c r="C149" s="10"/>
      <c r="D149" s="10"/>
      <c r="E149" s="10"/>
      <c r="F149" s="10"/>
      <c r="G149" s="10"/>
      <c r="H149" s="10"/>
      <c r="I149" s="11"/>
      <c r="J149" s="49">
        <v>0</v>
      </c>
      <c r="K149" s="49">
        <v>0</v>
      </c>
      <c r="P149">
        <v>7.2999999999999996E-4</v>
      </c>
      <c r="Q149" t="s">
        <v>1427</v>
      </c>
      <c r="R149">
        <v>0.01</v>
      </c>
      <c r="S149" t="s">
        <v>1451</v>
      </c>
      <c r="T149">
        <v>3.5000000000000003E-2</v>
      </c>
      <c r="U149">
        <v>0</v>
      </c>
      <c r="V149" t="s">
        <v>1456</v>
      </c>
    </row>
    <row r="150" spans="1:22">
      <c r="A150" s="9" t="s">
        <v>1014</v>
      </c>
      <c r="B150" s="10"/>
      <c r="C150" s="10"/>
      <c r="D150" s="10"/>
      <c r="E150" s="10"/>
      <c r="F150" s="10"/>
      <c r="G150" s="10"/>
      <c r="H150" s="10"/>
      <c r="I150" s="11"/>
      <c r="J150" s="49">
        <v>0</v>
      </c>
      <c r="K150" s="49">
        <v>0</v>
      </c>
      <c r="P150" s="142">
        <v>1E-8</v>
      </c>
      <c r="Q150" t="s">
        <v>1427</v>
      </c>
      <c r="R150">
        <v>8.0000000000000003E-10</v>
      </c>
      <c r="S150" t="s">
        <v>1451</v>
      </c>
      <c r="T150">
        <v>0</v>
      </c>
      <c r="U150">
        <v>1.028E-8</v>
      </c>
      <c r="V150" t="s">
        <v>1456</v>
      </c>
    </row>
    <row r="151" spans="1:22">
      <c r="A151" s="9" t="s">
        <v>1337</v>
      </c>
      <c r="B151" s="10"/>
      <c r="C151" s="10">
        <v>-93.878</v>
      </c>
      <c r="D151" s="10">
        <v>8.9499999999999993</v>
      </c>
      <c r="E151" s="10">
        <v>0.16</v>
      </c>
      <c r="F151" s="10">
        <v>13.234999999999999</v>
      </c>
      <c r="G151" s="10"/>
      <c r="H151" s="10"/>
      <c r="I151" s="11"/>
      <c r="J151" s="49">
        <v>0</v>
      </c>
      <c r="K151" s="49">
        <v>0</v>
      </c>
      <c r="P151">
        <v>0</v>
      </c>
      <c r="R151">
        <v>0</v>
      </c>
      <c r="S151" t="s">
        <v>1451</v>
      </c>
      <c r="T151">
        <v>0</v>
      </c>
      <c r="U151">
        <v>35.015500000000003</v>
      </c>
      <c r="V151" t="s">
        <v>1456</v>
      </c>
    </row>
    <row r="152" spans="1:22">
      <c r="A152" s="9" t="s">
        <v>1026</v>
      </c>
      <c r="B152" s="10"/>
      <c r="C152" s="10"/>
      <c r="D152" s="10">
        <v>61.69</v>
      </c>
      <c r="E152" s="10">
        <v>0</v>
      </c>
      <c r="F152" s="10"/>
      <c r="G152" s="10"/>
      <c r="H152" s="10"/>
      <c r="I152" s="11"/>
      <c r="J152" s="49">
        <v>0</v>
      </c>
      <c r="K152" s="49">
        <v>0</v>
      </c>
      <c r="L152">
        <v>0</v>
      </c>
      <c r="M152">
        <v>0</v>
      </c>
      <c r="N152">
        <v>0</v>
      </c>
      <c r="O152">
        <v>0</v>
      </c>
      <c r="P152">
        <v>0</v>
      </c>
      <c r="R152">
        <v>0</v>
      </c>
      <c r="S152" t="s">
        <v>1451</v>
      </c>
      <c r="T152">
        <v>0</v>
      </c>
      <c r="U152">
        <v>0</v>
      </c>
      <c r="V152" t="s">
        <v>1456</v>
      </c>
    </row>
    <row r="153" spans="1:22">
      <c r="A153" s="9" t="s">
        <v>1027</v>
      </c>
      <c r="B153" s="10"/>
      <c r="C153" s="10">
        <v>-8.1999999999999998E-4</v>
      </c>
      <c r="D153" s="10"/>
      <c r="E153" s="10">
        <v>0.10100000000000001</v>
      </c>
      <c r="F153" s="10"/>
      <c r="G153" s="10"/>
      <c r="H153" s="10"/>
      <c r="I153" s="11"/>
      <c r="J153" s="49">
        <v>0</v>
      </c>
      <c r="K153" s="49">
        <v>0</v>
      </c>
      <c r="L153">
        <v>0</v>
      </c>
      <c r="M153">
        <v>0</v>
      </c>
      <c r="N153">
        <v>0</v>
      </c>
      <c r="O153">
        <v>0</v>
      </c>
      <c r="P153">
        <f>9.4*10^-7</f>
        <v>9.4E-7</v>
      </c>
      <c r="Q153" t="s">
        <v>1427</v>
      </c>
      <c r="R153">
        <v>9.3999999999999998E-9</v>
      </c>
      <c r="S153" t="s">
        <v>1451</v>
      </c>
      <c r="T153">
        <v>5.5999999999999997E-6</v>
      </c>
      <c r="U153">
        <v>0</v>
      </c>
      <c r="V153" t="s">
        <v>1456</v>
      </c>
    </row>
    <row r="154" spans="1:22">
      <c r="A154" s="9" t="s">
        <v>1028</v>
      </c>
      <c r="B154" s="10"/>
      <c r="C154" s="10"/>
      <c r="D154" s="10">
        <v>2.8E-3</v>
      </c>
      <c r="E154" s="10">
        <v>-0.05</v>
      </c>
      <c r="F154" s="10"/>
      <c r="G154" s="10"/>
      <c r="H154" s="10"/>
      <c r="I154" s="11"/>
      <c r="J154" s="49">
        <v>0</v>
      </c>
      <c r="K154" s="49">
        <v>0</v>
      </c>
      <c r="L154">
        <v>0</v>
      </c>
      <c r="M154">
        <v>0</v>
      </c>
      <c r="N154">
        <v>0</v>
      </c>
      <c r="O154">
        <v>0</v>
      </c>
      <c r="P154">
        <f>1.1*10^-7</f>
        <v>1.1000000000000001E-7</v>
      </c>
      <c r="Q154" t="s">
        <v>1427</v>
      </c>
      <c r="R154">
        <v>1.0999999999999999E-9</v>
      </c>
      <c r="S154" t="s">
        <v>1451</v>
      </c>
      <c r="T154">
        <v>6.6000000000000003E-7</v>
      </c>
      <c r="U154">
        <v>0</v>
      </c>
      <c r="V154" t="s">
        <v>1456</v>
      </c>
    </row>
    <row r="155" spans="1:22">
      <c r="A155" s="9" t="s">
        <v>1029</v>
      </c>
      <c r="B155" s="10"/>
      <c r="C155" s="10"/>
      <c r="D155" s="10"/>
      <c r="E155" s="10">
        <v>-0.27</v>
      </c>
      <c r="F155" s="10"/>
      <c r="G155" s="10"/>
      <c r="H155" s="10"/>
      <c r="I155" s="11"/>
      <c r="J155" s="49">
        <v>0</v>
      </c>
      <c r="K155" s="49">
        <v>0</v>
      </c>
      <c r="L155">
        <v>0</v>
      </c>
      <c r="M155">
        <v>0</v>
      </c>
      <c r="N155">
        <v>0</v>
      </c>
      <c r="O155">
        <v>0</v>
      </c>
      <c r="P155">
        <v>0</v>
      </c>
      <c r="R155">
        <v>0</v>
      </c>
      <c r="S155" t="s">
        <v>1451</v>
      </c>
      <c r="T155">
        <v>0</v>
      </c>
      <c r="U155">
        <v>0</v>
      </c>
      <c r="V155" t="s">
        <v>1456</v>
      </c>
    </row>
    <row r="156" spans="1:22">
      <c r="A156" s="9" t="s">
        <v>1032</v>
      </c>
      <c r="B156" s="10"/>
      <c r="C156" s="10">
        <v>-1.5100000000000001E-2</v>
      </c>
      <c r="D156" s="10">
        <v>-47.2</v>
      </c>
      <c r="E156" s="10">
        <v>-4.88</v>
      </c>
      <c r="F156" s="10">
        <v>1.0017</v>
      </c>
      <c r="G156" s="10"/>
      <c r="H156" s="10"/>
      <c r="I156" s="11"/>
      <c r="J156" s="49">
        <v>0</v>
      </c>
      <c r="K156" s="49">
        <v>0</v>
      </c>
      <c r="L156">
        <v>0</v>
      </c>
      <c r="M156">
        <v>0</v>
      </c>
      <c r="N156">
        <v>0</v>
      </c>
      <c r="O156">
        <v>0</v>
      </c>
      <c r="P156">
        <f>8.5*10^-7</f>
        <v>8.4999999999999991E-7</v>
      </c>
      <c r="Q156" t="s">
        <v>1427</v>
      </c>
      <c r="R156">
        <v>8.5E-9</v>
      </c>
      <c r="S156" t="s">
        <v>1451</v>
      </c>
      <c r="T156">
        <v>5.1000000000000003E-6</v>
      </c>
      <c r="U156">
        <v>0</v>
      </c>
      <c r="V156" t="s">
        <v>1456</v>
      </c>
    </row>
    <row r="157" spans="1:22">
      <c r="A157" s="9" t="s">
        <v>1380</v>
      </c>
      <c r="B157" s="10"/>
      <c r="C157" s="10"/>
      <c r="D157" s="10"/>
      <c r="E157" s="10"/>
      <c r="F157" s="10"/>
      <c r="G157" s="10"/>
      <c r="H157" s="10"/>
      <c r="I157" s="11"/>
      <c r="J157" s="49">
        <v>0</v>
      </c>
      <c r="K157" s="49">
        <v>0</v>
      </c>
      <c r="P157">
        <v>0</v>
      </c>
      <c r="R157">
        <v>0</v>
      </c>
      <c r="S157" t="s">
        <v>1451</v>
      </c>
      <c r="T157">
        <v>0</v>
      </c>
      <c r="U157">
        <v>0</v>
      </c>
      <c r="V157" t="s">
        <v>1456</v>
      </c>
    </row>
    <row r="158" spans="1:22">
      <c r="A158" s="9" t="s">
        <v>1030</v>
      </c>
      <c r="B158" s="10"/>
      <c r="C158" s="10">
        <v>-3.47E-3</v>
      </c>
      <c r="D158" s="10">
        <v>-2.7999999999999998E-4</v>
      </c>
      <c r="E158" s="10">
        <v>-4.0000000000000001E-3</v>
      </c>
      <c r="F158" s="10">
        <v>9.8580000000000001E-2</v>
      </c>
      <c r="G158" s="10"/>
      <c r="H158" s="10"/>
      <c r="I158" s="11"/>
      <c r="J158" s="49">
        <v>0</v>
      </c>
      <c r="K158" s="49">
        <v>0</v>
      </c>
      <c r="L158">
        <v>0</v>
      </c>
      <c r="M158">
        <v>0</v>
      </c>
      <c r="N158">
        <v>0</v>
      </c>
      <c r="O158">
        <v>0</v>
      </c>
      <c r="P158">
        <f>6.9*10^-9</f>
        <v>6.9000000000000006E-9</v>
      </c>
      <c r="Q158" t="s">
        <v>1427</v>
      </c>
      <c r="R158">
        <v>6.8999999999999994E-11</v>
      </c>
      <c r="S158" t="s">
        <v>1451</v>
      </c>
      <c r="T158">
        <v>4.1000000000000003E-8</v>
      </c>
      <c r="U158">
        <v>0</v>
      </c>
      <c r="V158" t="s">
        <v>1456</v>
      </c>
    </row>
    <row r="159" spans="1:22">
      <c r="A159" s="9" t="s">
        <v>1031</v>
      </c>
      <c r="B159" s="10"/>
      <c r="C159" s="10">
        <v>-0.13400000000000001</v>
      </c>
      <c r="D159" s="10">
        <v>9.4500000000000001E-2</v>
      </c>
      <c r="E159" s="10">
        <v>1.55</v>
      </c>
      <c r="F159" s="10">
        <v>8.1649999999999991</v>
      </c>
      <c r="G159" s="10"/>
      <c r="H159" s="10"/>
      <c r="I159" s="11"/>
      <c r="J159" s="49">
        <v>0</v>
      </c>
      <c r="K159" s="49">
        <v>0</v>
      </c>
      <c r="L159">
        <v>0</v>
      </c>
      <c r="M159">
        <v>0</v>
      </c>
      <c r="N159">
        <v>0</v>
      </c>
      <c r="O159">
        <v>0</v>
      </c>
      <c r="P159">
        <v>0</v>
      </c>
      <c r="R159">
        <v>0</v>
      </c>
      <c r="S159" t="s">
        <v>1451</v>
      </c>
      <c r="T159">
        <v>0</v>
      </c>
      <c r="U159">
        <v>0</v>
      </c>
      <c r="V159" t="s">
        <v>1456</v>
      </c>
    </row>
    <row r="160" spans="1:22">
      <c r="A160" s="9" t="s">
        <v>1033</v>
      </c>
      <c r="B160" s="10"/>
      <c r="C160" s="10">
        <v>-6.3399999999999998E-2</v>
      </c>
      <c r="D160" s="10">
        <v>0.10299999999999999</v>
      </c>
      <c r="E160" s="10">
        <v>0.1</v>
      </c>
      <c r="F160" s="10">
        <v>2.1204000000000001</v>
      </c>
      <c r="G160" s="10"/>
      <c r="H160" s="10"/>
      <c r="I160" s="11"/>
      <c r="J160" s="49">
        <v>0</v>
      </c>
      <c r="K160" s="49">
        <v>0</v>
      </c>
      <c r="L160">
        <v>0</v>
      </c>
      <c r="M160">
        <v>0</v>
      </c>
      <c r="N160">
        <v>0</v>
      </c>
      <c r="O160">
        <v>0</v>
      </c>
      <c r="P160">
        <v>1.2999999999999999E-5</v>
      </c>
      <c r="Q160" t="s">
        <v>1427</v>
      </c>
      <c r="R160">
        <v>1.3E-7</v>
      </c>
      <c r="S160" t="s">
        <v>1451</v>
      </c>
      <c r="T160">
        <v>7.4999999999999993E-5</v>
      </c>
      <c r="U160">
        <v>0</v>
      </c>
      <c r="V160" t="s">
        <v>1456</v>
      </c>
    </row>
    <row r="161" spans="1:21">
      <c r="A161" s="149"/>
      <c r="B161" s="10" t="s">
        <v>1479</v>
      </c>
      <c r="C161" s="10"/>
      <c r="D161" s="10"/>
      <c r="E161" s="10"/>
      <c r="F161" s="10"/>
      <c r="G161" s="10"/>
      <c r="H161" s="10"/>
      <c r="I161" s="11"/>
    </row>
    <row r="162" spans="1:21">
      <c r="A162" s="64" t="s">
        <v>1338</v>
      </c>
      <c r="B162" s="10"/>
      <c r="C162" s="10"/>
      <c r="D162" s="10"/>
      <c r="E162" s="10"/>
      <c r="F162" s="10"/>
      <c r="G162" s="10"/>
      <c r="H162" s="10"/>
      <c r="I162" s="11"/>
      <c r="J162" t="s">
        <v>1464</v>
      </c>
      <c r="P162" t="s">
        <v>1464</v>
      </c>
    </row>
    <row r="163" spans="1:21">
      <c r="A163" s="9" t="s">
        <v>1339</v>
      </c>
      <c r="B163" s="10"/>
      <c r="C163" s="10">
        <v>-330</v>
      </c>
      <c r="D163" s="10">
        <v>0.19600000000000001</v>
      </c>
      <c r="E163" s="10">
        <v>0</v>
      </c>
      <c r="F163" s="10">
        <v>3.2793000000000001</v>
      </c>
      <c r="G163" s="10"/>
      <c r="H163" s="10">
        <v>-2265</v>
      </c>
      <c r="I163" s="11"/>
      <c r="J163" s="49">
        <v>81</v>
      </c>
      <c r="K163" s="49">
        <v>0</v>
      </c>
      <c r="P163">
        <v>19</v>
      </c>
      <c r="U163">
        <v>0</v>
      </c>
    </row>
    <row r="164" spans="1:21">
      <c r="A164" s="9" t="s">
        <v>1340</v>
      </c>
      <c r="B164" s="10"/>
      <c r="C164" s="10">
        <v>47660</v>
      </c>
      <c r="D164" s="10">
        <v>4.2300000000000004</v>
      </c>
      <c r="E164" s="10">
        <v>5</v>
      </c>
      <c r="F164" s="10">
        <v>81.53</v>
      </c>
      <c r="G164" s="10"/>
      <c r="H164" s="10">
        <v>-4420</v>
      </c>
      <c r="I164" s="11"/>
      <c r="J164" s="49">
        <v>137</v>
      </c>
      <c r="K164" s="49">
        <v>0</v>
      </c>
      <c r="P164">
        <v>73</v>
      </c>
      <c r="U164">
        <v>0</v>
      </c>
    </row>
    <row r="165" spans="1:21">
      <c r="A165" s="9" t="s">
        <v>1341</v>
      </c>
      <c r="B165" s="10"/>
      <c r="C165" s="10">
        <v>-3030</v>
      </c>
      <c r="D165" s="10">
        <v>6964</v>
      </c>
      <c r="E165" s="10">
        <v>220</v>
      </c>
      <c r="F165" s="10">
        <v>4580</v>
      </c>
      <c r="G165" s="10"/>
      <c r="H165" s="10"/>
      <c r="I165" s="11"/>
      <c r="J165" s="49">
        <v>0</v>
      </c>
      <c r="K165" s="49">
        <v>0</v>
      </c>
      <c r="P165">
        <v>0</v>
      </c>
      <c r="U165">
        <v>0</v>
      </c>
    </row>
    <row r="166" spans="1:21">
      <c r="A166" s="9" t="s">
        <v>1342</v>
      </c>
      <c r="B166" s="10"/>
      <c r="C166" s="10">
        <v>-2939.9</v>
      </c>
      <c r="D166" s="10">
        <v>-12.225</v>
      </c>
      <c r="E166" s="10">
        <v>23</v>
      </c>
      <c r="F166" s="10">
        <v>630</v>
      </c>
      <c r="G166" s="10"/>
      <c r="H166" s="10"/>
      <c r="I166" s="11"/>
      <c r="J166" s="49">
        <v>0</v>
      </c>
      <c r="K166" s="49">
        <v>0</v>
      </c>
      <c r="P166">
        <v>0</v>
      </c>
      <c r="U166">
        <v>0</v>
      </c>
    </row>
    <row r="167" spans="1:21">
      <c r="A167" s="9" t="s">
        <v>1343</v>
      </c>
      <c r="B167" s="10"/>
      <c r="C167" s="10">
        <v>482.8</v>
      </c>
      <c r="D167" s="10">
        <v>7.1000000000000004E-3</v>
      </c>
      <c r="E167" s="10">
        <v>0.51870000000000005</v>
      </c>
      <c r="F167" s="10">
        <v>0.2114</v>
      </c>
      <c r="G167" s="10"/>
      <c r="H167" s="10">
        <v>-24.145</v>
      </c>
      <c r="I167" s="11"/>
      <c r="J167" s="49">
        <v>0</v>
      </c>
      <c r="K167" s="49">
        <v>0</v>
      </c>
      <c r="P167">
        <v>0</v>
      </c>
      <c r="U167">
        <v>0</v>
      </c>
    </row>
    <row r="168" spans="1:21">
      <c r="A168" s="9" t="s">
        <v>1344</v>
      </c>
      <c r="B168" s="10"/>
      <c r="C168" s="10">
        <v>-2.49E-3</v>
      </c>
      <c r="D168" s="10">
        <v>1.2600000000000001E-3</v>
      </c>
      <c r="E168" s="10">
        <v>-0.48899999999999999</v>
      </c>
      <c r="F168" s="10">
        <v>5.5759999999999997E-2</v>
      </c>
      <c r="G168" s="10"/>
      <c r="H168" s="10"/>
      <c r="I168" s="11"/>
      <c r="J168" s="49">
        <v>0</v>
      </c>
      <c r="K168" s="49">
        <v>0</v>
      </c>
      <c r="P168">
        <v>0</v>
      </c>
      <c r="U168">
        <v>0</v>
      </c>
    </row>
    <row r="169" spans="1:21">
      <c r="A169" s="9" t="s">
        <v>1345</v>
      </c>
      <c r="B169" s="10"/>
      <c r="C169" s="10"/>
      <c r="D169" s="10"/>
      <c r="E169" s="10"/>
      <c r="F169" s="10"/>
      <c r="G169" s="10"/>
      <c r="H169" s="10"/>
      <c r="I169" s="11"/>
      <c r="J169" s="49">
        <v>0</v>
      </c>
      <c r="K169" s="49">
        <v>0</v>
      </c>
      <c r="P169">
        <v>0</v>
      </c>
      <c r="U169">
        <v>0</v>
      </c>
    </row>
    <row r="170" spans="1:21">
      <c r="A170" s="9" t="s">
        <v>1346</v>
      </c>
      <c r="B170" s="10"/>
      <c r="C170" s="10">
        <v>-0.36099999999999999</v>
      </c>
      <c r="D170" s="10">
        <v>0.28000000000000003</v>
      </c>
      <c r="E170" s="10">
        <v>0.56999999999999995</v>
      </c>
      <c r="F170" s="10">
        <v>8.7919999999999998</v>
      </c>
      <c r="G170" s="10"/>
      <c r="H170" s="10">
        <v>1.35</v>
      </c>
      <c r="I170" s="11"/>
      <c r="J170" s="49">
        <v>0</v>
      </c>
      <c r="K170" s="49">
        <v>0</v>
      </c>
      <c r="P170">
        <v>0</v>
      </c>
      <c r="U170">
        <v>0</v>
      </c>
    </row>
    <row r="171" spans="1:21">
      <c r="A171" s="9" t="s">
        <v>1347</v>
      </c>
      <c r="B171" s="10"/>
      <c r="C171" s="10">
        <v>-50.5</v>
      </c>
      <c r="D171" s="10">
        <v>7.6</v>
      </c>
      <c r="E171" s="10">
        <v>1635</v>
      </c>
      <c r="F171" s="10">
        <v>2385.9</v>
      </c>
      <c r="G171" s="10"/>
      <c r="H171" s="10"/>
      <c r="I171" s="11"/>
      <c r="J171" s="49">
        <v>0</v>
      </c>
      <c r="K171" s="49">
        <v>0</v>
      </c>
      <c r="P171">
        <v>0</v>
      </c>
      <c r="U171">
        <v>0</v>
      </c>
    </row>
    <row r="172" spans="1:21">
      <c r="A172" s="9" t="s">
        <v>1348</v>
      </c>
      <c r="B172" s="10"/>
      <c r="C172" s="10">
        <v>-15.04</v>
      </c>
      <c r="D172" s="10">
        <v>31.9</v>
      </c>
      <c r="E172" s="10">
        <v>5.36</v>
      </c>
      <c r="F172" s="10">
        <v>74.61</v>
      </c>
      <c r="G172" s="10"/>
      <c r="H172" s="10"/>
      <c r="I172" s="11"/>
      <c r="J172" s="49">
        <v>14</v>
      </c>
      <c r="K172" s="49">
        <v>0</v>
      </c>
      <c r="P172">
        <v>29</v>
      </c>
      <c r="U172">
        <v>0</v>
      </c>
    </row>
    <row r="173" spans="1:21">
      <c r="A173" s="9" t="s">
        <v>1026</v>
      </c>
      <c r="B173" s="10"/>
      <c r="C173" s="10">
        <v>-9.5899999999999999E-2</v>
      </c>
      <c r="D173" s="10">
        <v>2.0400000000000001E-2</v>
      </c>
      <c r="E173" s="10">
        <v>3.28</v>
      </c>
      <c r="F173" s="10">
        <v>4.8310000000000004</v>
      </c>
      <c r="G173" s="10"/>
      <c r="H173" s="10">
        <v>0.11</v>
      </c>
      <c r="I173" s="11"/>
      <c r="J173" s="49">
        <v>0</v>
      </c>
      <c r="K173" s="49">
        <v>0</v>
      </c>
      <c r="P173">
        <v>0</v>
      </c>
      <c r="U173">
        <v>0</v>
      </c>
    </row>
    <row r="174" spans="1:21">
      <c r="A174" s="9" t="s">
        <v>1349</v>
      </c>
      <c r="B174" s="10"/>
      <c r="C174" s="10">
        <v>-9.77</v>
      </c>
      <c r="D174" s="10">
        <v>6.2</v>
      </c>
      <c r="E174" s="10">
        <v>141.6</v>
      </c>
      <c r="F174" s="10">
        <v>341.71</v>
      </c>
      <c r="G174" s="10"/>
      <c r="H174" s="10"/>
      <c r="I174" s="11"/>
      <c r="J174" s="49">
        <v>0</v>
      </c>
      <c r="K174" s="49">
        <v>0</v>
      </c>
      <c r="P174">
        <v>0</v>
      </c>
      <c r="U174">
        <v>0</v>
      </c>
    </row>
    <row r="175" spans="1:21">
      <c r="A175" s="9" t="s">
        <v>1027</v>
      </c>
      <c r="B175" s="10"/>
      <c r="C175" s="10">
        <v>-5.7600000000000004E-3</v>
      </c>
      <c r="D175" s="10">
        <v>7.7100000000000002E-2</v>
      </c>
      <c r="E175" s="10">
        <v>8.3199999999999996E-2</v>
      </c>
      <c r="F175" s="10">
        <v>0.19225999999999999</v>
      </c>
      <c r="G175" s="10"/>
      <c r="H175" s="10">
        <v>-3.4000000000000002E-2</v>
      </c>
      <c r="I175" s="11"/>
      <c r="J175" s="49">
        <v>0</v>
      </c>
      <c r="K175" s="49">
        <v>0</v>
      </c>
      <c r="P175">
        <v>0</v>
      </c>
      <c r="U175">
        <v>0</v>
      </c>
    </row>
    <row r="176" spans="1:21">
      <c r="A176" s="9" t="s">
        <v>1350</v>
      </c>
      <c r="B176" s="10"/>
      <c r="C176" s="10">
        <v>-15860</v>
      </c>
      <c r="D176" s="140">
        <v>9149</v>
      </c>
      <c r="E176" s="140">
        <v>97</v>
      </c>
      <c r="F176" s="140">
        <v>5009</v>
      </c>
      <c r="G176" s="10"/>
      <c r="H176" s="10">
        <v>702.1</v>
      </c>
      <c r="I176" s="141">
        <v>28847.404110719999</v>
      </c>
      <c r="J176" s="49">
        <v>0</v>
      </c>
      <c r="K176" s="49">
        <v>0</v>
      </c>
      <c r="P176">
        <v>0</v>
      </c>
      <c r="U176">
        <v>0</v>
      </c>
    </row>
    <row r="177" spans="1:21">
      <c r="A177" s="9" t="s">
        <v>1028</v>
      </c>
      <c r="B177" s="10"/>
      <c r="C177" s="10">
        <v>-0.48599999999999999</v>
      </c>
      <c r="D177" s="10">
        <v>0.111</v>
      </c>
      <c r="E177" s="140">
        <v>16.46</v>
      </c>
      <c r="F177" s="10">
        <v>24.242999999999999</v>
      </c>
      <c r="G177" s="10"/>
      <c r="H177" s="10">
        <v>0.77</v>
      </c>
      <c r="I177" s="141">
        <v>26.053583538112001</v>
      </c>
      <c r="J177" s="49">
        <v>0</v>
      </c>
      <c r="K177" s="49">
        <v>0</v>
      </c>
      <c r="P177">
        <v>0</v>
      </c>
      <c r="U177">
        <v>0</v>
      </c>
    </row>
    <row r="178" spans="1:21">
      <c r="A178" s="9" t="s">
        <v>1029</v>
      </c>
      <c r="B178" s="10"/>
      <c r="C178" s="10">
        <v>-0.23369999999999999</v>
      </c>
      <c r="D178" s="10">
        <v>5.1200000000000002E-2</v>
      </c>
      <c r="E178" s="140">
        <v>7.9</v>
      </c>
      <c r="F178" s="10">
        <v>11.930999999999999</v>
      </c>
      <c r="G178" s="10"/>
      <c r="H178" s="10">
        <v>-1.8</v>
      </c>
      <c r="I178" s="141">
        <v>12.88004803956</v>
      </c>
      <c r="J178" s="49">
        <v>0</v>
      </c>
      <c r="K178" s="49">
        <v>0</v>
      </c>
      <c r="P178">
        <v>0</v>
      </c>
      <c r="U178">
        <v>0</v>
      </c>
    </row>
    <row r="179" spans="1:21">
      <c r="A179" s="9" t="s">
        <v>1351</v>
      </c>
      <c r="B179" s="10"/>
      <c r="C179" s="10">
        <v>1339.98</v>
      </c>
      <c r="D179" s="10">
        <v>8.9999999999999993E-3</v>
      </c>
      <c r="E179" s="140">
        <v>2.3599999999999999E-2</v>
      </c>
      <c r="F179" s="10">
        <v>0.27900000000000003</v>
      </c>
      <c r="G179" s="10"/>
      <c r="H179" s="10"/>
      <c r="I179" s="141">
        <v>0.17222027886230001</v>
      </c>
      <c r="J179" s="49">
        <v>0</v>
      </c>
      <c r="K179" s="49">
        <v>0</v>
      </c>
      <c r="P179">
        <v>0</v>
      </c>
      <c r="U179">
        <v>0</v>
      </c>
    </row>
    <row r="180" spans="1:21">
      <c r="A180" s="9" t="s">
        <v>1352</v>
      </c>
      <c r="B180" s="10"/>
      <c r="C180" s="10"/>
      <c r="D180" s="10"/>
      <c r="E180" s="140">
        <v>0</v>
      </c>
      <c r="F180" s="10">
        <v>2.71</v>
      </c>
      <c r="G180" s="10"/>
      <c r="H180" s="10"/>
      <c r="I180" s="11"/>
      <c r="J180" s="49">
        <v>0</v>
      </c>
      <c r="K180" s="49">
        <v>0</v>
      </c>
      <c r="P180">
        <v>0</v>
      </c>
      <c r="U180">
        <v>0</v>
      </c>
    </row>
    <row r="181" spans="1:21">
      <c r="A181" s="9" t="s">
        <v>1353</v>
      </c>
      <c r="B181" s="10"/>
      <c r="C181" s="10">
        <v>-40.9</v>
      </c>
      <c r="D181" s="10">
        <v>9.4499999999999993</v>
      </c>
      <c r="E181" s="140">
        <v>223</v>
      </c>
      <c r="F181" s="10">
        <v>844</v>
      </c>
      <c r="G181" s="10"/>
      <c r="H181" s="10"/>
      <c r="I181" s="141">
        <v>3507.2324798576001</v>
      </c>
      <c r="J181" s="49">
        <v>0</v>
      </c>
      <c r="K181" s="49">
        <v>0</v>
      </c>
      <c r="P181">
        <v>0</v>
      </c>
      <c r="U181">
        <v>0</v>
      </c>
    </row>
    <row r="182" spans="1:21">
      <c r="A182" s="9" t="s">
        <v>1032</v>
      </c>
      <c r="B182" s="10"/>
      <c r="C182" s="10">
        <v>-0.39300000000000002</v>
      </c>
      <c r="D182" s="10">
        <v>0.35289999999999999</v>
      </c>
      <c r="E182" s="140">
        <v>8.09</v>
      </c>
      <c r="F182" s="10">
        <v>13.173999999999999</v>
      </c>
      <c r="G182" s="10"/>
      <c r="H182" s="10">
        <v>0.5</v>
      </c>
      <c r="I182" s="141">
        <v>15.829248744088</v>
      </c>
      <c r="J182" s="49">
        <v>0</v>
      </c>
      <c r="K182" s="49">
        <v>0</v>
      </c>
      <c r="P182">
        <v>0</v>
      </c>
      <c r="U182">
        <v>0</v>
      </c>
    </row>
    <row r="183" spans="1:21">
      <c r="A183" s="9" t="s">
        <v>1030</v>
      </c>
      <c r="B183" s="10"/>
      <c r="C183" s="10">
        <v>-1.4540000000000001E-4</v>
      </c>
      <c r="D183" s="10">
        <v>-1.9900000000000001E-4</v>
      </c>
      <c r="E183" s="140">
        <v>0</v>
      </c>
      <c r="F183" s="10">
        <v>4.0260000000000001E-3</v>
      </c>
      <c r="G183" s="10"/>
      <c r="H183" s="10">
        <v>-4.3E-3</v>
      </c>
      <c r="I183" s="141">
        <v>4.6653039888000002E-3</v>
      </c>
      <c r="J183" s="49">
        <v>0</v>
      </c>
      <c r="K183" s="49">
        <v>0</v>
      </c>
      <c r="P183">
        <v>0</v>
      </c>
      <c r="U183">
        <v>0</v>
      </c>
    </row>
    <row r="184" spans="1:21">
      <c r="A184" s="9" t="s">
        <v>1031</v>
      </c>
      <c r="B184" s="10"/>
      <c r="C184" s="10">
        <v>-0.24010000000000001</v>
      </c>
      <c r="D184" s="10">
        <v>5.0999999999999997E-2</v>
      </c>
      <c r="E184" s="140">
        <v>7.96</v>
      </c>
      <c r="F184" s="10">
        <v>12.125999999999999</v>
      </c>
      <c r="G184" s="10"/>
      <c r="H184" s="10">
        <v>0.31</v>
      </c>
      <c r="I184" s="141">
        <v>13.097578779792</v>
      </c>
      <c r="J184" s="49">
        <v>0</v>
      </c>
      <c r="K184" s="49">
        <v>0</v>
      </c>
      <c r="P184">
        <v>0</v>
      </c>
      <c r="U184">
        <v>0</v>
      </c>
    </row>
    <row r="185" spans="1:21">
      <c r="A185" s="9" t="s">
        <v>1354</v>
      </c>
      <c r="B185" s="10"/>
      <c r="C185" s="10">
        <v>-835.93</v>
      </c>
      <c r="D185" s="10">
        <v>1.46</v>
      </c>
      <c r="E185" s="140">
        <v>-0.95</v>
      </c>
      <c r="F185" s="10">
        <v>89.61</v>
      </c>
      <c r="G185" s="10"/>
      <c r="H185" s="10">
        <v>8.94</v>
      </c>
      <c r="I185" s="141">
        <v>76.788708082528004</v>
      </c>
      <c r="J185" s="49">
        <v>0</v>
      </c>
      <c r="K185" s="49">
        <v>0</v>
      </c>
      <c r="P185">
        <v>0</v>
      </c>
      <c r="U185">
        <v>0</v>
      </c>
    </row>
    <row r="186" spans="1:21">
      <c r="A186" s="9" t="s">
        <v>1355</v>
      </c>
      <c r="B186" s="10"/>
      <c r="C186" s="10">
        <v>-23.12</v>
      </c>
      <c r="D186" s="10">
        <v>0.6</v>
      </c>
      <c r="E186" s="140">
        <v>98.1</v>
      </c>
      <c r="F186" s="10">
        <v>141.80000000000001</v>
      </c>
      <c r="G186" s="10"/>
      <c r="H186" s="10"/>
      <c r="I186" s="141">
        <v>154.14265057578399</v>
      </c>
      <c r="J186" s="49">
        <v>0</v>
      </c>
      <c r="K186" s="49">
        <v>0</v>
      </c>
      <c r="P186">
        <v>0</v>
      </c>
      <c r="U186">
        <v>0</v>
      </c>
    </row>
    <row r="187" spans="1:21">
      <c r="A187" s="9" t="s">
        <v>1356</v>
      </c>
      <c r="B187" s="10"/>
      <c r="C187" s="10">
        <v>-8164</v>
      </c>
      <c r="D187" s="10">
        <v>293</v>
      </c>
      <c r="E187" s="140">
        <v>5980</v>
      </c>
      <c r="F187" s="10">
        <v>16889</v>
      </c>
      <c r="G187" s="10"/>
      <c r="H187" s="10"/>
      <c r="I187" s="141">
        <v>29556.112002559999</v>
      </c>
      <c r="J187" s="49">
        <v>0</v>
      </c>
      <c r="K187" s="49">
        <v>0</v>
      </c>
      <c r="P187">
        <v>0</v>
      </c>
      <c r="U187">
        <v>0</v>
      </c>
    </row>
    <row r="188" spans="1:21">
      <c r="A188" s="9" t="s">
        <v>1357</v>
      </c>
      <c r="B188" s="10"/>
      <c r="C188" s="10">
        <v>-7.5399999999999995E-2</v>
      </c>
      <c r="D188" s="10">
        <v>6.3E-2</v>
      </c>
      <c r="E188" s="140">
        <v>0.13</v>
      </c>
      <c r="F188" s="10">
        <v>1.9083000000000001</v>
      </c>
      <c r="G188" s="10"/>
      <c r="H188" s="10">
        <v>-0.11</v>
      </c>
      <c r="I188" s="141">
        <v>0.77363373346480002</v>
      </c>
      <c r="J188" s="49">
        <v>0</v>
      </c>
      <c r="K188" s="49">
        <v>0</v>
      </c>
      <c r="P188">
        <v>0</v>
      </c>
      <c r="U188">
        <v>0</v>
      </c>
    </row>
    <row r="189" spans="1:21">
      <c r="A189" s="9" t="s">
        <v>1033</v>
      </c>
      <c r="B189" s="10"/>
      <c r="C189" s="10">
        <v>-0.49399999999999999</v>
      </c>
      <c r="D189" s="10">
        <v>0.114</v>
      </c>
      <c r="E189" s="140">
        <v>16.55</v>
      </c>
      <c r="F189" s="10">
        <v>24.446999999999999</v>
      </c>
      <c r="G189" s="10"/>
      <c r="H189" s="10"/>
      <c r="I189" s="141">
        <v>26.2968992624</v>
      </c>
      <c r="J189" s="49">
        <v>0</v>
      </c>
      <c r="K189" s="49">
        <v>0</v>
      </c>
      <c r="P189">
        <v>0</v>
      </c>
      <c r="U189">
        <v>0</v>
      </c>
    </row>
    <row r="190" spans="1:21">
      <c r="A190" s="9"/>
      <c r="B190" s="10"/>
      <c r="C190" s="10"/>
      <c r="D190" s="10"/>
      <c r="E190" s="10"/>
      <c r="F190" s="10"/>
      <c r="G190" s="10"/>
      <c r="H190" s="10"/>
      <c r="I190" s="11"/>
    </row>
    <row r="191" spans="1:21" ht="15.75" thickBot="1">
      <c r="A191" s="120" t="s">
        <v>1358</v>
      </c>
      <c r="B191" s="13"/>
      <c r="C191" s="13">
        <v>-197.76</v>
      </c>
      <c r="D191" s="13">
        <v>29.03</v>
      </c>
      <c r="E191" s="13">
        <v>56.8</v>
      </c>
      <c r="F191" s="13">
        <v>985.7</v>
      </c>
      <c r="G191" s="13">
        <v>-92.2</v>
      </c>
      <c r="H191" s="13">
        <v>-184.1</v>
      </c>
      <c r="I191" s="14"/>
      <c r="J191" t="s">
        <v>1393</v>
      </c>
      <c r="K191">
        <v>55.551475914629002</v>
      </c>
      <c r="L191" t="s">
        <v>1394</v>
      </c>
    </row>
    <row r="192" spans="1:21">
      <c r="A192" s="65"/>
      <c r="B192" s="10"/>
      <c r="C192" s="10"/>
      <c r="D192" s="10"/>
      <c r="E192" s="10"/>
      <c r="F192" s="10"/>
      <c r="G192" s="10"/>
      <c r="H192" s="10"/>
      <c r="I192" s="10"/>
    </row>
    <row r="193" spans="1:9">
      <c r="A193" s="62" t="s">
        <v>1379</v>
      </c>
    </row>
    <row r="194" spans="1:9">
      <c r="A194" s="62" t="s">
        <v>1389</v>
      </c>
    </row>
    <row r="195" spans="1:9">
      <c r="A195" s="132" t="s">
        <v>1391</v>
      </c>
    </row>
    <row r="196" spans="1:9">
      <c r="A196" s="62"/>
    </row>
    <row r="197" spans="1:9" ht="15.75" thickBot="1">
      <c r="A197" s="62"/>
    </row>
    <row r="198" spans="1:9">
      <c r="A198" s="93"/>
      <c r="B198" s="78"/>
      <c r="C198" s="78" t="s">
        <v>1302</v>
      </c>
      <c r="D198" s="78" t="s">
        <v>1369</v>
      </c>
      <c r="E198" s="78" t="s">
        <v>1370</v>
      </c>
      <c r="F198" s="78" t="s">
        <v>944</v>
      </c>
      <c r="G198" s="78" t="s">
        <v>1371</v>
      </c>
      <c r="H198" s="78" t="s">
        <v>946</v>
      </c>
      <c r="I198" s="79" t="s">
        <v>947</v>
      </c>
    </row>
    <row r="199" spans="1:9">
      <c r="A199" s="64" t="s">
        <v>1376</v>
      </c>
      <c r="B199" s="10"/>
      <c r="C199" s="10" t="s">
        <v>41</v>
      </c>
      <c r="D199" s="36">
        <v>0.28499999999999998</v>
      </c>
      <c r="E199" s="36">
        <v>0.248</v>
      </c>
      <c r="F199" s="36">
        <v>0.27100000000000002</v>
      </c>
      <c r="G199" s="36">
        <v>0.34200000000000003</v>
      </c>
      <c r="H199" s="36">
        <v>0.27200000000000002</v>
      </c>
      <c r="I199" s="130">
        <v>0.76500000000000001</v>
      </c>
    </row>
    <row r="200" spans="1:9">
      <c r="A200" s="9"/>
      <c r="B200" s="10"/>
      <c r="C200" s="10"/>
      <c r="D200" s="10"/>
      <c r="E200" s="10"/>
      <c r="F200" s="10"/>
      <c r="G200" s="10"/>
      <c r="H200" s="10"/>
      <c r="I200" s="11"/>
    </row>
    <row r="201" spans="1:9">
      <c r="A201" s="64" t="s">
        <v>1377</v>
      </c>
      <c r="B201" s="10"/>
      <c r="C201" s="10"/>
      <c r="D201" s="10"/>
      <c r="E201" s="10"/>
      <c r="F201" s="10"/>
      <c r="G201" s="10"/>
      <c r="H201" s="10"/>
      <c r="I201" s="11"/>
    </row>
    <row r="202" spans="1:9">
      <c r="A202" s="9" t="s">
        <v>1016</v>
      </c>
      <c r="B202" s="10"/>
      <c r="C202" s="10" t="s">
        <v>1378</v>
      </c>
      <c r="D202" s="10">
        <v>0.49304999999999999</v>
      </c>
      <c r="E202" s="10">
        <v>0.50095999999999996</v>
      </c>
      <c r="F202" s="10">
        <v>0.101896</v>
      </c>
      <c r="G202" s="49">
        <v>2.2298399999999999E-2</v>
      </c>
      <c r="H202" s="49">
        <v>4.8688000000000004E-3</v>
      </c>
      <c r="I202" s="11">
        <v>0</v>
      </c>
    </row>
    <row r="203" spans="1:9">
      <c r="A203" s="9" t="s">
        <v>1015</v>
      </c>
      <c r="B203" s="10"/>
      <c r="C203" s="10" t="s">
        <v>1378</v>
      </c>
      <c r="D203" s="10">
        <v>3.5624999999999997E-2</v>
      </c>
      <c r="E203" s="10">
        <v>3.2983999999999999E-2</v>
      </c>
      <c r="F203" s="10">
        <v>6.0433000000000001E-2</v>
      </c>
      <c r="G203" s="49">
        <v>9.1313999999999996E-3</v>
      </c>
      <c r="H203" s="49">
        <v>1.5368000000000001E-3</v>
      </c>
      <c r="I203" s="11">
        <v>0</v>
      </c>
    </row>
    <row r="204" spans="1:9">
      <c r="A204" s="9" t="s">
        <v>1329</v>
      </c>
      <c r="B204" s="10"/>
      <c r="C204" s="10" t="s">
        <v>1378</v>
      </c>
      <c r="D204" s="49">
        <v>279.01499999999999</v>
      </c>
      <c r="E204" s="49">
        <v>334.8</v>
      </c>
      <c r="F204" s="49">
        <v>238.48</v>
      </c>
      <c r="G204" s="49">
        <v>262.31400000000002</v>
      </c>
      <c r="H204" s="49">
        <v>1.5531200000000001</v>
      </c>
      <c r="I204" s="11">
        <v>0</v>
      </c>
    </row>
    <row r="205" spans="1:9">
      <c r="A205" s="9" t="s">
        <v>1330</v>
      </c>
      <c r="B205" s="10"/>
      <c r="C205" s="10" t="s">
        <v>1378</v>
      </c>
      <c r="D205" s="49">
        <v>1.2141</v>
      </c>
      <c r="E205" s="49">
        <v>6.4976000000000006E-2</v>
      </c>
      <c r="F205" s="49">
        <v>0.29809999999999998</v>
      </c>
      <c r="G205" s="49">
        <v>0.60192000000000001</v>
      </c>
      <c r="H205" s="49">
        <v>3.7536000000000002E-3</v>
      </c>
      <c r="I205" s="11">
        <v>0</v>
      </c>
    </row>
    <row r="206" spans="1:9">
      <c r="A206" s="9" t="s">
        <v>1020</v>
      </c>
      <c r="B206" s="10"/>
      <c r="C206" s="10" t="s">
        <v>1378</v>
      </c>
      <c r="D206" s="49">
        <v>0.71819999999999995</v>
      </c>
      <c r="E206" s="49">
        <v>0.48855999999999999</v>
      </c>
      <c r="F206" s="49">
        <v>0.53115999999999997</v>
      </c>
      <c r="G206" s="49">
        <v>0.50958000000000003</v>
      </c>
      <c r="H206" s="49">
        <v>5.4127999999999997E-3</v>
      </c>
      <c r="I206" s="11">
        <v>0</v>
      </c>
    </row>
    <row r="207" spans="1:9">
      <c r="A207" s="9" t="s">
        <v>1332</v>
      </c>
      <c r="B207" s="10"/>
      <c r="C207" s="10" t="s">
        <v>1378</v>
      </c>
      <c r="D207" s="49">
        <v>1.7271000000000001E-3</v>
      </c>
      <c r="E207" s="49">
        <v>1.7012799999999999E-3</v>
      </c>
      <c r="F207" s="49">
        <v>5.2573999999999997E-3</v>
      </c>
      <c r="G207" s="49">
        <v>1.90836E-3</v>
      </c>
      <c r="H207" s="49">
        <v>4.1344000000000003E-5</v>
      </c>
      <c r="I207" s="11">
        <v>0</v>
      </c>
    </row>
    <row r="208" spans="1:9">
      <c r="A208" s="9" t="s">
        <v>1407</v>
      </c>
      <c r="B208" s="10"/>
      <c r="C208" s="10" t="s">
        <v>1378</v>
      </c>
      <c r="D208" s="49">
        <v>1.1456999999999999</v>
      </c>
      <c r="E208" s="49">
        <v>1.7012799999999999</v>
      </c>
      <c r="F208" s="49">
        <v>2.5203000000000002</v>
      </c>
      <c r="G208" s="49">
        <v>9.0630000000000002E-2</v>
      </c>
      <c r="H208" s="49">
        <v>5.8208000000000001E-3</v>
      </c>
      <c r="I208" s="11">
        <v>0</v>
      </c>
    </row>
    <row r="209" spans="1:9">
      <c r="A209" s="9" t="s">
        <v>1013</v>
      </c>
      <c r="B209" s="10"/>
      <c r="C209" s="10" t="s">
        <v>1378</v>
      </c>
      <c r="D209" s="49">
        <v>8.5500000000000007E-2</v>
      </c>
      <c r="E209" s="49">
        <v>7.2167999999999996E-2</v>
      </c>
      <c r="F209" s="49">
        <v>2.6259899999999999E-3</v>
      </c>
      <c r="G209" s="49">
        <v>2.1169799999999999E-4</v>
      </c>
      <c r="H209" s="49">
        <v>9.8191999999999998E-5</v>
      </c>
      <c r="I209" s="11">
        <v>0</v>
      </c>
    </row>
    <row r="210" spans="1:9">
      <c r="A210" s="9" t="s">
        <v>1334</v>
      </c>
      <c r="B210" s="10"/>
      <c r="C210" s="10" t="s">
        <v>1378</v>
      </c>
      <c r="D210" s="49">
        <v>9.0915000000000006E-3</v>
      </c>
      <c r="E210" s="49">
        <v>5.6544000000000004E-3</v>
      </c>
      <c r="F210" s="49">
        <v>2.6368300000000002E-4</v>
      </c>
      <c r="G210" s="49">
        <v>1.8057600000000001E-5</v>
      </c>
      <c r="H210" s="49">
        <v>2.9376000000000001E-5</v>
      </c>
      <c r="I210" s="11">
        <v>0</v>
      </c>
    </row>
    <row r="211" spans="1:9">
      <c r="A211" s="9" t="s">
        <v>1335</v>
      </c>
      <c r="B211" s="10"/>
      <c r="C211" s="10" t="s">
        <v>1378</v>
      </c>
      <c r="D211" s="49">
        <v>0</v>
      </c>
      <c r="E211" s="49">
        <v>0</v>
      </c>
      <c r="F211" s="49">
        <v>0</v>
      </c>
      <c r="G211" s="49">
        <v>0</v>
      </c>
      <c r="H211" s="49">
        <v>0</v>
      </c>
      <c r="I211" s="11">
        <v>0</v>
      </c>
    </row>
    <row r="212" spans="1:9">
      <c r="A212" s="9" t="s">
        <v>1390</v>
      </c>
      <c r="B212" s="10"/>
      <c r="C212" s="49" t="s">
        <v>1378</v>
      </c>
      <c r="D212" s="49">
        <v>0</v>
      </c>
      <c r="E212" s="49">
        <v>0</v>
      </c>
      <c r="F212" s="49">
        <v>0</v>
      </c>
      <c r="G212" s="49">
        <v>0</v>
      </c>
      <c r="H212" s="49">
        <v>0</v>
      </c>
      <c r="I212" s="11">
        <v>0</v>
      </c>
    </row>
    <row r="213" spans="1:9">
      <c r="A213" s="9" t="s">
        <v>1336</v>
      </c>
      <c r="B213" s="10"/>
      <c r="C213" s="10" t="s">
        <v>1378</v>
      </c>
      <c r="D213" s="49">
        <v>3.0209999999999998E-9</v>
      </c>
      <c r="E213" s="49">
        <v>2.5791999999999999E-9</v>
      </c>
      <c r="F213" s="49">
        <v>4.2009999999999998E-10</v>
      </c>
      <c r="G213" s="49">
        <v>5.3009999999999996E-10</v>
      </c>
      <c r="H213" s="49">
        <v>2.06992E-7</v>
      </c>
      <c r="I213" s="11">
        <v>0</v>
      </c>
    </row>
    <row r="214" spans="1:9">
      <c r="A214" s="9" t="s">
        <v>1014</v>
      </c>
      <c r="B214" s="10"/>
      <c r="C214" s="10"/>
      <c r="D214" s="49">
        <v>0</v>
      </c>
      <c r="E214" s="49">
        <v>0</v>
      </c>
      <c r="F214" s="49">
        <v>0</v>
      </c>
      <c r="G214" s="49">
        <v>0</v>
      </c>
      <c r="H214" s="49">
        <v>0</v>
      </c>
      <c r="I214" s="11">
        <v>0</v>
      </c>
    </row>
    <row r="215" spans="1:9">
      <c r="A215" s="9" t="s">
        <v>1337</v>
      </c>
      <c r="B215" s="10"/>
      <c r="C215" s="10" t="s">
        <v>1378</v>
      </c>
      <c r="D215" s="49">
        <v>1.6643999999999999E-3</v>
      </c>
      <c r="E215" s="49">
        <v>1.2523999999999999E-4</v>
      </c>
      <c r="F215" s="49">
        <v>2.0487599999999999E-4</v>
      </c>
      <c r="G215" s="49">
        <v>6.6347999999999996E-5</v>
      </c>
      <c r="H215" s="49">
        <v>3.9712000000000002E-5</v>
      </c>
      <c r="I215" s="11">
        <v>0</v>
      </c>
    </row>
    <row r="216" spans="1:9">
      <c r="A216" s="9" t="s">
        <v>1026</v>
      </c>
      <c r="B216" s="10"/>
      <c r="C216" s="49" t="s">
        <v>1378</v>
      </c>
      <c r="D216" s="49">
        <v>0</v>
      </c>
      <c r="E216" s="49">
        <v>0</v>
      </c>
      <c r="F216" s="49">
        <v>0</v>
      </c>
      <c r="G216" s="49">
        <v>0</v>
      </c>
      <c r="H216" s="49">
        <v>0</v>
      </c>
      <c r="I216" s="11">
        <v>0</v>
      </c>
    </row>
    <row r="217" spans="1:9">
      <c r="A217" s="9" t="s">
        <v>1027</v>
      </c>
      <c r="B217" s="10"/>
      <c r="C217" s="10" t="s">
        <v>1378</v>
      </c>
      <c r="D217" s="49">
        <v>1.3281E-6</v>
      </c>
      <c r="E217" s="49">
        <v>5.3568000000000001E-6</v>
      </c>
      <c r="F217" s="49">
        <v>1.61516E-5</v>
      </c>
      <c r="G217" s="49">
        <v>7.8318E-8</v>
      </c>
      <c r="H217" s="49">
        <v>3.3455999999999999E-8</v>
      </c>
      <c r="I217" s="11">
        <v>0</v>
      </c>
    </row>
    <row r="218" spans="1:9">
      <c r="A218" s="9" t="s">
        <v>1028</v>
      </c>
      <c r="B218" s="10"/>
      <c r="C218" s="10" t="s">
        <v>1378</v>
      </c>
      <c r="D218" s="49">
        <v>0</v>
      </c>
      <c r="E218" s="49">
        <v>0</v>
      </c>
      <c r="F218" s="49">
        <v>0</v>
      </c>
      <c r="G218" s="49">
        <v>0</v>
      </c>
      <c r="H218" s="49">
        <v>0</v>
      </c>
      <c r="I218" s="11">
        <v>0</v>
      </c>
    </row>
    <row r="219" spans="1:9">
      <c r="A219" s="9" t="s">
        <v>1029</v>
      </c>
      <c r="B219" s="10"/>
      <c r="C219" s="10" t="s">
        <v>1378</v>
      </c>
      <c r="D219" s="49">
        <v>0</v>
      </c>
      <c r="E219" s="49">
        <v>0</v>
      </c>
      <c r="F219" s="49">
        <v>0</v>
      </c>
      <c r="G219" s="49">
        <v>0</v>
      </c>
      <c r="H219" s="49">
        <v>0</v>
      </c>
      <c r="I219" s="11">
        <v>0</v>
      </c>
    </row>
    <row r="220" spans="1:9">
      <c r="A220" s="9" t="s">
        <v>1032</v>
      </c>
      <c r="B220" s="10"/>
      <c r="C220" s="10" t="s">
        <v>1378</v>
      </c>
      <c r="D220" s="49">
        <v>5.2154999999999998E-5</v>
      </c>
      <c r="E220" s="49">
        <v>1.2251200000000001E-5</v>
      </c>
      <c r="F220" s="49">
        <v>1.40378E-4</v>
      </c>
      <c r="G220" s="49">
        <v>1.2346199999999999E-6</v>
      </c>
      <c r="H220" s="49">
        <v>2.1624000000000001E-7</v>
      </c>
      <c r="I220" s="11">
        <v>0</v>
      </c>
    </row>
    <row r="221" spans="1:9">
      <c r="A221" s="9" t="s">
        <v>1380</v>
      </c>
      <c r="B221" s="10"/>
      <c r="C221" s="10" t="s">
        <v>1378</v>
      </c>
      <c r="D221" s="49">
        <v>3.1634999999999998E-5</v>
      </c>
      <c r="E221" s="49">
        <v>9.4984000000000004E-6</v>
      </c>
      <c r="F221" s="49">
        <v>4.2818000000000002E-5</v>
      </c>
      <c r="G221" s="49">
        <v>1.0123199999999999E-6</v>
      </c>
      <c r="H221" s="49">
        <v>5.2768E-8</v>
      </c>
      <c r="I221" s="11">
        <v>0</v>
      </c>
    </row>
    <row r="222" spans="1:9">
      <c r="A222" s="9" t="s">
        <v>1030</v>
      </c>
      <c r="B222" s="10"/>
      <c r="C222" s="10" t="s">
        <v>1378</v>
      </c>
      <c r="D222" s="49">
        <v>1.09725E-5</v>
      </c>
      <c r="E222" s="49">
        <v>1.24744E-5</v>
      </c>
      <c r="F222" s="49">
        <v>7.5608999999999999E-7</v>
      </c>
      <c r="G222" s="49">
        <v>4.9931999999999999E-6</v>
      </c>
      <c r="H222" s="49">
        <v>3.9711999999999999E-8</v>
      </c>
      <c r="I222" s="11">
        <v>0</v>
      </c>
    </row>
    <row r="223" spans="1:9">
      <c r="A223" s="9" t="s">
        <v>1031</v>
      </c>
      <c r="B223" s="10"/>
      <c r="C223" s="10" t="s">
        <v>1378</v>
      </c>
      <c r="D223" s="49">
        <v>1.3223999999999999E-4</v>
      </c>
      <c r="E223" s="49">
        <v>1.64424E-5</v>
      </c>
      <c r="F223" s="49">
        <v>1.22492E-3</v>
      </c>
      <c r="G223" s="49">
        <v>1.66896E-6</v>
      </c>
      <c r="H223" s="49">
        <v>1.08256E-6</v>
      </c>
      <c r="I223" s="11">
        <v>0</v>
      </c>
    </row>
    <row r="224" spans="1:9">
      <c r="A224" s="9" t="s">
        <v>1033</v>
      </c>
      <c r="B224" s="10"/>
      <c r="C224" s="10" t="s">
        <v>1378</v>
      </c>
      <c r="D224" s="49">
        <v>9.9749999999999999E-5</v>
      </c>
      <c r="E224" s="49">
        <v>8.3079999999999997E-5</v>
      </c>
      <c r="F224" s="49">
        <v>1.02709E-4</v>
      </c>
      <c r="G224" s="49">
        <v>1.9904399999999999E-6</v>
      </c>
      <c r="H224" s="49">
        <v>2.5785599999999999E-6</v>
      </c>
      <c r="I224" s="11">
        <v>0</v>
      </c>
    </row>
    <row r="225" spans="1:9">
      <c r="A225" s="9"/>
      <c r="B225" s="10"/>
      <c r="C225" s="10"/>
      <c r="D225" s="10"/>
      <c r="E225" s="10"/>
      <c r="F225" s="10"/>
      <c r="G225" s="10"/>
      <c r="H225" s="10"/>
      <c r="I225" s="11"/>
    </row>
    <row r="226" spans="1:9">
      <c r="A226" s="64" t="s">
        <v>1381</v>
      </c>
      <c r="B226" s="10"/>
      <c r="C226" s="10"/>
      <c r="D226" s="10"/>
      <c r="E226" s="10"/>
      <c r="F226" s="10"/>
      <c r="G226" s="10"/>
      <c r="H226" s="10"/>
      <c r="I226" s="11"/>
    </row>
    <row r="227" spans="1:9">
      <c r="A227" s="9" t="s">
        <v>1339</v>
      </c>
      <c r="B227" s="10"/>
      <c r="C227" s="10" t="s">
        <v>1378</v>
      </c>
      <c r="D227" s="49">
        <v>3.9614999999999999E-5</v>
      </c>
      <c r="E227" s="49">
        <v>1.6343200000000001E-6</v>
      </c>
      <c r="F227" s="49">
        <v>1.6287100000000001E-4</v>
      </c>
      <c r="G227" s="49">
        <v>6.669E-6</v>
      </c>
      <c r="H227" s="49">
        <v>6.6640000000000001E-6</v>
      </c>
      <c r="I227" s="11">
        <v>0</v>
      </c>
    </row>
    <row r="228" spans="1:9">
      <c r="A228" s="9" t="s">
        <v>1340</v>
      </c>
      <c r="B228" s="10"/>
      <c r="C228" s="10" t="s">
        <v>1378</v>
      </c>
      <c r="D228" s="49">
        <v>1.23975E-3</v>
      </c>
      <c r="E228" s="49">
        <v>3.9928000000000001E-5</v>
      </c>
      <c r="F228" s="49">
        <v>2.8996999999999998E-3</v>
      </c>
      <c r="G228" s="49">
        <v>8.5158E-5</v>
      </c>
      <c r="H228" s="49">
        <v>4.5423999999999997E-5</v>
      </c>
      <c r="I228" s="11">
        <v>0</v>
      </c>
    </row>
    <row r="229" spans="1:9">
      <c r="A229" s="9" t="s">
        <v>1341</v>
      </c>
      <c r="B229" s="10"/>
      <c r="C229" s="10" t="s">
        <v>1378</v>
      </c>
      <c r="D229" s="49">
        <v>1.0345500000000001E-2</v>
      </c>
      <c r="E229" s="49">
        <v>1.68144E-3</v>
      </c>
      <c r="F229" s="49">
        <v>0.213006</v>
      </c>
      <c r="G229" s="49">
        <v>7.5240000000000001E-2</v>
      </c>
      <c r="H229" s="49">
        <v>2.1814400000000001E-2</v>
      </c>
      <c r="I229" s="11">
        <v>0</v>
      </c>
    </row>
    <row r="230" spans="1:9">
      <c r="A230" s="9" t="s">
        <v>1342</v>
      </c>
      <c r="B230" s="10"/>
      <c r="C230" s="10" t="s">
        <v>1378</v>
      </c>
      <c r="D230" s="49">
        <v>1.4078999999999999E-3</v>
      </c>
      <c r="E230" s="49">
        <v>4.0672000000000001E-4</v>
      </c>
      <c r="F230" s="49">
        <v>2.8996999999999998E-2</v>
      </c>
      <c r="G230" s="49">
        <v>8.1738000000000005E-2</v>
      </c>
      <c r="H230" s="49">
        <v>8.4864000000000001E-4</v>
      </c>
      <c r="I230" s="11">
        <v>0</v>
      </c>
    </row>
    <row r="231" spans="1:9">
      <c r="A231" s="9" t="s">
        <v>1343</v>
      </c>
      <c r="B231" s="10"/>
      <c r="C231" s="10" t="s">
        <v>1378</v>
      </c>
      <c r="D231" s="49">
        <v>4.3319999999999999E-7</v>
      </c>
      <c r="E231" s="49">
        <v>7.4895999999999998E-8</v>
      </c>
      <c r="F231" s="49">
        <v>1.2899599999999999E-5</v>
      </c>
      <c r="G231" s="49">
        <v>4.0356000000000001E-8</v>
      </c>
      <c r="H231" s="49">
        <v>2.3636800000000001E-8</v>
      </c>
      <c r="I231" s="11">
        <v>0</v>
      </c>
    </row>
    <row r="232" spans="1:9">
      <c r="A232" s="9" t="s">
        <v>1344</v>
      </c>
      <c r="B232" s="10"/>
      <c r="C232" s="10" t="s">
        <v>1378</v>
      </c>
      <c r="D232" s="49">
        <v>1.4021999999999999E-7</v>
      </c>
      <c r="E232" s="49">
        <v>2.1749600000000001E-8</v>
      </c>
      <c r="F232" s="49">
        <v>3.2791000000000001E-6</v>
      </c>
      <c r="G232" s="49">
        <v>1.15596E-6</v>
      </c>
      <c r="H232" s="49">
        <v>1.2512E-8</v>
      </c>
      <c r="I232" s="11">
        <v>0</v>
      </c>
    </row>
    <row r="233" spans="1:9">
      <c r="A233" s="9" t="s">
        <v>1345</v>
      </c>
      <c r="B233" s="10"/>
      <c r="C233" s="49" t="s">
        <v>1378</v>
      </c>
      <c r="D233" s="49">
        <v>0</v>
      </c>
      <c r="E233" s="49">
        <v>0</v>
      </c>
      <c r="F233" s="49">
        <v>0</v>
      </c>
      <c r="G233" s="49">
        <v>0</v>
      </c>
      <c r="H233" s="49">
        <v>0</v>
      </c>
      <c r="I233" s="11">
        <v>0</v>
      </c>
    </row>
    <row r="234" spans="1:9">
      <c r="A234" s="9" t="s">
        <v>1382</v>
      </c>
      <c r="B234" s="10"/>
      <c r="C234" s="10" t="s">
        <v>1378</v>
      </c>
      <c r="D234" s="49">
        <v>1.8867000000000001E-5</v>
      </c>
      <c r="E234" s="49">
        <v>2.9511999999999998E-6</v>
      </c>
      <c r="F234" s="49">
        <v>5.3958000000000001E-4</v>
      </c>
      <c r="G234" s="49">
        <v>1.32012E-5</v>
      </c>
      <c r="H234" s="49">
        <v>9.8191999999999999E-7</v>
      </c>
      <c r="I234" s="11">
        <v>0</v>
      </c>
    </row>
    <row r="235" spans="1:9">
      <c r="A235" s="9" t="s">
        <v>1347</v>
      </c>
      <c r="B235" s="10"/>
      <c r="C235" s="10" t="s">
        <v>1378</v>
      </c>
      <c r="D235" s="49">
        <v>0.27787499999999998</v>
      </c>
      <c r="E235" s="49">
        <v>1.7731999999999999E-3</v>
      </c>
      <c r="F235" s="49">
        <v>1.0812899999999999E-3</v>
      </c>
      <c r="G235" s="49">
        <v>3.0438E-2</v>
      </c>
      <c r="H235" s="49">
        <v>2.7744000000000002E-3</v>
      </c>
      <c r="I235" s="11">
        <v>0</v>
      </c>
    </row>
    <row r="236" spans="1:9">
      <c r="A236" s="9" t="s">
        <v>1348</v>
      </c>
      <c r="B236" s="10"/>
      <c r="C236" s="10" t="s">
        <v>1378</v>
      </c>
      <c r="D236" s="49">
        <v>4.0470000000000002E-4</v>
      </c>
      <c r="E236" s="49">
        <v>4.6128000000000003E-5</v>
      </c>
      <c r="F236" s="49">
        <v>3.7398000000000002E-3</v>
      </c>
      <c r="G236" s="49">
        <v>2.2708799999999999E-4</v>
      </c>
      <c r="H236" s="49">
        <v>1.15872E-3</v>
      </c>
      <c r="I236" s="11">
        <v>0</v>
      </c>
    </row>
    <row r="237" spans="1:9">
      <c r="A237" s="9" t="s">
        <v>1026</v>
      </c>
      <c r="B237" s="10"/>
      <c r="C237" s="10" t="s">
        <v>1378</v>
      </c>
      <c r="D237" s="49">
        <v>5.6145000000000001E-4</v>
      </c>
      <c r="E237" s="49">
        <v>3.5711999999999998E-6</v>
      </c>
      <c r="F237" s="49">
        <v>5.1490000000000002E-6</v>
      </c>
      <c r="G237" s="49">
        <v>6.0875999999999998E-5</v>
      </c>
      <c r="H237" s="49">
        <v>2.19504E-6</v>
      </c>
      <c r="I237" s="11">
        <v>0</v>
      </c>
    </row>
    <row r="238" spans="1:9">
      <c r="A238" s="9" t="s">
        <v>1349</v>
      </c>
      <c r="B238" s="10"/>
      <c r="C238" s="10" t="s">
        <v>1378</v>
      </c>
      <c r="D238" s="49">
        <v>2.2543500000000001E-2</v>
      </c>
      <c r="E238" s="49">
        <v>1.9195200000000001E-4</v>
      </c>
      <c r="F238" s="49">
        <v>9.4307999999999996E-3</v>
      </c>
      <c r="G238" s="49">
        <v>2.4589799999999999E-3</v>
      </c>
      <c r="H238" s="49">
        <v>4.8959999999999999E-5</v>
      </c>
      <c r="I238" s="11">
        <v>0</v>
      </c>
    </row>
    <row r="239" spans="1:9">
      <c r="A239" s="9" t="s">
        <v>1027</v>
      </c>
      <c r="B239" s="10"/>
      <c r="C239" s="10" t="s">
        <v>1378</v>
      </c>
      <c r="D239" s="49">
        <v>1.4449499999999999E-5</v>
      </c>
      <c r="E239" s="49">
        <v>1.2052800000000001E-7</v>
      </c>
      <c r="F239" s="49">
        <v>4.065E-6</v>
      </c>
      <c r="G239" s="49">
        <v>1.53558E-6</v>
      </c>
      <c r="H239" s="49">
        <v>6.7728000000000004E-7</v>
      </c>
      <c r="I239" s="11">
        <v>0</v>
      </c>
    </row>
    <row r="240" spans="1:9">
      <c r="A240" s="9" t="s">
        <v>1350</v>
      </c>
      <c r="B240" s="10"/>
      <c r="C240" s="10" t="s">
        <v>1378</v>
      </c>
      <c r="D240" s="49">
        <v>1.7955000000000001</v>
      </c>
      <c r="E240" s="49">
        <v>3.1E-2</v>
      </c>
      <c r="F240" s="49">
        <v>1.9999800000000001</v>
      </c>
      <c r="G240" s="49">
        <v>0.21580199999999999</v>
      </c>
      <c r="H240" s="49">
        <v>3.6991999999999997E-2</v>
      </c>
      <c r="I240" s="11">
        <v>0</v>
      </c>
    </row>
    <row r="241" spans="1:9">
      <c r="A241" s="9" t="s">
        <v>1028</v>
      </c>
      <c r="B241" s="10"/>
      <c r="C241" s="10" t="s">
        <v>1378</v>
      </c>
      <c r="D241" s="49">
        <v>2.7844499999999999E-3</v>
      </c>
      <c r="E241" s="49">
        <v>1.7756799999999999E-5</v>
      </c>
      <c r="F241" s="49">
        <v>4.2276E-5</v>
      </c>
      <c r="G241" s="49">
        <v>3.1156199999999998E-4</v>
      </c>
      <c r="H241" s="49">
        <v>9.4655999999999996E-6</v>
      </c>
      <c r="I241" s="11">
        <v>0</v>
      </c>
    </row>
    <row r="242" spans="1:9">
      <c r="A242" s="9" t="s">
        <v>1029</v>
      </c>
      <c r="B242" s="10"/>
      <c r="C242" s="10" t="s">
        <v>1378</v>
      </c>
      <c r="D242" s="49">
        <v>1.39365E-3</v>
      </c>
      <c r="E242" s="49">
        <v>8.8287999999999992E-6</v>
      </c>
      <c r="F242" s="49">
        <v>1.19511E-5</v>
      </c>
      <c r="G242" s="49">
        <v>1.5218999999999999E-4</v>
      </c>
      <c r="H242" s="49">
        <v>2.72E-7</v>
      </c>
      <c r="I242" s="11">
        <v>0</v>
      </c>
    </row>
    <row r="243" spans="1:9">
      <c r="A243" s="9" t="s">
        <v>1351</v>
      </c>
      <c r="B243" s="10"/>
      <c r="C243" s="10" t="s">
        <v>1378</v>
      </c>
      <c r="D243" s="49">
        <v>1.7898E-6</v>
      </c>
      <c r="E243" s="49">
        <v>1.48304E-7</v>
      </c>
      <c r="F243" s="49">
        <v>1.4308799999999999E-5</v>
      </c>
      <c r="G243" s="49">
        <v>2.3427000000000001E-5</v>
      </c>
      <c r="H243" s="49">
        <v>4.3791999999999999E-8</v>
      </c>
      <c r="I243" s="11">
        <v>0</v>
      </c>
    </row>
    <row r="244" spans="1:9">
      <c r="A244" s="9" t="s">
        <v>1352</v>
      </c>
      <c r="B244" s="10"/>
      <c r="C244" s="49" t="s">
        <v>1378</v>
      </c>
      <c r="D244" s="49">
        <v>0</v>
      </c>
      <c r="E244" s="49">
        <v>0</v>
      </c>
      <c r="F244" s="49">
        <v>0</v>
      </c>
      <c r="G244" s="49">
        <v>0</v>
      </c>
      <c r="H244" s="49">
        <v>0</v>
      </c>
      <c r="I244" s="11">
        <v>0</v>
      </c>
    </row>
    <row r="245" spans="1:9">
      <c r="A245" s="9" t="s">
        <v>1353</v>
      </c>
      <c r="B245" s="10"/>
      <c r="C245" s="10" t="s">
        <v>1378</v>
      </c>
      <c r="D245" s="49">
        <v>8.6355000000000001E-2</v>
      </c>
      <c r="E245" s="49">
        <v>0.58775999999999995</v>
      </c>
      <c r="F245" s="49">
        <v>2.2411699999999998E-3</v>
      </c>
      <c r="G245" s="49">
        <v>9.6443999999999992E-3</v>
      </c>
      <c r="H245" s="49">
        <v>1.5204800000000001E-3</v>
      </c>
      <c r="I245" s="11">
        <v>0</v>
      </c>
    </row>
    <row r="246" spans="1:9">
      <c r="A246" s="9" t="s">
        <v>1032</v>
      </c>
      <c r="B246" s="10"/>
      <c r="C246" s="10" t="s">
        <v>1378</v>
      </c>
      <c r="D246" s="49">
        <v>1.3965E-3</v>
      </c>
      <c r="E246" s="49">
        <v>1.0763200000000001E-5</v>
      </c>
      <c r="F246" s="49">
        <v>1.11923E-5</v>
      </c>
      <c r="G246" s="49">
        <v>1.5321599999999999E-4</v>
      </c>
      <c r="H246" s="49">
        <v>1.36544E-4</v>
      </c>
      <c r="I246" s="11">
        <v>0</v>
      </c>
    </row>
    <row r="247" spans="1:9">
      <c r="A247" s="9" t="s">
        <v>1030</v>
      </c>
      <c r="B247" s="10"/>
      <c r="C247" s="10" t="s">
        <v>1378</v>
      </c>
      <c r="D247" s="49">
        <v>3.9615000000000001E-7</v>
      </c>
      <c r="E247" s="49">
        <v>4.3400000000000003E-9</v>
      </c>
      <c r="F247" s="49">
        <v>4.4715E-8</v>
      </c>
      <c r="G247" s="49">
        <v>2.6744400000000002E-7</v>
      </c>
      <c r="H247" s="49">
        <v>2.8560000000000001E-9</v>
      </c>
      <c r="I247" s="11">
        <v>0</v>
      </c>
    </row>
    <row r="248" spans="1:9">
      <c r="A248" s="9" t="s">
        <v>1031</v>
      </c>
      <c r="B248" s="10"/>
      <c r="C248" s="10" t="s">
        <v>1378</v>
      </c>
      <c r="D248" s="49">
        <v>1.4050499999999999E-3</v>
      </c>
      <c r="E248" s="49">
        <v>8.9279999999999999E-6</v>
      </c>
      <c r="F248" s="49">
        <v>1.57993E-5</v>
      </c>
      <c r="G248" s="49">
        <v>1.5321599999999999E-4</v>
      </c>
      <c r="H248" s="49">
        <v>4.5423999999999999E-6</v>
      </c>
      <c r="I248" s="11">
        <v>0</v>
      </c>
    </row>
    <row r="249" spans="1:9">
      <c r="A249" s="9" t="s">
        <v>1354</v>
      </c>
      <c r="B249" s="10"/>
      <c r="C249" s="10" t="s">
        <v>1378</v>
      </c>
      <c r="D249" s="49">
        <v>6.6975000000000003E-3</v>
      </c>
      <c r="E249" s="49">
        <v>5.5056000000000003E-5</v>
      </c>
      <c r="F249" s="49">
        <v>2.5121700000000002E-3</v>
      </c>
      <c r="G249" s="49">
        <v>1.8023400000000001E-5</v>
      </c>
      <c r="H249" s="49">
        <v>1.44432E-4</v>
      </c>
      <c r="I249" s="11">
        <v>0</v>
      </c>
    </row>
    <row r="250" spans="1:9">
      <c r="A250" s="9" t="s">
        <v>1355</v>
      </c>
      <c r="B250" s="10"/>
      <c r="C250" s="10" t="s">
        <v>1378</v>
      </c>
      <c r="D250" s="49">
        <v>1.66725E-2</v>
      </c>
      <c r="E250" s="49">
        <v>1.04656E-4</v>
      </c>
      <c r="F250" s="49">
        <v>9.9999000000000003E-5</v>
      </c>
      <c r="G250" s="49">
        <v>1.8228599999999999E-3</v>
      </c>
      <c r="H250" s="49">
        <v>1.7217599999999999E-5</v>
      </c>
      <c r="I250" s="11">
        <v>0</v>
      </c>
    </row>
    <row r="251" spans="1:9">
      <c r="A251" s="9" t="s">
        <v>1356</v>
      </c>
      <c r="B251" s="10"/>
      <c r="C251" s="10" t="s">
        <v>1378</v>
      </c>
      <c r="D251" s="49">
        <v>1.2397499999999999</v>
      </c>
      <c r="E251" s="49">
        <v>1.2449600000000001</v>
      </c>
      <c r="F251" s="49">
        <v>7.4254000000000001E-2</v>
      </c>
      <c r="G251" s="49">
        <v>0.15800400000000001</v>
      </c>
      <c r="H251" s="49">
        <v>0.56303999999999998</v>
      </c>
      <c r="I251" s="11">
        <v>0</v>
      </c>
    </row>
    <row r="252" spans="1:9">
      <c r="A252" s="9" t="s">
        <v>1357</v>
      </c>
      <c r="B252" s="10"/>
      <c r="C252" s="10" t="s">
        <v>1378</v>
      </c>
      <c r="D252" s="49">
        <v>3.9899999999999999E-6</v>
      </c>
      <c r="E252" s="49">
        <v>7.0184000000000004E-7</v>
      </c>
      <c r="F252" s="49">
        <v>1.14091E-4</v>
      </c>
      <c r="G252" s="49">
        <v>2.2161600000000001E-5</v>
      </c>
      <c r="H252" s="49">
        <v>7.1536000000000002E-7</v>
      </c>
      <c r="I252" s="11">
        <v>0</v>
      </c>
    </row>
    <row r="253" spans="1:9">
      <c r="A253" s="9" t="s">
        <v>1033</v>
      </c>
      <c r="B253" s="10"/>
      <c r="C253" s="10" t="s">
        <v>1378</v>
      </c>
      <c r="D253" s="49">
        <v>2.7986999999999999E-3</v>
      </c>
      <c r="E253" s="49">
        <v>1.79304E-5</v>
      </c>
      <c r="F253" s="49">
        <v>4.3089E-5</v>
      </c>
      <c r="G253" s="49">
        <v>3.05748E-4</v>
      </c>
      <c r="H253" s="49">
        <v>1.55584E-5</v>
      </c>
      <c r="I253" s="11">
        <v>0</v>
      </c>
    </row>
    <row r="254" spans="1:9">
      <c r="A254" s="9"/>
      <c r="B254" s="10"/>
      <c r="C254" s="10"/>
      <c r="D254" s="10"/>
      <c r="E254" s="10"/>
      <c r="F254" s="10"/>
      <c r="G254" s="10"/>
      <c r="H254" s="10"/>
      <c r="I254" s="11"/>
    </row>
    <row r="255" spans="1:9" ht="15.75" thickBot="1">
      <c r="A255" s="120" t="s">
        <v>1392</v>
      </c>
      <c r="B255" s="13"/>
      <c r="C255" s="13" t="s">
        <v>1378</v>
      </c>
      <c r="D255" s="13">
        <v>62.67</v>
      </c>
      <c r="E255" s="13">
        <v>26.95</v>
      </c>
      <c r="F255" s="13">
        <v>4.47</v>
      </c>
      <c r="G255" s="13">
        <v>9.27</v>
      </c>
      <c r="H255" s="13">
        <v>1.0900000000000001</v>
      </c>
      <c r="I255" s="14">
        <v>15.99</v>
      </c>
    </row>
    <row r="256" spans="1:9">
      <c r="A256" s="65"/>
      <c r="B256" s="10"/>
      <c r="C256" s="10"/>
      <c r="D256" s="10"/>
      <c r="E256" s="10"/>
      <c r="F256" s="10"/>
      <c r="G256" s="10"/>
      <c r="H256" s="10"/>
      <c r="I256" s="10"/>
    </row>
    <row r="258" spans="1:9">
      <c r="A258" s="62" t="s">
        <v>1379</v>
      </c>
    </row>
    <row r="259" spans="1:9" ht="15.75" thickBot="1">
      <c r="A259" s="62" t="s">
        <v>1375</v>
      </c>
    </row>
    <row r="260" spans="1:9" s="62" customFormat="1">
      <c r="A260" s="93"/>
      <c r="B260" s="78"/>
      <c r="C260" s="78" t="s">
        <v>1302</v>
      </c>
      <c r="D260" s="78" t="s">
        <v>1369</v>
      </c>
      <c r="E260" s="78" t="s">
        <v>1370</v>
      </c>
      <c r="F260" s="78" t="s">
        <v>944</v>
      </c>
      <c r="G260" s="78" t="s">
        <v>1371</v>
      </c>
      <c r="H260" s="78" t="s">
        <v>946</v>
      </c>
      <c r="I260" s="79" t="s">
        <v>947</v>
      </c>
    </row>
    <row r="261" spans="1:9">
      <c r="A261" s="64" t="s">
        <v>1376</v>
      </c>
      <c r="B261" s="10"/>
      <c r="C261" s="10" t="s">
        <v>41</v>
      </c>
      <c r="D261" s="36">
        <v>0.28499999999999998</v>
      </c>
      <c r="E261" s="36">
        <v>0.248</v>
      </c>
      <c r="F261" s="36">
        <v>0.27100000000000002</v>
      </c>
      <c r="G261" s="36">
        <v>0.34200000000000003</v>
      </c>
      <c r="H261" s="36">
        <v>0.27200000000000002</v>
      </c>
      <c r="I261" s="130">
        <v>0.76500000000000001</v>
      </c>
    </row>
    <row r="262" spans="1:9">
      <c r="A262" s="9"/>
      <c r="B262" s="10"/>
      <c r="C262" s="10"/>
      <c r="D262" s="10"/>
      <c r="E262" s="10"/>
      <c r="F262" s="10"/>
      <c r="G262" s="10"/>
      <c r="H262" s="10"/>
      <c r="I262" s="11"/>
    </row>
    <row r="263" spans="1:9">
      <c r="A263" s="64" t="s">
        <v>1377</v>
      </c>
      <c r="B263" s="10"/>
      <c r="C263" s="10"/>
      <c r="D263" s="10"/>
      <c r="E263" s="10"/>
      <c r="F263" s="10"/>
      <c r="G263" s="10"/>
      <c r="H263" s="10"/>
      <c r="I263" s="11"/>
    </row>
    <row r="264" spans="1:9">
      <c r="A264" s="9" t="s">
        <v>1016</v>
      </c>
      <c r="B264" s="10"/>
      <c r="C264" s="10" t="s">
        <v>1378</v>
      </c>
      <c r="D264" s="10">
        <v>1.73</v>
      </c>
      <c r="E264" s="10">
        <v>2.02</v>
      </c>
      <c r="F264" s="10">
        <v>0.376</v>
      </c>
      <c r="G264" s="10">
        <v>6.5199999999999994E-2</v>
      </c>
      <c r="H264" s="10">
        <v>1.7899999999999999E-2</v>
      </c>
      <c r="I264" s="11">
        <v>0</v>
      </c>
    </row>
    <row r="265" spans="1:9">
      <c r="A265" s="9" t="s">
        <v>1015</v>
      </c>
      <c r="B265" s="10"/>
      <c r="C265" s="10" t="s">
        <v>1378</v>
      </c>
      <c r="D265" s="10">
        <v>0.125</v>
      </c>
      <c r="E265" s="10">
        <v>0.13300000000000001</v>
      </c>
      <c r="F265" s="10">
        <v>0.223</v>
      </c>
      <c r="G265" s="10">
        <v>0.26700000000000002</v>
      </c>
      <c r="H265" s="10">
        <v>5.6499999999999996E-3</v>
      </c>
      <c r="I265" s="11">
        <v>0</v>
      </c>
    </row>
    <row r="266" spans="1:9">
      <c r="A266" s="9" t="s">
        <v>1329</v>
      </c>
      <c r="B266" s="10"/>
      <c r="C266" s="10" t="s">
        <v>1378</v>
      </c>
      <c r="D266" s="10">
        <v>979</v>
      </c>
      <c r="E266" s="10">
        <v>1350</v>
      </c>
      <c r="F266" s="10">
        <v>880</v>
      </c>
      <c r="G266" s="10">
        <v>767</v>
      </c>
      <c r="H266" s="10">
        <v>5.71</v>
      </c>
      <c r="I266" s="11">
        <v>0</v>
      </c>
    </row>
    <row r="267" spans="1:9">
      <c r="A267" s="9" t="s">
        <v>1330</v>
      </c>
      <c r="B267" s="10"/>
      <c r="C267" s="10" t="s">
        <v>1378</v>
      </c>
      <c r="D267" s="10">
        <v>4.26</v>
      </c>
      <c r="E267" s="10">
        <v>0.26200000000000001</v>
      </c>
      <c r="F267" s="10">
        <v>1.1000000000000001</v>
      </c>
      <c r="G267" s="10">
        <v>1.76</v>
      </c>
      <c r="H267" s="10">
        <v>1.38E-2</v>
      </c>
      <c r="I267" s="11">
        <v>0</v>
      </c>
    </row>
    <row r="268" spans="1:9">
      <c r="A268" s="9" t="s">
        <v>1331</v>
      </c>
      <c r="B268" s="10"/>
      <c r="C268" s="10" t="s">
        <v>1378</v>
      </c>
      <c r="D268" s="10">
        <v>2.52</v>
      </c>
      <c r="E268" s="10">
        <v>1.97</v>
      </c>
      <c r="F268" s="10">
        <v>1.96</v>
      </c>
      <c r="G268" s="10">
        <v>1.49</v>
      </c>
      <c r="H268" s="10">
        <v>1.9900000000000001E-2</v>
      </c>
      <c r="I268" s="11">
        <v>0</v>
      </c>
    </row>
    <row r="269" spans="1:9">
      <c r="A269" s="9" t="s">
        <v>1332</v>
      </c>
      <c r="B269" s="10"/>
      <c r="C269" s="10" t="s">
        <v>1378</v>
      </c>
      <c r="D269" s="10">
        <v>6.0600000000000003E-3</v>
      </c>
      <c r="E269" s="10">
        <v>6.8599999999999998E-3</v>
      </c>
      <c r="F269" s="10">
        <v>1.9400000000000001E-2</v>
      </c>
      <c r="G269" s="10">
        <v>5.7999999999999996E-3</v>
      </c>
      <c r="H269" s="10">
        <v>1.5200000000000001E-4</v>
      </c>
      <c r="I269" s="11">
        <v>0</v>
      </c>
    </row>
    <row r="270" spans="1:9">
      <c r="A270" s="9" t="s">
        <v>1333</v>
      </c>
      <c r="B270" s="10"/>
      <c r="C270" s="10" t="s">
        <v>1378</v>
      </c>
      <c r="D270" s="10">
        <v>4.0199999999999996</v>
      </c>
      <c r="E270" s="10">
        <v>6.86</v>
      </c>
      <c r="F270" s="10">
        <v>9.3000000000000007</v>
      </c>
      <c r="G270" s="10">
        <v>0.26500000000000001</v>
      </c>
      <c r="H270" s="10">
        <v>2.1399999999999999E-2</v>
      </c>
      <c r="I270" s="11">
        <v>0</v>
      </c>
    </row>
    <row r="271" spans="1:9">
      <c r="A271" s="9" t="s">
        <v>1013</v>
      </c>
      <c r="B271" s="10"/>
      <c r="C271" s="10" t="s">
        <v>1378</v>
      </c>
      <c r="D271" s="10">
        <v>0.3</v>
      </c>
      <c r="E271" s="10">
        <v>0.29099999999999998</v>
      </c>
      <c r="F271" s="10">
        <v>9.6900000000000007E-3</v>
      </c>
      <c r="G271" s="10">
        <v>6.1899999999999998E-4</v>
      </c>
      <c r="H271" s="10">
        <v>3.6099999999999999E-4</v>
      </c>
      <c r="I271" s="11">
        <v>0</v>
      </c>
    </row>
    <row r="272" spans="1:9">
      <c r="A272" s="9" t="s">
        <v>1334</v>
      </c>
      <c r="B272" s="10"/>
      <c r="C272" s="10" t="s">
        <v>1378</v>
      </c>
      <c r="D272" s="10">
        <v>3.1899999999999998E-2</v>
      </c>
      <c r="E272" s="10">
        <v>2.2800000000000001E-2</v>
      </c>
      <c r="F272" s="10">
        <v>9.7300000000000002E-4</v>
      </c>
      <c r="G272" s="10">
        <v>5.2800000000000003E-5</v>
      </c>
      <c r="H272" s="10">
        <v>1.08E-4</v>
      </c>
      <c r="I272" s="11">
        <v>0</v>
      </c>
    </row>
    <row r="273" spans="1:9">
      <c r="A273" s="9" t="s">
        <v>1335</v>
      </c>
      <c r="B273" s="10"/>
      <c r="C273" s="10" t="s">
        <v>1378</v>
      </c>
      <c r="D273" s="10"/>
      <c r="E273" s="10"/>
      <c r="F273" s="10"/>
      <c r="G273" s="10"/>
      <c r="H273" s="10"/>
      <c r="I273" s="11"/>
    </row>
    <row r="274" spans="1:9">
      <c r="A274" s="9" t="s">
        <v>1336</v>
      </c>
      <c r="B274" s="10"/>
      <c r="C274" s="10" t="s">
        <v>1378</v>
      </c>
      <c r="D274" s="10">
        <v>1.0600000000000001E-8</v>
      </c>
      <c r="E274" s="10">
        <v>1.04E-8</v>
      </c>
      <c r="F274" s="10">
        <v>1.55E-9</v>
      </c>
      <c r="G274" s="10">
        <v>1.55E-9</v>
      </c>
      <c r="H274" s="10">
        <v>7.61E-7</v>
      </c>
      <c r="I274" s="11">
        <v>0</v>
      </c>
    </row>
    <row r="275" spans="1:9">
      <c r="A275" s="9" t="s">
        <v>1014</v>
      </c>
      <c r="B275" s="10"/>
      <c r="C275" s="10"/>
      <c r="D275" s="10"/>
      <c r="E275" s="10"/>
      <c r="F275" s="10"/>
      <c r="G275" s="10"/>
      <c r="H275" s="10"/>
      <c r="I275" s="11"/>
    </row>
    <row r="276" spans="1:9">
      <c r="A276" s="9" t="s">
        <v>1337</v>
      </c>
      <c r="B276" s="10"/>
      <c r="C276" s="10" t="s">
        <v>1378</v>
      </c>
      <c r="D276" s="10">
        <v>5.8399999999999997E-3</v>
      </c>
      <c r="E276" s="10">
        <v>5.0500000000000002E-4</v>
      </c>
      <c r="F276" s="10">
        <v>7.5600000000000005E-4</v>
      </c>
      <c r="G276" s="10">
        <v>1.94E-4</v>
      </c>
      <c r="H276" s="10">
        <v>1.46E-4</v>
      </c>
      <c r="I276" s="11">
        <v>0</v>
      </c>
    </row>
    <row r="277" spans="1:9">
      <c r="A277" s="9" t="s">
        <v>1027</v>
      </c>
      <c r="B277" s="10"/>
      <c r="C277" s="10" t="s">
        <v>1378</v>
      </c>
      <c r="D277" s="10">
        <v>4.6600000000000003E-6</v>
      </c>
      <c r="E277" s="10">
        <v>2.16E-5</v>
      </c>
      <c r="F277" s="10">
        <v>5.9599999999999999E-5</v>
      </c>
      <c r="G277" s="10">
        <v>2.29E-7</v>
      </c>
      <c r="H277" s="10">
        <v>1.23E-7</v>
      </c>
      <c r="I277" s="11">
        <v>0</v>
      </c>
    </row>
    <row r="278" spans="1:9">
      <c r="A278" s="9" t="s">
        <v>1028</v>
      </c>
      <c r="B278" s="10"/>
      <c r="C278" s="10" t="s">
        <v>1378</v>
      </c>
      <c r="D278" s="10"/>
      <c r="E278" s="10"/>
      <c r="F278" s="10"/>
      <c r="G278" s="10"/>
      <c r="H278" s="10"/>
      <c r="I278" s="11"/>
    </row>
    <row r="279" spans="1:9">
      <c r="A279" s="9" t="s">
        <v>1029</v>
      </c>
      <c r="B279" s="10"/>
      <c r="C279" s="10" t="s">
        <v>1378</v>
      </c>
      <c r="D279" s="10"/>
      <c r="E279" s="10"/>
      <c r="F279" s="10"/>
      <c r="G279" s="10"/>
      <c r="H279" s="10"/>
      <c r="I279" s="11"/>
    </row>
    <row r="280" spans="1:9">
      <c r="A280" s="9" t="s">
        <v>1032</v>
      </c>
      <c r="B280" s="10"/>
      <c r="C280" s="10" t="s">
        <v>1378</v>
      </c>
      <c r="D280" s="10">
        <v>1.83E-4</v>
      </c>
      <c r="E280" s="10">
        <v>4.9400000000000001E-5</v>
      </c>
      <c r="F280" s="10">
        <v>5.1800000000000001E-4</v>
      </c>
      <c r="G280" s="10">
        <v>3.6100000000000002E-6</v>
      </c>
      <c r="H280" s="10">
        <v>7.9500000000000001E-7</v>
      </c>
      <c r="I280" s="11">
        <v>0</v>
      </c>
    </row>
    <row r="281" spans="1:9">
      <c r="A281" s="9" t="s">
        <v>1380</v>
      </c>
      <c r="B281" s="10"/>
      <c r="C281" s="10" t="s">
        <v>1378</v>
      </c>
      <c r="D281" s="10">
        <v>1.11E-4</v>
      </c>
      <c r="E281" s="10">
        <v>3.8300000000000003E-5</v>
      </c>
      <c r="F281" s="10">
        <v>1.5799999999999999E-4</v>
      </c>
      <c r="G281" s="10">
        <v>2.96E-6</v>
      </c>
      <c r="H281" s="10">
        <v>1.9399999999999998E-8</v>
      </c>
      <c r="I281" s="11">
        <v>0</v>
      </c>
    </row>
    <row r="282" spans="1:9">
      <c r="A282" s="9" t="s">
        <v>1030</v>
      </c>
      <c r="B282" s="10"/>
      <c r="C282" s="10" t="s">
        <v>1378</v>
      </c>
      <c r="D282" s="10">
        <v>3.8500000000000001E-5</v>
      </c>
      <c r="E282" s="10">
        <v>5.0300000000000003E-5</v>
      </c>
      <c r="F282" s="10">
        <v>2.79E-6</v>
      </c>
      <c r="G282" s="10">
        <v>1.4600000000000001E-5</v>
      </c>
      <c r="H282" s="10">
        <v>1.4600000000000001E-7</v>
      </c>
      <c r="I282" s="11">
        <v>0</v>
      </c>
    </row>
    <row r="283" spans="1:9">
      <c r="A283" s="9" t="s">
        <v>1031</v>
      </c>
      <c r="B283" s="10"/>
      <c r="C283" s="10" t="s">
        <v>1378</v>
      </c>
      <c r="D283" s="10">
        <v>4.64E-4</v>
      </c>
      <c r="E283" s="10">
        <v>6.6299999999999999E-5</v>
      </c>
      <c r="F283" s="10">
        <v>4.5199999999999997E-3</v>
      </c>
      <c r="G283" s="10">
        <v>4.8799999999999999E-6</v>
      </c>
      <c r="H283" s="10">
        <v>3.98E-6</v>
      </c>
      <c r="I283" s="11">
        <v>0</v>
      </c>
    </row>
    <row r="284" spans="1:9">
      <c r="A284" s="9" t="s">
        <v>1033</v>
      </c>
      <c r="B284" s="10"/>
      <c r="C284" s="10" t="s">
        <v>1378</v>
      </c>
      <c r="D284" s="10">
        <v>3.5E-4</v>
      </c>
      <c r="E284" s="10">
        <v>3.3500000000000001E-4</v>
      </c>
      <c r="F284" s="10">
        <v>3.79E-4</v>
      </c>
      <c r="G284" s="10">
        <v>5.8200000000000002E-6</v>
      </c>
      <c r="H284" s="10">
        <v>9.4800000000000007E-6</v>
      </c>
      <c r="I284" s="11">
        <v>0</v>
      </c>
    </row>
    <row r="285" spans="1:9">
      <c r="A285" s="9"/>
      <c r="B285" s="10"/>
      <c r="C285" s="10"/>
      <c r="D285" s="10"/>
      <c r="E285" s="10"/>
      <c r="F285" s="10"/>
      <c r="G285" s="10"/>
      <c r="H285" s="10"/>
      <c r="I285" s="11"/>
    </row>
    <row r="286" spans="1:9">
      <c r="A286" s="64" t="s">
        <v>1381</v>
      </c>
      <c r="B286" s="10"/>
      <c r="C286" s="10"/>
      <c r="D286" s="10"/>
      <c r="E286" s="10"/>
      <c r="F286" s="10"/>
      <c r="G286" s="10"/>
      <c r="H286" s="10"/>
      <c r="I286" s="11"/>
    </row>
    <row r="287" spans="1:9">
      <c r="A287" s="9" t="s">
        <v>1339</v>
      </c>
      <c r="B287" s="10"/>
      <c r="C287" s="10" t="s">
        <v>1378</v>
      </c>
      <c r="D287" s="10">
        <v>1.3899999999999999E-4</v>
      </c>
      <c r="E287" s="10">
        <v>6.5899999999999996E-6</v>
      </c>
      <c r="F287" s="10">
        <v>6.0099999999999997E-4</v>
      </c>
      <c r="G287" s="10">
        <v>1.95E-5</v>
      </c>
      <c r="H287" s="10">
        <v>2.4499999999999999E-5</v>
      </c>
      <c r="I287" s="11">
        <v>0</v>
      </c>
    </row>
    <row r="288" spans="1:9">
      <c r="A288" s="9" t="s">
        <v>1340</v>
      </c>
      <c r="B288" s="10"/>
      <c r="C288" s="10" t="s">
        <v>1378</v>
      </c>
      <c r="D288" s="10">
        <v>4.3499999999999997E-3</v>
      </c>
      <c r="E288" s="10">
        <v>1.6100000000000001E-4</v>
      </c>
      <c r="F288" s="10">
        <v>1.0699999999999999E-2</v>
      </c>
      <c r="G288" s="10">
        <v>2.4899999999999998E-4</v>
      </c>
      <c r="H288" s="10">
        <v>1.6699999999999999E-4</v>
      </c>
      <c r="I288" s="11">
        <v>0</v>
      </c>
    </row>
    <row r="289" spans="1:9">
      <c r="A289" s="9" t="s">
        <v>1341</v>
      </c>
      <c r="B289" s="10"/>
      <c r="C289" s="10" t="s">
        <v>1378</v>
      </c>
      <c r="D289" s="10">
        <v>3.6299999999999999E-2</v>
      </c>
      <c r="E289" s="10">
        <v>6.7799999999999996E-3</v>
      </c>
      <c r="F289" s="10">
        <v>0.78600000000000003</v>
      </c>
      <c r="G289" s="10">
        <v>0.22</v>
      </c>
      <c r="H289" s="10">
        <v>8.0199999999999994E-2</v>
      </c>
      <c r="I289" s="11">
        <v>0</v>
      </c>
    </row>
    <row r="290" spans="1:9">
      <c r="A290" s="9" t="s">
        <v>1342</v>
      </c>
      <c r="B290" s="10"/>
      <c r="C290" s="10" t="s">
        <v>1378</v>
      </c>
      <c r="D290" s="10">
        <v>4.9399999999999999E-3</v>
      </c>
      <c r="E290" s="10">
        <v>1.64E-3</v>
      </c>
      <c r="F290" s="10">
        <v>0.107</v>
      </c>
      <c r="G290" s="10">
        <v>0.23899999999999999</v>
      </c>
      <c r="H290" s="10">
        <v>3.1199999999999999E-3</v>
      </c>
      <c r="I290" s="11">
        <v>0</v>
      </c>
    </row>
    <row r="291" spans="1:9">
      <c r="A291" s="9" t="s">
        <v>1343</v>
      </c>
      <c r="B291" s="10"/>
      <c r="C291" s="10" t="s">
        <v>1378</v>
      </c>
      <c r="D291" s="10">
        <v>1.5200000000000001E-6</v>
      </c>
      <c r="E291" s="10">
        <v>3.0199999999999998E-7</v>
      </c>
      <c r="F291" s="10">
        <v>4.7599999999999998E-5</v>
      </c>
      <c r="G291" s="10">
        <v>1.18E-7</v>
      </c>
      <c r="H291" s="10">
        <v>8.6900000000000004E-8</v>
      </c>
      <c r="I291" s="11">
        <v>0</v>
      </c>
    </row>
    <row r="292" spans="1:9">
      <c r="A292" s="9" t="s">
        <v>1344</v>
      </c>
      <c r="B292" s="10"/>
      <c r="C292" s="10" t="s">
        <v>1378</v>
      </c>
      <c r="D292" s="10">
        <v>4.9200000000000001E-7</v>
      </c>
      <c r="E292" s="10">
        <v>8.7699999999999998E-8</v>
      </c>
      <c r="F292" s="10">
        <v>1.2099999999999999E-5</v>
      </c>
      <c r="G292" s="10">
        <v>3.3799999999999998E-6</v>
      </c>
      <c r="H292" s="10">
        <v>4.6000000000000002E-8</v>
      </c>
      <c r="I292" s="11">
        <v>0</v>
      </c>
    </row>
    <row r="293" spans="1:9">
      <c r="A293" s="9" t="s">
        <v>1345</v>
      </c>
      <c r="B293" s="10"/>
      <c r="C293" s="10"/>
      <c r="D293" s="10"/>
      <c r="E293" s="10"/>
      <c r="F293" s="10"/>
      <c r="G293" s="10"/>
      <c r="H293" s="10"/>
      <c r="I293" s="11"/>
    </row>
    <row r="294" spans="1:9">
      <c r="A294" s="9" t="s">
        <v>1382</v>
      </c>
      <c r="B294" s="10"/>
      <c r="C294" s="10" t="s">
        <v>1378</v>
      </c>
      <c r="D294" s="10">
        <v>6.6199999999999996E-5</v>
      </c>
      <c r="E294" s="10">
        <v>1.19E-5</v>
      </c>
      <c r="F294" s="10">
        <v>1.98E-3</v>
      </c>
      <c r="G294" s="10">
        <v>3.8600000000000003E-5</v>
      </c>
      <c r="H294" s="10">
        <v>3.6100000000000002E-6</v>
      </c>
      <c r="I294" s="11">
        <v>0</v>
      </c>
    </row>
    <row r="295" spans="1:9">
      <c r="A295" s="9" t="s">
        <v>1347</v>
      </c>
      <c r="B295" s="10"/>
      <c r="C295" s="10" t="s">
        <v>1378</v>
      </c>
      <c r="D295" s="10">
        <v>0.97499999999999998</v>
      </c>
      <c r="E295" s="10">
        <v>7.1500000000000001E-3</v>
      </c>
      <c r="F295" s="10">
        <v>3.9899999999999996E-3</v>
      </c>
      <c r="G295" s="10">
        <v>8.8999999999999996E-2</v>
      </c>
      <c r="H295" s="10">
        <v>1.0200000000000001E-2</v>
      </c>
      <c r="I295" s="11">
        <v>0</v>
      </c>
    </row>
    <row r="296" spans="1:9">
      <c r="A296" s="9" t="s">
        <v>1348</v>
      </c>
      <c r="B296" s="10"/>
      <c r="C296" s="10" t="s">
        <v>1378</v>
      </c>
      <c r="D296" s="10">
        <v>1.42E-3</v>
      </c>
      <c r="E296" s="10">
        <v>1.8599999999999999E-4</v>
      </c>
      <c r="F296" s="10">
        <v>1.38E-2</v>
      </c>
      <c r="G296" s="10">
        <v>6.6399999999999999E-4</v>
      </c>
      <c r="H296" s="10">
        <v>4.2599999999999999E-3</v>
      </c>
      <c r="I296" s="11">
        <v>0</v>
      </c>
    </row>
    <row r="297" spans="1:9">
      <c r="A297" s="9" t="s">
        <v>1026</v>
      </c>
      <c r="B297" s="10"/>
      <c r="C297" s="10" t="s">
        <v>1378</v>
      </c>
      <c r="D297" s="10">
        <v>1.97E-3</v>
      </c>
      <c r="E297" s="10">
        <v>1.4399999999999999E-5</v>
      </c>
      <c r="F297" s="10">
        <v>1.9000000000000001E-5</v>
      </c>
      <c r="G297" s="10">
        <v>1.7799999999999999E-4</v>
      </c>
      <c r="H297" s="10">
        <v>8.0700000000000007E-6</v>
      </c>
      <c r="I297" s="11">
        <v>0</v>
      </c>
    </row>
    <row r="298" spans="1:9">
      <c r="A298" s="9" t="s">
        <v>1349</v>
      </c>
      <c r="B298" s="10"/>
      <c r="C298" s="10" t="s">
        <v>1378</v>
      </c>
      <c r="D298" s="10">
        <v>7.9100000000000004E-2</v>
      </c>
      <c r="E298" s="10">
        <v>7.7399999999999995E-4</v>
      </c>
      <c r="F298" s="10">
        <v>3.4799999999999998E-2</v>
      </c>
      <c r="G298" s="10">
        <v>7.1900000000000002E-3</v>
      </c>
      <c r="H298" s="10">
        <v>1.08E-4</v>
      </c>
      <c r="I298" s="11">
        <v>0</v>
      </c>
    </row>
    <row r="299" spans="1:9">
      <c r="A299" s="9" t="s">
        <v>1027</v>
      </c>
      <c r="B299" s="10"/>
      <c r="C299" s="10" t="s">
        <v>1378</v>
      </c>
      <c r="D299" s="10">
        <v>5.0699999999999999E-5</v>
      </c>
      <c r="E299" s="10">
        <v>4.8599999999999998E-7</v>
      </c>
      <c r="F299" s="10">
        <v>1.5E-5</v>
      </c>
      <c r="G299" s="10">
        <v>4.4900000000000002E-6</v>
      </c>
      <c r="H299" s="10">
        <v>2.4899999999999999E-6</v>
      </c>
      <c r="I299" s="11">
        <v>0</v>
      </c>
    </row>
    <row r="300" spans="1:9">
      <c r="A300" s="9" t="s">
        <v>1350</v>
      </c>
      <c r="B300" s="10"/>
      <c r="C300" s="10" t="s">
        <v>1378</v>
      </c>
      <c r="D300" s="10">
        <v>6.3</v>
      </c>
      <c r="E300" s="10">
        <v>0.125</v>
      </c>
      <c r="F300" s="10">
        <v>7.38</v>
      </c>
      <c r="G300" s="10">
        <v>0.63100000000000001</v>
      </c>
      <c r="H300" s="10">
        <v>0.13600000000000001</v>
      </c>
      <c r="I300" s="11">
        <v>0</v>
      </c>
    </row>
    <row r="301" spans="1:9">
      <c r="A301" s="9" t="s">
        <v>1028</v>
      </c>
      <c r="B301" s="10"/>
      <c r="C301" s="10" t="s">
        <v>1378</v>
      </c>
      <c r="D301" s="10">
        <v>9.7699999999999992E-3</v>
      </c>
      <c r="E301" s="10">
        <v>7.1600000000000006E-5</v>
      </c>
      <c r="F301" s="10">
        <v>1.56E-4</v>
      </c>
      <c r="G301" s="10">
        <v>9.1100000000000003E-4</v>
      </c>
      <c r="H301" s="10">
        <v>3.4799999999999999E-5</v>
      </c>
      <c r="I301" s="11">
        <v>0</v>
      </c>
    </row>
    <row r="302" spans="1:9">
      <c r="A302" s="9" t="s">
        <v>1029</v>
      </c>
      <c r="B302" s="10"/>
      <c r="C302" s="10" t="s">
        <v>1378</v>
      </c>
      <c r="D302" s="10">
        <v>4.8900000000000002E-3</v>
      </c>
      <c r="E302" s="10">
        <v>3.5599999999999998E-5</v>
      </c>
      <c r="F302" s="10">
        <v>4.4100000000000001E-5</v>
      </c>
      <c r="G302" s="10">
        <v>4.4499999999999997E-4</v>
      </c>
      <c r="H302" s="10">
        <v>9.9999999999999995E-7</v>
      </c>
      <c r="I302" s="11">
        <v>0</v>
      </c>
    </row>
    <row r="303" spans="1:9">
      <c r="A303" s="9" t="s">
        <v>1351</v>
      </c>
      <c r="B303" s="10"/>
      <c r="C303" s="10" t="s">
        <v>1378</v>
      </c>
      <c r="D303" s="10">
        <v>6.28E-6</v>
      </c>
      <c r="E303" s="10">
        <v>5.9800000000000003E-7</v>
      </c>
      <c r="F303" s="10">
        <v>5.2800000000000003E-5</v>
      </c>
      <c r="G303" s="10">
        <v>6.8499999999999998E-5</v>
      </c>
      <c r="H303" s="10">
        <v>1.61E-7</v>
      </c>
      <c r="I303" s="11">
        <v>0</v>
      </c>
    </row>
    <row r="304" spans="1:9">
      <c r="A304" s="9" t="s">
        <v>1353</v>
      </c>
      <c r="B304" s="10"/>
      <c r="C304" s="10" t="s">
        <v>1378</v>
      </c>
      <c r="D304" s="10">
        <v>0.30299999999999999</v>
      </c>
      <c r="E304" s="10">
        <v>2.37</v>
      </c>
      <c r="F304" s="10">
        <v>8.2699999999999996E-3</v>
      </c>
      <c r="G304" s="10">
        <v>2.8199999999999999E-2</v>
      </c>
      <c r="H304" s="10">
        <v>5.5900000000000004E-3</v>
      </c>
      <c r="I304" s="11">
        <v>0</v>
      </c>
    </row>
    <row r="305" spans="1:9">
      <c r="A305" s="9" t="s">
        <v>1032</v>
      </c>
      <c r="B305" s="10"/>
      <c r="C305" s="10" t="s">
        <v>1378</v>
      </c>
      <c r="D305" s="10">
        <v>4.8999999999999998E-3</v>
      </c>
      <c r="E305" s="10">
        <v>4.3399999999999998E-5</v>
      </c>
      <c r="F305" s="10">
        <v>4.1300000000000001E-5</v>
      </c>
      <c r="G305" s="10">
        <v>4.4799999999999999E-4</v>
      </c>
      <c r="H305" s="10">
        <v>5.0199999999999995E-4</v>
      </c>
      <c r="I305" s="11">
        <v>0</v>
      </c>
    </row>
    <row r="306" spans="1:9">
      <c r="A306" s="9" t="s">
        <v>1030</v>
      </c>
      <c r="B306" s="10"/>
      <c r="C306" s="10" t="s">
        <v>1378</v>
      </c>
      <c r="D306" s="10">
        <v>1.39E-6</v>
      </c>
      <c r="E306" s="10">
        <v>1.7500000000000001E-8</v>
      </c>
      <c r="F306" s="10">
        <v>1.6500000000000001E-7</v>
      </c>
      <c r="G306" s="10">
        <v>7.8199999999999999E-7</v>
      </c>
      <c r="H306" s="10">
        <v>1.05E-8</v>
      </c>
      <c r="I306" s="11">
        <v>0</v>
      </c>
    </row>
    <row r="307" spans="1:9">
      <c r="A307" s="9" t="s">
        <v>1031</v>
      </c>
      <c r="B307" s="10"/>
      <c r="C307" s="10" t="s">
        <v>1378</v>
      </c>
      <c r="D307" s="10">
        <v>4.9300000000000004E-3</v>
      </c>
      <c r="E307" s="10">
        <v>3.6000000000000001E-5</v>
      </c>
      <c r="F307" s="10">
        <v>5.8300000000000001E-5</v>
      </c>
      <c r="G307" s="10">
        <v>4.4799999999999999E-4</v>
      </c>
      <c r="H307" s="10">
        <v>1.6699999999999999E-5</v>
      </c>
      <c r="I307" s="11">
        <v>0</v>
      </c>
    </row>
    <row r="308" spans="1:9">
      <c r="A308" s="9" t="s">
        <v>1354</v>
      </c>
      <c r="B308" s="10"/>
      <c r="C308" s="10" t="s">
        <v>1378</v>
      </c>
      <c r="D308" s="10">
        <v>2.35E-2</v>
      </c>
      <c r="E308" s="10">
        <v>2.22E-4</v>
      </c>
      <c r="F308" s="10">
        <v>9.2700000000000005E-3</v>
      </c>
      <c r="G308" s="10">
        <v>5.27E-5</v>
      </c>
      <c r="H308" s="10">
        <v>5.31E-4</v>
      </c>
      <c r="I308" s="11">
        <v>0</v>
      </c>
    </row>
    <row r="309" spans="1:9">
      <c r="A309" s="9" t="s">
        <v>1355</v>
      </c>
      <c r="B309" s="10"/>
      <c r="C309" s="10" t="s">
        <v>1378</v>
      </c>
      <c r="D309" s="10">
        <v>5.8500000000000003E-2</v>
      </c>
      <c r="E309" s="10">
        <v>4.2200000000000001E-4</v>
      </c>
      <c r="F309" s="10">
        <v>3.6900000000000002E-4</v>
      </c>
      <c r="G309" s="10">
        <v>5.3299999999999997E-3</v>
      </c>
      <c r="H309" s="10">
        <v>6.3299999999999994E-5</v>
      </c>
      <c r="I309" s="11">
        <v>0</v>
      </c>
    </row>
    <row r="310" spans="1:9">
      <c r="A310" s="9" t="s">
        <v>1356</v>
      </c>
      <c r="B310" s="10"/>
      <c r="C310" s="10" t="s">
        <v>1378</v>
      </c>
      <c r="D310" s="10">
        <v>4.3499999999999996</v>
      </c>
      <c r="E310" s="10">
        <v>5.0199999999999996</v>
      </c>
      <c r="F310" s="10">
        <v>0.27400000000000002</v>
      </c>
      <c r="G310" s="10">
        <v>0.46200000000000002</v>
      </c>
      <c r="H310" s="10">
        <v>2.0699999999999998</v>
      </c>
      <c r="I310" s="11">
        <v>0</v>
      </c>
    </row>
    <row r="311" spans="1:9">
      <c r="A311" s="9" t="s">
        <v>1357</v>
      </c>
      <c r="B311" s="10"/>
      <c r="C311" s="10" t="s">
        <v>1378</v>
      </c>
      <c r="D311" s="10">
        <v>1.4E-5</v>
      </c>
      <c r="E311" s="10">
        <v>2.83E-6</v>
      </c>
      <c r="F311" s="10">
        <v>4.2099999999999999E-4</v>
      </c>
      <c r="G311" s="10">
        <v>6.4800000000000003E-5</v>
      </c>
      <c r="H311" s="10">
        <v>2.6299999999999998E-6</v>
      </c>
      <c r="I311" s="11">
        <v>0</v>
      </c>
    </row>
    <row r="312" spans="1:9">
      <c r="A312" s="9" t="s">
        <v>1033</v>
      </c>
      <c r="B312" s="10"/>
      <c r="C312" s="10" t="s">
        <v>1378</v>
      </c>
      <c r="D312" s="10">
        <v>9.8200000000000006E-3</v>
      </c>
      <c r="E312" s="10">
        <v>7.2299999999999996E-5</v>
      </c>
      <c r="F312" s="10">
        <v>1.5899999999999999E-4</v>
      </c>
      <c r="G312" s="10">
        <v>8.9400000000000005E-4</v>
      </c>
      <c r="H312" s="10">
        <v>5.7200000000000001E-5</v>
      </c>
      <c r="I312" s="11">
        <v>0</v>
      </c>
    </row>
    <row r="313" spans="1:9">
      <c r="A313" s="9"/>
      <c r="B313" s="10"/>
      <c r="C313" s="10"/>
      <c r="D313" s="10"/>
      <c r="E313" s="10"/>
      <c r="F313" s="10"/>
      <c r="G313" s="10"/>
      <c r="H313" s="10"/>
      <c r="I313" s="11"/>
    </row>
    <row r="314" spans="1:9" ht="15.75" thickBot="1">
      <c r="A314" s="120" t="s">
        <v>1392</v>
      </c>
      <c r="B314" s="13"/>
      <c r="C314" s="13" t="s">
        <v>1378</v>
      </c>
      <c r="D314" s="13">
        <v>219.9</v>
      </c>
      <c r="E314" s="13">
        <v>108.7</v>
      </c>
      <c r="F314" s="13">
        <v>16.5</v>
      </c>
      <c r="G314" s="13">
        <v>27.1</v>
      </c>
      <c r="H314" s="13">
        <v>4</v>
      </c>
      <c r="I314" s="14">
        <v>0</v>
      </c>
    </row>
    <row r="317" spans="1:9">
      <c r="A317" s="62" t="s">
        <v>1372</v>
      </c>
    </row>
    <row r="318" spans="1:9">
      <c r="A318" s="62" t="s">
        <v>1374</v>
      </c>
    </row>
    <row r="319" spans="1:9" ht="15.75" thickBot="1"/>
    <row r="320" spans="1:9">
      <c r="A320" s="93"/>
      <c r="B320" s="7"/>
      <c r="C320" s="78" t="s">
        <v>1302</v>
      </c>
      <c r="D320" s="78" t="s">
        <v>1373</v>
      </c>
      <c r="E320" s="78" t="s">
        <v>1383</v>
      </c>
      <c r="F320" s="79" t="s">
        <v>1384</v>
      </c>
    </row>
    <row r="321" spans="1:8">
      <c r="A321" s="64" t="s">
        <v>1385</v>
      </c>
      <c r="B321" s="10"/>
      <c r="C321" s="10" t="s">
        <v>1316</v>
      </c>
      <c r="D321" s="10">
        <v>4.02E-2</v>
      </c>
      <c r="E321" s="10">
        <v>3.4349999999999999E-2</v>
      </c>
      <c r="F321" s="11">
        <v>3.8136000000000003E-2</v>
      </c>
    </row>
    <row r="322" spans="1:8">
      <c r="A322" s="64" t="s">
        <v>1386</v>
      </c>
      <c r="B322" s="10"/>
      <c r="C322" s="10" t="s">
        <v>41</v>
      </c>
      <c r="D322" s="36">
        <v>0.80200000000000005</v>
      </c>
      <c r="E322" s="36">
        <v>0.63600000000000001</v>
      </c>
      <c r="F322" s="131">
        <v>0.75900000000000001</v>
      </c>
    </row>
    <row r="323" spans="1:8">
      <c r="A323" s="9"/>
      <c r="B323" s="10"/>
      <c r="C323" s="10"/>
      <c r="D323" s="10"/>
      <c r="E323" s="10"/>
      <c r="F323" s="11"/>
    </row>
    <row r="324" spans="1:8">
      <c r="A324" s="64" t="s">
        <v>1377</v>
      </c>
      <c r="B324" s="10"/>
      <c r="C324" s="10"/>
      <c r="D324" s="10"/>
      <c r="E324" s="10"/>
      <c r="F324" s="11"/>
    </row>
    <row r="325" spans="1:8">
      <c r="A325" s="9" t="s">
        <v>1016</v>
      </c>
      <c r="B325" s="10"/>
      <c r="C325" s="10" t="s">
        <v>1378</v>
      </c>
      <c r="D325" s="10">
        <v>0.123</v>
      </c>
      <c r="E325" s="10">
        <v>0.498</v>
      </c>
      <c r="F325" s="11">
        <v>1.2432000000000001</v>
      </c>
    </row>
    <row r="326" spans="1:8">
      <c r="A326" s="9" t="s">
        <v>1015</v>
      </c>
      <c r="B326" s="10"/>
      <c r="C326" s="10" t="s">
        <v>1378</v>
      </c>
      <c r="D326" s="10">
        <v>0.97</v>
      </c>
      <c r="E326" s="10">
        <v>65.025000000000006</v>
      </c>
      <c r="F326" s="11">
        <v>16.547999999999998</v>
      </c>
    </row>
    <row r="327" spans="1:8">
      <c r="A327" s="9" t="s">
        <v>1329</v>
      </c>
      <c r="B327" s="10"/>
      <c r="C327" s="10" t="s">
        <v>1378</v>
      </c>
      <c r="D327" s="10">
        <v>2290</v>
      </c>
      <c r="E327" s="10">
        <v>2985</v>
      </c>
      <c r="F327" s="11">
        <v>3015.6</v>
      </c>
    </row>
    <row r="328" spans="1:8">
      <c r="A328" s="9" t="s">
        <v>1330</v>
      </c>
      <c r="B328" s="10"/>
      <c r="C328" s="10" t="s">
        <v>1378</v>
      </c>
      <c r="D328" s="10">
        <v>6.46</v>
      </c>
      <c r="E328" s="10">
        <v>3.9375</v>
      </c>
      <c r="F328" s="11">
        <v>3.6707999999999998</v>
      </c>
    </row>
    <row r="329" spans="1:8">
      <c r="A329" s="9" t="s">
        <v>1387</v>
      </c>
      <c r="B329" s="10"/>
      <c r="C329" s="10" t="s">
        <v>1378</v>
      </c>
      <c r="D329" s="10">
        <v>2.34</v>
      </c>
      <c r="E329" s="10">
        <v>28.875</v>
      </c>
      <c r="F329" s="11">
        <v>54.264000000000003</v>
      </c>
      <c r="G329" t="s">
        <v>1459</v>
      </c>
    </row>
    <row r="330" spans="1:8">
      <c r="A330" s="9" t="s">
        <v>1332</v>
      </c>
      <c r="B330" s="10"/>
      <c r="C330" s="10" t="s">
        <v>1378</v>
      </c>
      <c r="D330" s="49">
        <v>2.47E-2</v>
      </c>
      <c r="E330" s="140">
        <f>0.23175/1000</f>
        <v>2.3175000000000002E-4</v>
      </c>
      <c r="F330" s="141">
        <f>0.072828/1000</f>
        <v>7.2828000000000001E-5</v>
      </c>
      <c r="G330" t="s">
        <v>1460</v>
      </c>
      <c r="H330" t="s">
        <v>1419</v>
      </c>
    </row>
    <row r="331" spans="1:8">
      <c r="A331" s="9" t="s">
        <v>1388</v>
      </c>
      <c r="B331" s="10"/>
      <c r="C331" s="10" t="s">
        <v>1378</v>
      </c>
      <c r="D331" s="10">
        <v>1.29</v>
      </c>
      <c r="E331" s="10">
        <v>4.8975</v>
      </c>
      <c r="F331" s="11">
        <v>4.5444000000000004</v>
      </c>
      <c r="H331" t="s">
        <v>1458</v>
      </c>
    </row>
    <row r="332" spans="1:8">
      <c r="A332" s="9" t="s">
        <v>1013</v>
      </c>
      <c r="B332" s="10"/>
      <c r="C332" s="10" t="s">
        <v>1378</v>
      </c>
      <c r="D332" s="10">
        <v>1.43E-2</v>
      </c>
      <c r="E332" s="10">
        <v>1.3350000000000001E-2</v>
      </c>
      <c r="F332" s="11">
        <v>6.1656000000000002E-3</v>
      </c>
    </row>
    <row r="333" spans="1:8">
      <c r="A333" s="9" t="s">
        <v>1334</v>
      </c>
      <c r="B333" s="10"/>
      <c r="C333" s="10" t="s">
        <v>1378</v>
      </c>
      <c r="D333" s="49">
        <v>1.5100000000000001E-3</v>
      </c>
      <c r="E333" s="140">
        <f>0.001395/1000</f>
        <v>1.395E-6</v>
      </c>
      <c r="F333" s="141">
        <f>0.00064428/1000</f>
        <v>6.4428E-7</v>
      </c>
      <c r="G333" t="s">
        <v>1460</v>
      </c>
    </row>
    <row r="334" spans="1:8">
      <c r="A334" s="9" t="s">
        <v>1335</v>
      </c>
      <c r="B334" s="10"/>
      <c r="C334" s="10" t="s">
        <v>1378</v>
      </c>
      <c r="D334" s="10"/>
      <c r="E334" s="10"/>
      <c r="F334" s="11"/>
    </row>
    <row r="335" spans="1:8">
      <c r="A335" s="9" t="s">
        <v>1390</v>
      </c>
      <c r="B335" s="10"/>
      <c r="C335" s="49" t="s">
        <v>1378</v>
      </c>
      <c r="D335" s="49">
        <v>0</v>
      </c>
      <c r="E335" s="49">
        <v>0</v>
      </c>
      <c r="F335" s="11">
        <v>0</v>
      </c>
    </row>
    <row r="336" spans="1:8">
      <c r="A336" s="9" t="s">
        <v>1336</v>
      </c>
      <c r="B336" s="10"/>
      <c r="C336" s="10" t="s">
        <v>1378</v>
      </c>
      <c r="D336" s="49">
        <f>5.04*10^-8</f>
        <v>5.0400000000000001E-8</v>
      </c>
      <c r="E336" s="140">
        <f>3.375*10^-8</f>
        <v>3.3750000000000001E-8</v>
      </c>
      <c r="F336" s="141">
        <f>1.7304*10^-8</f>
        <v>1.7304000000000001E-8</v>
      </c>
      <c r="G336" t="s">
        <v>1420</v>
      </c>
    </row>
    <row r="337" spans="1:7">
      <c r="A337" s="9" t="s">
        <v>1014</v>
      </c>
      <c r="B337" s="10"/>
      <c r="C337" s="10"/>
      <c r="D337" s="10"/>
      <c r="E337" s="10"/>
      <c r="F337" s="11"/>
    </row>
    <row r="338" spans="1:7">
      <c r="A338" s="9" t="s">
        <v>1337</v>
      </c>
      <c r="B338" s="10"/>
      <c r="C338" s="10" t="s">
        <v>1378</v>
      </c>
      <c r="D338" s="49">
        <v>2.2800000000000001E-4</v>
      </c>
      <c r="E338" s="140">
        <f>0.000156/1000</f>
        <v>1.5599999999999999E-7</v>
      </c>
      <c r="F338" s="141">
        <f>0.000081984/1000</f>
        <v>8.1984000000000001E-8</v>
      </c>
      <c r="G338" t="s">
        <v>1460</v>
      </c>
    </row>
    <row r="339" spans="1:7">
      <c r="A339" s="9" t="s">
        <v>1026</v>
      </c>
      <c r="B339" s="10"/>
      <c r="C339" s="10"/>
      <c r="D339" s="10"/>
      <c r="E339" s="10"/>
      <c r="F339" s="11"/>
    </row>
    <row r="340" spans="1:7">
      <c r="A340" s="9" t="s">
        <v>1027</v>
      </c>
      <c r="B340" s="10"/>
      <c r="C340" s="10" t="s">
        <v>1378</v>
      </c>
      <c r="D340" s="49">
        <v>1.72E-6</v>
      </c>
      <c r="E340" s="140">
        <f>0.00012075/1000000</f>
        <v>1.2075E-10</v>
      </c>
      <c r="F340" s="141">
        <f>0.000029316/1000000</f>
        <v>2.9316E-11</v>
      </c>
      <c r="G340" t="s">
        <v>1461</v>
      </c>
    </row>
    <row r="341" spans="1:7">
      <c r="A341" s="9" t="s">
        <v>1028</v>
      </c>
      <c r="B341" s="10"/>
      <c r="C341" s="10"/>
      <c r="D341" s="10"/>
      <c r="E341" s="10"/>
      <c r="F341" s="11"/>
    </row>
    <row r="342" spans="1:7">
      <c r="A342" s="9" t="s">
        <v>1029</v>
      </c>
      <c r="B342" s="10"/>
      <c r="C342" s="10"/>
      <c r="D342" s="10"/>
      <c r="E342" s="10"/>
      <c r="F342" s="11"/>
    </row>
    <row r="343" spans="1:7">
      <c r="A343" s="9" t="s">
        <v>1032</v>
      </c>
      <c r="B343" s="10"/>
      <c r="C343" s="10" t="s">
        <v>1378</v>
      </c>
      <c r="D343" s="49">
        <v>1.66E-5</v>
      </c>
      <c r="E343" s="140">
        <f>0.003105/1000</f>
        <v>3.1049999999999999E-6</v>
      </c>
      <c r="F343" s="141">
        <f>0.00016128/1000</f>
        <v>1.6128E-7</v>
      </c>
      <c r="G343" t="s">
        <v>1460</v>
      </c>
    </row>
    <row r="344" spans="1:7">
      <c r="A344" s="9" t="s">
        <v>1380</v>
      </c>
      <c r="B344" s="10"/>
      <c r="C344" s="10" t="s">
        <v>1378</v>
      </c>
      <c r="D344" s="49">
        <v>7.1799999999999999E-6</v>
      </c>
      <c r="E344" s="140">
        <f>4.8075*10^-6/1000</f>
        <v>4.8075000000000002E-9</v>
      </c>
      <c r="F344" s="141">
        <f>2.4696*10^-6/1000</f>
        <v>2.4695999999999994E-9</v>
      </c>
      <c r="G344" t="s">
        <v>1460</v>
      </c>
    </row>
    <row r="345" spans="1:7">
      <c r="A345" s="9" t="s">
        <v>1030</v>
      </c>
      <c r="B345" s="10"/>
      <c r="C345" s="10" t="s">
        <v>1378</v>
      </c>
      <c r="D345" s="49">
        <v>7.25E-5</v>
      </c>
      <c r="E345" s="140">
        <f>0.000008475/1000000</f>
        <v>8.4749999999999985E-12</v>
      </c>
      <c r="F345" s="141">
        <f>3.0156*10^-6/1000000</f>
        <v>3.0155999999999998E-12</v>
      </c>
      <c r="G345" t="s">
        <v>1461</v>
      </c>
    </row>
    <row r="346" spans="1:7">
      <c r="A346" s="9" t="s">
        <v>1031</v>
      </c>
      <c r="B346" s="10"/>
      <c r="C346" s="10" t="s">
        <v>1378</v>
      </c>
      <c r="D346" s="49">
        <v>9.9400000000000004E-5</v>
      </c>
      <c r="E346" s="140">
        <f>0.0026025/1000</f>
        <v>2.6025000000000001E-6</v>
      </c>
      <c r="F346" s="141">
        <f>0.0014532/1000</f>
        <v>1.4531999999999999E-6</v>
      </c>
      <c r="G346" t="s">
        <v>1460</v>
      </c>
    </row>
    <row r="347" spans="1:7">
      <c r="A347" s="9" t="s">
        <v>1033</v>
      </c>
      <c r="B347" s="10"/>
      <c r="C347" s="10" t="s">
        <v>1378</v>
      </c>
      <c r="D347" s="49">
        <v>3.43E-5</v>
      </c>
      <c r="E347" s="140">
        <f>0.000825/1000</f>
        <v>8.2500000000000004E-7</v>
      </c>
      <c r="F347" s="141">
        <f>0.000966/1000</f>
        <v>9.6599999999999994E-7</v>
      </c>
      <c r="G347" t="s">
        <v>1460</v>
      </c>
    </row>
    <row r="348" spans="1:7">
      <c r="A348" s="9"/>
      <c r="B348" s="10"/>
      <c r="C348" s="10"/>
      <c r="D348" s="10"/>
      <c r="E348" s="10"/>
      <c r="F348" s="11"/>
    </row>
    <row r="349" spans="1:7">
      <c r="A349" s="64" t="s">
        <v>1381</v>
      </c>
      <c r="B349" s="10"/>
      <c r="C349" s="10"/>
      <c r="D349" s="10"/>
      <c r="E349" s="10"/>
      <c r="F349" s="11"/>
    </row>
    <row r="350" spans="1:7">
      <c r="A350" s="9" t="s">
        <v>1339</v>
      </c>
      <c r="B350" s="10"/>
      <c r="C350" s="10" t="s">
        <v>1378</v>
      </c>
      <c r="D350" s="10">
        <v>1.11E-4</v>
      </c>
      <c r="E350" s="140">
        <f>0.003915/1000</f>
        <v>3.9149999999999998E-6</v>
      </c>
      <c r="F350" s="141">
        <f>0.0041328/1000</f>
        <v>4.1327999999999996E-6</v>
      </c>
      <c r="G350" t="s">
        <v>1460</v>
      </c>
    </row>
    <row r="351" spans="1:7">
      <c r="A351" s="9" t="s">
        <v>1340</v>
      </c>
      <c r="B351" s="10"/>
      <c r="C351" s="10" t="s">
        <v>1378</v>
      </c>
      <c r="D351" s="10">
        <v>1.5E-3</v>
      </c>
      <c r="E351" s="140">
        <f>0.1275/1000</f>
        <v>1.2750000000000001E-4</v>
      </c>
      <c r="F351" s="141">
        <f>0.13524/1000</f>
        <v>1.3523999999999999E-4</v>
      </c>
      <c r="G351" t="s">
        <v>1460</v>
      </c>
    </row>
    <row r="352" spans="1:7">
      <c r="A352" s="9" t="s">
        <v>1341</v>
      </c>
      <c r="B352" s="10"/>
      <c r="C352" s="10" t="s">
        <v>1378</v>
      </c>
      <c r="D352" s="10">
        <v>1.1299999999999999</v>
      </c>
      <c r="E352" s="10">
        <v>2.5649999999999999</v>
      </c>
      <c r="F352" s="11">
        <v>2.6208</v>
      </c>
    </row>
    <row r="353" spans="1:10">
      <c r="A353" s="9" t="s">
        <v>1342</v>
      </c>
      <c r="B353" s="10"/>
      <c r="C353" s="10" t="s">
        <v>1378</v>
      </c>
      <c r="D353" s="10">
        <v>1.1100000000000001</v>
      </c>
      <c r="E353" s="140">
        <f>0.4275/1000</f>
        <v>4.2749999999999998E-4</v>
      </c>
      <c r="F353" s="141">
        <f>0.42252/1000</f>
        <v>4.2252000000000001E-4</v>
      </c>
      <c r="G353" t="s">
        <v>1460</v>
      </c>
    </row>
    <row r="354" spans="1:10">
      <c r="A354" s="9" t="s">
        <v>1343</v>
      </c>
      <c r="B354" s="10"/>
      <c r="C354" s="10" t="s">
        <v>1378</v>
      </c>
      <c r="D354" s="10">
        <v>1.31E-6</v>
      </c>
      <c r="E354" s="140">
        <f>0.000171/1000000</f>
        <v>1.71E-10</v>
      </c>
      <c r="F354" s="141">
        <f>0.0001806/1000000</f>
        <v>1.806E-10</v>
      </c>
      <c r="G354" t="s">
        <v>1461</v>
      </c>
    </row>
    <row r="355" spans="1:10">
      <c r="A355" s="9" t="s">
        <v>1344</v>
      </c>
      <c r="B355" s="10"/>
      <c r="C355" s="10" t="s">
        <v>1378</v>
      </c>
      <c r="D355" s="10">
        <v>1.73E-5</v>
      </c>
      <c r="E355" s="140">
        <f>0.000039375/1000000</f>
        <v>3.9375E-11</v>
      </c>
      <c r="F355" s="141">
        <f>0.000040236/1000000</f>
        <v>4.0235999999999999E-11</v>
      </c>
      <c r="G355" t="s">
        <v>1461</v>
      </c>
    </row>
    <row r="356" spans="1:10">
      <c r="A356" s="9" t="s">
        <v>1345</v>
      </c>
      <c r="B356" s="10"/>
      <c r="C356" s="10"/>
      <c r="D356" s="10"/>
      <c r="E356" s="10"/>
      <c r="F356" s="11"/>
    </row>
    <row r="357" spans="1:10">
      <c r="A357" s="9" t="s">
        <v>1346</v>
      </c>
      <c r="B357" s="10"/>
      <c r="C357" s="10" t="s">
        <v>1378</v>
      </c>
      <c r="D357" s="10">
        <v>2.32E-4</v>
      </c>
      <c r="E357" s="140">
        <f>0.005895/1000000</f>
        <v>5.895E-9</v>
      </c>
      <c r="F357" s="141">
        <f>0.0060816/1000000</f>
        <v>6.0816000000000002E-9</v>
      </c>
      <c r="G357" t="s">
        <v>1461</v>
      </c>
    </row>
    <row r="358" spans="1:10">
      <c r="A358" s="9" t="s">
        <v>1347</v>
      </c>
      <c r="B358" s="10"/>
      <c r="C358" s="10" t="s">
        <v>1378</v>
      </c>
      <c r="D358" s="10">
        <v>3.4599999999999999E-2</v>
      </c>
      <c r="E358" s="146">
        <v>9.5249999999999998E-5</v>
      </c>
      <c r="F358" s="146">
        <v>1.008E-4</v>
      </c>
      <c r="G358" t="s">
        <v>1462</v>
      </c>
      <c r="I358" s="10">
        <v>2.3400000000000001E-2</v>
      </c>
      <c r="J358" s="11">
        <v>1.2096000000000001E-2</v>
      </c>
    </row>
    <row r="359" spans="1:10">
      <c r="A359" s="9" t="s">
        <v>1348</v>
      </c>
      <c r="B359" s="10"/>
      <c r="C359" s="10" t="s">
        <v>1378</v>
      </c>
      <c r="D359" s="10">
        <v>8.1099999999999998E-4</v>
      </c>
      <c r="E359" s="140">
        <v>2.3400000000000001E-2</v>
      </c>
      <c r="F359" s="141">
        <v>1.2096000000000001E-2</v>
      </c>
      <c r="G359" t="s">
        <v>1463</v>
      </c>
      <c r="I359" s="10">
        <v>9.5250000000000001E-2</v>
      </c>
      <c r="J359" s="11">
        <v>0.1008</v>
      </c>
    </row>
    <row r="360" spans="1:10">
      <c r="A360" s="9" t="s">
        <v>1026</v>
      </c>
      <c r="B360" s="10"/>
      <c r="C360" s="10" t="s">
        <v>1378</v>
      </c>
      <c r="D360" s="10">
        <v>6.9599999999999998E-5</v>
      </c>
      <c r="E360" s="140">
        <f>0.000081/1000</f>
        <v>8.0999999999999997E-8</v>
      </c>
      <c r="F360" s="141">
        <f>0.000060144/1000</f>
        <v>6.0143999999999999E-8</v>
      </c>
      <c r="G360" t="s">
        <v>1460</v>
      </c>
    </row>
    <row r="361" spans="1:10">
      <c r="A361" s="9" t="s">
        <v>1349</v>
      </c>
      <c r="B361" s="10"/>
      <c r="C361" s="10" t="s">
        <v>1378</v>
      </c>
      <c r="D361" s="10">
        <v>3.63E-3</v>
      </c>
      <c r="E361" s="140">
        <f>0.114/1000</f>
        <v>1.1400000000000001E-4</v>
      </c>
      <c r="F361" s="141">
        <f>0.11592/1000</f>
        <v>1.1592E-4</v>
      </c>
      <c r="G361" t="s">
        <v>1460</v>
      </c>
    </row>
    <row r="362" spans="1:10">
      <c r="A362" s="9" t="s">
        <v>1027</v>
      </c>
      <c r="B362" s="10"/>
      <c r="C362" s="10" t="s">
        <v>1378</v>
      </c>
      <c r="D362" s="10">
        <v>2.3E-6</v>
      </c>
      <c r="E362" s="140">
        <f>0.0000492/1000000</f>
        <v>4.9200000000000002E-11</v>
      </c>
      <c r="F362" s="141">
        <f>0.000050988/1000000</f>
        <v>5.0987999999999999E-11</v>
      </c>
      <c r="G362" t="s">
        <v>1461</v>
      </c>
    </row>
    <row r="363" spans="1:10">
      <c r="A363" s="9" t="s">
        <v>1350</v>
      </c>
      <c r="B363" s="10"/>
      <c r="C363" s="10" t="s">
        <v>1378</v>
      </c>
      <c r="D363" s="10">
        <v>4.3700000000000003E-2</v>
      </c>
      <c r="E363" s="10">
        <v>23.85</v>
      </c>
      <c r="F363" s="11">
        <v>24.527999999999999</v>
      </c>
    </row>
    <row r="364" spans="1:10">
      <c r="A364" s="9" t="s">
        <v>1028</v>
      </c>
      <c r="B364" s="10"/>
      <c r="C364" s="10" t="s">
        <v>1378</v>
      </c>
      <c r="D364" s="10">
        <v>4.55E-4</v>
      </c>
      <c r="E364" s="140">
        <f>0.00060825/1000</f>
        <v>6.0824999999999996E-7</v>
      </c>
      <c r="F364" s="141">
        <f>0.00050736/1000</f>
        <v>5.0735999999999996E-7</v>
      </c>
      <c r="G364" t="s">
        <v>1460</v>
      </c>
    </row>
    <row r="365" spans="1:10">
      <c r="A365" s="9" t="s">
        <v>1029</v>
      </c>
      <c r="B365" s="10"/>
      <c r="C365" s="10" t="s">
        <v>1378</v>
      </c>
      <c r="D365" s="10">
        <v>1.7100000000000001E-4</v>
      </c>
      <c r="E365" s="140">
        <f>0.00019425/1000</f>
        <v>1.9425000000000001E-7</v>
      </c>
      <c r="F365" s="141">
        <f>0.00014196/1000</f>
        <v>1.4196000000000001E-7</v>
      </c>
      <c r="G365" t="s">
        <v>1460</v>
      </c>
    </row>
    <row r="366" spans="1:10">
      <c r="A366" s="9" t="s">
        <v>1351</v>
      </c>
      <c r="B366" s="10"/>
      <c r="C366" s="10" t="s">
        <v>1378</v>
      </c>
      <c r="D366" s="10">
        <v>2.74E-6</v>
      </c>
      <c r="E366" s="140">
        <f>0.00017175/1000000</f>
        <v>1.7175E-10</v>
      </c>
      <c r="F366" s="141">
        <f>0.00018144/1000000</f>
        <v>1.8144E-10</v>
      </c>
      <c r="G366" t="s">
        <v>1461</v>
      </c>
    </row>
    <row r="367" spans="1:10">
      <c r="A367" s="9" t="s">
        <v>1352</v>
      </c>
      <c r="B367" s="10"/>
      <c r="C367" s="10"/>
      <c r="D367" s="10"/>
      <c r="E367" s="49">
        <v>0</v>
      </c>
      <c r="F367" s="77">
        <v>0</v>
      </c>
    </row>
    <row r="368" spans="1:10">
      <c r="A368" s="9" t="s">
        <v>1353</v>
      </c>
      <c r="B368" s="10"/>
      <c r="C368" s="10" t="s">
        <v>1378</v>
      </c>
      <c r="D368" s="10">
        <v>5.6000000000000001E-2</v>
      </c>
      <c r="E368" s="10">
        <v>4.3799999999999999E-2</v>
      </c>
      <c r="F368" s="11">
        <v>2.5787999999999998E-2</v>
      </c>
    </row>
    <row r="369" spans="1:7">
      <c r="A369" s="9" t="s">
        <v>1032</v>
      </c>
      <c r="B369" s="10"/>
      <c r="C369" s="10" t="s">
        <v>1378</v>
      </c>
      <c r="D369" s="10">
        <v>2.04E-4</v>
      </c>
      <c r="E369" s="140">
        <f>0.00018825/1000</f>
        <v>1.8825000000000001E-7</v>
      </c>
      <c r="F369" s="141">
        <f>0.00012432/1000</f>
        <v>1.2431999999999999E-7</v>
      </c>
      <c r="G369" t="s">
        <v>1460</v>
      </c>
    </row>
    <row r="370" spans="1:7">
      <c r="A370" s="9" t="s">
        <v>1030</v>
      </c>
      <c r="B370" s="10"/>
      <c r="C370" s="10" t="s">
        <v>1378</v>
      </c>
      <c r="D370" s="10">
        <v>3.67E-6</v>
      </c>
      <c r="E370" s="140">
        <f>0.00000049725/1000000</f>
        <v>4.9725000000000003E-13</v>
      </c>
      <c r="F370" s="141">
        <f>0.0000004536/1000000</f>
        <v>4.5360000000000001E-13</v>
      </c>
      <c r="G370" t="s">
        <v>1461</v>
      </c>
    </row>
    <row r="371" spans="1:7">
      <c r="A371" s="9" t="s">
        <v>1031</v>
      </c>
      <c r="B371" s="10"/>
      <c r="C371" s="10" t="s">
        <v>1378</v>
      </c>
      <c r="D371" s="10">
        <v>1.74E-4</v>
      </c>
      <c r="E371" s="140">
        <f>0.00024/1000</f>
        <v>2.4000000000000003E-7</v>
      </c>
      <c r="F371" s="141">
        <f>0.00018816/1000</f>
        <v>1.8815999999999999E-7</v>
      </c>
      <c r="G371" t="s">
        <v>1460</v>
      </c>
    </row>
    <row r="372" spans="1:7">
      <c r="A372" s="9" t="s">
        <v>1354</v>
      </c>
      <c r="B372" s="10"/>
      <c r="C372" s="10" t="s">
        <v>1378</v>
      </c>
      <c r="D372" s="10">
        <v>1.0499999999999999E-3</v>
      </c>
      <c r="E372" s="140">
        <f>0.028875/1000</f>
        <v>2.8875000000000001E-5</v>
      </c>
      <c r="F372" s="141">
        <f>0.03024/1000</f>
        <v>3.0239999999999998E-5</v>
      </c>
      <c r="G372" t="s">
        <v>1460</v>
      </c>
    </row>
    <row r="373" spans="1:7">
      <c r="A373" s="9" t="s">
        <v>1355</v>
      </c>
      <c r="B373" s="10"/>
      <c r="C373" s="10" t="s">
        <v>1378</v>
      </c>
      <c r="D373" s="10">
        <v>2.0600000000000002E-3</v>
      </c>
      <c r="E373" s="140">
        <f>0.00183/1000</f>
        <v>1.8300000000000001E-6</v>
      </c>
      <c r="F373" s="141">
        <f>0.0011928/1000</f>
        <v>1.1928E-6</v>
      </c>
      <c r="G373" t="s">
        <v>1460</v>
      </c>
    </row>
    <row r="374" spans="1:7">
      <c r="A374" s="9" t="s">
        <v>1356</v>
      </c>
      <c r="B374" s="10"/>
      <c r="C374" s="10" t="s">
        <v>1378</v>
      </c>
      <c r="D374" s="10">
        <v>3.9100000000000003E-2</v>
      </c>
      <c r="E374" s="10">
        <v>1.05</v>
      </c>
      <c r="F374" s="11">
        <v>0.86519999999999997</v>
      </c>
    </row>
    <row r="375" spans="1:7">
      <c r="A375" s="9" t="s">
        <v>1357</v>
      </c>
      <c r="B375" s="10"/>
      <c r="C375" s="10" t="s">
        <v>1378</v>
      </c>
      <c r="D375" s="10">
        <v>1.2500000000000001E-5</v>
      </c>
      <c r="E375" s="140">
        <f>0.001365/1000000</f>
        <v>1.3649999999999999E-9</v>
      </c>
      <c r="F375" s="141">
        <f>0.0014448/1000000</f>
        <v>1.4448E-9</v>
      </c>
      <c r="G375" t="s">
        <v>1461</v>
      </c>
    </row>
    <row r="376" spans="1:7">
      <c r="A376" s="9" t="s">
        <v>1033</v>
      </c>
      <c r="B376" s="10"/>
      <c r="C376" s="10" t="s">
        <v>1378</v>
      </c>
      <c r="D376" s="10">
        <v>3.4900000000000003E-4</v>
      </c>
      <c r="E376" s="140">
        <f>0.00062625/1000</f>
        <v>6.2624999999999993E-7</v>
      </c>
      <c r="F376" s="141">
        <f>0.00053676/1000</f>
        <v>5.3675999999999994E-7</v>
      </c>
      <c r="G376" t="s">
        <v>1460</v>
      </c>
    </row>
    <row r="377" spans="1:7">
      <c r="A377" s="9"/>
      <c r="B377" s="10"/>
      <c r="C377" s="10"/>
      <c r="D377" s="10"/>
      <c r="E377" s="10"/>
      <c r="F377" s="11"/>
    </row>
    <row r="378" spans="1:7" ht="15.75" thickBot="1">
      <c r="A378" s="120" t="s">
        <v>1392</v>
      </c>
      <c r="B378" s="13"/>
      <c r="C378" s="13" t="s">
        <v>1378</v>
      </c>
      <c r="D378" s="13">
        <v>3</v>
      </c>
      <c r="E378" s="13">
        <v>5.3</v>
      </c>
      <c r="F378" s="14">
        <v>5.7</v>
      </c>
    </row>
    <row r="381" spans="1:7">
      <c r="A381" s="62" t="s">
        <v>1395</v>
      </c>
    </row>
    <row r="382" spans="1:7">
      <c r="A382" t="s">
        <v>1396</v>
      </c>
    </row>
    <row r="383" spans="1:7">
      <c r="A383" t="s">
        <v>1401</v>
      </c>
    </row>
    <row r="384" spans="1:7">
      <c r="A384" t="s">
        <v>1402</v>
      </c>
    </row>
    <row r="385" spans="1:10" ht="15.75" thickBot="1"/>
    <row r="386" spans="1:10">
      <c r="A386" s="35"/>
      <c r="B386" s="7"/>
      <c r="C386" s="78" t="s">
        <v>1302</v>
      </c>
      <c r="D386" s="78" t="s">
        <v>1397</v>
      </c>
      <c r="E386" s="78" t="s">
        <v>1398</v>
      </c>
      <c r="F386" s="78" t="s">
        <v>1399</v>
      </c>
      <c r="G386" s="78" t="s">
        <v>1400</v>
      </c>
      <c r="H386" s="78" t="s">
        <v>1403</v>
      </c>
      <c r="I386" s="78" t="s">
        <v>1404</v>
      </c>
      <c r="J386" s="79" t="s">
        <v>1405</v>
      </c>
    </row>
    <row r="387" spans="1:10">
      <c r="A387" s="64" t="s">
        <v>1409</v>
      </c>
      <c r="B387" s="10"/>
      <c r="C387" s="65"/>
      <c r="D387" s="10" t="s">
        <v>1411</v>
      </c>
      <c r="E387" s="68" t="s">
        <v>1410</v>
      </c>
      <c r="F387" s="68" t="s">
        <v>1412</v>
      </c>
      <c r="G387" s="68" t="s">
        <v>1411</v>
      </c>
      <c r="H387" s="68" t="s">
        <v>1413</v>
      </c>
      <c r="I387" s="68" t="s">
        <v>1412</v>
      </c>
      <c r="J387" s="133" t="s">
        <v>1411</v>
      </c>
    </row>
    <row r="388" spans="1:10">
      <c r="A388" s="9"/>
      <c r="B388" s="10"/>
      <c r="C388" s="65"/>
      <c r="D388" s="65"/>
      <c r="E388" s="65"/>
      <c r="F388" s="65"/>
      <c r="G388" s="65"/>
      <c r="H388" s="65"/>
      <c r="I388" s="65"/>
      <c r="J388" s="89"/>
    </row>
    <row r="389" spans="1:10">
      <c r="A389" s="64" t="s">
        <v>171</v>
      </c>
      <c r="B389" s="10"/>
      <c r="C389" s="10" t="s">
        <v>1316</v>
      </c>
      <c r="D389" s="10">
        <v>88.55</v>
      </c>
      <c r="E389" s="10">
        <v>9.5</v>
      </c>
      <c r="F389" s="65">
        <f>D389+E389</f>
        <v>98.05</v>
      </c>
      <c r="G389" s="10">
        <v>80.03</v>
      </c>
      <c r="H389" s="10">
        <v>9.5</v>
      </c>
      <c r="I389" s="65">
        <f>G389+H389</f>
        <v>89.53</v>
      </c>
      <c r="J389" s="89">
        <v>54.46</v>
      </c>
    </row>
    <row r="390" spans="1:10">
      <c r="A390" s="9"/>
      <c r="B390" s="10"/>
      <c r="C390" s="10"/>
      <c r="D390" s="10"/>
      <c r="E390" s="10"/>
      <c r="F390" s="65"/>
      <c r="G390" s="10"/>
      <c r="H390" s="10"/>
      <c r="I390" s="65"/>
      <c r="J390" s="89"/>
    </row>
    <row r="391" spans="1:10">
      <c r="A391" s="64" t="s">
        <v>1377</v>
      </c>
      <c r="B391" s="10"/>
      <c r="C391" s="10"/>
      <c r="D391" s="10"/>
      <c r="E391" s="10"/>
      <c r="F391" s="65"/>
      <c r="G391" s="10"/>
      <c r="H391" s="10"/>
      <c r="I391" s="65"/>
      <c r="J391" s="89"/>
    </row>
    <row r="392" spans="1:10">
      <c r="A392" s="9" t="s">
        <v>1016</v>
      </c>
      <c r="B392" s="10"/>
      <c r="C392" s="10" t="s">
        <v>1378</v>
      </c>
      <c r="D392" s="10">
        <v>3000</v>
      </c>
      <c r="E392" s="10">
        <v>197</v>
      </c>
      <c r="F392" s="65">
        <f t="shared" ref="F392:F414" si="2">D392+E392</f>
        <v>3197</v>
      </c>
      <c r="G392" s="10">
        <v>2000</v>
      </c>
      <c r="H392" s="10">
        <v>197</v>
      </c>
      <c r="I392" s="65">
        <f t="shared" ref="I392:I414" si="3">G392+H392</f>
        <v>2197</v>
      </c>
      <c r="J392" s="89">
        <v>316</v>
      </c>
    </row>
    <row r="393" spans="1:10">
      <c r="A393" s="9" t="s">
        <v>1015</v>
      </c>
      <c r="B393" s="10"/>
      <c r="C393" s="10" t="s">
        <v>1378</v>
      </c>
      <c r="D393" s="10">
        <v>900</v>
      </c>
      <c r="E393" s="10">
        <v>349</v>
      </c>
      <c r="F393" s="65">
        <f t="shared" si="2"/>
        <v>1249</v>
      </c>
      <c r="G393" s="10">
        <v>700</v>
      </c>
      <c r="H393" s="10">
        <v>349</v>
      </c>
      <c r="I393" s="65">
        <f t="shared" si="3"/>
        <v>1049</v>
      </c>
      <c r="J393" s="89">
        <v>359</v>
      </c>
    </row>
    <row r="394" spans="1:10">
      <c r="A394" s="9" t="s">
        <v>1329</v>
      </c>
      <c r="B394" s="10"/>
      <c r="C394" s="10" t="s">
        <v>1378</v>
      </c>
      <c r="D394" s="10">
        <v>2320000</v>
      </c>
      <c r="E394" s="10">
        <v>441657</v>
      </c>
      <c r="F394" s="65">
        <f t="shared" si="2"/>
        <v>2761657</v>
      </c>
      <c r="G394" s="10">
        <v>1800000</v>
      </c>
      <c r="H394" s="10">
        <v>441657</v>
      </c>
      <c r="I394" s="65">
        <f t="shared" si="3"/>
        <v>2241657</v>
      </c>
      <c r="J394" s="89">
        <v>360000</v>
      </c>
    </row>
    <row r="395" spans="1:10">
      <c r="A395" s="9" t="s">
        <v>1330</v>
      </c>
      <c r="B395" s="10"/>
      <c r="C395" s="10" t="s">
        <v>1378</v>
      </c>
      <c r="D395" s="10">
        <v>4400</v>
      </c>
      <c r="E395" s="10"/>
      <c r="F395" s="65">
        <f t="shared" si="2"/>
        <v>4400</v>
      </c>
      <c r="G395" s="10">
        <v>3400</v>
      </c>
      <c r="H395" s="10"/>
      <c r="I395" s="65">
        <f t="shared" si="3"/>
        <v>3400</v>
      </c>
      <c r="J395" s="89">
        <v>469</v>
      </c>
    </row>
    <row r="396" spans="1:10">
      <c r="A396" s="9" t="s">
        <v>1020</v>
      </c>
      <c r="B396" s="10"/>
      <c r="C396" s="10" t="s">
        <v>1378</v>
      </c>
      <c r="D396" s="10">
        <v>12000</v>
      </c>
      <c r="E396" s="10">
        <v>1236</v>
      </c>
      <c r="F396" s="65">
        <f t="shared" si="2"/>
        <v>13236</v>
      </c>
      <c r="G396" s="10">
        <v>10000</v>
      </c>
      <c r="H396" s="10">
        <v>1236</v>
      </c>
      <c r="I396" s="65">
        <f t="shared" si="3"/>
        <v>11236</v>
      </c>
      <c r="J396" s="89">
        <v>2870</v>
      </c>
    </row>
    <row r="397" spans="1:10">
      <c r="A397" s="9" t="s">
        <v>1332</v>
      </c>
      <c r="B397" s="10"/>
      <c r="C397" s="10" t="s">
        <v>1378</v>
      </c>
      <c r="D397" s="10">
        <v>6.7</v>
      </c>
      <c r="E397" s="10">
        <v>70</v>
      </c>
      <c r="F397" s="65">
        <f t="shared" si="2"/>
        <v>76.7</v>
      </c>
      <c r="G397" s="10">
        <v>5.7</v>
      </c>
      <c r="H397" s="10">
        <v>70</v>
      </c>
      <c r="I397" s="65">
        <f t="shared" si="3"/>
        <v>75.7</v>
      </c>
      <c r="J397" s="89">
        <v>11.6</v>
      </c>
    </row>
    <row r="398" spans="1:10">
      <c r="A398" s="9" t="s">
        <v>1407</v>
      </c>
      <c r="B398" s="10"/>
      <c r="C398" s="10" t="s">
        <v>1378</v>
      </c>
      <c r="D398" s="10">
        <v>9000</v>
      </c>
      <c r="E398" s="10">
        <v>2502</v>
      </c>
      <c r="F398" s="65">
        <f t="shared" si="2"/>
        <v>11502</v>
      </c>
      <c r="G398" s="10">
        <v>11000</v>
      </c>
      <c r="H398" s="10">
        <v>2502</v>
      </c>
      <c r="I398" s="65">
        <f t="shared" si="3"/>
        <v>13502</v>
      </c>
      <c r="J398" s="89">
        <v>4600</v>
      </c>
    </row>
    <row r="399" spans="1:10">
      <c r="A399" s="9" t="s">
        <v>1013</v>
      </c>
      <c r="B399" s="10"/>
      <c r="C399" s="10" t="s">
        <v>1378</v>
      </c>
      <c r="D399" s="10">
        <v>70</v>
      </c>
      <c r="E399" s="10"/>
      <c r="F399" s="65">
        <f t="shared" si="2"/>
        <v>70</v>
      </c>
      <c r="G399" s="10">
        <v>40</v>
      </c>
      <c r="H399" s="10"/>
      <c r="I399" s="65">
        <f t="shared" si="3"/>
        <v>40</v>
      </c>
      <c r="J399" s="89">
        <v>8.26</v>
      </c>
    </row>
    <row r="400" spans="1:10">
      <c r="A400" s="9" t="s">
        <v>1334</v>
      </c>
      <c r="B400" s="10"/>
      <c r="C400" s="10" t="s">
        <v>1378</v>
      </c>
      <c r="D400" s="10">
        <v>5</v>
      </c>
      <c r="E400" s="10">
        <v>0.01</v>
      </c>
      <c r="F400" s="65">
        <f t="shared" si="2"/>
        <v>5.01</v>
      </c>
      <c r="G400" s="10">
        <v>1</v>
      </c>
      <c r="H400" s="10">
        <v>0.01</v>
      </c>
      <c r="I400" s="65">
        <f t="shared" si="3"/>
        <v>1.01</v>
      </c>
      <c r="J400" s="89">
        <v>0.83799999999999997</v>
      </c>
    </row>
    <row r="401" spans="1:10">
      <c r="A401" s="9" t="s">
        <v>1335</v>
      </c>
      <c r="B401" s="10"/>
      <c r="C401" s="10" t="s">
        <v>1378</v>
      </c>
      <c r="D401" s="10"/>
      <c r="E401" s="10"/>
      <c r="F401" s="65">
        <f t="shared" si="2"/>
        <v>0</v>
      </c>
      <c r="G401" s="10"/>
      <c r="H401" s="10"/>
      <c r="I401" s="65">
        <f t="shared" si="3"/>
        <v>0</v>
      </c>
      <c r="J401" s="89"/>
    </row>
    <row r="402" spans="1:10">
      <c r="A402" s="9" t="s">
        <v>1408</v>
      </c>
      <c r="B402" s="10"/>
      <c r="C402" s="10" t="s">
        <v>1378</v>
      </c>
      <c r="D402" s="10">
        <v>16600</v>
      </c>
      <c r="E402" s="10">
        <v>21112</v>
      </c>
      <c r="F402" s="65">
        <f t="shared" si="2"/>
        <v>37712</v>
      </c>
      <c r="G402" s="10">
        <v>9600</v>
      </c>
      <c r="H402" s="10">
        <v>2112</v>
      </c>
      <c r="I402" s="65">
        <f t="shared" si="3"/>
        <v>11712</v>
      </c>
      <c r="J402" s="89">
        <v>1030</v>
      </c>
    </row>
    <row r="403" spans="1:10">
      <c r="A403" s="9" t="s">
        <v>1336</v>
      </c>
      <c r="B403" s="10"/>
      <c r="C403" s="10"/>
      <c r="D403" s="10"/>
      <c r="E403" s="10"/>
      <c r="F403" s="65">
        <f t="shared" si="2"/>
        <v>0</v>
      </c>
      <c r="G403" s="10"/>
      <c r="H403" s="10"/>
      <c r="I403" s="65">
        <f t="shared" si="3"/>
        <v>0</v>
      </c>
      <c r="J403" s="89"/>
    </row>
    <row r="404" spans="1:10">
      <c r="A404" s="9" t="s">
        <v>1345</v>
      </c>
      <c r="B404" s="10"/>
      <c r="C404" s="10"/>
      <c r="D404" s="10"/>
      <c r="E404" s="10"/>
      <c r="F404" s="65">
        <f t="shared" si="2"/>
        <v>0</v>
      </c>
      <c r="G404" s="10"/>
      <c r="H404" s="10"/>
      <c r="I404" s="65">
        <f t="shared" si="3"/>
        <v>0</v>
      </c>
      <c r="J404" s="89"/>
    </row>
    <row r="405" spans="1:10">
      <c r="A405" s="9" t="s">
        <v>1337</v>
      </c>
      <c r="B405" s="10"/>
      <c r="C405" s="10"/>
      <c r="D405" s="10">
        <v>1.1000000000000001</v>
      </c>
      <c r="E405" s="10">
        <v>0.49</v>
      </c>
      <c r="F405" s="65">
        <f t="shared" si="2"/>
        <v>1.59</v>
      </c>
      <c r="G405" s="10">
        <v>0.83</v>
      </c>
      <c r="H405" s="10">
        <v>0.49</v>
      </c>
      <c r="I405" s="65">
        <f t="shared" si="3"/>
        <v>1.3199999999999998</v>
      </c>
      <c r="J405" s="89">
        <v>16</v>
      </c>
    </row>
    <row r="406" spans="1:10">
      <c r="A406" s="9" t="s">
        <v>1026</v>
      </c>
      <c r="B406" s="10"/>
      <c r="C406" s="10"/>
      <c r="D406" s="10"/>
      <c r="E406" s="10"/>
      <c r="F406" s="65">
        <f t="shared" si="2"/>
        <v>0</v>
      </c>
      <c r="G406" s="10"/>
      <c r="H406" s="10"/>
      <c r="I406" s="65">
        <f t="shared" si="3"/>
        <v>0</v>
      </c>
      <c r="J406" s="89"/>
    </row>
    <row r="407" spans="1:10">
      <c r="A407" s="9" t="s">
        <v>1027</v>
      </c>
      <c r="B407" s="10"/>
      <c r="C407" s="10"/>
      <c r="D407" s="10">
        <v>1.7999999999999999E-2</v>
      </c>
      <c r="E407" s="10"/>
      <c r="F407" s="65">
        <f t="shared" si="2"/>
        <v>1.7999999999999999E-2</v>
      </c>
      <c r="G407" s="10">
        <v>1.7999999999999999E-2</v>
      </c>
      <c r="H407" s="10"/>
      <c r="I407" s="65">
        <f t="shared" si="3"/>
        <v>1.7999999999999999E-2</v>
      </c>
      <c r="J407" s="89">
        <v>4.7899999999999998E-2</v>
      </c>
    </row>
    <row r="408" spans="1:10">
      <c r="A408" s="9" t="s">
        <v>1028</v>
      </c>
      <c r="B408" s="10"/>
      <c r="C408" s="10"/>
      <c r="D408" s="10"/>
      <c r="E408" s="10"/>
      <c r="F408" s="65">
        <f t="shared" si="2"/>
        <v>0</v>
      </c>
      <c r="G408" s="10"/>
      <c r="H408" s="10"/>
      <c r="I408" s="65">
        <f t="shared" si="3"/>
        <v>0</v>
      </c>
      <c r="J408" s="89"/>
    </row>
    <row r="409" spans="1:10">
      <c r="A409" s="9" t="s">
        <v>1029</v>
      </c>
      <c r="B409" s="10"/>
      <c r="C409" s="10"/>
      <c r="D409" s="10"/>
      <c r="E409" s="10"/>
      <c r="F409" s="65">
        <f t="shared" si="2"/>
        <v>0</v>
      </c>
      <c r="G409" s="10"/>
      <c r="H409" s="10"/>
      <c r="I409" s="65">
        <f t="shared" si="3"/>
        <v>0</v>
      </c>
      <c r="J409" s="89"/>
    </row>
    <row r="410" spans="1:10">
      <c r="A410" s="9" t="s">
        <v>1032</v>
      </c>
      <c r="B410" s="10"/>
      <c r="C410" s="10"/>
      <c r="D410" s="10">
        <v>0.1</v>
      </c>
      <c r="E410" s="10"/>
      <c r="F410" s="65">
        <f t="shared" si="2"/>
        <v>0.1</v>
      </c>
      <c r="G410" s="10">
        <v>8.7999999999999995E-2</v>
      </c>
      <c r="H410" s="10"/>
      <c r="I410" s="65">
        <f t="shared" si="3"/>
        <v>8.7999999999999995E-2</v>
      </c>
      <c r="J410" s="89">
        <v>0.12</v>
      </c>
    </row>
    <row r="411" spans="1:10">
      <c r="A411" s="9" t="s">
        <v>1380</v>
      </c>
      <c r="B411" s="10"/>
      <c r="C411" s="10"/>
      <c r="D411" s="10">
        <v>3.5000000000000003E-2</v>
      </c>
      <c r="E411" s="10"/>
      <c r="F411" s="65">
        <f t="shared" si="2"/>
        <v>3.5000000000000003E-2</v>
      </c>
      <c r="G411" s="10">
        <v>2.7E-2</v>
      </c>
      <c r="H411" s="10"/>
      <c r="I411" s="65">
        <f t="shared" si="3"/>
        <v>2.7E-2</v>
      </c>
      <c r="J411" s="89">
        <v>1.3899999999999999E-2</v>
      </c>
    </row>
    <row r="412" spans="1:10">
      <c r="A412" s="9" t="s">
        <v>1030</v>
      </c>
      <c r="B412" s="10"/>
      <c r="C412" s="10"/>
      <c r="D412" s="10">
        <v>3.5999999999999997E-2</v>
      </c>
      <c r="E412" s="10"/>
      <c r="F412" s="65">
        <f t="shared" si="2"/>
        <v>3.5999999999999997E-2</v>
      </c>
      <c r="G412" s="10">
        <v>2.3E-2</v>
      </c>
      <c r="H412" s="10"/>
      <c r="I412" s="65">
        <f t="shared" si="3"/>
        <v>2.3E-2</v>
      </c>
      <c r="J412" s="89">
        <v>1.73E-3</v>
      </c>
    </row>
    <row r="413" spans="1:10">
      <c r="A413" s="9" t="s">
        <v>1031</v>
      </c>
      <c r="B413" s="10"/>
      <c r="C413" s="10"/>
      <c r="D413" s="10">
        <v>1</v>
      </c>
      <c r="E413" s="10"/>
      <c r="F413" s="65">
        <f t="shared" si="2"/>
        <v>1</v>
      </c>
      <c r="G413" s="10">
        <v>0.96</v>
      </c>
      <c r="H413" s="10"/>
      <c r="I413" s="65">
        <f t="shared" si="3"/>
        <v>0.96</v>
      </c>
      <c r="J413" s="89">
        <v>1.29</v>
      </c>
    </row>
    <row r="414" spans="1:10">
      <c r="A414" s="9" t="s">
        <v>1033</v>
      </c>
      <c r="B414" s="10"/>
      <c r="C414" s="10"/>
      <c r="D414" s="10">
        <v>0.4</v>
      </c>
      <c r="E414" s="10"/>
      <c r="F414" s="65">
        <f t="shared" si="2"/>
        <v>0.4</v>
      </c>
      <c r="G414" s="10">
        <v>0.42</v>
      </c>
      <c r="H414" s="10"/>
      <c r="I414" s="65">
        <f t="shared" si="3"/>
        <v>0.42</v>
      </c>
      <c r="J414" s="89">
        <v>0.36699999999999999</v>
      </c>
    </row>
    <row r="415" spans="1:10">
      <c r="A415" s="9"/>
      <c r="B415" s="10"/>
      <c r="C415" s="10"/>
      <c r="D415" s="10"/>
      <c r="E415" s="10"/>
      <c r="F415" s="65"/>
      <c r="G415" s="10"/>
      <c r="H415" s="10"/>
      <c r="I415" s="65"/>
      <c r="J415" s="89"/>
    </row>
    <row r="416" spans="1:10">
      <c r="A416" s="64" t="s">
        <v>1381</v>
      </c>
      <c r="B416" s="10"/>
      <c r="C416" s="10"/>
      <c r="D416" s="10"/>
      <c r="E416" s="10"/>
      <c r="F416" s="65"/>
      <c r="G416" s="10"/>
      <c r="H416" s="10"/>
      <c r="I416" s="65"/>
      <c r="J416" s="89"/>
    </row>
    <row r="417" spans="1:10">
      <c r="A417" s="9" t="s">
        <v>1339</v>
      </c>
      <c r="B417" s="10"/>
      <c r="C417" s="10"/>
      <c r="D417" s="10">
        <v>200</v>
      </c>
      <c r="E417" s="10">
        <v>0.15</v>
      </c>
      <c r="F417" s="65">
        <f t="shared" ref="F417:F444" si="4">D417+E417</f>
        <v>200.15</v>
      </c>
      <c r="G417" s="10">
        <v>60</v>
      </c>
      <c r="H417" s="10">
        <v>0.15</v>
      </c>
      <c r="I417" s="65">
        <f t="shared" ref="I417:I444" si="5">G417+H417</f>
        <v>60.15</v>
      </c>
      <c r="J417" s="89">
        <v>6760</v>
      </c>
    </row>
    <row r="418" spans="1:10">
      <c r="A418" s="9" t="s">
        <v>1340</v>
      </c>
      <c r="B418" s="10"/>
      <c r="C418" s="10"/>
      <c r="D418" s="10">
        <v>1500</v>
      </c>
      <c r="E418" s="10">
        <v>0.44</v>
      </c>
      <c r="F418" s="65">
        <f t="shared" si="4"/>
        <v>1500.44</v>
      </c>
      <c r="G418" s="10">
        <v>400</v>
      </c>
      <c r="H418" s="10">
        <v>0.44</v>
      </c>
      <c r="I418" s="65">
        <f t="shared" si="5"/>
        <v>400.44</v>
      </c>
      <c r="J418" s="89">
        <v>23400</v>
      </c>
    </row>
    <row r="419" spans="1:10">
      <c r="A419" s="9" t="s">
        <v>1341</v>
      </c>
      <c r="B419" s="10"/>
      <c r="C419" s="10"/>
      <c r="D419" s="10">
        <v>500</v>
      </c>
      <c r="E419" s="10">
        <v>0.15</v>
      </c>
      <c r="F419" s="65">
        <f t="shared" si="4"/>
        <v>500.15</v>
      </c>
      <c r="G419" s="10">
        <v>200</v>
      </c>
      <c r="H419" s="10">
        <v>0.15</v>
      </c>
      <c r="I419" s="65">
        <f t="shared" si="5"/>
        <v>200.15</v>
      </c>
      <c r="J419" s="89">
        <v>5240</v>
      </c>
    </row>
    <row r="420" spans="1:10">
      <c r="A420" s="9" t="s">
        <v>1342</v>
      </c>
      <c r="B420" s="10"/>
      <c r="C420" s="10"/>
      <c r="D420" s="10">
        <v>100</v>
      </c>
      <c r="E420" s="10">
        <v>4.7</v>
      </c>
      <c r="F420" s="65">
        <f t="shared" si="4"/>
        <v>104.7</v>
      </c>
      <c r="G420" s="10">
        <v>300</v>
      </c>
      <c r="H420" s="10">
        <v>4.7</v>
      </c>
      <c r="I420" s="65">
        <f t="shared" si="5"/>
        <v>304.7</v>
      </c>
      <c r="J420" s="89">
        <v>44.9</v>
      </c>
    </row>
    <row r="421" spans="1:10">
      <c r="A421" s="9" t="s">
        <v>1343</v>
      </c>
      <c r="B421" s="10"/>
      <c r="C421" s="10"/>
      <c r="D421" s="10"/>
      <c r="E421" s="10"/>
      <c r="F421" s="65">
        <f t="shared" si="4"/>
        <v>0</v>
      </c>
      <c r="G421" s="10">
        <v>7.4999999999999997E-2</v>
      </c>
      <c r="H421" s="10"/>
      <c r="I421" s="65">
        <f t="shared" si="5"/>
        <v>7.4999999999999997E-2</v>
      </c>
      <c r="J421" s="89">
        <v>1.01</v>
      </c>
    </row>
    <row r="422" spans="1:10">
      <c r="A422" s="9" t="s">
        <v>1344</v>
      </c>
      <c r="B422" s="10"/>
      <c r="C422" s="10"/>
      <c r="D422" s="10"/>
      <c r="E422" s="10"/>
      <c r="F422" s="65">
        <f t="shared" si="4"/>
        <v>0</v>
      </c>
      <c r="G422" s="10">
        <v>2.1000000000000001E-2</v>
      </c>
      <c r="H422" s="10"/>
      <c r="I422" s="65">
        <f t="shared" si="5"/>
        <v>2.1000000000000001E-2</v>
      </c>
      <c r="J422" s="89">
        <v>4.4000000000000003E-3</v>
      </c>
    </row>
    <row r="423" spans="1:10">
      <c r="A423" s="9" t="s">
        <v>1345</v>
      </c>
      <c r="B423" s="10"/>
      <c r="C423" s="10"/>
      <c r="D423" s="10"/>
      <c r="E423" s="10"/>
      <c r="F423" s="65"/>
      <c r="G423" s="10"/>
      <c r="H423" s="10"/>
      <c r="I423" s="65"/>
      <c r="J423" s="89"/>
    </row>
    <row r="424" spans="1:10">
      <c r="A424" s="9" t="s">
        <v>1346</v>
      </c>
      <c r="B424" s="10"/>
      <c r="C424" s="10"/>
      <c r="D424" s="10">
        <v>2.4</v>
      </c>
      <c r="E424" s="10">
        <v>0</v>
      </c>
      <c r="F424" s="65">
        <f t="shared" si="4"/>
        <v>2.4</v>
      </c>
      <c r="G424" s="10">
        <v>2.6</v>
      </c>
      <c r="H424" s="10">
        <v>0</v>
      </c>
      <c r="I424" s="65">
        <f t="shared" si="5"/>
        <v>2.6</v>
      </c>
      <c r="J424" s="89">
        <v>0.69699999999999995</v>
      </c>
    </row>
    <row r="425" spans="1:10">
      <c r="A425" s="9" t="s">
        <v>1347</v>
      </c>
      <c r="B425" s="10"/>
      <c r="C425" s="10"/>
      <c r="D425" s="10"/>
      <c r="E425" s="10"/>
      <c r="F425" s="65"/>
      <c r="G425" s="10"/>
      <c r="H425" s="10"/>
      <c r="I425" s="65"/>
      <c r="J425" s="89"/>
    </row>
    <row r="426" spans="1:10">
      <c r="A426" s="9" t="s">
        <v>1348</v>
      </c>
      <c r="B426" s="10"/>
      <c r="C426" s="10"/>
      <c r="D426" s="10">
        <v>5</v>
      </c>
      <c r="E426" s="10">
        <v>0.62</v>
      </c>
      <c r="F426" s="65">
        <f t="shared" si="4"/>
        <v>5.62</v>
      </c>
      <c r="G426" s="10">
        <v>10</v>
      </c>
      <c r="H426" s="10">
        <v>0.62</v>
      </c>
      <c r="I426" s="65">
        <f t="shared" si="5"/>
        <v>10.62</v>
      </c>
      <c r="J426" s="89">
        <v>9.3000000000000007</v>
      </c>
    </row>
    <row r="427" spans="1:10">
      <c r="A427" s="9" t="s">
        <v>1026</v>
      </c>
      <c r="B427" s="10"/>
      <c r="C427" s="10"/>
      <c r="D427" s="10">
        <v>0.34</v>
      </c>
      <c r="E427" s="10"/>
      <c r="F427" s="65">
        <f t="shared" si="4"/>
        <v>0.34</v>
      </c>
      <c r="G427" s="10">
        <v>0.26</v>
      </c>
      <c r="H427" s="10"/>
      <c r="I427" s="65">
        <f t="shared" si="5"/>
        <v>0.26</v>
      </c>
      <c r="J427" s="89">
        <v>3.8699999999999998E-2</v>
      </c>
    </row>
    <row r="428" spans="1:10">
      <c r="A428" s="9" t="s">
        <v>1027</v>
      </c>
      <c r="B428" s="10"/>
      <c r="C428" s="10"/>
      <c r="D428" s="10">
        <v>2.8000000000000001E-2</v>
      </c>
      <c r="E428" s="10"/>
      <c r="F428" s="65">
        <f t="shared" si="4"/>
        <v>2.8000000000000001E-2</v>
      </c>
      <c r="G428" s="10">
        <v>2.8000000000000001E-2</v>
      </c>
      <c r="H428" s="10"/>
      <c r="I428" s="65">
        <f t="shared" si="5"/>
        <v>2.8000000000000001E-2</v>
      </c>
      <c r="J428" s="89">
        <v>7.3000000000000001E-3</v>
      </c>
    </row>
    <row r="429" spans="1:10">
      <c r="A429" s="9" t="s">
        <v>1350</v>
      </c>
      <c r="B429" s="10"/>
      <c r="C429" s="10"/>
      <c r="D429" s="10">
        <v>130</v>
      </c>
      <c r="E429" s="10">
        <v>0.02</v>
      </c>
      <c r="F429" s="65">
        <f>D429+E429</f>
        <v>130.02000000000001</v>
      </c>
      <c r="G429" s="10">
        <v>800</v>
      </c>
      <c r="H429" s="10">
        <v>0.02</v>
      </c>
      <c r="I429" s="65">
        <f>G429+H429</f>
        <v>800.02</v>
      </c>
      <c r="J429" s="89">
        <v>2900</v>
      </c>
    </row>
    <row r="430" spans="1:10">
      <c r="A430" s="9" t="s">
        <v>1028</v>
      </c>
      <c r="B430" s="10"/>
      <c r="C430" s="10"/>
      <c r="D430" s="10">
        <v>1.8</v>
      </c>
      <c r="E430" s="10"/>
      <c r="F430" s="65">
        <f t="shared" si="4"/>
        <v>1.8</v>
      </c>
      <c r="G430" s="10">
        <v>1.4</v>
      </c>
      <c r="H430" s="10"/>
      <c r="I430" s="65">
        <f t="shared" si="5"/>
        <v>1.4</v>
      </c>
      <c r="J430" s="89">
        <v>0.21299999999999999</v>
      </c>
    </row>
    <row r="431" spans="1:10">
      <c r="A431" s="9" t="s">
        <v>1029</v>
      </c>
      <c r="B431" s="10"/>
      <c r="C431" s="10"/>
      <c r="D431" s="10">
        <v>0.83</v>
      </c>
      <c r="E431" s="10"/>
      <c r="F431" s="65">
        <f t="shared" si="4"/>
        <v>0.83</v>
      </c>
      <c r="G431" s="10">
        <v>0.65</v>
      </c>
      <c r="H431" s="10"/>
      <c r="I431" s="65">
        <f t="shared" si="5"/>
        <v>0.65</v>
      </c>
      <c r="J431" s="89">
        <v>9.0399999999999994E-2</v>
      </c>
    </row>
    <row r="432" spans="1:10">
      <c r="A432" s="9" t="s">
        <v>1351</v>
      </c>
      <c r="B432" s="10"/>
      <c r="C432" s="10"/>
      <c r="D432" s="10"/>
      <c r="E432" s="10"/>
      <c r="F432" s="65"/>
      <c r="G432" s="10"/>
      <c r="H432" s="10"/>
      <c r="I432" s="65"/>
      <c r="J432" s="89"/>
    </row>
    <row r="433" spans="1:10">
      <c r="A433" s="9" t="s">
        <v>1352</v>
      </c>
      <c r="B433" s="10"/>
      <c r="C433" s="10"/>
      <c r="D433" s="10"/>
      <c r="E433" s="10">
        <v>1.335</v>
      </c>
      <c r="F433" s="65">
        <f>D433+E433</f>
        <v>1.335</v>
      </c>
      <c r="G433" s="10"/>
      <c r="H433" s="10">
        <v>1.335</v>
      </c>
      <c r="I433" s="65">
        <f>G433+H433</f>
        <v>1.335</v>
      </c>
      <c r="J433" s="89"/>
    </row>
    <row r="434" spans="1:10">
      <c r="A434" s="9" t="s">
        <v>1353</v>
      </c>
      <c r="B434" s="10"/>
      <c r="C434" s="10"/>
      <c r="D434" s="49">
        <v>220</v>
      </c>
      <c r="E434" s="10">
        <v>3.0000000000000001E-3</v>
      </c>
      <c r="F434" s="65">
        <f>D434+E434</f>
        <v>220.00299999999999</v>
      </c>
      <c r="G434" s="49">
        <v>170</v>
      </c>
      <c r="H434" s="49">
        <v>3.0000000000000001E-3</v>
      </c>
      <c r="I434" s="65">
        <f>G434+H434</f>
        <v>170.00299999999999</v>
      </c>
      <c r="J434" s="89">
        <v>12.4</v>
      </c>
    </row>
    <row r="435" spans="1:10">
      <c r="A435" s="9" t="s">
        <v>1032</v>
      </c>
      <c r="B435" s="10"/>
      <c r="C435" s="10"/>
      <c r="D435" s="10">
        <v>1</v>
      </c>
      <c r="E435" s="10"/>
      <c r="F435" s="65">
        <f t="shared" si="4"/>
        <v>1</v>
      </c>
      <c r="G435" s="10">
        <v>58</v>
      </c>
      <c r="H435" s="10"/>
      <c r="I435" s="65">
        <f t="shared" si="5"/>
        <v>58</v>
      </c>
      <c r="J435" s="89">
        <v>0.33700000000000002</v>
      </c>
    </row>
    <row r="436" spans="1:10">
      <c r="A436" s="9" t="s">
        <v>1030</v>
      </c>
      <c r="B436" s="10"/>
      <c r="C436" s="10"/>
      <c r="D436" s="10">
        <v>2E-3</v>
      </c>
      <c r="E436" s="10"/>
      <c r="F436" s="65">
        <f t="shared" si="4"/>
        <v>2E-3</v>
      </c>
      <c r="G436" s="10">
        <v>1.2999999999999999E-3</v>
      </c>
      <c r="H436" s="10"/>
      <c r="I436" s="65">
        <f t="shared" si="5"/>
        <v>1.2999999999999999E-3</v>
      </c>
      <c r="J436" s="89">
        <v>8.2000000000000001E-5</v>
      </c>
    </row>
    <row r="437" spans="1:10">
      <c r="A437" s="47" t="s">
        <v>1031</v>
      </c>
      <c r="B437" s="10"/>
      <c r="C437" s="10"/>
      <c r="D437" s="10">
        <v>0.85</v>
      </c>
      <c r="E437" s="10"/>
      <c r="F437" s="65">
        <f t="shared" si="4"/>
        <v>0.85</v>
      </c>
      <c r="G437" s="10">
        <v>0.67</v>
      </c>
      <c r="H437" s="10"/>
      <c r="I437" s="65">
        <f t="shared" si="5"/>
        <v>0.67</v>
      </c>
      <c r="J437" s="89">
        <v>9.9400000000000002E-2</v>
      </c>
    </row>
    <row r="438" spans="1:10">
      <c r="A438" s="9" t="s">
        <v>1354</v>
      </c>
      <c r="B438" s="10"/>
      <c r="C438" s="10"/>
      <c r="D438" s="10">
        <v>5</v>
      </c>
      <c r="E438" s="10">
        <v>1.32</v>
      </c>
      <c r="F438" s="65">
        <f>D438+E438</f>
        <v>6.32</v>
      </c>
      <c r="G438" s="10">
        <v>20</v>
      </c>
      <c r="H438" s="10">
        <v>1.32</v>
      </c>
      <c r="I438" s="65">
        <f>G438+H438</f>
        <v>21.32</v>
      </c>
      <c r="J438" s="89">
        <v>163</v>
      </c>
    </row>
    <row r="439" spans="1:10">
      <c r="A439" s="9" t="s">
        <v>1414</v>
      </c>
      <c r="B439" s="10"/>
      <c r="C439" s="10"/>
      <c r="D439" s="10">
        <v>5</v>
      </c>
      <c r="E439" s="10"/>
      <c r="F439" s="65">
        <f>D439+E439</f>
        <v>5</v>
      </c>
      <c r="G439" s="10">
        <v>13.5</v>
      </c>
      <c r="H439" s="10"/>
      <c r="I439" s="65">
        <f>G439+H439</f>
        <v>13.5</v>
      </c>
      <c r="J439" s="89">
        <v>0.999</v>
      </c>
    </row>
    <row r="440" spans="1:10">
      <c r="A440" s="9" t="s">
        <v>1356</v>
      </c>
      <c r="B440" s="10"/>
      <c r="C440" s="10"/>
      <c r="D440" s="10">
        <v>2100</v>
      </c>
      <c r="E440" s="10"/>
      <c r="F440" s="65">
        <f>D440+E440</f>
        <v>2100</v>
      </c>
      <c r="G440" s="10">
        <v>1700</v>
      </c>
      <c r="H440" s="10"/>
      <c r="I440" s="65">
        <f>G440+H440</f>
        <v>1700</v>
      </c>
      <c r="J440" s="89">
        <v>1200</v>
      </c>
    </row>
    <row r="441" spans="1:10">
      <c r="A441" s="9" t="s">
        <v>1357</v>
      </c>
      <c r="B441" s="10"/>
      <c r="C441" s="10"/>
      <c r="D441" s="10">
        <v>0.54</v>
      </c>
      <c r="E441" s="10"/>
      <c r="F441" s="65">
        <f>D441+E441</f>
        <v>0.54</v>
      </c>
      <c r="G441" s="10">
        <v>0.61</v>
      </c>
      <c r="H441" s="10"/>
      <c r="I441" s="65">
        <f>G441+H441</f>
        <v>0.61</v>
      </c>
      <c r="J441" s="89">
        <v>0.151</v>
      </c>
    </row>
    <row r="442" spans="1:10">
      <c r="A442" s="9" t="s">
        <v>1033</v>
      </c>
      <c r="B442" s="10"/>
      <c r="C442" s="10"/>
      <c r="D442" s="10">
        <v>1.8</v>
      </c>
      <c r="E442" s="10"/>
      <c r="F442" s="65">
        <f>D442+E442</f>
        <v>1.8</v>
      </c>
      <c r="G442" s="10">
        <v>1.4</v>
      </c>
      <c r="H442" s="10"/>
      <c r="I442" s="65">
        <f>G442+H442</f>
        <v>1.4</v>
      </c>
      <c r="J442" s="89">
        <v>0.22500000000000001</v>
      </c>
    </row>
    <row r="443" spans="1:10">
      <c r="A443" s="9"/>
      <c r="B443" s="10"/>
      <c r="C443" s="10"/>
      <c r="D443" s="10"/>
      <c r="E443" s="10"/>
      <c r="F443" s="65"/>
      <c r="G443" s="10"/>
      <c r="H443" s="10"/>
      <c r="I443" s="65"/>
      <c r="J443" s="89"/>
    </row>
    <row r="444" spans="1:10" ht="15.75" thickBot="1">
      <c r="A444" s="120" t="s">
        <v>1358</v>
      </c>
      <c r="B444" s="13"/>
      <c r="C444" s="13"/>
      <c r="D444" s="13">
        <v>39.1</v>
      </c>
      <c r="E444" s="13">
        <v>49.1</v>
      </c>
      <c r="F444" s="134">
        <f t="shared" si="4"/>
        <v>88.2</v>
      </c>
      <c r="G444" s="13">
        <v>31.2</v>
      </c>
      <c r="H444" s="13">
        <v>49.1</v>
      </c>
      <c r="I444" s="134">
        <f t="shared" si="5"/>
        <v>80.3</v>
      </c>
      <c r="J444" s="135">
        <v>129.1</v>
      </c>
    </row>
    <row r="447" spans="1:10">
      <c r="A447" s="62" t="s">
        <v>1432</v>
      </c>
    </row>
    <row r="448" spans="1:10">
      <c r="A448" s="62" t="s">
        <v>1431</v>
      </c>
    </row>
    <row r="450" spans="1:13">
      <c r="D450" s="62" t="s">
        <v>4</v>
      </c>
      <c r="E450" s="62" t="s">
        <v>5</v>
      </c>
      <c r="F450" s="62" t="s">
        <v>1433</v>
      </c>
      <c r="G450" s="62" t="s">
        <v>49</v>
      </c>
      <c r="H450" s="62" t="s">
        <v>31</v>
      </c>
      <c r="I450" s="62" t="s">
        <v>32</v>
      </c>
      <c r="J450" s="62" t="s">
        <v>8</v>
      </c>
      <c r="K450" s="62" t="s">
        <v>9</v>
      </c>
      <c r="L450" s="62" t="s">
        <v>10</v>
      </c>
      <c r="M450" s="62" t="s">
        <v>264</v>
      </c>
    </row>
    <row r="451" spans="1:13">
      <c r="A451" t="s">
        <v>1012</v>
      </c>
      <c r="D451">
        <v>0.42899999999999999</v>
      </c>
      <c r="E451">
        <v>1.9E-2</v>
      </c>
      <c r="F451">
        <v>0</v>
      </c>
      <c r="G451">
        <v>0</v>
      </c>
      <c r="H451">
        <v>1.109</v>
      </c>
      <c r="I451">
        <v>1.07</v>
      </c>
      <c r="J451">
        <v>0.44500000000000001</v>
      </c>
      <c r="K451">
        <v>0.20599999999999999</v>
      </c>
      <c r="L451">
        <v>0.44500000000000001</v>
      </c>
      <c r="M451">
        <v>0</v>
      </c>
    </row>
    <row r="452" spans="1:13">
      <c r="A452" t="s">
        <v>1013</v>
      </c>
      <c r="D452">
        <v>0.20399999999999999</v>
      </c>
      <c r="E452">
        <v>8.9999999999999993E-3</v>
      </c>
      <c r="F452">
        <v>0</v>
      </c>
      <c r="G452">
        <v>0</v>
      </c>
      <c r="H452">
        <v>0.52800000000000002</v>
      </c>
      <c r="I452">
        <v>0.50900000000000001</v>
      </c>
      <c r="J452">
        <v>0.21199999999999999</v>
      </c>
      <c r="K452">
        <v>9.8000000000000004E-2</v>
      </c>
      <c r="L452">
        <v>0.21199999999999999</v>
      </c>
      <c r="M452">
        <v>0</v>
      </c>
    </row>
    <row r="453" spans="1:13">
      <c r="A453" t="s">
        <v>1434</v>
      </c>
      <c r="D453">
        <v>1.0049999999999999</v>
      </c>
      <c r="E453">
        <v>4.5999999999999999E-2</v>
      </c>
      <c r="F453">
        <v>0</v>
      </c>
      <c r="G453">
        <v>0</v>
      </c>
      <c r="H453">
        <v>2.6040000000000001</v>
      </c>
      <c r="I453">
        <v>2.512</v>
      </c>
      <c r="J453">
        <v>1.0429999999999999</v>
      </c>
      <c r="K453">
        <v>0.48299999999999998</v>
      </c>
      <c r="L453">
        <v>1.0429999999999999</v>
      </c>
      <c r="M453">
        <v>0</v>
      </c>
    </row>
    <row r="454" spans="1:13">
      <c r="A454" t="s">
        <v>1014</v>
      </c>
      <c r="D454">
        <f>6.5*10^-8</f>
        <v>6.5E-8</v>
      </c>
      <c r="E454">
        <f>2.96*10^-9</f>
        <v>2.9600000000000001E-9</v>
      </c>
      <c r="F454">
        <v>0</v>
      </c>
      <c r="G454">
        <v>0</v>
      </c>
      <c r="H454">
        <f>1.68*10^-7</f>
        <v>1.68E-7</v>
      </c>
      <c r="I454">
        <f>1.62*10^-7</f>
        <v>1.6199999999999999E-7</v>
      </c>
      <c r="J454">
        <f>6.75*10^-8</f>
        <v>6.7500000000000002E-8</v>
      </c>
      <c r="K454">
        <f>3.12*10^-8</f>
        <v>3.1200000000000001E-8</v>
      </c>
      <c r="L454">
        <f>6.75*10^-8</f>
        <v>6.7500000000000002E-8</v>
      </c>
      <c r="M454">
        <v>0</v>
      </c>
    </row>
    <row r="455" spans="1:13">
      <c r="A455" t="s">
        <v>1015</v>
      </c>
      <c r="D455">
        <v>0.625</v>
      </c>
      <c r="E455">
        <v>2.8000000000000001E-2</v>
      </c>
      <c r="F455">
        <v>0</v>
      </c>
      <c r="G455">
        <v>0</v>
      </c>
      <c r="H455">
        <v>1.62</v>
      </c>
      <c r="I455">
        <v>1.5629999999999999</v>
      </c>
      <c r="J455">
        <v>0.64900000000000002</v>
      </c>
      <c r="K455">
        <v>0.3</v>
      </c>
      <c r="L455">
        <v>0.64900000000000002</v>
      </c>
      <c r="M455">
        <v>0</v>
      </c>
    </row>
    <row r="456" spans="1:13">
      <c r="A456" t="s">
        <v>1435</v>
      </c>
      <c r="D456">
        <v>0.109</v>
      </c>
      <c r="E456">
        <v>5.0000000000000001E-3</v>
      </c>
      <c r="F456">
        <v>0</v>
      </c>
      <c r="G456">
        <v>0</v>
      </c>
      <c r="H456">
        <v>0.311</v>
      </c>
      <c r="I456">
        <v>0.29899999999999999</v>
      </c>
      <c r="J456">
        <v>0.124</v>
      </c>
      <c r="K456">
        <v>5.7000000000000002E-2</v>
      </c>
      <c r="L456">
        <v>0.124</v>
      </c>
      <c r="M456">
        <v>0</v>
      </c>
    </row>
    <row r="459" spans="1:13">
      <c r="A459" s="62" t="s">
        <v>1437</v>
      </c>
    </row>
    <row r="460" spans="1:13">
      <c r="A460" s="62" t="s">
        <v>1436</v>
      </c>
    </row>
    <row r="462" spans="1:13">
      <c r="D462" s="62" t="s">
        <v>4</v>
      </c>
      <c r="E462" s="62" t="s">
        <v>5</v>
      </c>
      <c r="F462" s="62" t="s">
        <v>1433</v>
      </c>
      <c r="G462" s="62" t="s">
        <v>49</v>
      </c>
      <c r="H462" s="62" t="s">
        <v>31</v>
      </c>
      <c r="I462" s="62" t="s">
        <v>32</v>
      </c>
      <c r="J462" s="62" t="s">
        <v>8</v>
      </c>
      <c r="K462" s="62" t="s">
        <v>9</v>
      </c>
      <c r="L462" s="62" t="s">
        <v>10</v>
      </c>
      <c r="M462" s="62" t="s">
        <v>264</v>
      </c>
    </row>
    <row r="463" spans="1:13">
      <c r="A463" t="s">
        <v>1012</v>
      </c>
      <c r="D463">
        <v>0.114</v>
      </c>
      <c r="E463">
        <v>5.0000000000000001E-3</v>
      </c>
      <c r="F463">
        <v>0</v>
      </c>
      <c r="G463">
        <v>0</v>
      </c>
      <c r="H463">
        <v>0.29599999999999999</v>
      </c>
      <c r="I463">
        <v>0.28599999999999998</v>
      </c>
      <c r="J463">
        <v>0.11799999999999999</v>
      </c>
      <c r="K463">
        <v>5.5E-2</v>
      </c>
      <c r="L463">
        <v>0.11799999999999999</v>
      </c>
      <c r="M463">
        <v>0</v>
      </c>
    </row>
    <row r="464" spans="1:13">
      <c r="A464" t="s">
        <v>1013</v>
      </c>
      <c r="D464">
        <v>7.1999999999999995E-2</v>
      </c>
      <c r="E464">
        <v>3.0000000000000001E-3</v>
      </c>
      <c r="F464">
        <v>0</v>
      </c>
      <c r="G464">
        <v>0</v>
      </c>
      <c r="H464">
        <v>0.188</v>
      </c>
      <c r="I464">
        <v>0.18099999999999999</v>
      </c>
      <c r="J464">
        <v>7.4999999999999997E-2</v>
      </c>
      <c r="K464">
        <v>3.5000000000000003E-2</v>
      </c>
      <c r="L464">
        <v>7.4999999999999997E-2</v>
      </c>
      <c r="M464">
        <v>0</v>
      </c>
    </row>
    <row r="465" spans="1:13">
      <c r="A465" t="s">
        <v>1434</v>
      </c>
      <c r="D465">
        <v>0.94799999999999995</v>
      </c>
      <c r="E465">
        <v>4.1000000000000002E-2</v>
      </c>
      <c r="F465">
        <v>0</v>
      </c>
      <c r="G465">
        <v>0</v>
      </c>
      <c r="H465">
        <v>2.3610000000000002</v>
      </c>
      <c r="I465">
        <v>2.2770000000000001</v>
      </c>
      <c r="J465">
        <v>0.94599999999999995</v>
      </c>
      <c r="K465">
        <v>0.437</v>
      </c>
      <c r="L465">
        <v>0.94599999999999995</v>
      </c>
      <c r="M465">
        <v>0</v>
      </c>
    </row>
    <row r="466" spans="1:13">
      <c r="A466" t="s">
        <v>1014</v>
      </c>
      <c r="D466">
        <f>2.25*10^-8</f>
        <v>2.25E-8</v>
      </c>
      <c r="E466">
        <f>1.02*10^-9</f>
        <v>1.02E-9</v>
      </c>
      <c r="F466">
        <v>0</v>
      </c>
      <c r="G466">
        <v>0</v>
      </c>
      <c r="H466">
        <f>3.5*10^-7</f>
        <v>3.4999999999999998E-7</v>
      </c>
      <c r="I466">
        <f>1.69*10^-7</f>
        <v>1.6899999999999999E-7</v>
      </c>
      <c r="J466">
        <f>2.33*10^-8</f>
        <v>2.33E-8</v>
      </c>
      <c r="K466">
        <f>1.08*10^-8</f>
        <v>1.0800000000000001E-8</v>
      </c>
      <c r="L466">
        <f>2.33*10^-8</f>
        <v>2.33E-8</v>
      </c>
      <c r="M466">
        <v>0</v>
      </c>
    </row>
    <row r="467" spans="1:13">
      <c r="A467" t="s">
        <v>1015</v>
      </c>
      <c r="D467">
        <v>0.16800000000000001</v>
      </c>
      <c r="E467">
        <v>7.0000000000000001E-3</v>
      </c>
      <c r="F467">
        <v>0</v>
      </c>
      <c r="G467">
        <v>0</v>
      </c>
      <c r="H467">
        <v>0.16800000000000001</v>
      </c>
      <c r="I467">
        <v>0.40600000000000003</v>
      </c>
      <c r="J467">
        <v>0.16900000000000001</v>
      </c>
      <c r="K467">
        <v>7.8E-2</v>
      </c>
      <c r="L467">
        <v>0.16900000000000001</v>
      </c>
      <c r="M467">
        <v>0</v>
      </c>
    </row>
    <row r="468" spans="1:13">
      <c r="A468" t="s">
        <v>1435</v>
      </c>
      <c r="D468">
        <v>0.02</v>
      </c>
      <c r="E468">
        <v>1E-3</v>
      </c>
      <c r="F468">
        <v>0</v>
      </c>
      <c r="G468">
        <v>0</v>
      </c>
      <c r="H468">
        <v>5.0999999999999997E-2</v>
      </c>
      <c r="I468">
        <v>0.15</v>
      </c>
      <c r="J468">
        <v>2.1000000000000001E-2</v>
      </c>
      <c r="K468">
        <v>8.9999999999999993E-3</v>
      </c>
      <c r="L468">
        <v>2.1000000000000001E-2</v>
      </c>
      <c r="M468">
        <v>0</v>
      </c>
    </row>
    <row r="471" spans="1:13">
      <c r="A471" s="62" t="s">
        <v>1439</v>
      </c>
    </row>
    <row r="472" spans="1:13">
      <c r="A472" s="62" t="s">
        <v>1438</v>
      </c>
    </row>
    <row r="473" spans="1:13">
      <c r="D473" s="62" t="s">
        <v>4</v>
      </c>
      <c r="E473" s="62" t="s">
        <v>5</v>
      </c>
      <c r="F473" s="62" t="s">
        <v>1433</v>
      </c>
      <c r="G473" s="62" t="s">
        <v>49</v>
      </c>
      <c r="H473" s="62" t="s">
        <v>31</v>
      </c>
      <c r="I473" s="62" t="s">
        <v>32</v>
      </c>
      <c r="J473" s="62" t="s">
        <v>8</v>
      </c>
      <c r="K473" s="62" t="s">
        <v>9</v>
      </c>
      <c r="L473" s="62" t="s">
        <v>10</v>
      </c>
      <c r="M473" s="62" t="s">
        <v>264</v>
      </c>
    </row>
    <row r="474" spans="1:13">
      <c r="A474" t="s">
        <v>1440</v>
      </c>
      <c r="D474">
        <v>1279</v>
      </c>
      <c r="E474">
        <v>59</v>
      </c>
      <c r="F474">
        <v>0</v>
      </c>
      <c r="G474">
        <v>0</v>
      </c>
      <c r="H474">
        <v>2740</v>
      </c>
      <c r="I474">
        <v>2652</v>
      </c>
      <c r="J474">
        <v>1280</v>
      </c>
      <c r="K474">
        <v>586</v>
      </c>
      <c r="L474">
        <v>1280</v>
      </c>
      <c r="M474">
        <v>0</v>
      </c>
    </row>
    <row r="475" spans="1:13">
      <c r="A475" t="s">
        <v>1441</v>
      </c>
      <c r="D475">
        <v>5016</v>
      </c>
      <c r="E475">
        <v>228</v>
      </c>
      <c r="F475">
        <v>0</v>
      </c>
      <c r="G475">
        <v>0</v>
      </c>
      <c r="H475">
        <v>12991</v>
      </c>
      <c r="I475">
        <v>12532</v>
      </c>
      <c r="J475">
        <v>5206</v>
      </c>
      <c r="K475">
        <v>2409</v>
      </c>
      <c r="L475">
        <v>5206</v>
      </c>
      <c r="M475">
        <v>0</v>
      </c>
    </row>
    <row r="478" spans="1:13">
      <c r="A478" s="62" t="s">
        <v>1442</v>
      </c>
    </row>
    <row r="479" spans="1:13">
      <c r="A479" s="62" t="s">
        <v>1443</v>
      </c>
    </row>
    <row r="481" spans="1:14">
      <c r="D481" s="62" t="s">
        <v>4</v>
      </c>
      <c r="E481" s="62" t="s">
        <v>5</v>
      </c>
      <c r="F481" s="62" t="s">
        <v>1433</v>
      </c>
      <c r="G481" s="62" t="s">
        <v>49</v>
      </c>
      <c r="H481" s="62" t="s">
        <v>31</v>
      </c>
      <c r="I481" s="62" t="s">
        <v>32</v>
      </c>
      <c r="J481" s="62" t="s">
        <v>8</v>
      </c>
      <c r="K481" s="62" t="s">
        <v>9</v>
      </c>
      <c r="L481" s="62" t="s">
        <v>10</v>
      </c>
      <c r="M481" s="62" t="s">
        <v>264</v>
      </c>
      <c r="N481" s="62" t="s">
        <v>1444</v>
      </c>
    </row>
    <row r="482" spans="1:14">
      <c r="A482" s="62" t="s">
        <v>1446</v>
      </c>
      <c r="N482" s="62" t="s">
        <v>1445</v>
      </c>
    </row>
    <row r="483" spans="1:14">
      <c r="A483" s="2" t="s">
        <v>1026</v>
      </c>
      <c r="D483">
        <f>1.65*10^-6</f>
        <v>1.6499999999999999E-6</v>
      </c>
      <c r="E483">
        <f>9*10^-6</f>
        <v>9.0000000000000002E-6</v>
      </c>
      <c r="F483">
        <f>6.55*10^-3</f>
        <v>6.5500000000000003E-3</v>
      </c>
      <c r="G483">
        <v>1.32E-3</v>
      </c>
      <c r="H483">
        <f>1.07*10^-6</f>
        <v>1.0699999999999999E-6</v>
      </c>
      <c r="I483">
        <f>1.06*10^-6</f>
        <v>1.06E-6</v>
      </c>
      <c r="J483">
        <v>1.2899999999999999E-3</v>
      </c>
      <c r="K483">
        <f>7.35*10^-6</f>
        <v>7.3499999999999991E-6</v>
      </c>
      <c r="L483">
        <v>1.2899999999999999E-3</v>
      </c>
      <c r="M483">
        <v>0</v>
      </c>
      <c r="N483" s="143">
        <v>0.999</v>
      </c>
    </row>
    <row r="484" spans="1:14">
      <c r="A484" s="2" t="s">
        <v>1027</v>
      </c>
      <c r="D484">
        <f>4.08*10^-5</f>
        <v>4.0800000000000002E-5</v>
      </c>
      <c r="E484">
        <f>3.27*10^-4</f>
        <v>3.2700000000000003E-4</v>
      </c>
      <c r="F484">
        <f>3.59*10^-3</f>
        <v>3.5899999999999999E-3</v>
      </c>
      <c r="G484">
        <v>2.5100000000000001E-3</v>
      </c>
      <c r="H484">
        <v>1.01E-3</v>
      </c>
      <c r="I484">
        <v>4.5100000000000001E-4</v>
      </c>
      <c r="J484">
        <v>3.1199999999999999E-3</v>
      </c>
      <c r="K484">
        <v>4.6000000000000001E-4</v>
      </c>
      <c r="L484">
        <v>3.1199999999999999E-3</v>
      </c>
      <c r="M484">
        <v>0</v>
      </c>
      <c r="N484" s="143">
        <v>0.997</v>
      </c>
    </row>
    <row r="485" spans="1:14">
      <c r="A485" s="2" t="s">
        <v>1028</v>
      </c>
      <c r="D485">
        <f>9.4*10^-5</f>
        <v>9.4000000000000008E-5</v>
      </c>
      <c r="E485">
        <f>1.56*10^-3</f>
        <v>1.5600000000000002E-3</v>
      </c>
      <c r="F485">
        <f>1.32*10^-3</f>
        <v>1.32E-3</v>
      </c>
      <c r="G485">
        <v>2.2100000000000002E-3</v>
      </c>
      <c r="H485">
        <v>2.1100000000000001E-4</v>
      </c>
      <c r="I485">
        <f>8.4*10^-5</f>
        <v>8.4000000000000009E-5</v>
      </c>
      <c r="J485">
        <v>1.2899999999999999E-3</v>
      </c>
      <c r="K485">
        <v>3.3799999999999998E-4</v>
      </c>
      <c r="L485">
        <v>1.2899999999999999E-3</v>
      </c>
      <c r="M485">
        <v>0</v>
      </c>
      <c r="N485" s="143">
        <v>0.99299999999999999</v>
      </c>
    </row>
    <row r="486" spans="1:14">
      <c r="A486" s="2" t="s">
        <v>1029</v>
      </c>
      <c r="D486">
        <f>4.93*10^-6</f>
        <v>4.9299999999999994E-6</v>
      </c>
      <c r="E486">
        <f>7.9*10^-6</f>
        <v>7.9000000000000006E-6</v>
      </c>
      <c r="F486">
        <f>6.25*10^-2</f>
        <v>6.25E-2</v>
      </c>
      <c r="G486">
        <v>1.22E-4</v>
      </c>
      <c r="H486">
        <f>5.9*10^-6</f>
        <v>5.9000000000000003E-6</v>
      </c>
      <c r="I486">
        <f>5.65*10^-6</f>
        <v>5.6500000000000001E-6</v>
      </c>
      <c r="J486">
        <v>1.1900000000000001E-2</v>
      </c>
      <c r="K486">
        <f>7.85*10^-5</f>
        <v>7.8499999999999997E-5</v>
      </c>
      <c r="L486">
        <v>1.1900000000000001E-2</v>
      </c>
      <c r="M486">
        <v>0</v>
      </c>
      <c r="N486" s="143">
        <v>0.996</v>
      </c>
    </row>
    <row r="487" spans="1:14">
      <c r="A487" s="2" t="s">
        <v>1030</v>
      </c>
      <c r="D487">
        <f>2.55*10^-4</f>
        <v>2.5500000000000002E-4</v>
      </c>
      <c r="E487">
        <f>1.39*10^-4</f>
        <v>1.3899999999999999E-4</v>
      </c>
      <c r="F487">
        <f>3.21*10^-3</f>
        <v>3.2100000000000002E-3</v>
      </c>
      <c r="G487">
        <v>2.2599999999999999E-4</v>
      </c>
      <c r="H487">
        <f>9.99*10^-5</f>
        <v>9.9900000000000016E-5</v>
      </c>
      <c r="I487">
        <f>9.85*10^-5</f>
        <v>9.8500000000000009E-5</v>
      </c>
      <c r="J487">
        <v>7.6000000000000004E-4</v>
      </c>
      <c r="K487">
        <v>4.3100000000000001E-4</v>
      </c>
      <c r="L487">
        <v>7.6000000000000004E-4</v>
      </c>
      <c r="M487">
        <v>0</v>
      </c>
      <c r="N487" s="143">
        <v>0.92700000000000005</v>
      </c>
    </row>
    <row r="488" spans="1:14">
      <c r="A488" s="2" t="s">
        <v>1031</v>
      </c>
      <c r="D488">
        <f>1.6*10^-4</f>
        <v>1.6000000000000001E-4</v>
      </c>
      <c r="E488">
        <f>4.8*10^-4</f>
        <v>4.8000000000000001E-4</v>
      </c>
      <c r="F488">
        <f>1.84*10^-3</f>
        <v>1.8400000000000001E-3</v>
      </c>
      <c r="G488">
        <v>4.3100000000000001E-4</v>
      </c>
      <c r="H488">
        <f>0.000152</f>
        <v>1.5200000000000001E-4</v>
      </c>
      <c r="I488">
        <v>1.26E-4</v>
      </c>
      <c r="J488">
        <v>4.9899999999999999E-4</v>
      </c>
      <c r="K488">
        <v>2.6600000000000001E-4</v>
      </c>
      <c r="L488">
        <v>4.9899999999999999E-4</v>
      </c>
      <c r="M488">
        <v>0</v>
      </c>
      <c r="N488" s="143">
        <v>0.96599999999999997</v>
      </c>
    </row>
    <row r="489" spans="1:14">
      <c r="A489" s="2" t="s">
        <v>1032</v>
      </c>
      <c r="D489">
        <f>2.65*10^-3</f>
        <v>2.65E-3</v>
      </c>
      <c r="E489">
        <f>4.34*10^-3</f>
        <v>4.3400000000000001E-3</v>
      </c>
      <c r="F489">
        <f>2.38*10^-2</f>
        <v>2.3799999999999998E-2</v>
      </c>
      <c r="G489">
        <v>2.4299999999999999E-3</v>
      </c>
      <c r="H489">
        <v>5.4999999999999997E-3</v>
      </c>
      <c r="I489">
        <v>3.2000000000000002E-3</v>
      </c>
      <c r="J489">
        <v>1.9E-2</v>
      </c>
      <c r="K489">
        <v>5.7999999999999996E-3</v>
      </c>
      <c r="L489">
        <v>1.9E-2</v>
      </c>
      <c r="M489">
        <v>0</v>
      </c>
      <c r="N489" s="143">
        <v>0.998</v>
      </c>
    </row>
    <row r="490" spans="1:14">
      <c r="A490" s="2" t="s">
        <v>1033</v>
      </c>
      <c r="D490">
        <f>1.5*10^-3</f>
        <v>1.5E-3</v>
      </c>
      <c r="E490">
        <f>2.55*10^-3</f>
        <v>2.5499999999999997E-3</v>
      </c>
      <c r="F490">
        <f>1.24*10^-1</f>
        <v>0.124</v>
      </c>
      <c r="G490">
        <v>2.15</v>
      </c>
      <c r="H490">
        <v>4.3099999999999996E-3</v>
      </c>
      <c r="I490">
        <v>2.9399999999999999E-3</v>
      </c>
      <c r="J490">
        <v>3.3300000000000003E-2</v>
      </c>
      <c r="K490">
        <v>5.9899999999999997E-3</v>
      </c>
      <c r="L490">
        <v>3.3300000000000003E-2</v>
      </c>
      <c r="M490">
        <v>0</v>
      </c>
      <c r="N490" s="143">
        <v>0.997</v>
      </c>
    </row>
    <row r="491" spans="1:14">
      <c r="A491" s="2"/>
    </row>
    <row r="492" spans="1:14">
      <c r="A492" s="2"/>
    </row>
    <row r="493" spans="1:14">
      <c r="A493" s="62" t="s">
        <v>1465</v>
      </c>
    </row>
    <row r="494" spans="1:14">
      <c r="A494" s="62" t="s">
        <v>1466</v>
      </c>
    </row>
    <row r="495" spans="1:14">
      <c r="A495" t="s">
        <v>1468</v>
      </c>
    </row>
    <row r="496" spans="1:14">
      <c r="A496" s="2" t="s">
        <v>1467</v>
      </c>
    </row>
    <row r="497" spans="1:17">
      <c r="A497" s="2" t="s">
        <v>1473</v>
      </c>
    </row>
    <row r="498" spans="1:17">
      <c r="A498" t="s">
        <v>1471</v>
      </c>
    </row>
    <row r="500" spans="1:17">
      <c r="C500" s="62" t="s">
        <v>1302</v>
      </c>
      <c r="D500" s="62" t="s">
        <v>4</v>
      </c>
      <c r="E500" s="62" t="s">
        <v>5</v>
      </c>
      <c r="F500" s="62" t="s">
        <v>1433</v>
      </c>
      <c r="G500" s="62" t="s">
        <v>49</v>
      </c>
      <c r="H500" s="62" t="s">
        <v>31</v>
      </c>
      <c r="I500" s="62" t="s">
        <v>32</v>
      </c>
      <c r="J500" s="62" t="s">
        <v>8</v>
      </c>
      <c r="K500" s="62" t="s">
        <v>9</v>
      </c>
      <c r="L500" s="62" t="s">
        <v>10</v>
      </c>
      <c r="M500" s="62" t="s">
        <v>264</v>
      </c>
      <c r="N500" s="62" t="s">
        <v>359</v>
      </c>
      <c r="O500" s="62" t="s">
        <v>1469</v>
      </c>
    </row>
    <row r="501" spans="1:17">
      <c r="A501" s="9" t="s">
        <v>1339</v>
      </c>
      <c r="C501" t="s">
        <v>1378</v>
      </c>
      <c r="D501">
        <v>3167</v>
      </c>
      <c r="E501">
        <v>0</v>
      </c>
      <c r="F501">
        <v>0</v>
      </c>
      <c r="G501">
        <v>0</v>
      </c>
      <c r="H501">
        <v>0</v>
      </c>
      <c r="I501">
        <v>0</v>
      </c>
      <c r="J501">
        <f>D501</f>
        <v>3167</v>
      </c>
      <c r="K501">
        <f>D501</f>
        <v>3167</v>
      </c>
      <c r="L501">
        <v>0</v>
      </c>
      <c r="M501" s="146">
        <v>19</v>
      </c>
      <c r="N501">
        <f>O501</f>
        <v>24</v>
      </c>
      <c r="O501">
        <v>24</v>
      </c>
      <c r="P501" s="146"/>
      <c r="Q501" t="s">
        <v>1470</v>
      </c>
    </row>
    <row r="502" spans="1:17">
      <c r="A502" s="9" t="s">
        <v>1340</v>
      </c>
      <c r="C502" t="s">
        <v>1378</v>
      </c>
      <c r="D502">
        <v>3167</v>
      </c>
      <c r="E502">
        <v>0</v>
      </c>
      <c r="F502">
        <v>0</v>
      </c>
      <c r="G502">
        <v>0</v>
      </c>
      <c r="H502">
        <v>0</v>
      </c>
      <c r="I502">
        <v>0</v>
      </c>
      <c r="J502">
        <f>D502</f>
        <v>3167</v>
      </c>
      <c r="K502">
        <f>D502</f>
        <v>3167</v>
      </c>
      <c r="L502">
        <v>0</v>
      </c>
      <c r="M502" s="146">
        <v>19</v>
      </c>
      <c r="N502">
        <f t="shared" ref="N502:N527" si="6">O502</f>
        <v>24</v>
      </c>
      <c r="O502">
        <v>24</v>
      </c>
    </row>
    <row r="503" spans="1:17">
      <c r="A503" s="9" t="s">
        <v>1341</v>
      </c>
      <c r="C503" t="s">
        <v>1378</v>
      </c>
      <c r="D503" s="146">
        <v>1</v>
      </c>
      <c r="E503" s="146">
        <v>1</v>
      </c>
      <c r="F503" s="146">
        <v>1</v>
      </c>
      <c r="G503" s="146">
        <v>1</v>
      </c>
      <c r="H503" s="146">
        <v>1</v>
      </c>
      <c r="I503" s="146">
        <v>1</v>
      </c>
      <c r="J503" s="146">
        <v>1</v>
      </c>
      <c r="K503" s="146">
        <v>1</v>
      </c>
      <c r="L503" s="146">
        <v>1</v>
      </c>
      <c r="M503" s="146">
        <v>1</v>
      </c>
      <c r="N503" s="146">
        <f t="shared" si="6"/>
        <v>1</v>
      </c>
      <c r="O503" s="146">
        <v>1</v>
      </c>
      <c r="P503" s="146"/>
      <c r="Q503" t="s">
        <v>1472</v>
      </c>
    </row>
    <row r="504" spans="1:17">
      <c r="A504" s="9" t="s">
        <v>1342</v>
      </c>
      <c r="C504" t="s">
        <v>1378</v>
      </c>
      <c r="D504" s="146">
        <v>2</v>
      </c>
      <c r="E504" s="146">
        <v>2</v>
      </c>
      <c r="F504" s="146">
        <v>2</v>
      </c>
      <c r="G504" s="146">
        <v>2</v>
      </c>
      <c r="H504" s="146">
        <v>2</v>
      </c>
      <c r="I504" s="146">
        <v>2</v>
      </c>
      <c r="J504" s="146">
        <v>2</v>
      </c>
      <c r="K504" s="146">
        <v>2</v>
      </c>
      <c r="L504" s="146">
        <v>2</v>
      </c>
      <c r="M504" s="146">
        <v>0.39</v>
      </c>
      <c r="N504" s="146">
        <f t="shared" si="6"/>
        <v>2.1000000000000001E-2</v>
      </c>
      <c r="O504" s="146">
        <v>2.1000000000000001E-2</v>
      </c>
      <c r="P504" s="146"/>
      <c r="Q504" t="s">
        <v>1472</v>
      </c>
    </row>
    <row r="505" spans="1:17">
      <c r="A505" s="9" t="s">
        <v>1343</v>
      </c>
      <c r="C505" t="s">
        <v>1378</v>
      </c>
      <c r="D505">
        <v>2</v>
      </c>
      <c r="E505">
        <v>2</v>
      </c>
      <c r="F505">
        <v>2</v>
      </c>
      <c r="G505">
        <v>2</v>
      </c>
      <c r="H505">
        <v>2</v>
      </c>
      <c r="I505">
        <v>2</v>
      </c>
      <c r="J505">
        <v>2</v>
      </c>
      <c r="K505">
        <v>2</v>
      </c>
      <c r="L505">
        <v>2</v>
      </c>
      <c r="M505" s="61">
        <v>0.86</v>
      </c>
      <c r="N505">
        <f t="shared" si="6"/>
        <v>1.0999999999999999E-2</v>
      </c>
      <c r="O505">
        <v>1.0999999999999999E-2</v>
      </c>
    </row>
    <row r="506" spans="1:17">
      <c r="A506" s="9" t="s">
        <v>1344</v>
      </c>
      <c r="C506" t="s">
        <v>1378</v>
      </c>
      <c r="D506" s="146">
        <v>1.03</v>
      </c>
      <c r="E506" s="146">
        <v>1.03</v>
      </c>
      <c r="F506" s="146">
        <v>1.03</v>
      </c>
      <c r="G506" s="146">
        <v>1.03</v>
      </c>
      <c r="H506" s="146">
        <v>1.03</v>
      </c>
      <c r="I506" s="146">
        <v>1.03</v>
      </c>
      <c r="J506" s="146">
        <v>1.03</v>
      </c>
      <c r="K506" s="146">
        <v>1.03</v>
      </c>
      <c r="L506" s="146">
        <v>1.03</v>
      </c>
      <c r="M506" s="146">
        <v>0.18</v>
      </c>
      <c r="N506" s="146">
        <f t="shared" si="6"/>
        <v>0.01</v>
      </c>
      <c r="O506" s="146">
        <v>0.01</v>
      </c>
      <c r="P506" s="146"/>
      <c r="Q506" t="s">
        <v>1472</v>
      </c>
    </row>
    <row r="507" spans="1:17">
      <c r="A507" s="9" t="s">
        <v>1345</v>
      </c>
      <c r="C507" t="s">
        <v>1378</v>
      </c>
      <c r="D507" s="61">
        <v>3.2000000000000001E-7</v>
      </c>
      <c r="E507" s="61">
        <v>3.2000000000000001E-7</v>
      </c>
      <c r="F507" s="61">
        <v>3.2000000000000001E-7</v>
      </c>
      <c r="G507" s="61">
        <v>3.2000000000000001E-7</v>
      </c>
      <c r="H507" s="61">
        <v>3.2000000000000001E-7</v>
      </c>
      <c r="I507" s="61">
        <v>3.2000000000000001E-7</v>
      </c>
      <c r="J507" s="61">
        <v>3.2000000000000001E-7</v>
      </c>
      <c r="K507" s="61">
        <v>3.2000000000000001E-7</v>
      </c>
      <c r="L507" s="61">
        <v>3.2000000000000001E-7</v>
      </c>
      <c r="M507" s="61">
        <v>1.6E-7</v>
      </c>
      <c r="N507">
        <f t="shared" si="6"/>
        <v>3.2000000000000002E-8</v>
      </c>
      <c r="O507" s="61">
        <v>3.2000000000000002E-8</v>
      </c>
      <c r="Q507" t="s">
        <v>1474</v>
      </c>
    </row>
    <row r="508" spans="1:17">
      <c r="A508" s="9" t="s">
        <v>1346</v>
      </c>
      <c r="C508" t="s">
        <v>1378</v>
      </c>
      <c r="D508" s="61">
        <v>0.38</v>
      </c>
      <c r="E508" s="61">
        <v>0.38</v>
      </c>
      <c r="F508" s="61">
        <v>0.38</v>
      </c>
      <c r="G508" s="61">
        <v>0.38</v>
      </c>
      <c r="H508" s="61">
        <v>0.38</v>
      </c>
      <c r="I508" s="61">
        <v>0.38</v>
      </c>
      <c r="J508" s="61">
        <v>0.38</v>
      </c>
      <c r="K508" s="61">
        <v>0.38</v>
      </c>
      <c r="L508" s="61">
        <v>0.38</v>
      </c>
      <c r="M508" s="61">
        <v>0.1</v>
      </c>
      <c r="N508">
        <f t="shared" si="6"/>
        <v>5.0000000000000001E-3</v>
      </c>
      <c r="O508" s="61">
        <v>5.0000000000000001E-3</v>
      </c>
    </row>
    <row r="509" spans="1:17">
      <c r="A509" s="9" t="s">
        <v>1347</v>
      </c>
      <c r="C509" t="s">
        <v>1378</v>
      </c>
      <c r="D509" s="146">
        <v>0</v>
      </c>
      <c r="E509" s="146">
        <v>0</v>
      </c>
      <c r="F509" s="146">
        <v>0</v>
      </c>
      <c r="G509" s="146">
        <v>0</v>
      </c>
      <c r="H509" s="146">
        <v>0</v>
      </c>
      <c r="I509" s="146">
        <v>0</v>
      </c>
      <c r="J509" s="146">
        <v>0</v>
      </c>
      <c r="K509" s="146">
        <v>0</v>
      </c>
      <c r="L509" s="146">
        <v>0</v>
      </c>
      <c r="M509" s="146">
        <v>0</v>
      </c>
      <c r="N509" s="146">
        <f t="shared" si="6"/>
        <v>0</v>
      </c>
      <c r="O509" s="146">
        <v>0</v>
      </c>
      <c r="P509" s="146"/>
      <c r="Q509" t="s">
        <v>1475</v>
      </c>
    </row>
    <row r="510" spans="1:17">
      <c r="A510" s="9" t="s">
        <v>1348</v>
      </c>
      <c r="C510" t="s">
        <v>1378</v>
      </c>
      <c r="D510" s="146">
        <v>21</v>
      </c>
      <c r="E510" s="146">
        <v>21</v>
      </c>
      <c r="F510" s="146">
        <v>21</v>
      </c>
      <c r="G510" s="146">
        <v>21</v>
      </c>
      <c r="H510" s="146">
        <v>21</v>
      </c>
      <c r="I510" s="146">
        <v>21</v>
      </c>
      <c r="J510" s="146">
        <v>21</v>
      </c>
      <c r="K510" s="146">
        <v>21</v>
      </c>
      <c r="L510" s="146">
        <v>21</v>
      </c>
      <c r="M510" s="146">
        <v>10</v>
      </c>
      <c r="N510">
        <f t="shared" si="6"/>
        <v>0.06</v>
      </c>
      <c r="O510" s="61">
        <v>0.06</v>
      </c>
      <c r="P510" s="146"/>
      <c r="Q510" t="s">
        <v>1476</v>
      </c>
    </row>
    <row r="511" spans="1:17">
      <c r="A511" s="9" t="s">
        <v>1026</v>
      </c>
      <c r="C511" t="s">
        <v>1378</v>
      </c>
      <c r="D511" s="61">
        <v>1.4E-2</v>
      </c>
      <c r="E511" s="61">
        <v>1.4E-2</v>
      </c>
      <c r="F511" s="61">
        <v>1.4E-2</v>
      </c>
      <c r="G511" s="61">
        <v>1.4E-2</v>
      </c>
      <c r="H511" s="61">
        <v>1.4E-2</v>
      </c>
      <c r="I511" s="61">
        <v>1.4E-2</v>
      </c>
      <c r="J511" s="61">
        <v>1.4E-2</v>
      </c>
      <c r="K511" s="61">
        <v>1.4E-2</v>
      </c>
      <c r="L511" s="61">
        <v>1.4E-2</v>
      </c>
      <c r="M511" s="61">
        <v>7.0000000000000001E-3</v>
      </c>
      <c r="N511">
        <f t="shared" si="6"/>
        <v>1E-3</v>
      </c>
      <c r="O511" s="61">
        <v>1E-3</v>
      </c>
    </row>
    <row r="512" spans="1:17">
      <c r="A512" s="9" t="s">
        <v>1349</v>
      </c>
      <c r="C512" t="s">
        <v>1378</v>
      </c>
      <c r="D512" s="61">
        <v>0</v>
      </c>
      <c r="E512" s="61">
        <v>0</v>
      </c>
      <c r="F512" s="61">
        <v>0</v>
      </c>
      <c r="G512" s="61">
        <v>0</v>
      </c>
      <c r="H512" s="61">
        <v>0</v>
      </c>
      <c r="I512" s="61">
        <v>0</v>
      </c>
      <c r="J512" s="61">
        <v>0</v>
      </c>
      <c r="K512" s="61">
        <v>0</v>
      </c>
      <c r="L512" s="61">
        <v>0</v>
      </c>
      <c r="M512" s="61">
        <v>0</v>
      </c>
      <c r="N512">
        <f t="shared" si="6"/>
        <v>0</v>
      </c>
      <c r="O512" s="61">
        <v>0</v>
      </c>
    </row>
    <row r="513" spans="1:17">
      <c r="A513" s="9" t="s">
        <v>1027</v>
      </c>
      <c r="C513" t="s">
        <v>1378</v>
      </c>
      <c r="D513" s="61">
        <v>1.4E-2</v>
      </c>
      <c r="E513" s="61">
        <v>1.4E-2</v>
      </c>
      <c r="F513" s="61">
        <v>1.4E-2</v>
      </c>
      <c r="G513" s="61">
        <v>1.4E-2</v>
      </c>
      <c r="H513" s="61">
        <v>1.4E-2</v>
      </c>
      <c r="I513" s="61">
        <v>1.4E-2</v>
      </c>
      <c r="J513" s="61">
        <v>1.4E-2</v>
      </c>
      <c r="K513" s="61">
        <v>1.4E-2</v>
      </c>
      <c r="L513" s="61">
        <v>1.4E-2</v>
      </c>
      <c r="M513" s="61">
        <v>1E-3</v>
      </c>
      <c r="N513">
        <f t="shared" si="6"/>
        <v>2.0000000000000001E-4</v>
      </c>
      <c r="O513" s="61">
        <v>2.0000000000000001E-4</v>
      </c>
    </row>
    <row r="514" spans="1:17">
      <c r="A514" s="9" t="s">
        <v>1350</v>
      </c>
      <c r="C514" t="s">
        <v>1378</v>
      </c>
      <c r="D514" s="146">
        <v>59</v>
      </c>
      <c r="E514" s="146">
        <v>59</v>
      </c>
      <c r="F514" s="146">
        <v>59</v>
      </c>
      <c r="G514" s="146">
        <v>59</v>
      </c>
      <c r="H514" s="146">
        <v>59</v>
      </c>
      <c r="I514" s="146">
        <v>59</v>
      </c>
      <c r="J514" s="146">
        <v>59</v>
      </c>
      <c r="K514" s="146">
        <v>59</v>
      </c>
      <c r="L514" s="146">
        <v>59</v>
      </c>
      <c r="M514" s="61">
        <v>95</v>
      </c>
      <c r="N514">
        <f t="shared" si="6"/>
        <v>75</v>
      </c>
      <c r="O514" s="61">
        <v>75</v>
      </c>
      <c r="P514" s="146"/>
      <c r="Q514" t="s">
        <v>1477</v>
      </c>
    </row>
    <row r="515" spans="1:17">
      <c r="A515" s="9" t="s">
        <v>1028</v>
      </c>
      <c r="C515" t="s">
        <v>1378</v>
      </c>
      <c r="D515" s="61">
        <v>0.06</v>
      </c>
      <c r="E515" s="61">
        <v>0.06</v>
      </c>
      <c r="F515" s="61">
        <v>0.06</v>
      </c>
      <c r="G515" s="61">
        <v>0.06</v>
      </c>
      <c r="H515" s="61">
        <v>0.06</v>
      </c>
      <c r="I515" s="61">
        <v>0.06</v>
      </c>
      <c r="J515" s="61">
        <v>0.06</v>
      </c>
      <c r="K515" s="61">
        <v>0.06</v>
      </c>
      <c r="L515" s="61">
        <v>0.06</v>
      </c>
      <c r="M515" s="61">
        <v>0.05</v>
      </c>
      <c r="N515">
        <f t="shared" si="6"/>
        <v>1.0999999999999999E-2</v>
      </c>
      <c r="O515" s="61">
        <v>1.0999999999999999E-2</v>
      </c>
    </row>
    <row r="516" spans="1:17">
      <c r="A516" s="9" t="s">
        <v>1029</v>
      </c>
      <c r="C516" t="s">
        <v>1378</v>
      </c>
      <c r="D516" s="61">
        <v>5.3999999999999999E-2</v>
      </c>
      <c r="E516" s="61">
        <v>5.3999999999999999E-2</v>
      </c>
      <c r="F516" s="61">
        <v>5.3999999999999999E-2</v>
      </c>
      <c r="G516" s="61">
        <v>5.3999999999999999E-2</v>
      </c>
      <c r="H516" s="61">
        <v>5.3999999999999999E-2</v>
      </c>
      <c r="I516" s="61">
        <v>5.3999999999999999E-2</v>
      </c>
      <c r="J516" s="61">
        <v>5.3999999999999999E-2</v>
      </c>
      <c r="K516" s="61">
        <v>5.3999999999999999E-2</v>
      </c>
      <c r="L516" s="61">
        <v>5.3999999999999999E-2</v>
      </c>
      <c r="M516" s="61">
        <v>4.3999999999999997E-2</v>
      </c>
      <c r="N516">
        <f t="shared" si="6"/>
        <v>0.06</v>
      </c>
      <c r="O516" s="61">
        <v>0.06</v>
      </c>
    </row>
    <row r="517" spans="1:17">
      <c r="A517" s="9" t="s">
        <v>1351</v>
      </c>
      <c r="C517" t="s">
        <v>1378</v>
      </c>
      <c r="D517" s="61">
        <v>0</v>
      </c>
      <c r="E517" s="61">
        <v>0</v>
      </c>
      <c r="F517" s="61">
        <v>0</v>
      </c>
      <c r="G517" s="61">
        <v>0</v>
      </c>
      <c r="H517" s="61">
        <v>0</v>
      </c>
      <c r="I517" s="61">
        <v>0</v>
      </c>
      <c r="J517" s="61">
        <v>0</v>
      </c>
      <c r="K517" s="61">
        <v>0</v>
      </c>
      <c r="L517" s="61">
        <v>0</v>
      </c>
      <c r="M517" s="61">
        <v>0</v>
      </c>
      <c r="N517">
        <f t="shared" si="6"/>
        <v>0</v>
      </c>
      <c r="O517" s="61">
        <v>0</v>
      </c>
    </row>
    <row r="518" spans="1:17">
      <c r="A518" s="9" t="s">
        <v>1352</v>
      </c>
      <c r="C518" t="s">
        <v>1378</v>
      </c>
      <c r="D518" s="61">
        <v>0.39</v>
      </c>
      <c r="E518" s="61">
        <v>0.39</v>
      </c>
      <c r="F518" s="61">
        <v>0.39</v>
      </c>
      <c r="G518" s="61">
        <v>0.39</v>
      </c>
      <c r="H518" s="61">
        <v>0.39</v>
      </c>
      <c r="I518" s="61">
        <v>0.39</v>
      </c>
      <c r="J518" s="61">
        <v>0.39</v>
      </c>
      <c r="K518" s="61">
        <v>0.39</v>
      </c>
      <c r="L518" s="61">
        <v>0.39</v>
      </c>
      <c r="M518" s="61">
        <v>0.14000000000000001</v>
      </c>
      <c r="N518">
        <f t="shared" si="6"/>
        <v>0.44</v>
      </c>
      <c r="O518" s="61">
        <v>0.44</v>
      </c>
      <c r="Q518" t="s">
        <v>1478</v>
      </c>
    </row>
    <row r="519" spans="1:17">
      <c r="A519" s="9" t="s">
        <v>1353</v>
      </c>
      <c r="C519" t="s">
        <v>1378</v>
      </c>
      <c r="D519" s="61">
        <v>95</v>
      </c>
      <c r="E519" s="61">
        <v>95</v>
      </c>
      <c r="F519" s="61">
        <v>95</v>
      </c>
      <c r="G519" s="61">
        <v>95</v>
      </c>
      <c r="H519" s="61">
        <v>95</v>
      </c>
      <c r="I519" s="61">
        <v>95</v>
      </c>
      <c r="J519" s="61">
        <v>95</v>
      </c>
      <c r="K519" s="61">
        <v>95</v>
      </c>
      <c r="L519" s="61">
        <v>95</v>
      </c>
      <c r="M519" s="61">
        <v>1</v>
      </c>
      <c r="N519">
        <f t="shared" si="6"/>
        <v>0.1</v>
      </c>
      <c r="O519" s="61">
        <v>0.1</v>
      </c>
    </row>
    <row r="520" spans="1:17">
      <c r="A520" s="9" t="s">
        <v>1032</v>
      </c>
      <c r="C520" t="s">
        <v>1378</v>
      </c>
      <c r="D520" s="61">
        <v>6.3E-2</v>
      </c>
      <c r="E520" s="61">
        <v>6.3E-2</v>
      </c>
      <c r="F520" s="61">
        <v>6.3E-2</v>
      </c>
      <c r="G520" s="61">
        <v>6.3E-2</v>
      </c>
      <c r="H520" s="61">
        <v>6.3E-2</v>
      </c>
      <c r="I520" s="61">
        <v>6.3E-2</v>
      </c>
      <c r="J520" s="61">
        <v>6.3E-2</v>
      </c>
      <c r="K520" s="61">
        <v>6.3E-2</v>
      </c>
      <c r="L520" s="61">
        <v>6.3E-2</v>
      </c>
      <c r="M520" s="61">
        <v>1.2E-2</v>
      </c>
      <c r="N520">
        <f t="shared" si="6"/>
        <v>1E-3</v>
      </c>
      <c r="O520" s="61">
        <v>1E-3</v>
      </c>
    </row>
    <row r="521" spans="1:17">
      <c r="A521" s="9" t="s">
        <v>1030</v>
      </c>
      <c r="C521" t="s">
        <v>1378</v>
      </c>
      <c r="D521" s="61">
        <v>5.9999999999999995E-4</v>
      </c>
      <c r="E521" s="61">
        <v>5.9999999999999995E-4</v>
      </c>
      <c r="F521" s="61">
        <v>5.9999999999999995E-4</v>
      </c>
      <c r="G521" s="61">
        <v>5.9999999999999995E-4</v>
      </c>
      <c r="H521" s="61">
        <v>5.9999999999999995E-4</v>
      </c>
      <c r="I521" s="61">
        <v>5.9999999999999995E-4</v>
      </c>
      <c r="J521" s="61">
        <v>5.9999999999999995E-4</v>
      </c>
      <c r="K521" s="61">
        <v>5.9999999999999995E-4</v>
      </c>
      <c r="L521" s="61">
        <v>5.9999999999999995E-4</v>
      </c>
      <c r="M521" s="61">
        <v>2.0000000000000002E-5</v>
      </c>
      <c r="N521">
        <f t="shared" si="6"/>
        <v>1E-3</v>
      </c>
      <c r="O521" s="61">
        <v>1E-3</v>
      </c>
    </row>
    <row r="522" spans="1:17">
      <c r="A522" s="9" t="s">
        <v>1031</v>
      </c>
      <c r="C522" t="s">
        <v>1378</v>
      </c>
      <c r="D522" s="61">
        <v>0.17</v>
      </c>
      <c r="E522" s="61">
        <v>0.17</v>
      </c>
      <c r="F522" s="61">
        <v>0.17</v>
      </c>
      <c r="G522" s="61">
        <v>0.17</v>
      </c>
      <c r="H522" s="61">
        <v>0.17</v>
      </c>
      <c r="I522" s="61">
        <v>0.17</v>
      </c>
      <c r="J522" s="61">
        <v>0.17</v>
      </c>
      <c r="K522" s="61">
        <v>0.17</v>
      </c>
      <c r="L522" s="61">
        <v>0.17</v>
      </c>
      <c r="M522" s="61">
        <v>0.12</v>
      </c>
      <c r="N522">
        <f t="shared" si="6"/>
        <v>7.4999999999999997E-3</v>
      </c>
      <c r="O522" s="61">
        <v>7.4999999999999997E-3</v>
      </c>
    </row>
    <row r="523" spans="1:17">
      <c r="A523" s="9" t="s">
        <v>1354</v>
      </c>
      <c r="C523" t="s">
        <v>1378</v>
      </c>
      <c r="D523" s="61">
        <v>0</v>
      </c>
      <c r="E523" s="61">
        <v>0</v>
      </c>
      <c r="F523" s="61">
        <v>0</v>
      </c>
      <c r="G523" s="61">
        <v>0</v>
      </c>
      <c r="H523" s="61">
        <v>0</v>
      </c>
      <c r="I523" s="61">
        <v>0</v>
      </c>
      <c r="J523" s="61">
        <v>0</v>
      </c>
      <c r="K523" s="61">
        <v>0</v>
      </c>
      <c r="L523" s="61">
        <v>0</v>
      </c>
      <c r="M523" s="61">
        <v>0</v>
      </c>
      <c r="N523">
        <f t="shared" si="6"/>
        <v>0</v>
      </c>
      <c r="O523" s="61">
        <v>0</v>
      </c>
    </row>
    <row r="524" spans="1:17">
      <c r="A524" s="9" t="s">
        <v>1355</v>
      </c>
      <c r="C524" t="s">
        <v>1378</v>
      </c>
      <c r="D524" s="61">
        <v>0</v>
      </c>
      <c r="E524" s="61">
        <v>0</v>
      </c>
      <c r="F524" s="61">
        <v>0</v>
      </c>
      <c r="G524" s="61">
        <v>0</v>
      </c>
      <c r="H524" s="61">
        <v>0</v>
      </c>
      <c r="I524" s="61">
        <v>0</v>
      </c>
      <c r="J524" s="61">
        <v>0</v>
      </c>
      <c r="K524" s="61">
        <v>0</v>
      </c>
      <c r="L524" s="61">
        <v>0</v>
      </c>
      <c r="M524" s="61">
        <v>0</v>
      </c>
      <c r="N524">
        <f t="shared" si="6"/>
        <v>0</v>
      </c>
      <c r="O524" s="61">
        <v>0</v>
      </c>
    </row>
    <row r="525" spans="1:17">
      <c r="A525" s="9" t="s">
        <v>1356</v>
      </c>
      <c r="C525" t="s">
        <v>1378</v>
      </c>
      <c r="D525" s="61">
        <v>0</v>
      </c>
      <c r="E525" s="61">
        <v>0</v>
      </c>
      <c r="F525" s="61">
        <v>0</v>
      </c>
      <c r="G525" s="61">
        <v>0</v>
      </c>
      <c r="H525" s="61">
        <v>0</v>
      </c>
      <c r="I525" s="61">
        <v>0</v>
      </c>
      <c r="J525" s="61">
        <v>0</v>
      </c>
      <c r="K525" s="61">
        <v>0</v>
      </c>
      <c r="L525" s="61">
        <v>0</v>
      </c>
      <c r="M525" s="61">
        <v>0</v>
      </c>
      <c r="N525">
        <f t="shared" si="6"/>
        <v>0</v>
      </c>
      <c r="O525" s="61">
        <v>0</v>
      </c>
    </row>
    <row r="526" spans="1:17">
      <c r="A526" s="9" t="s">
        <v>1357</v>
      </c>
      <c r="C526" t="s">
        <v>1378</v>
      </c>
      <c r="D526" s="61">
        <v>0</v>
      </c>
      <c r="E526" s="61">
        <v>0</v>
      </c>
      <c r="F526" s="61">
        <v>0</v>
      </c>
      <c r="G526" s="61">
        <v>0</v>
      </c>
      <c r="H526" s="61">
        <v>0</v>
      </c>
      <c r="I526" s="61">
        <v>0</v>
      </c>
      <c r="J526" s="61">
        <v>0</v>
      </c>
      <c r="K526" s="61">
        <v>0</v>
      </c>
      <c r="L526" s="61">
        <v>0</v>
      </c>
      <c r="M526" s="61">
        <v>0</v>
      </c>
      <c r="N526">
        <f t="shared" si="6"/>
        <v>0</v>
      </c>
      <c r="O526" s="61">
        <v>0</v>
      </c>
    </row>
    <row r="527" spans="1:17">
      <c r="A527" s="9" t="s">
        <v>1033</v>
      </c>
      <c r="C527" t="s">
        <v>1378</v>
      </c>
      <c r="D527" s="61">
        <v>0.68</v>
      </c>
      <c r="E527" s="61">
        <v>0.68</v>
      </c>
      <c r="F527" s="61">
        <v>0.68</v>
      </c>
      <c r="G527" s="61">
        <v>0.68</v>
      </c>
      <c r="H527" s="61">
        <v>0.68</v>
      </c>
      <c r="I527" s="61">
        <v>0.68</v>
      </c>
      <c r="J527" s="61">
        <v>0.68</v>
      </c>
      <c r="K527" s="61">
        <v>0.68</v>
      </c>
      <c r="L527" s="61">
        <v>0.68</v>
      </c>
      <c r="M527" s="61">
        <v>0.3</v>
      </c>
      <c r="N527">
        <f t="shared" si="6"/>
        <v>0.03</v>
      </c>
      <c r="O527" s="61">
        <v>0.03</v>
      </c>
    </row>
  </sheetData>
  <pageMargins left="0.7" right="0.7" top="0.75" bottom="0.75" header="0.3" footer="0.3"/>
  <pageSetup orientation="portrait" r:id="rId1"/>
  <ignoredErrors>
    <ignoredError sqref="K454 K466" formula="1"/>
  </ignoredErrors>
</worksheet>
</file>

<file path=xl/worksheets/sheet9.xml><?xml version="1.0" encoding="utf-8"?>
<worksheet xmlns="http://schemas.openxmlformats.org/spreadsheetml/2006/main" xmlns:r="http://schemas.openxmlformats.org/officeDocument/2006/relationships">
  <dimension ref="A1:Q290"/>
  <sheetViews>
    <sheetView tabSelected="1" topLeftCell="C1" zoomScale="80" zoomScaleNormal="80" workbookViewId="0">
      <selection activeCell="P34" sqref="P34"/>
    </sheetView>
  </sheetViews>
  <sheetFormatPr defaultRowHeight="15"/>
  <cols>
    <col min="1" max="1" width="32.7109375" customWidth="1"/>
    <col min="2" max="2" width="11.28515625" bestFit="1" customWidth="1"/>
    <col min="4" max="4" width="12.140625" customWidth="1"/>
    <col min="5" max="5" width="15" bestFit="1" customWidth="1"/>
    <col min="6" max="6" width="13.85546875" bestFit="1" customWidth="1"/>
    <col min="7" max="7" width="11" bestFit="1" customWidth="1"/>
    <col min="8" max="8" width="11.5703125" bestFit="1" customWidth="1"/>
    <col min="11" max="11" width="11.7109375" bestFit="1" customWidth="1"/>
    <col min="12" max="12" width="10" bestFit="1" customWidth="1"/>
    <col min="13" max="13" width="14" bestFit="1" customWidth="1"/>
    <col min="14" max="14" width="10.140625" bestFit="1" customWidth="1"/>
  </cols>
  <sheetData>
    <row r="1" spans="1:14">
      <c r="A1" s="62" t="s">
        <v>1051</v>
      </c>
    </row>
    <row r="2" spans="1:14">
      <c r="A2" t="s">
        <v>1052</v>
      </c>
    </row>
    <row r="3" spans="1:14">
      <c r="A3" t="s">
        <v>1053</v>
      </c>
    </row>
    <row r="4" spans="1:14">
      <c r="A4" t="s">
        <v>1082</v>
      </c>
    </row>
    <row r="6" spans="1:14" ht="15.75" thickBot="1">
      <c r="A6" s="62" t="s">
        <v>91</v>
      </c>
    </row>
    <row r="7" spans="1:14">
      <c r="A7" s="31" t="s">
        <v>1083</v>
      </c>
      <c r="B7" s="7"/>
      <c r="C7" s="7"/>
      <c r="D7" s="7"/>
      <c r="E7" s="7"/>
      <c r="F7" s="7"/>
      <c r="G7" s="7"/>
      <c r="H7" s="7"/>
      <c r="I7" s="7"/>
      <c r="J7" s="7"/>
      <c r="K7" s="7"/>
      <c r="L7" s="8"/>
    </row>
    <row r="8" spans="1:14">
      <c r="A8" s="9" t="s">
        <v>1080</v>
      </c>
      <c r="B8" s="10"/>
      <c r="C8" s="10"/>
      <c r="D8" s="10"/>
      <c r="E8" s="10"/>
      <c r="F8" s="10"/>
      <c r="G8" s="10"/>
      <c r="H8" s="10"/>
      <c r="I8" s="10"/>
      <c r="J8" s="10"/>
      <c r="K8" s="10"/>
      <c r="L8" s="11"/>
    </row>
    <row r="9" spans="1:14">
      <c r="A9" s="64" t="s">
        <v>1054</v>
      </c>
      <c r="B9" s="65" t="s">
        <v>1069</v>
      </c>
      <c r="C9" s="65" t="s">
        <v>4</v>
      </c>
      <c r="D9" s="65" t="s">
        <v>5</v>
      </c>
      <c r="E9" s="65" t="s">
        <v>29</v>
      </c>
      <c r="F9" s="65" t="s">
        <v>30</v>
      </c>
      <c r="G9" s="65" t="s">
        <v>31</v>
      </c>
      <c r="H9" s="65" t="s">
        <v>32</v>
      </c>
      <c r="I9" s="65" t="s">
        <v>8</v>
      </c>
      <c r="J9" s="65" t="s">
        <v>9</v>
      </c>
      <c r="K9" s="65" t="s">
        <v>10</v>
      </c>
      <c r="L9" s="89" t="s">
        <v>11</v>
      </c>
      <c r="M9" s="126" t="s">
        <v>1481</v>
      </c>
    </row>
    <row r="10" spans="1:14">
      <c r="A10" s="9" t="s">
        <v>1</v>
      </c>
      <c r="B10" s="10" t="s">
        <v>1070</v>
      </c>
      <c r="C10" s="10">
        <f>'Waste Collection'!C122</f>
        <v>62900</v>
      </c>
      <c r="D10" s="10">
        <f>'Waste Collection'!D122</f>
        <v>15299.999999999998</v>
      </c>
      <c r="E10" s="10">
        <f>'Waste Collection'!E122</f>
        <v>10710</v>
      </c>
      <c r="F10" s="10">
        <f>'Waste Collection'!F122</f>
        <v>1190.0000000000002</v>
      </c>
      <c r="G10" s="10">
        <f>'Waste Collection'!G122</f>
        <v>8500</v>
      </c>
      <c r="H10" s="10">
        <f>'Waste Collection'!H122</f>
        <v>8500</v>
      </c>
      <c r="I10" s="10">
        <f>'Waste Collection'!I122</f>
        <v>3400</v>
      </c>
      <c r="J10" s="10">
        <f>'Waste Collection'!J122</f>
        <v>32299.999999999996</v>
      </c>
      <c r="K10" s="10">
        <f>'Waste Collection'!K122</f>
        <v>27200</v>
      </c>
      <c r="L10" s="11">
        <f>SUM(C10:K10)</f>
        <v>170000</v>
      </c>
      <c r="M10" s="152"/>
      <c r="N10" t="s">
        <v>1482</v>
      </c>
    </row>
    <row r="11" spans="1:14">
      <c r="A11" s="9" t="s">
        <v>26</v>
      </c>
      <c r="B11" s="10" t="s">
        <v>1070</v>
      </c>
      <c r="C11" s="10" t="s">
        <v>513</v>
      </c>
      <c r="D11" s="10">
        <f>'Waste Input'!C48</f>
        <v>1250</v>
      </c>
      <c r="E11" s="10">
        <f>'Waste Input'!D48</f>
        <v>2500</v>
      </c>
      <c r="F11" s="10">
        <f>'Waste Input'!E48</f>
        <v>1250</v>
      </c>
      <c r="G11" s="10">
        <f>'Waste Input'!F48</f>
        <v>250</v>
      </c>
      <c r="H11" s="10">
        <f>'Waste Input'!G48</f>
        <v>250</v>
      </c>
      <c r="I11" s="10" t="s">
        <v>513</v>
      </c>
      <c r="J11" s="10">
        <f>'Waste Input'!I48</f>
        <v>0</v>
      </c>
      <c r="K11" s="10">
        <f>'Waste Input'!J48</f>
        <v>0</v>
      </c>
      <c r="L11" s="11">
        <f t="shared" ref="L11:L26" si="0">SUM(C11:K11)</f>
        <v>5500</v>
      </c>
      <c r="M11" s="152"/>
      <c r="N11" t="s">
        <v>1484</v>
      </c>
    </row>
    <row r="12" spans="1:14">
      <c r="A12" s="9" t="s">
        <v>34</v>
      </c>
      <c r="B12" s="10" t="s">
        <v>1070</v>
      </c>
      <c r="C12" s="10">
        <f>'Waste Input'!B47</f>
        <v>2000</v>
      </c>
      <c r="D12" s="10">
        <f>'Waste Input'!C47</f>
        <v>1000</v>
      </c>
      <c r="E12" s="10">
        <f>'Waste Input'!D47</f>
        <v>1800</v>
      </c>
      <c r="F12" s="10">
        <f>'Waste Input'!E47</f>
        <v>200</v>
      </c>
      <c r="G12" s="10">
        <f>'Waste Input'!F47</f>
        <v>500</v>
      </c>
      <c r="H12" s="10">
        <f>'Waste Input'!G47</f>
        <v>500</v>
      </c>
      <c r="I12" s="10">
        <f>'Waste Input'!H47</f>
        <v>500</v>
      </c>
      <c r="J12" s="10">
        <f>'Waste Input'!I47</f>
        <v>2500</v>
      </c>
      <c r="K12" s="10">
        <f>'Waste Input'!J47</f>
        <v>1000</v>
      </c>
      <c r="L12" s="11">
        <f t="shared" si="0"/>
        <v>10000</v>
      </c>
      <c r="M12" s="152"/>
      <c r="N12" t="s">
        <v>1483</v>
      </c>
    </row>
    <row r="13" spans="1:14">
      <c r="A13" s="9" t="s">
        <v>1055</v>
      </c>
      <c r="B13" s="10" t="s">
        <v>1071</v>
      </c>
      <c r="C13" s="10" t="s">
        <v>513</v>
      </c>
      <c r="D13" s="10" t="s">
        <v>513</v>
      </c>
      <c r="E13" s="10" t="s">
        <v>513</v>
      </c>
      <c r="F13" s="10" t="s">
        <v>513</v>
      </c>
      <c r="G13" s="10" t="s">
        <v>513</v>
      </c>
      <c r="H13" s="10" t="s">
        <v>513</v>
      </c>
      <c r="I13" s="10" t="s">
        <v>513</v>
      </c>
      <c r="J13" s="10">
        <f>-'Waste Input'!I48</f>
        <v>0</v>
      </c>
      <c r="K13" s="10" t="s">
        <v>513</v>
      </c>
      <c r="L13" s="11">
        <f t="shared" si="0"/>
        <v>0</v>
      </c>
      <c r="M13" s="152"/>
      <c r="N13" t="s">
        <v>1484</v>
      </c>
    </row>
    <row r="14" spans="1:14">
      <c r="A14" s="9" t="s">
        <v>1056</v>
      </c>
      <c r="B14" s="10" t="s">
        <v>1071</v>
      </c>
      <c r="C14" s="10">
        <f>-'Waste Collection'!$C$11*'Waste Collection'!E33/1000*(1-'Waste Collection'!E34)</f>
        <v>-4275</v>
      </c>
      <c r="D14" s="10" t="s">
        <v>513</v>
      </c>
      <c r="E14" s="10" t="s">
        <v>513</v>
      </c>
      <c r="F14" s="10" t="s">
        <v>513</v>
      </c>
      <c r="G14" s="10">
        <f>-'Waste Input'!$B$8*('Waste Collection'!$E$33+'Waste Collection'!$F$33)/1000*'Waste Collection'!$E$34*'Waste Collection'!E36</f>
        <v>-750</v>
      </c>
      <c r="H14" s="10">
        <f>-'Waste Input'!$B$8*('Waste Collection'!$E$33+'Waste Collection'!$F$33)/1000*'Waste Collection'!$E$34*'Waste Collection'!E37</f>
        <v>-750</v>
      </c>
      <c r="I14" s="10" t="s">
        <v>513</v>
      </c>
      <c r="J14" s="10">
        <f>-'Waste Collection'!$C$11*'Waste Collection'!F33/1000*(1-'Waste Collection'!E34)</f>
        <v>-24225</v>
      </c>
      <c r="K14" s="10" t="s">
        <v>513</v>
      </c>
      <c r="L14" s="11">
        <f t="shared" si="0"/>
        <v>-30000</v>
      </c>
      <c r="M14" s="152"/>
      <c r="N14" t="s">
        <v>1485</v>
      </c>
    </row>
    <row r="15" spans="1:14">
      <c r="A15" s="9" t="s">
        <v>1057</v>
      </c>
      <c r="B15" s="10" t="s">
        <v>1072</v>
      </c>
      <c r="C15" s="10">
        <f>-'Waste Collection'!$C$11*'Waste Collection'!E24/1000*(1-'Waste Collection'!$H$27-'Waste Collection'!$H$28)</f>
        <v>-11875</v>
      </c>
      <c r="D15" s="10">
        <f>-'Waste Collection'!$C$11*'Waste Collection'!F24/1000*(1-'Waste Collection'!$H$27-'Waste Collection'!$H$28)</f>
        <v>-5937.5</v>
      </c>
      <c r="E15" s="10">
        <f>-'Waste Collection'!$C$11*'Waste Collection'!G24/1000*(1-'Waste Collection'!$H$27-'Waste Collection'!$H$28)</f>
        <v>-2375</v>
      </c>
      <c r="F15" s="10">
        <f>-'Waste Collection'!$C$11*'Waste Collection'!H24/1000*(1-'Waste Collection'!$H$27-'Waste Collection'!$H$28)</f>
        <v>0</v>
      </c>
      <c r="G15" s="10">
        <f>-'Waste Collection'!$C$11*'Waste Collection'!I24/1000*(1-'Waste Collection'!$H$27-'Waste Collection'!$H$28)</f>
        <v>0</v>
      </c>
      <c r="H15" s="10">
        <f>-'Waste Collection'!$C$11*'Waste Collection'!J24/1000*(1-'Waste Collection'!$H$27-'Waste Collection'!$H$28)</f>
        <v>-2375</v>
      </c>
      <c r="I15" s="10">
        <f>-'Waste Collection'!$C$11*'Waste Collection'!K24/1000*(1-'Waste Collection'!$H$27-'Waste Collection'!$H$28)</f>
        <v>0</v>
      </c>
      <c r="J15" s="10">
        <f>-'Waste Collection'!$C$11*'Waste Collection'!L24/1000*'Waste Collection'!$H$27</f>
        <v>-593.75</v>
      </c>
      <c r="K15" s="10">
        <f>-'Waste Collection'!$C$11*'Waste Collection'!L24/1000*'Waste Collection'!$H$28</f>
        <v>-593.75</v>
      </c>
      <c r="L15" s="11">
        <f t="shared" si="0"/>
        <v>-23750</v>
      </c>
      <c r="M15" s="152"/>
      <c r="N15" t="s">
        <v>1485</v>
      </c>
    </row>
    <row r="16" spans="1:14">
      <c r="A16" s="9" t="s">
        <v>1058</v>
      </c>
      <c r="B16" s="10" t="s">
        <v>1073</v>
      </c>
      <c r="C16" s="10">
        <f>-'Waste Collection'!$G$11*'Waste Collection'!E48/1000</f>
        <v>-6250</v>
      </c>
      <c r="D16" s="10">
        <f>-'Waste Collection'!$G$11*'Waste Collection'!F48/1000</f>
        <v>-6250</v>
      </c>
      <c r="E16" s="10">
        <f>-'Waste Collection'!$G$11*'Waste Collection'!G48/1000</f>
        <v>-5000</v>
      </c>
      <c r="F16" s="10">
        <f>-'Waste Collection'!$G$11*'Waste Collection'!H48/1000</f>
        <v>-1000</v>
      </c>
      <c r="G16" s="10">
        <f>-'Waste Collection'!$G$11*'Waste Collection'!I48/1000</f>
        <v>-250</v>
      </c>
      <c r="H16" s="10">
        <f>-'Waste Collection'!$G$11*'Waste Collection'!J48/1000</f>
        <v>-5000</v>
      </c>
      <c r="I16" s="10">
        <f>-'Waste Collection'!$G$11*'Waste Collection'!K48/1000</f>
        <v>0</v>
      </c>
      <c r="J16" s="10">
        <f>-'Waste Collection'!$G$11*'Waste Collection'!L48/1000</f>
        <v>0</v>
      </c>
      <c r="K16" s="10" t="s">
        <v>513</v>
      </c>
      <c r="L16" s="11">
        <f t="shared" si="0"/>
        <v>-23750</v>
      </c>
      <c r="M16" s="152"/>
      <c r="N16" t="s">
        <v>1485</v>
      </c>
    </row>
    <row r="17" spans="1:14">
      <c r="A17" s="9" t="s">
        <v>1059</v>
      </c>
      <c r="B17" s="10" t="s">
        <v>1072</v>
      </c>
      <c r="C17" s="10">
        <f>-'Waste Collection'!$G$11*'Waste Collection'!E61/1000*(1-'Waste Collection'!$D$56-'Waste Collection'!$D$57)</f>
        <v>0</v>
      </c>
      <c r="D17" s="10">
        <f>-'Waste Collection'!$G$11*'Waste Collection'!F61/1000*(1-'Waste Collection'!$D$56-'Waste Collection'!$D$57)</f>
        <v>0</v>
      </c>
      <c r="E17" s="10">
        <f>-'Waste Collection'!$G$11*'Waste Collection'!G61/1000*(1-'Waste Collection'!$D$56-'Waste Collection'!$D$57)</f>
        <v>0</v>
      </c>
      <c r="F17" s="10">
        <f>-'Waste Collection'!$G$11*'Waste Collection'!H61/1000*(1-'Waste Collection'!$D$56-'Waste Collection'!$D$57)</f>
        <v>0</v>
      </c>
      <c r="G17" s="10">
        <f>-'Waste Collection'!$G$11*'Waste Collection'!I61/1000*(1-'Waste Collection'!$D$56-'Waste Collection'!$D$57)</f>
        <v>0</v>
      </c>
      <c r="H17" s="10">
        <f>-'Waste Collection'!$G$11*'Waste Collection'!J61/1000*(1-'Waste Collection'!$D$56-'Waste Collection'!$D$57)</f>
        <v>0</v>
      </c>
      <c r="I17" s="10">
        <f>-'Waste Collection'!$G$11*'Waste Collection'!K61/1000*(1-'Waste Collection'!$D$56-'Waste Collection'!$D$57)</f>
        <v>0</v>
      </c>
      <c r="J17" s="10">
        <f>-'Waste Collection'!$G$11*'Waste Collection'!L61/1000*'Waste Collection'!$D$56</f>
        <v>0</v>
      </c>
      <c r="K17" s="10">
        <f>-'Waste Collection'!$G$11*'Waste Collection'!L61*'Waste Collection'!$D$57</f>
        <v>0</v>
      </c>
      <c r="L17" s="11">
        <f t="shared" si="0"/>
        <v>0</v>
      </c>
      <c r="M17" s="152"/>
      <c r="N17" t="s">
        <v>1485</v>
      </c>
    </row>
    <row r="18" spans="1:14">
      <c r="A18" s="9" t="s">
        <v>1060</v>
      </c>
      <c r="B18" s="10" t="s">
        <v>1074</v>
      </c>
      <c r="C18" s="10" t="s">
        <v>513</v>
      </c>
      <c r="D18" s="10">
        <f>-'Waste Input'!$B$8*'Waste Input'!B27/1000*'Waste Collection'!E73</f>
        <v>0</v>
      </c>
      <c r="E18" s="10">
        <f>-'Waste Input'!$B$8*'Waste Input'!C27/1000*'Waste Collection'!F73</f>
        <v>0</v>
      </c>
      <c r="F18" s="10">
        <f>-'Waste Input'!$B$8*'Waste Input'!D27/1000*'Waste Collection'!G73</f>
        <v>0</v>
      </c>
      <c r="G18" s="10">
        <f>-'Waste Input'!$B$8*'Waste Input'!E27/1000*'Waste Collection'!H73</f>
        <v>0</v>
      </c>
      <c r="H18" s="10">
        <f>-'Waste Input'!$B$8*'Waste Input'!F27/1000*'Waste Collection'!I73</f>
        <v>0</v>
      </c>
      <c r="I18" s="10" t="s">
        <v>513</v>
      </c>
      <c r="J18" s="10" t="s">
        <v>513</v>
      </c>
      <c r="K18" s="10" t="s">
        <v>513</v>
      </c>
      <c r="L18" s="11">
        <f t="shared" si="0"/>
        <v>0</v>
      </c>
      <c r="M18" s="152"/>
      <c r="N18" t="s">
        <v>1485</v>
      </c>
    </row>
    <row r="19" spans="1:14">
      <c r="A19" s="9" t="s">
        <v>1061</v>
      </c>
      <c r="B19" s="10" t="s">
        <v>1075</v>
      </c>
      <c r="C19" s="10" t="s">
        <v>513</v>
      </c>
      <c r="D19" s="10">
        <f>-'Waste Input'!$B$8*'Waste Input'!B27/1000*(1-'Waste Collection'!E73)</f>
        <v>-1250</v>
      </c>
      <c r="E19" s="10">
        <f>-'Waste Input'!$B$8*'Waste Input'!C27/1000*(1-'Waste Collection'!F73)</f>
        <v>-2500</v>
      </c>
      <c r="F19" s="10">
        <f>-'Waste Input'!$B$8*'Waste Input'!D27/1000*(1-'Waste Collection'!G73)</f>
        <v>-1250</v>
      </c>
      <c r="G19" s="10">
        <f>-'Waste Input'!$B$8*'Waste Input'!E27/1000*(1-'Waste Collection'!H73)</f>
        <v>-250</v>
      </c>
      <c r="H19" s="10">
        <f>-'Waste Input'!$B$8*'Waste Input'!F27/1000*(1-'Waste Collection'!I73)</f>
        <v>-250</v>
      </c>
      <c r="I19" s="10" t="s">
        <v>513</v>
      </c>
      <c r="J19" s="10" t="s">
        <v>513</v>
      </c>
      <c r="K19" s="10">
        <f>-'Waste Input'!$B$8*'Waste Input'!G27/1000*(1-'Waste Collection'!J73)</f>
        <v>0</v>
      </c>
      <c r="L19" s="11">
        <f t="shared" si="0"/>
        <v>-5500</v>
      </c>
    </row>
    <row r="20" spans="1:14">
      <c r="A20" s="9" t="s">
        <v>1062</v>
      </c>
      <c r="B20" s="10" t="s">
        <v>1071</v>
      </c>
      <c r="C20" s="10">
        <f>-'Waste Collection'!E103*(1-'Waste Collection'!$F$113)</f>
        <v>0</v>
      </c>
      <c r="D20" s="10" t="s">
        <v>513</v>
      </c>
      <c r="E20" s="10" t="s">
        <v>513</v>
      </c>
      <c r="F20" s="10" t="s">
        <v>513</v>
      </c>
      <c r="G20" s="10">
        <f>-('Waste Collection'!E103+'Waste Collection'!F103)*'Waste Collection'!$E$104/2</f>
        <v>0</v>
      </c>
      <c r="H20" s="10">
        <f>-('Waste Collection'!E103+'Waste Collection'!F103)*'Waste Collection'!$E$104/2</f>
        <v>0</v>
      </c>
      <c r="I20" s="10" t="s">
        <v>513</v>
      </c>
      <c r="J20" s="10">
        <f>-'Waste Collection'!F103*(1-'Waste Collection'!$E$104)</f>
        <v>0</v>
      </c>
      <c r="K20" s="10" t="s">
        <v>513</v>
      </c>
      <c r="L20" s="11">
        <f t="shared" si="0"/>
        <v>0</v>
      </c>
      <c r="M20" s="152"/>
      <c r="N20" t="s">
        <v>1485</v>
      </c>
    </row>
    <row r="21" spans="1:14">
      <c r="A21" s="9" t="s">
        <v>1063</v>
      </c>
      <c r="B21" s="10" t="s">
        <v>1072</v>
      </c>
      <c r="C21" s="10">
        <f>-'Waste Collection'!E92*(1-'Waste Collection'!$F$114-'Waste Collection'!$F$115)</f>
        <v>0</v>
      </c>
      <c r="D21" s="10">
        <f>-'Waste Collection'!F92*(1-'Waste Collection'!$F$114-'Waste Collection'!$F$115)</f>
        <v>0</v>
      </c>
      <c r="E21" s="10">
        <f>-'Waste Collection'!G92*(1-'Waste Collection'!$F$114-'Waste Collection'!$F$115)</f>
        <v>0</v>
      </c>
      <c r="F21" s="10">
        <f>-'Waste Collection'!H92*(1-'Waste Collection'!$F$114-'Waste Collection'!$F$115)</f>
        <v>0</v>
      </c>
      <c r="G21" s="10">
        <f>-'Waste Collection'!I92*(1-'Waste Collection'!$F$114-'Waste Collection'!$F$115)</f>
        <v>0</v>
      </c>
      <c r="H21" s="10">
        <f>-'Waste Collection'!J92*(1-'Waste Collection'!$F$114-'Waste Collection'!$F$115)</f>
        <v>0</v>
      </c>
      <c r="I21" s="10">
        <f>-'Waste Collection'!K92*(1-'Waste Collection'!$F$114-'Waste Collection'!$F$115)</f>
        <v>0</v>
      </c>
      <c r="J21" s="10">
        <f>-'Waste Collection'!L92*'Waste Collection'!$F$114</f>
        <v>0</v>
      </c>
      <c r="K21" s="10">
        <f>-'Waste Collection'!L92*'Waste Collection'!$F$115</f>
        <v>0</v>
      </c>
      <c r="L21" s="11">
        <f t="shared" si="0"/>
        <v>0</v>
      </c>
      <c r="M21" s="152"/>
      <c r="N21" t="s">
        <v>1485</v>
      </c>
    </row>
    <row r="22" spans="1:14">
      <c r="A22" s="9" t="s">
        <v>1064</v>
      </c>
      <c r="B22" s="10" t="s">
        <v>1076</v>
      </c>
      <c r="C22" s="10">
        <f>-'MRF &amp; RDF Sorting'!B67*'MRF &amp; RDF Sorting'!$D$75</f>
        <v>0</v>
      </c>
      <c r="D22" s="10">
        <f>-'MRF &amp; RDF Sorting'!C67*'MRF &amp; RDF Sorting'!$D$75</f>
        <v>0</v>
      </c>
      <c r="E22" s="10">
        <f>-'MRF &amp; RDF Sorting'!D67*'MRF &amp; RDF Sorting'!$D$75</f>
        <v>0</v>
      </c>
      <c r="F22" s="10">
        <f>-'MRF &amp; RDF Sorting'!E67*'MRF &amp; RDF Sorting'!$D$75</f>
        <v>0</v>
      </c>
      <c r="G22" s="10">
        <f>-'MRF &amp; RDF Sorting'!F67*'MRF &amp; RDF Sorting'!$D$75</f>
        <v>0</v>
      </c>
      <c r="H22" s="10">
        <f>-'MRF &amp; RDF Sorting'!G67*'MRF &amp; RDF Sorting'!$D$75</f>
        <v>0</v>
      </c>
      <c r="I22" s="10">
        <f>-'MRF &amp; RDF Sorting'!H67*'MRF &amp; RDF Sorting'!$D$75</f>
        <v>0</v>
      </c>
      <c r="J22" s="10">
        <f>-'MRF &amp; RDF Sorting'!I67*'MRF &amp; RDF Sorting'!$D$75</f>
        <v>0</v>
      </c>
      <c r="K22" s="10">
        <f>-'MRF &amp; RDF Sorting'!J67*'MRF &amp; RDF Sorting'!$D$75</f>
        <v>0</v>
      </c>
      <c r="L22" s="11">
        <f t="shared" si="0"/>
        <v>0</v>
      </c>
      <c r="M22" s="152"/>
      <c r="N22" t="s">
        <v>1485</v>
      </c>
    </row>
    <row r="23" spans="1:14">
      <c r="A23" s="9" t="s">
        <v>1065</v>
      </c>
      <c r="B23" s="10" t="s">
        <v>1077</v>
      </c>
      <c r="C23" s="10">
        <f>-'MRF &amp; RDF Sorting'!B128*'MRF &amp; RDF Sorting'!$D$136</f>
        <v>0</v>
      </c>
      <c r="D23" s="10">
        <f>-'MRF &amp; RDF Sorting'!C128*'MRF &amp; RDF Sorting'!$D$136</f>
        <v>0</v>
      </c>
      <c r="E23" s="10">
        <f>-'MRF &amp; RDF Sorting'!D128*'MRF &amp; RDF Sorting'!$D$136</f>
        <v>0</v>
      </c>
      <c r="F23" s="10">
        <f>-'MRF &amp; RDF Sorting'!E128*'MRF &amp; RDF Sorting'!$D$136</f>
        <v>0</v>
      </c>
      <c r="G23" s="10">
        <f>-'MRF &amp; RDF Sorting'!F128*'MRF &amp; RDF Sorting'!$D$136</f>
        <v>0</v>
      </c>
      <c r="H23" s="10">
        <f>-'MRF &amp; RDF Sorting'!G128*'MRF &amp; RDF Sorting'!$D$136</f>
        <v>0</v>
      </c>
      <c r="I23" s="10">
        <f>-'MRF &amp; RDF Sorting'!H128*'MRF &amp; RDF Sorting'!$D$136</f>
        <v>0</v>
      </c>
      <c r="J23" s="10">
        <f>-'MRF &amp; RDF Sorting'!I128*'MRF &amp; RDF Sorting'!$D$136</f>
        <v>0</v>
      </c>
      <c r="K23" s="10">
        <f>-'MRF &amp; RDF Sorting'!J128*'MRF &amp; RDF Sorting'!$D$136</f>
        <v>0</v>
      </c>
      <c r="L23" s="11">
        <f t="shared" si="0"/>
        <v>0</v>
      </c>
      <c r="M23" s="152"/>
      <c r="N23" t="s">
        <v>1485</v>
      </c>
    </row>
    <row r="24" spans="1:14">
      <c r="A24" s="9" t="s">
        <v>1066</v>
      </c>
      <c r="B24" s="10" t="s">
        <v>1071</v>
      </c>
      <c r="C24" s="10">
        <f>-'Biological Treatment'!B17</f>
        <v>0</v>
      </c>
      <c r="D24" s="10">
        <f>-'Biological Treatment'!C17</f>
        <v>0</v>
      </c>
      <c r="E24" s="10">
        <f>-'Biological Treatment'!D17</f>
        <v>0</v>
      </c>
      <c r="F24" s="10">
        <f>-'Biological Treatment'!E17</f>
        <v>0</v>
      </c>
      <c r="G24" s="10">
        <f>-'Biological Treatment'!F17</f>
        <v>0</v>
      </c>
      <c r="H24" s="10">
        <f>-'Biological Treatment'!G17</f>
        <v>0</v>
      </c>
      <c r="I24" s="10">
        <f>-'Biological Treatment'!H17</f>
        <v>0</v>
      </c>
      <c r="J24" s="10">
        <f>-'Biological Treatment'!I17</f>
        <v>0</v>
      </c>
      <c r="K24" s="10">
        <f>-'Biological Treatment'!J17</f>
        <v>0</v>
      </c>
      <c r="L24" s="11">
        <f t="shared" si="0"/>
        <v>0</v>
      </c>
      <c r="M24" s="152"/>
      <c r="N24" t="s">
        <v>1485</v>
      </c>
    </row>
    <row r="25" spans="1:14">
      <c r="A25" s="9" t="s">
        <v>1067</v>
      </c>
      <c r="B25" s="10" t="s">
        <v>1078</v>
      </c>
      <c r="C25" s="10">
        <f>-'Thermal Treatment'!B14</f>
        <v>-42500</v>
      </c>
      <c r="D25" s="10">
        <f>-'Thermal Treatment'!C14</f>
        <v>-4112.4999999999982</v>
      </c>
      <c r="E25" s="10">
        <f>-'Thermal Treatment'!D14</f>
        <v>-5135</v>
      </c>
      <c r="F25" s="10">
        <f>-'Thermal Treatment'!E14</f>
        <v>-390.00000000000023</v>
      </c>
      <c r="G25" s="10">
        <f>-'Thermal Treatment'!F14</f>
        <v>-8000</v>
      </c>
      <c r="H25" s="10">
        <f>-'Thermal Treatment'!G14</f>
        <v>-875</v>
      </c>
      <c r="I25" s="10">
        <f>-'Thermal Treatment'!H14</f>
        <v>-3900</v>
      </c>
      <c r="J25" s="10">
        <f>-'Thermal Treatment'!I14</f>
        <v>-9981.2499999999964</v>
      </c>
      <c r="K25" s="10">
        <f>-'Thermal Treatment'!J14</f>
        <v>-27606.25</v>
      </c>
      <c r="L25" s="11">
        <f t="shared" si="0"/>
        <v>-102500</v>
      </c>
      <c r="M25" s="152"/>
      <c r="N25" t="s">
        <v>1485</v>
      </c>
    </row>
    <row r="26" spans="1:14" ht="15.75" thickBot="1">
      <c r="A26" s="90" t="s">
        <v>1068</v>
      </c>
      <c r="B26" s="91" t="s">
        <v>1079</v>
      </c>
      <c r="C26" s="91">
        <f>SUM(C10:C25)</f>
        <v>0</v>
      </c>
      <c r="D26" s="91">
        <f t="shared" ref="D26:K26" si="1">SUM(D10:D25)</f>
        <v>0</v>
      </c>
      <c r="E26" s="91">
        <f t="shared" si="1"/>
        <v>0</v>
      </c>
      <c r="F26" s="91">
        <f t="shared" si="1"/>
        <v>0</v>
      </c>
      <c r="G26" s="91">
        <f t="shared" si="1"/>
        <v>0</v>
      </c>
      <c r="H26" s="91">
        <f t="shared" si="1"/>
        <v>0</v>
      </c>
      <c r="I26" s="91">
        <f t="shared" si="1"/>
        <v>0</v>
      </c>
      <c r="J26" s="91">
        <f t="shared" si="1"/>
        <v>0</v>
      </c>
      <c r="K26" s="91">
        <f t="shared" si="1"/>
        <v>0</v>
      </c>
      <c r="L26" s="92">
        <f t="shared" si="0"/>
        <v>0</v>
      </c>
      <c r="M26" s="152"/>
      <c r="N26" t="s">
        <v>1485</v>
      </c>
    </row>
    <row r="28" spans="1:14" ht="15.75" thickBot="1">
      <c r="A28" s="62" t="s">
        <v>1084</v>
      </c>
    </row>
    <row r="29" spans="1:14">
      <c r="A29" s="93" t="s">
        <v>1089</v>
      </c>
      <c r="B29" s="7"/>
      <c r="C29" s="78" t="s">
        <v>4</v>
      </c>
      <c r="D29" s="78" t="s">
        <v>5</v>
      </c>
      <c r="E29" s="78" t="s">
        <v>29</v>
      </c>
      <c r="F29" s="78" t="s">
        <v>30</v>
      </c>
      <c r="G29" s="78" t="s">
        <v>31</v>
      </c>
      <c r="H29" s="78" t="s">
        <v>32</v>
      </c>
      <c r="I29" s="78" t="s">
        <v>8</v>
      </c>
      <c r="J29" s="78" t="s">
        <v>9</v>
      </c>
      <c r="K29" s="78" t="s">
        <v>10</v>
      </c>
      <c r="L29" s="79" t="s">
        <v>11</v>
      </c>
    </row>
    <row r="30" spans="1:14">
      <c r="A30" s="9" t="s">
        <v>1057</v>
      </c>
      <c r="B30" s="10"/>
      <c r="C30" s="10">
        <f>'Waste Collection'!$C$11*'Waste Collection'!E24/1000*(1-'Waste Collection'!$H$27-'Waste Collection'!$H$28)</f>
        <v>11875</v>
      </c>
      <c r="D30" s="10">
        <f>'Waste Collection'!$C$11*'Waste Collection'!F24/1000*(1-'Waste Collection'!$H$27-'Waste Collection'!$H$28)</f>
        <v>5937.5</v>
      </c>
      <c r="E30" s="10">
        <f>'Waste Collection'!$C$11*'Waste Collection'!G24/1000*(1-'Waste Collection'!$H$27-'Waste Collection'!$H$28)</f>
        <v>2375</v>
      </c>
      <c r="F30" s="10">
        <f>'Waste Collection'!$C$11*'Waste Collection'!H24/1000*(1-'Waste Collection'!$H$27-'Waste Collection'!$H$28)</f>
        <v>0</v>
      </c>
      <c r="G30" s="10">
        <f>'Waste Collection'!$C$11*'Waste Collection'!I24/1000*(1-'Waste Collection'!$H$27-'Waste Collection'!$H$28)</f>
        <v>0</v>
      </c>
      <c r="H30" s="10">
        <f>'Waste Collection'!$C$11*'Waste Collection'!J24/1000*(1-'Waste Collection'!$H$27-'Waste Collection'!$H$28)</f>
        <v>2375</v>
      </c>
      <c r="I30" s="10">
        <f>'Waste Collection'!$C$11*'Waste Collection'!K24/1000*(1-'Waste Collection'!$H$27-'Waste Collection'!$H$28)</f>
        <v>0</v>
      </c>
      <c r="J30" s="10">
        <f>'Waste Collection'!$C$11*'Waste Collection'!L24/1000*'Waste Collection'!$H$27</f>
        <v>593.75</v>
      </c>
      <c r="K30" s="10">
        <f>'Waste Collection'!$C$11*'Waste Collection'!L24/1000*'Waste Collection'!$H$28</f>
        <v>593.75</v>
      </c>
      <c r="L30" s="11">
        <f t="shared" ref="L30:L35" si="2">SUM(C30:K30)</f>
        <v>23750</v>
      </c>
      <c r="M30" s="152"/>
      <c r="N30" t="s">
        <v>1485</v>
      </c>
    </row>
    <row r="31" spans="1:14">
      <c r="A31" s="9" t="s">
        <v>1059</v>
      </c>
      <c r="B31" s="10"/>
      <c r="C31" s="10">
        <f>'Waste Collection'!$G$11*'Waste Collection'!E61/1000*(1-'Waste Collection'!$D$56-'Waste Collection'!$D$57)</f>
        <v>0</v>
      </c>
      <c r="D31" s="10">
        <f>'Waste Collection'!$G$11*'Waste Collection'!F61/1000*(1-'Waste Collection'!$D$56-'Waste Collection'!$D$57)</f>
        <v>0</v>
      </c>
      <c r="E31" s="10">
        <f>'Waste Collection'!$G$11*'Waste Collection'!G61/1000*(1-'Waste Collection'!$D$56-'Waste Collection'!$D$57)</f>
        <v>0</v>
      </c>
      <c r="F31" s="10">
        <f>'Waste Collection'!$G$11*'Waste Collection'!H61/1000*(1-'Waste Collection'!$D$56-'Waste Collection'!$D$57)</f>
        <v>0</v>
      </c>
      <c r="G31" s="10">
        <f>'Waste Collection'!$G$11*'Waste Collection'!I61/1000*(1-'Waste Collection'!$D$56-'Waste Collection'!$D$57)</f>
        <v>0</v>
      </c>
      <c r="H31" s="10">
        <f>'Waste Collection'!$G$11*'Waste Collection'!J61/1000*(1-'Waste Collection'!$D$56-'Waste Collection'!$D$57)</f>
        <v>0</v>
      </c>
      <c r="I31" s="10">
        <f>'Waste Collection'!$G$11*'Waste Collection'!K61/1000*(1-'Waste Collection'!$D$56-'Waste Collection'!$D$57)</f>
        <v>0</v>
      </c>
      <c r="J31" s="10">
        <f>'Waste Collection'!$G$11*'Waste Collection'!L61/1000*'Waste Collection'!$D$56</f>
        <v>0</v>
      </c>
      <c r="K31" s="10">
        <f>-'Waste Collection'!$G$11*'Waste Collection'!L61*'Waste Collection'!$D$57</f>
        <v>0</v>
      </c>
      <c r="L31" s="11">
        <f t="shared" si="2"/>
        <v>0</v>
      </c>
      <c r="M31" s="152"/>
      <c r="N31" t="s">
        <v>1485</v>
      </c>
    </row>
    <row r="32" spans="1:14">
      <c r="A32" s="9" t="s">
        <v>1085</v>
      </c>
      <c r="B32" s="10"/>
      <c r="C32" s="10">
        <f>-'MRF &amp; RDF Sorting'!B9*'MRF &amp; RDF Sorting'!B17</f>
        <v>-8312.5</v>
      </c>
      <c r="D32" s="10">
        <f>-'MRF &amp; RDF Sorting'!C9*'MRF &amp; RDF Sorting'!C17</f>
        <v>-4156.25</v>
      </c>
      <c r="E32" s="10">
        <f>-'MRF &amp; RDF Sorting'!D9*'MRF &amp; RDF Sorting'!$D$17</f>
        <v>-1662.5</v>
      </c>
      <c r="F32" s="10">
        <f>-'MRF &amp; RDF Sorting'!E9*'MRF &amp; RDF Sorting'!$D$17</f>
        <v>0</v>
      </c>
      <c r="G32" s="10">
        <f>-'MRF &amp; RDF Sorting'!F9*'MRF &amp; RDF Sorting'!$E$17</f>
        <v>0</v>
      </c>
      <c r="H32" s="10">
        <f>-'MRF &amp; RDF Sorting'!G9*'MRF &amp; RDF Sorting'!$E$17</f>
        <v>-1662.5</v>
      </c>
      <c r="I32" s="10">
        <f>-'MRF &amp; RDF Sorting'!H9*'MRF &amp; RDF Sorting'!F17</f>
        <v>0</v>
      </c>
      <c r="J32" s="10" t="s">
        <v>513</v>
      </c>
      <c r="K32" s="10" t="s">
        <v>513</v>
      </c>
      <c r="L32" s="102">
        <f t="shared" si="2"/>
        <v>-15793.75</v>
      </c>
      <c r="M32" s="152"/>
      <c r="N32" t="s">
        <v>1487</v>
      </c>
    </row>
    <row r="33" spans="1:14">
      <c r="A33" s="47" t="s">
        <v>1086</v>
      </c>
      <c r="B33" s="10"/>
      <c r="C33" s="10">
        <f>-'MRF &amp; RDF Sorting'!B9*'MRF &amp; RDF Sorting'!B18</f>
        <v>0</v>
      </c>
      <c r="D33" s="10" t="s">
        <v>513</v>
      </c>
      <c r="E33" s="10" t="s">
        <v>513</v>
      </c>
      <c r="F33" s="10" t="s">
        <v>513</v>
      </c>
      <c r="G33" s="10">
        <f>-'MRF &amp; RDF Sorting'!F9*'MRF &amp; RDF Sorting'!$E$18</f>
        <v>0</v>
      </c>
      <c r="H33" s="10">
        <f>-'MRF &amp; RDF Sorting'!G9*'MRF &amp; RDF Sorting'!$E$18</f>
        <v>0</v>
      </c>
      <c r="I33" s="10" t="s">
        <v>513</v>
      </c>
      <c r="J33" s="10" t="s">
        <v>513</v>
      </c>
      <c r="K33" s="10" t="s">
        <v>513</v>
      </c>
      <c r="L33" s="11">
        <f t="shared" si="2"/>
        <v>0</v>
      </c>
      <c r="M33" s="152"/>
      <c r="N33" t="s">
        <v>1487</v>
      </c>
    </row>
    <row r="34" spans="1:14">
      <c r="A34" s="47" t="s">
        <v>1087</v>
      </c>
      <c r="B34" s="10"/>
      <c r="C34" s="10">
        <f>-'MRF &amp; RDF Sorting'!B9*'MRF &amp; RDF Sorting'!$B$35</f>
        <v>0</v>
      </c>
      <c r="D34" s="10">
        <f>-'MRF &amp; RDF Sorting'!C9*'MRF &amp; RDF Sorting'!$B$35</f>
        <v>0</v>
      </c>
      <c r="E34" s="10">
        <f>-'MRF &amp; RDF Sorting'!D9*'MRF &amp; RDF Sorting'!$B$35</f>
        <v>0</v>
      </c>
      <c r="F34" s="10">
        <f>-'MRF &amp; RDF Sorting'!E9*'MRF &amp; RDF Sorting'!$B$35</f>
        <v>0</v>
      </c>
      <c r="G34" s="10">
        <f>-'MRF &amp; RDF Sorting'!F9*'MRF &amp; RDF Sorting'!$B$35</f>
        <v>0</v>
      </c>
      <c r="H34" s="10">
        <f>-'MRF &amp; RDF Sorting'!G9*'MRF &amp; RDF Sorting'!$B$35</f>
        <v>0</v>
      </c>
      <c r="I34" s="10">
        <f>-'MRF &amp; RDF Sorting'!H9*'MRF &amp; RDF Sorting'!$B$35</f>
        <v>0</v>
      </c>
      <c r="J34" s="10">
        <f>-'MRF &amp; RDF Sorting'!I9*'MRF &amp; RDF Sorting'!$B$35</f>
        <v>0</v>
      </c>
      <c r="K34" s="10">
        <f>-'MRF &amp; RDF Sorting'!J9*'MRF &amp; RDF Sorting'!$B$35</f>
        <v>0</v>
      </c>
      <c r="L34" s="11">
        <f t="shared" si="2"/>
        <v>0</v>
      </c>
      <c r="M34" s="152"/>
      <c r="N34" t="s">
        <v>1487</v>
      </c>
    </row>
    <row r="35" spans="1:14" ht="15.75" thickBot="1">
      <c r="A35" s="88" t="s">
        <v>1088</v>
      </c>
      <c r="B35" s="13"/>
      <c r="C35" s="13">
        <f>-'MRF &amp; RDF Sorting'!B8*'MRF &amp; RDF Sorting'!$B$36</f>
        <v>-3562.5</v>
      </c>
      <c r="D35" s="13">
        <f>-'MRF &amp; RDF Sorting'!C8*'MRF &amp; RDF Sorting'!$B$36</f>
        <v>-1781.25</v>
      </c>
      <c r="E35" s="13">
        <f>-'MRF &amp; RDF Sorting'!D8*'MRF &amp; RDF Sorting'!$B$36</f>
        <v>-712.5</v>
      </c>
      <c r="F35" s="13">
        <f>-'MRF &amp; RDF Sorting'!E8*'MRF &amp; RDF Sorting'!$B$36</f>
        <v>0</v>
      </c>
      <c r="G35" s="13">
        <f>-'MRF &amp; RDF Sorting'!F8*'MRF &amp; RDF Sorting'!$B$36</f>
        <v>0</v>
      </c>
      <c r="H35" s="13">
        <f>-'MRF &amp; RDF Sorting'!G8*'MRF &amp; RDF Sorting'!$B$36</f>
        <v>-712.5</v>
      </c>
      <c r="I35" s="13">
        <f>-'MRF &amp; RDF Sorting'!H8*'MRF &amp; RDF Sorting'!$B$36</f>
        <v>0</v>
      </c>
      <c r="J35" s="13">
        <f>-'MRF &amp; RDF Sorting'!I8*'MRF &amp; RDF Sorting'!$B$36</f>
        <v>-593.75</v>
      </c>
      <c r="K35" s="13">
        <f>-'MRF &amp; RDF Sorting'!J8*'MRF &amp; RDF Sorting'!$B$36</f>
        <v>-593.75</v>
      </c>
      <c r="L35" s="14">
        <f t="shared" si="2"/>
        <v>-7956.25</v>
      </c>
      <c r="M35" s="152"/>
      <c r="N35" t="s">
        <v>1487</v>
      </c>
    </row>
    <row r="37" spans="1:14" ht="15.75" thickBot="1">
      <c r="A37" s="62" t="s">
        <v>1090</v>
      </c>
    </row>
    <row r="38" spans="1:14">
      <c r="A38" s="93" t="s">
        <v>1089</v>
      </c>
      <c r="B38" s="7"/>
      <c r="C38" s="78" t="s">
        <v>4</v>
      </c>
      <c r="D38" s="78" t="s">
        <v>31</v>
      </c>
      <c r="E38" s="78" t="s">
        <v>32</v>
      </c>
      <c r="F38" s="78" t="s">
        <v>1091</v>
      </c>
      <c r="G38" s="79" t="s">
        <v>11</v>
      </c>
    </row>
    <row r="39" spans="1:14">
      <c r="A39" s="9" t="s">
        <v>1092</v>
      </c>
      <c r="B39" s="10"/>
      <c r="C39" s="10">
        <f>-C33</f>
        <v>0</v>
      </c>
      <c r="D39" s="10">
        <f>-G33</f>
        <v>0</v>
      </c>
      <c r="E39" s="10">
        <f>-H33</f>
        <v>0</v>
      </c>
      <c r="F39" s="10" t="s">
        <v>513</v>
      </c>
      <c r="G39" s="11">
        <f>SUM(C39:F39)</f>
        <v>0</v>
      </c>
      <c r="M39" s="152"/>
      <c r="N39" t="s">
        <v>1487</v>
      </c>
    </row>
    <row r="40" spans="1:14">
      <c r="A40" s="9" t="s">
        <v>1093</v>
      </c>
      <c r="B40" s="10"/>
      <c r="C40" s="10">
        <f>-C39</f>
        <v>0</v>
      </c>
      <c r="D40" s="10">
        <f>-D39</f>
        <v>0</v>
      </c>
      <c r="E40" s="10">
        <f>-E39</f>
        <v>0</v>
      </c>
      <c r="F40" s="94">
        <f>C39+D39+E39</f>
        <v>0</v>
      </c>
      <c r="G40" s="11">
        <f>SUM(C40:F40)</f>
        <v>0</v>
      </c>
      <c r="I40" s="95"/>
      <c r="J40" t="s">
        <v>1105</v>
      </c>
      <c r="M40" s="152"/>
      <c r="N40" t="s">
        <v>1487</v>
      </c>
    </row>
    <row r="41" spans="1:14">
      <c r="A41" s="9" t="s">
        <v>1094</v>
      </c>
      <c r="B41" s="10"/>
      <c r="C41" s="10" t="s">
        <v>513</v>
      </c>
      <c r="D41" s="10" t="s">
        <v>513</v>
      </c>
      <c r="E41" s="10" t="s">
        <v>513</v>
      </c>
      <c r="F41" s="10">
        <f>-(1-'Thermal Treatment'!$C$243-'Thermal Treatment'!$D$244)*Streams!F40</f>
        <v>0</v>
      </c>
      <c r="G41" s="11">
        <f t="shared" ref="G41:G43" si="3">SUM(C41:F41)</f>
        <v>0</v>
      </c>
    </row>
    <row r="42" spans="1:14">
      <c r="A42" s="9" t="s">
        <v>1095</v>
      </c>
      <c r="B42" s="10"/>
      <c r="C42" s="10" t="s">
        <v>513</v>
      </c>
      <c r="D42" s="10" t="s">
        <v>513</v>
      </c>
      <c r="E42" s="10" t="s">
        <v>513</v>
      </c>
      <c r="F42" s="10">
        <f>'Thermal Treatment'!$D$244*Streams!F40</f>
        <v>0</v>
      </c>
      <c r="G42" s="11">
        <f t="shared" si="3"/>
        <v>0</v>
      </c>
    </row>
    <row r="43" spans="1:14" ht="15.75" thickBot="1">
      <c r="A43" s="12" t="s">
        <v>1096</v>
      </c>
      <c r="B43" s="13"/>
      <c r="C43" s="13" t="s">
        <v>513</v>
      </c>
      <c r="D43" s="13" t="s">
        <v>513</v>
      </c>
      <c r="E43" s="13" t="s">
        <v>513</v>
      </c>
      <c r="F43" s="13">
        <f>-'Thermal Treatment'!$D$243*Streams!F40</f>
        <v>0</v>
      </c>
      <c r="G43" s="14">
        <f t="shared" si="3"/>
        <v>0</v>
      </c>
    </row>
    <row r="45" spans="1:14" ht="15.75" thickBot="1">
      <c r="A45" s="65" t="s">
        <v>1097</v>
      </c>
    </row>
    <row r="46" spans="1:14">
      <c r="A46" s="93" t="s">
        <v>1089</v>
      </c>
      <c r="B46" s="7"/>
      <c r="C46" s="78" t="s">
        <v>4</v>
      </c>
      <c r="D46" s="78" t="s">
        <v>5</v>
      </c>
      <c r="E46" s="78" t="s">
        <v>29</v>
      </c>
      <c r="F46" s="78" t="s">
        <v>30</v>
      </c>
      <c r="G46" s="78" t="s">
        <v>31</v>
      </c>
      <c r="H46" s="78" t="s">
        <v>32</v>
      </c>
      <c r="I46" s="78" t="s">
        <v>8</v>
      </c>
      <c r="J46" s="78" t="s">
        <v>9</v>
      </c>
      <c r="K46" s="78" t="s">
        <v>10</v>
      </c>
      <c r="L46" s="96" t="s">
        <v>1091</v>
      </c>
      <c r="M46" s="79" t="s">
        <v>11</v>
      </c>
    </row>
    <row r="47" spans="1:14">
      <c r="A47" s="9" t="s">
        <v>1098</v>
      </c>
      <c r="B47" s="10"/>
      <c r="C47" s="10">
        <f>'MRF &amp; RDF Sorting'!B67*'MRF &amp; RDF Sorting'!$D$75</f>
        <v>0</v>
      </c>
      <c r="D47" s="10">
        <f>'MRF &amp; RDF Sorting'!C67*'MRF &amp; RDF Sorting'!$D$75</f>
        <v>0</v>
      </c>
      <c r="E47" s="10">
        <f>'MRF &amp; RDF Sorting'!D67*'MRF &amp; RDF Sorting'!$D$75</f>
        <v>0</v>
      </c>
      <c r="F47" s="10">
        <f>'MRF &amp; RDF Sorting'!E67*'MRF &amp; RDF Sorting'!$D$75</f>
        <v>0</v>
      </c>
      <c r="G47" s="10">
        <f>'MRF &amp; RDF Sorting'!F67*'MRF &amp; RDF Sorting'!$D$75</f>
        <v>0</v>
      </c>
      <c r="H47" s="10">
        <f>'MRF &amp; RDF Sorting'!G67*'MRF &amp; RDF Sorting'!$D$75</f>
        <v>0</v>
      </c>
      <c r="I47" s="10">
        <f>'MRF &amp; RDF Sorting'!H67*'MRF &amp; RDF Sorting'!$D$75</f>
        <v>0</v>
      </c>
      <c r="J47" s="10">
        <f>'MRF &amp; RDF Sorting'!I67*'MRF &amp; RDF Sorting'!$D$75</f>
        <v>0</v>
      </c>
      <c r="K47" s="10">
        <f>'MRF &amp; RDF Sorting'!J67*'MRF &amp; RDF Sorting'!$D$75</f>
        <v>0</v>
      </c>
      <c r="L47" s="10" t="s">
        <v>513</v>
      </c>
      <c r="M47" s="11">
        <f t="shared" ref="M47:M57" si="4">SUM(C47:K47)</f>
        <v>0</v>
      </c>
    </row>
    <row r="48" spans="1:14">
      <c r="A48" s="9" t="s">
        <v>1099</v>
      </c>
      <c r="B48" s="10"/>
      <c r="C48" s="49">
        <f>-C47*(1-'MRF &amp; RDF Sorting'!$F$54)</f>
        <v>0</v>
      </c>
      <c r="D48" s="49">
        <f>-D47*(1-'MRF &amp; RDF Sorting'!$F$54)</f>
        <v>0</v>
      </c>
      <c r="E48" s="49">
        <f>-E47*(1-'MRF &amp; RDF Sorting'!$F$54)</f>
        <v>0</v>
      </c>
      <c r="F48" s="49">
        <f>-F47*(1-'MRF &amp; RDF Sorting'!$F$54)</f>
        <v>0</v>
      </c>
      <c r="G48" s="49">
        <f>-G47*(1-'MRF &amp; RDF Sorting'!$F$54)</f>
        <v>0</v>
      </c>
      <c r="H48" s="49">
        <f>-H47*(1-'MRF &amp; RDF Sorting'!$F$54)</f>
        <v>0</v>
      </c>
      <c r="I48" s="49">
        <f>-I47*(1-'MRF &amp; RDF Sorting'!$F$54)</f>
        <v>0</v>
      </c>
      <c r="J48" s="49">
        <f>-J47*(1-'MRF &amp; RDF Sorting'!$F$54)</f>
        <v>0</v>
      </c>
      <c r="K48" s="49">
        <f>-K47*(1-'MRF &amp; RDF Sorting'!$F$54)</f>
        <v>0</v>
      </c>
      <c r="L48" s="10" t="s">
        <v>513</v>
      </c>
      <c r="M48" s="11">
        <f t="shared" si="4"/>
        <v>0</v>
      </c>
    </row>
    <row r="49" spans="1:13">
      <c r="A49" s="9" t="s">
        <v>1100</v>
      </c>
      <c r="B49" s="10"/>
      <c r="C49" s="10">
        <f>-(C47+C48)*'MRF &amp; RDF Sorting'!B59</f>
        <v>0</v>
      </c>
      <c r="D49" s="10">
        <f>-(D47+D48)*'MRF &amp; RDF Sorting'!C59</f>
        <v>0</v>
      </c>
      <c r="E49" s="10">
        <f>-(E47+E48)*'MRF &amp; RDF Sorting'!D59</f>
        <v>0</v>
      </c>
      <c r="F49" s="10">
        <f>-(F47+F48)*'MRF &amp; RDF Sorting'!E59</f>
        <v>0</v>
      </c>
      <c r="G49" s="10">
        <f>-(G47+G48)*'MRF &amp; RDF Sorting'!F59</f>
        <v>0</v>
      </c>
      <c r="H49" s="10">
        <f>-(H47+H48)*'MRF &amp; RDF Sorting'!G59</f>
        <v>0</v>
      </c>
      <c r="I49" s="10">
        <f>-(I47+I48)*'MRF &amp; RDF Sorting'!H59</f>
        <v>0</v>
      </c>
      <c r="J49" s="10">
        <f>-(J47+J48)*'MRF &amp; RDF Sorting'!I59</f>
        <v>0</v>
      </c>
      <c r="K49" s="10">
        <f>-(K47+K48)*'MRF &amp; RDF Sorting'!J59</f>
        <v>0</v>
      </c>
      <c r="L49" s="10" t="s">
        <v>513</v>
      </c>
      <c r="M49" s="11">
        <f t="shared" si="4"/>
        <v>0</v>
      </c>
    </row>
    <row r="50" spans="1:13">
      <c r="A50" s="9" t="s">
        <v>1101</v>
      </c>
      <c r="B50" s="10"/>
      <c r="C50" s="10">
        <f>-(C47+C48)*'MRF &amp; RDF Sorting'!B60</f>
        <v>0</v>
      </c>
      <c r="D50" s="10">
        <f>-(D47+D48)*'MRF &amp; RDF Sorting'!C60</f>
        <v>0</v>
      </c>
      <c r="E50" s="10">
        <f>-(E47+E48)*'MRF &amp; RDF Sorting'!D60</f>
        <v>0</v>
      </c>
      <c r="F50" s="10">
        <f>-(F47+F48)*'MRF &amp; RDF Sorting'!E60</f>
        <v>0</v>
      </c>
      <c r="G50" s="10">
        <f>-(G47+G48)*'MRF &amp; RDF Sorting'!F60</f>
        <v>0</v>
      </c>
      <c r="H50" s="10">
        <f>-(H47+H48)*'MRF &amp; RDF Sorting'!G60</f>
        <v>0</v>
      </c>
      <c r="I50" s="10">
        <f>-(I47+I48)*'MRF &amp; RDF Sorting'!H60</f>
        <v>0</v>
      </c>
      <c r="J50" s="10">
        <f>-(J47+J48)*'MRF &amp; RDF Sorting'!I60</f>
        <v>0</v>
      </c>
      <c r="K50" s="10">
        <f>-(K47+K48)*'MRF &amp; RDF Sorting'!J60</f>
        <v>0</v>
      </c>
      <c r="L50" s="10" t="s">
        <v>513</v>
      </c>
      <c r="M50" s="11">
        <f t="shared" si="4"/>
        <v>0</v>
      </c>
    </row>
    <row r="51" spans="1:13">
      <c r="A51" s="9" t="s">
        <v>1102</v>
      </c>
      <c r="B51" s="10"/>
      <c r="C51" s="10">
        <f>-(C47+C48)*'MRF &amp; RDF Sorting'!B61*'MRF &amp; RDF Sorting'!$D$82</f>
        <v>0</v>
      </c>
      <c r="D51" s="10">
        <f>-(D47+D48)*'MRF &amp; RDF Sorting'!C61*'MRF &amp; RDF Sorting'!$D$82</f>
        <v>0</v>
      </c>
      <c r="E51" s="10">
        <f>-(E47+E48)*'MRF &amp; RDF Sorting'!D61*'MRF &amp; RDF Sorting'!$D$82</f>
        <v>0</v>
      </c>
      <c r="F51" s="10">
        <f>-(F47+F48)*'MRF &amp; RDF Sorting'!E61*'MRF &amp; RDF Sorting'!$D$82</f>
        <v>0</v>
      </c>
      <c r="G51" s="10">
        <f>-(G47+G48)*'MRF &amp; RDF Sorting'!F61*'MRF &amp; RDF Sorting'!$D$82</f>
        <v>0</v>
      </c>
      <c r="H51" s="10">
        <f>-(H47+H48)*'MRF &amp; RDF Sorting'!G61*'MRF &amp; RDF Sorting'!$D$82</f>
        <v>0</v>
      </c>
      <c r="I51" s="10">
        <f>-(I47+I48)*'MRF &amp; RDF Sorting'!H61*'MRF &amp; RDF Sorting'!$D$82</f>
        <v>0</v>
      </c>
      <c r="J51" s="10">
        <f>-(J47+J48)*'MRF &amp; RDF Sorting'!I61*'MRF &amp; RDF Sorting'!$D$82</f>
        <v>0</v>
      </c>
      <c r="K51" s="10">
        <f>-(K47+K48)*'MRF &amp; RDF Sorting'!J61*'MRF &amp; RDF Sorting'!$D$82</f>
        <v>0</v>
      </c>
      <c r="L51" s="10" t="s">
        <v>513</v>
      </c>
      <c r="M51" s="11">
        <f t="shared" si="4"/>
        <v>0</v>
      </c>
    </row>
    <row r="52" spans="1:13">
      <c r="A52" s="9" t="s">
        <v>1103</v>
      </c>
      <c r="B52" s="10"/>
      <c r="C52" s="10">
        <f>-(C47+C48)*'MRF &amp; RDF Sorting'!B61*(1-'MRF &amp; RDF Sorting'!$D$82)</f>
        <v>0</v>
      </c>
      <c r="D52" s="10">
        <f>-(D47+D48)*'MRF &amp; RDF Sorting'!C61*(1-'MRF &amp; RDF Sorting'!$D$82)</f>
        <v>0</v>
      </c>
      <c r="E52" s="10">
        <f>-(E47+E48)*'MRF &amp; RDF Sorting'!D61*(1-'MRF &amp; RDF Sorting'!$D$82)</f>
        <v>0</v>
      </c>
      <c r="F52" s="10">
        <f>-(F47+F48)*'MRF &amp; RDF Sorting'!E61*(1-'MRF &amp; RDF Sorting'!$D$82)</f>
        <v>0</v>
      </c>
      <c r="G52" s="10">
        <f>-(G47+G48)*'MRF &amp; RDF Sorting'!F61*(1-'MRF &amp; RDF Sorting'!$D$82)</f>
        <v>0</v>
      </c>
      <c r="H52" s="10">
        <f>-(H47+H48)*'MRF &amp; RDF Sorting'!G61*(1-'MRF &amp; RDF Sorting'!$D$82)</f>
        <v>0</v>
      </c>
      <c r="I52" s="10">
        <f>-(I47+I48)*'MRF &amp; RDF Sorting'!H61*(1-'MRF &amp; RDF Sorting'!$D$82)</f>
        <v>0</v>
      </c>
      <c r="J52" s="10">
        <f>-(J47+J48)*'MRF &amp; RDF Sorting'!I61*(1-'MRF &amp; RDF Sorting'!$D$82)</f>
        <v>0</v>
      </c>
      <c r="K52" s="10">
        <f>-(K47+K48)*'MRF &amp; RDF Sorting'!J61*(1-'MRF &amp; RDF Sorting'!$D$82)</f>
        <v>0</v>
      </c>
      <c r="L52" s="10" t="s">
        <v>513</v>
      </c>
      <c r="M52" s="11">
        <f t="shared" si="4"/>
        <v>0</v>
      </c>
    </row>
    <row r="53" spans="1:13">
      <c r="A53" s="9" t="s">
        <v>1104</v>
      </c>
      <c r="B53" s="10"/>
      <c r="C53" s="10">
        <f>-(C47+C48)*'MRF &amp; RDF Sorting'!B62</f>
        <v>0</v>
      </c>
      <c r="D53" s="10">
        <f>-(D47+D48)*'MRF &amp; RDF Sorting'!C62</f>
        <v>0</v>
      </c>
      <c r="E53" s="10">
        <f>-(E47+E48)*'MRF &amp; RDF Sorting'!D62</f>
        <v>0</v>
      </c>
      <c r="F53" s="10">
        <f>-(F47+F48)*'MRF &amp; RDF Sorting'!E62</f>
        <v>0</v>
      </c>
      <c r="G53" s="10">
        <f>-(G47+G48)*'MRF &amp; RDF Sorting'!F62</f>
        <v>0</v>
      </c>
      <c r="H53" s="10">
        <f>-(H47+H48)*'MRF &amp; RDF Sorting'!G62</f>
        <v>0</v>
      </c>
      <c r="I53" s="10">
        <f>-(I47+I48)*'MRF &amp; RDF Sorting'!H62</f>
        <v>0</v>
      </c>
      <c r="J53" s="10">
        <f>-(J47+J48)*'MRF &amp; RDF Sorting'!I62</f>
        <v>0</v>
      </c>
      <c r="K53" s="10">
        <f>-(K47+K48)*'MRF &amp; RDF Sorting'!J62</f>
        <v>0</v>
      </c>
      <c r="L53" s="10" t="s">
        <v>513</v>
      </c>
      <c r="M53" s="11">
        <f t="shared" si="4"/>
        <v>0</v>
      </c>
    </row>
    <row r="54" spans="1:13">
      <c r="A54" s="9" t="s">
        <v>1093</v>
      </c>
      <c r="B54" s="10"/>
      <c r="C54" s="10">
        <f>-(C47+C48)*'MRF &amp; RDF Sorting'!B58</f>
        <v>0</v>
      </c>
      <c r="D54" s="10">
        <f>-(D47+D48)*'MRF &amp; RDF Sorting'!C58</f>
        <v>0</v>
      </c>
      <c r="E54" s="10">
        <f>-(E47+E48)*'MRF &amp; RDF Sorting'!D58</f>
        <v>0</v>
      </c>
      <c r="F54" s="10">
        <f>-(F47+F48)*'MRF &amp; RDF Sorting'!E58</f>
        <v>0</v>
      </c>
      <c r="G54" s="10">
        <f>-(G47+G48)*'MRF &amp; RDF Sorting'!F58</f>
        <v>0</v>
      </c>
      <c r="H54" s="10">
        <f>-(H47+H48)*'MRF &amp; RDF Sorting'!G58</f>
        <v>0</v>
      </c>
      <c r="I54" s="10">
        <f>-(I47+I48)*'MRF &amp; RDF Sorting'!H58</f>
        <v>0</v>
      </c>
      <c r="J54" s="10">
        <f>-(J47+J48)*'MRF &amp; RDF Sorting'!I58</f>
        <v>0</v>
      </c>
      <c r="K54" s="10">
        <f>-(K47+K48)*'MRF &amp; RDF Sorting'!J58</f>
        <v>0</v>
      </c>
      <c r="L54" s="94">
        <f>-SUM(C54:K54)</f>
        <v>0</v>
      </c>
      <c r="M54" s="11">
        <f t="shared" si="4"/>
        <v>0</v>
      </c>
    </row>
    <row r="55" spans="1:13">
      <c r="A55" s="9" t="s">
        <v>1094</v>
      </c>
      <c r="B55" s="10"/>
      <c r="C55" s="10" t="s">
        <v>513</v>
      </c>
      <c r="D55" s="10" t="s">
        <v>513</v>
      </c>
      <c r="E55" s="10" t="s">
        <v>513</v>
      </c>
      <c r="F55" s="10" t="s">
        <v>513</v>
      </c>
      <c r="G55" s="10" t="s">
        <v>513</v>
      </c>
      <c r="H55" s="10" t="s">
        <v>513</v>
      </c>
      <c r="I55" s="10" t="s">
        <v>513</v>
      </c>
      <c r="J55" s="10" t="s">
        <v>513</v>
      </c>
      <c r="K55" s="10" t="s">
        <v>513</v>
      </c>
      <c r="L55" s="10">
        <f>-L54*(1-'Thermal Treatment'!$C$196-'Thermal Treatment'!$C$197)</f>
        <v>0</v>
      </c>
      <c r="M55" s="11">
        <f t="shared" si="4"/>
        <v>0</v>
      </c>
    </row>
    <row r="56" spans="1:13">
      <c r="A56" s="9" t="s">
        <v>1095</v>
      </c>
      <c r="B56" s="10"/>
      <c r="C56" s="10" t="s">
        <v>513</v>
      </c>
      <c r="D56" s="10" t="s">
        <v>513</v>
      </c>
      <c r="E56" s="10" t="s">
        <v>513</v>
      </c>
      <c r="F56" s="10" t="s">
        <v>513</v>
      </c>
      <c r="G56" s="10" t="s">
        <v>513</v>
      </c>
      <c r="H56" s="10" t="s">
        <v>513</v>
      </c>
      <c r="I56" s="10" t="s">
        <v>513</v>
      </c>
      <c r="J56" s="10" t="s">
        <v>513</v>
      </c>
      <c r="K56" s="10" t="s">
        <v>513</v>
      </c>
      <c r="L56" s="10">
        <f>-L54*'Thermal Treatment'!$C$197</f>
        <v>0</v>
      </c>
      <c r="M56" s="11">
        <f t="shared" si="4"/>
        <v>0</v>
      </c>
    </row>
    <row r="57" spans="1:13" ht="15.75" thickBot="1">
      <c r="A57" s="12" t="s">
        <v>1096</v>
      </c>
      <c r="B57" s="13"/>
      <c r="C57" s="13" t="s">
        <v>513</v>
      </c>
      <c r="D57" s="13" t="s">
        <v>513</v>
      </c>
      <c r="E57" s="13" t="s">
        <v>513</v>
      </c>
      <c r="F57" s="13" t="s">
        <v>513</v>
      </c>
      <c r="G57" s="13" t="s">
        <v>513</v>
      </c>
      <c r="H57" s="13" t="s">
        <v>513</v>
      </c>
      <c r="I57" s="13" t="s">
        <v>513</v>
      </c>
      <c r="J57" s="13" t="s">
        <v>513</v>
      </c>
      <c r="K57" s="13" t="s">
        <v>513</v>
      </c>
      <c r="L57" s="13">
        <f>-L54*'Thermal Treatment'!$C$196</f>
        <v>0</v>
      </c>
      <c r="M57" s="14">
        <f t="shared" si="4"/>
        <v>0</v>
      </c>
    </row>
    <row r="59" spans="1:13" ht="15.75" thickBot="1">
      <c r="A59" s="65" t="s">
        <v>1106</v>
      </c>
    </row>
    <row r="60" spans="1:13">
      <c r="A60" s="93" t="s">
        <v>1089</v>
      </c>
      <c r="B60" s="7"/>
      <c r="C60" s="78" t="s">
        <v>4</v>
      </c>
      <c r="D60" s="78" t="s">
        <v>5</v>
      </c>
      <c r="E60" s="78" t="s">
        <v>29</v>
      </c>
      <c r="F60" s="78" t="s">
        <v>30</v>
      </c>
      <c r="G60" s="78" t="s">
        <v>31</v>
      </c>
      <c r="H60" s="78" t="s">
        <v>32</v>
      </c>
      <c r="I60" s="78" t="s">
        <v>8</v>
      </c>
      <c r="J60" s="78" t="s">
        <v>9</v>
      </c>
      <c r="K60" s="78" t="s">
        <v>10</v>
      </c>
      <c r="L60" s="96" t="s">
        <v>1091</v>
      </c>
      <c r="M60" s="79" t="s">
        <v>11</v>
      </c>
    </row>
    <row r="61" spans="1:13">
      <c r="A61" s="9" t="s">
        <v>1098</v>
      </c>
      <c r="B61" s="10"/>
      <c r="C61" s="10">
        <f>'MRF &amp; RDF Sorting'!B128*'MRF &amp; RDF Sorting'!$D$136</f>
        <v>0</v>
      </c>
      <c r="D61" s="10">
        <f>'MRF &amp; RDF Sorting'!C128*'MRF &amp; RDF Sorting'!$D$136</f>
        <v>0</v>
      </c>
      <c r="E61" s="10">
        <f>'MRF &amp; RDF Sorting'!D128*'MRF &amp; RDF Sorting'!$D$136</f>
        <v>0</v>
      </c>
      <c r="F61" s="10">
        <f>'MRF &amp; RDF Sorting'!E128*'MRF &amp; RDF Sorting'!$D$136</f>
        <v>0</v>
      </c>
      <c r="G61" s="10">
        <f>'MRF &amp; RDF Sorting'!F128*'MRF &amp; RDF Sorting'!$D$136</f>
        <v>0</v>
      </c>
      <c r="H61" s="10">
        <f>'MRF &amp; RDF Sorting'!G128*'MRF &amp; RDF Sorting'!$D$136</f>
        <v>0</v>
      </c>
      <c r="I61" s="10">
        <f>'MRF &amp; RDF Sorting'!H128*'MRF &amp; RDF Sorting'!$D$136</f>
        <v>0</v>
      </c>
      <c r="J61" s="10">
        <f>'MRF &amp; RDF Sorting'!I128*'MRF &amp; RDF Sorting'!$D$136</f>
        <v>0</v>
      </c>
      <c r="K61" s="10">
        <f>'MRF &amp; RDF Sorting'!J128*'MRF &amp; RDF Sorting'!$D$136</f>
        <v>0</v>
      </c>
      <c r="L61" s="10" t="s">
        <v>513</v>
      </c>
      <c r="M61" s="11">
        <f t="shared" ref="M61:M72" si="5">SUM(C61:K61)</f>
        <v>0</v>
      </c>
    </row>
    <row r="62" spans="1:13">
      <c r="A62" s="9" t="s">
        <v>1099</v>
      </c>
      <c r="B62" s="10"/>
      <c r="C62" s="10">
        <f>-C61*(1-'MRF &amp; RDF Sorting'!$F$113)</f>
        <v>0</v>
      </c>
      <c r="D62" s="10">
        <f>-D61*(1-'MRF &amp; RDF Sorting'!$F$113)</f>
        <v>0</v>
      </c>
      <c r="E62" s="10">
        <f>-E61*(1-'MRF &amp; RDF Sorting'!$F$113)</f>
        <v>0</v>
      </c>
      <c r="F62" s="10">
        <f>-F61*(1-'MRF &amp; RDF Sorting'!$F$113)</f>
        <v>0</v>
      </c>
      <c r="G62" s="10">
        <f>-G61*(1-'MRF &amp; RDF Sorting'!$F$113)</f>
        <v>0</v>
      </c>
      <c r="H62" s="10">
        <f>-H61*(1-'MRF &amp; RDF Sorting'!$F$113)</f>
        <v>0</v>
      </c>
      <c r="I62" s="10">
        <f>-I61*(1-'MRF &amp; RDF Sorting'!$F$113)</f>
        <v>0</v>
      </c>
      <c r="J62" s="10">
        <f>-J61*(1-'MRF &amp; RDF Sorting'!$F$113)</f>
        <v>0</v>
      </c>
      <c r="K62" s="10">
        <f>-K61*(1-'MRF &amp; RDF Sorting'!$F$113)</f>
        <v>0</v>
      </c>
      <c r="L62" s="10" t="s">
        <v>513</v>
      </c>
      <c r="M62" s="11">
        <f t="shared" si="5"/>
        <v>0</v>
      </c>
    </row>
    <row r="63" spans="1:13">
      <c r="A63" s="9" t="s">
        <v>1100</v>
      </c>
      <c r="B63" s="10"/>
      <c r="C63" s="10">
        <f>-(C61+C62)*'MRF &amp; RDF Sorting'!B118</f>
        <v>0</v>
      </c>
      <c r="D63" s="10">
        <f>-(D61+D62)*'MRF &amp; RDF Sorting'!C118</f>
        <v>0</v>
      </c>
      <c r="E63" s="10">
        <f>-(E61+E62)*'MRF &amp; RDF Sorting'!D118</f>
        <v>0</v>
      </c>
      <c r="F63" s="10">
        <f>-(F61+F62)*'MRF &amp; RDF Sorting'!E118</f>
        <v>0</v>
      </c>
      <c r="G63" s="10">
        <f>-(G61+G62)*'MRF &amp; RDF Sorting'!F118</f>
        <v>0</v>
      </c>
      <c r="H63" s="10">
        <f>-(H61+H62)*'MRF &amp; RDF Sorting'!G118</f>
        <v>0</v>
      </c>
      <c r="I63" s="10">
        <f>-(I61+I62)*'MRF &amp; RDF Sorting'!H118</f>
        <v>0</v>
      </c>
      <c r="J63" s="10">
        <f>-(J61+J62)*'MRF &amp; RDF Sorting'!I118</f>
        <v>0</v>
      </c>
      <c r="K63" s="10">
        <f>-(K61+K62)*'MRF &amp; RDF Sorting'!J118</f>
        <v>0</v>
      </c>
      <c r="L63" s="10" t="s">
        <v>513</v>
      </c>
      <c r="M63" s="11">
        <f t="shared" si="5"/>
        <v>0</v>
      </c>
    </row>
    <row r="64" spans="1:13">
      <c r="A64" s="9" t="s">
        <v>1101</v>
      </c>
      <c r="B64" s="10"/>
      <c r="C64" s="10">
        <f>-(C61+C62)*'MRF &amp; RDF Sorting'!B119</f>
        <v>0</v>
      </c>
      <c r="D64" s="10">
        <f>-(D61+D62)*'MRF &amp; RDF Sorting'!C119</f>
        <v>0</v>
      </c>
      <c r="E64" s="10">
        <f>-(E61+E62)*'MRF &amp; RDF Sorting'!D119</f>
        <v>0</v>
      </c>
      <c r="F64" s="10">
        <f>-(F61+F62)*'MRF &amp; RDF Sorting'!E119</f>
        <v>0</v>
      </c>
      <c r="G64" s="10">
        <f>-(G61+G62)*'MRF &amp; RDF Sorting'!F119</f>
        <v>0</v>
      </c>
      <c r="H64" s="10">
        <f>-(H61+H62)*'MRF &amp; RDF Sorting'!G119</f>
        <v>0</v>
      </c>
      <c r="I64" s="10">
        <f>-(I61+I62)*'MRF &amp; RDF Sorting'!H119</f>
        <v>0</v>
      </c>
      <c r="J64" s="10">
        <f>-(J61+J62)*'MRF &amp; RDF Sorting'!I119</f>
        <v>0</v>
      </c>
      <c r="K64" s="10">
        <f>-(K61+K62)*'MRF &amp; RDF Sorting'!J119</f>
        <v>0</v>
      </c>
      <c r="L64" s="10" t="s">
        <v>513</v>
      </c>
      <c r="M64" s="11">
        <f t="shared" si="5"/>
        <v>0</v>
      </c>
    </row>
    <row r="65" spans="1:14">
      <c r="A65" s="9" t="s">
        <v>1102</v>
      </c>
      <c r="B65" s="10"/>
      <c r="C65" s="10">
        <f>-(C61+C62)*'MRF &amp; RDF Sorting'!B120*'MRF &amp; RDF Sorting'!$D$143</f>
        <v>0</v>
      </c>
      <c r="D65" s="10">
        <f>-(D61+D62)*'MRF &amp; RDF Sorting'!C120*'MRF &amp; RDF Sorting'!$D$143</f>
        <v>0</v>
      </c>
      <c r="E65" s="10">
        <f>-(E61+E62)*'MRF &amp; RDF Sorting'!D120*'MRF &amp; RDF Sorting'!$D$143</f>
        <v>0</v>
      </c>
      <c r="F65" s="10">
        <f>-(F61+F62)*'MRF &amp; RDF Sorting'!E120*'MRF &amp; RDF Sorting'!$D$143</f>
        <v>0</v>
      </c>
      <c r="G65" s="10">
        <f>-(G61+G62)*'MRF &amp; RDF Sorting'!F120*'MRF &amp; RDF Sorting'!$D$143</f>
        <v>0</v>
      </c>
      <c r="H65" s="10">
        <f>-(H61+H62)*'MRF &amp; RDF Sorting'!G120*'MRF &amp; RDF Sorting'!$D$143</f>
        <v>0</v>
      </c>
      <c r="I65" s="10">
        <f>-(I61+I62)*'MRF &amp; RDF Sorting'!H120*'MRF &amp; RDF Sorting'!$D$143</f>
        <v>0</v>
      </c>
      <c r="J65" s="10">
        <f>-(J61+J62)*'MRF &amp; RDF Sorting'!I120*'MRF &amp; RDF Sorting'!$D$143</f>
        <v>0</v>
      </c>
      <c r="K65" s="10">
        <f>-(K61+K62)*'MRF &amp; RDF Sorting'!J120*'MRF &amp; RDF Sorting'!$D$143</f>
        <v>0</v>
      </c>
      <c r="L65" s="10" t="s">
        <v>513</v>
      </c>
      <c r="M65" s="11">
        <f t="shared" si="5"/>
        <v>0</v>
      </c>
    </row>
    <row r="66" spans="1:14">
      <c r="A66" s="9" t="s">
        <v>1103</v>
      </c>
      <c r="B66" s="10"/>
      <c r="C66" s="10">
        <f>-(C61+C62)*'MRF &amp; RDF Sorting'!B120*(1-'MRF &amp; RDF Sorting'!$D$143)</f>
        <v>0</v>
      </c>
      <c r="D66" s="10">
        <f>-(D61+D62)*'MRF &amp; RDF Sorting'!C120*(1-'MRF &amp; RDF Sorting'!$D$143)</f>
        <v>0</v>
      </c>
      <c r="E66" s="10">
        <f>-(E61+E62)*'MRF &amp; RDF Sorting'!D120*(1-'MRF &amp; RDF Sorting'!$D$143)</f>
        <v>0</v>
      </c>
      <c r="F66" s="10">
        <f>-(F61+F62)*'MRF &amp; RDF Sorting'!E120*(1-'MRF &amp; RDF Sorting'!$D$143)</f>
        <v>0</v>
      </c>
      <c r="G66" s="10">
        <f>-(G61+G62)*'MRF &amp; RDF Sorting'!F120*(1-'MRF &amp; RDF Sorting'!$D$143)</f>
        <v>0</v>
      </c>
      <c r="H66" s="10">
        <f>-(H61+H62)*'MRF &amp; RDF Sorting'!G120*(1-'MRF &amp; RDF Sorting'!$D$143)</f>
        <v>0</v>
      </c>
      <c r="I66" s="10">
        <f>-(I61+I62)*'MRF &amp; RDF Sorting'!H120*(1-'MRF &amp; RDF Sorting'!$D$143)</f>
        <v>0</v>
      </c>
      <c r="J66" s="10">
        <f>-(J61+J62)*'MRF &amp; RDF Sorting'!I120*(1-'MRF &amp; RDF Sorting'!$D$143)</f>
        <v>0</v>
      </c>
      <c r="K66" s="10">
        <f>-(K61+K62)*'MRF &amp; RDF Sorting'!J120*(1-'MRF &amp; RDF Sorting'!$D$143)</f>
        <v>0</v>
      </c>
      <c r="L66" s="10" t="s">
        <v>513</v>
      </c>
      <c r="M66" s="11">
        <f t="shared" si="5"/>
        <v>0</v>
      </c>
    </row>
    <row r="67" spans="1:14">
      <c r="A67" s="9" t="s">
        <v>1104</v>
      </c>
      <c r="B67" s="10"/>
      <c r="C67" s="10">
        <f>-(C61+C62)*'MRF &amp; RDF Sorting'!B121</f>
        <v>0</v>
      </c>
      <c r="D67" s="10">
        <f>-(D61+D62)*'MRF &amp; RDF Sorting'!C121</f>
        <v>0</v>
      </c>
      <c r="E67" s="10">
        <f>-(E61+E62)*'MRF &amp; RDF Sorting'!D121</f>
        <v>0</v>
      </c>
      <c r="F67" s="10">
        <f>-(F61+F62)*'MRF &amp; RDF Sorting'!E121</f>
        <v>0</v>
      </c>
      <c r="G67" s="10">
        <f>-(G61+G62)*'MRF &amp; RDF Sorting'!F121</f>
        <v>0</v>
      </c>
      <c r="H67" s="10">
        <f>-(H61+H62)*'MRF &amp; RDF Sorting'!G121</f>
        <v>0</v>
      </c>
      <c r="I67" s="10">
        <f>-(I61+I62)*'MRF &amp; RDF Sorting'!H121</f>
        <v>0</v>
      </c>
      <c r="J67" s="10">
        <f>-(J61+J62)*'MRF &amp; RDF Sorting'!I121</f>
        <v>0</v>
      </c>
      <c r="K67" s="10">
        <f>-(K61+K62)*'MRF &amp; RDF Sorting'!J121</f>
        <v>0</v>
      </c>
      <c r="L67" s="10" t="s">
        <v>513</v>
      </c>
      <c r="M67" s="11">
        <f t="shared" si="5"/>
        <v>0</v>
      </c>
    </row>
    <row r="68" spans="1:14">
      <c r="A68" s="9" t="s">
        <v>1107</v>
      </c>
      <c r="B68" s="10"/>
      <c r="C68" s="10">
        <f>-(C61+C62)*'MRF &amp; RDF Sorting'!B117*'MRF &amp; RDF Sorting'!$F$124</f>
        <v>0</v>
      </c>
      <c r="D68" s="10">
        <f>-(D61+D62)*'MRF &amp; RDF Sorting'!C117*'MRF &amp; RDF Sorting'!$F$124</f>
        <v>0</v>
      </c>
      <c r="E68" s="10">
        <f>-(E61+E62)*'MRF &amp; RDF Sorting'!D117*'MRF &amp; RDF Sorting'!$F$124</f>
        <v>0</v>
      </c>
      <c r="F68" s="10">
        <f>-(F61+F62)*'MRF &amp; RDF Sorting'!E117*'MRF &amp; RDF Sorting'!$F$124</f>
        <v>0</v>
      </c>
      <c r="G68" s="10">
        <f>-(G61+G62)*'MRF &amp; RDF Sorting'!F117*'MRF &amp; RDF Sorting'!$F$124</f>
        <v>0</v>
      </c>
      <c r="H68" s="10">
        <f>-(H61+H62)*'MRF &amp; RDF Sorting'!G117*'MRF &amp; RDF Sorting'!$F$124</f>
        <v>0</v>
      </c>
      <c r="I68" s="10">
        <f>-(I61+I62)*'MRF &amp; RDF Sorting'!H117*'MRF &amp; RDF Sorting'!$F$124</f>
        <v>0</v>
      </c>
      <c r="J68" s="10">
        <f>-(J61+J62)*'MRF &amp; RDF Sorting'!I117*'MRF &amp; RDF Sorting'!$F$124</f>
        <v>0</v>
      </c>
      <c r="K68" s="10">
        <f>-(K61+K62)*'MRF &amp; RDF Sorting'!J117*'MRF &amp; RDF Sorting'!$F$124</f>
        <v>0</v>
      </c>
      <c r="L68" s="10" t="s">
        <v>513</v>
      </c>
      <c r="M68" s="11">
        <f t="shared" si="5"/>
        <v>0</v>
      </c>
    </row>
    <row r="69" spans="1:14">
      <c r="A69" s="9" t="s">
        <v>1093</v>
      </c>
      <c r="B69" s="10"/>
      <c r="C69" s="10">
        <f>-(C61+C62)*'MRF &amp; RDF Sorting'!B117*(1-'MRF &amp; RDF Sorting'!$F$124)</f>
        <v>0</v>
      </c>
      <c r="D69" s="10">
        <f>-(D61+D62)*'MRF &amp; RDF Sorting'!C117*(1-'MRF &amp; RDF Sorting'!$F$124)</f>
        <v>0</v>
      </c>
      <c r="E69" s="10">
        <f>-(E61+E62)*'MRF &amp; RDF Sorting'!D117*(1-'MRF &amp; RDF Sorting'!$F$124)</f>
        <v>0</v>
      </c>
      <c r="F69" s="10">
        <f>-(F61+F62)*'MRF &amp; RDF Sorting'!E117*(1-'MRF &amp; RDF Sorting'!$F$124)</f>
        <v>0</v>
      </c>
      <c r="G69" s="10">
        <f>-(G61+G62)*'MRF &amp; RDF Sorting'!F117*(1-'MRF &amp; RDF Sorting'!$F$124)</f>
        <v>0</v>
      </c>
      <c r="H69" s="10">
        <f>-(H61+H62)*'MRF &amp; RDF Sorting'!G117*(1-'MRF &amp; RDF Sorting'!$F$124)</f>
        <v>0</v>
      </c>
      <c r="I69" s="10">
        <f>-(I61+I62)*'MRF &amp; RDF Sorting'!H117*(1-'MRF &amp; RDF Sorting'!$F$124)</f>
        <v>0</v>
      </c>
      <c r="J69" s="10">
        <f>-(J61+J62)*'MRF &amp; RDF Sorting'!I117*(1-'MRF &amp; RDF Sorting'!$F$124)</f>
        <v>0</v>
      </c>
      <c r="K69" s="10">
        <f>-(K61+K62)*'MRF &amp; RDF Sorting'!J117*(1-'MRF &amp; RDF Sorting'!$F$124)</f>
        <v>0</v>
      </c>
      <c r="L69" s="94">
        <f>-SUM(C69:K69)</f>
        <v>0</v>
      </c>
      <c r="M69" s="11">
        <f t="shared" si="5"/>
        <v>0</v>
      </c>
    </row>
    <row r="70" spans="1:14">
      <c r="A70" s="9" t="s">
        <v>1094</v>
      </c>
      <c r="B70" s="10"/>
      <c r="C70" s="10" t="s">
        <v>513</v>
      </c>
      <c r="D70" s="10" t="s">
        <v>513</v>
      </c>
      <c r="E70" s="10" t="s">
        <v>513</v>
      </c>
      <c r="F70" s="10" t="s">
        <v>513</v>
      </c>
      <c r="G70" s="10" t="s">
        <v>513</v>
      </c>
      <c r="H70" s="10" t="s">
        <v>513</v>
      </c>
      <c r="I70" s="10" t="s">
        <v>513</v>
      </c>
      <c r="J70" s="10" t="s">
        <v>513</v>
      </c>
      <c r="K70" s="10" t="s">
        <v>513</v>
      </c>
      <c r="L70" s="10">
        <f>-L69*(1-'Thermal Treatment'!D196-'Thermal Treatment'!D197)</f>
        <v>0</v>
      </c>
      <c r="M70" s="11">
        <f t="shared" si="5"/>
        <v>0</v>
      </c>
    </row>
    <row r="71" spans="1:14">
      <c r="A71" s="9" t="s">
        <v>1095</v>
      </c>
      <c r="B71" s="10"/>
      <c r="C71" s="10" t="s">
        <v>513</v>
      </c>
      <c r="D71" s="10" t="s">
        <v>513</v>
      </c>
      <c r="E71" s="10" t="s">
        <v>513</v>
      </c>
      <c r="F71" s="10" t="s">
        <v>513</v>
      </c>
      <c r="G71" s="10" t="s">
        <v>513</v>
      </c>
      <c r="H71" s="10" t="s">
        <v>513</v>
      </c>
      <c r="I71" s="10" t="s">
        <v>513</v>
      </c>
      <c r="J71" s="10" t="s">
        <v>513</v>
      </c>
      <c r="K71" s="10" t="s">
        <v>513</v>
      </c>
      <c r="L71" s="10">
        <f>-L69*'Thermal Treatment'!D197</f>
        <v>0</v>
      </c>
      <c r="M71" s="11">
        <f t="shared" si="5"/>
        <v>0</v>
      </c>
    </row>
    <row r="72" spans="1:14" ht="15.75" thickBot="1">
      <c r="A72" s="12" t="s">
        <v>1096</v>
      </c>
      <c r="B72" s="13"/>
      <c r="C72" s="13" t="s">
        <v>513</v>
      </c>
      <c r="D72" s="13" t="s">
        <v>513</v>
      </c>
      <c r="E72" s="13" t="s">
        <v>513</v>
      </c>
      <c r="F72" s="13" t="s">
        <v>513</v>
      </c>
      <c r="G72" s="13" t="s">
        <v>513</v>
      </c>
      <c r="H72" s="13" t="s">
        <v>513</v>
      </c>
      <c r="I72" s="13" t="s">
        <v>513</v>
      </c>
      <c r="J72" s="13" t="s">
        <v>513</v>
      </c>
      <c r="K72" s="13" t="s">
        <v>513</v>
      </c>
      <c r="L72" s="13">
        <f>-L69*'Thermal Treatment'!D196</f>
        <v>0</v>
      </c>
      <c r="M72" s="14">
        <f t="shared" si="5"/>
        <v>0</v>
      </c>
    </row>
    <row r="74" spans="1:14" ht="15.75" thickBot="1">
      <c r="A74" s="62" t="s">
        <v>193</v>
      </c>
    </row>
    <row r="75" spans="1:14">
      <c r="A75" s="93" t="s">
        <v>1089</v>
      </c>
      <c r="B75" s="7"/>
      <c r="C75" s="78" t="s">
        <v>4</v>
      </c>
      <c r="D75" s="78" t="s">
        <v>5</v>
      </c>
      <c r="E75" s="78" t="s">
        <v>29</v>
      </c>
      <c r="F75" s="78" t="s">
        <v>30</v>
      </c>
      <c r="G75" s="78" t="s">
        <v>31</v>
      </c>
      <c r="H75" s="78" t="s">
        <v>32</v>
      </c>
      <c r="I75" s="78" t="s">
        <v>8</v>
      </c>
      <c r="J75" s="78" t="s">
        <v>9</v>
      </c>
      <c r="K75" s="78" t="s">
        <v>10</v>
      </c>
      <c r="L75" s="79" t="s">
        <v>11</v>
      </c>
    </row>
    <row r="76" spans="1:14">
      <c r="A76" s="9" t="s">
        <v>1055</v>
      </c>
      <c r="B76" s="10"/>
      <c r="C76" s="10" t="s">
        <v>513</v>
      </c>
      <c r="D76" s="10" t="s">
        <v>513</v>
      </c>
      <c r="E76" s="10" t="s">
        <v>513</v>
      </c>
      <c r="F76" s="10" t="s">
        <v>513</v>
      </c>
      <c r="G76" s="10" t="s">
        <v>513</v>
      </c>
      <c r="H76" s="10" t="s">
        <v>513</v>
      </c>
      <c r="I76" s="10" t="s">
        <v>513</v>
      </c>
      <c r="J76" s="10">
        <f>'Waste Input'!$B$8*'Waste Input'!B30/1000</f>
        <v>0</v>
      </c>
      <c r="K76" s="10" t="s">
        <v>513</v>
      </c>
      <c r="L76" s="11">
        <f t="shared" ref="L76:L97" si="6">SUM(C76:K76)</f>
        <v>0</v>
      </c>
      <c r="M76" s="152"/>
      <c r="N76" t="s">
        <v>1485</v>
      </c>
    </row>
    <row r="77" spans="1:14">
      <c r="A77" s="9" t="s">
        <v>1056</v>
      </c>
      <c r="B77" s="10"/>
      <c r="C77" s="10">
        <f>'Waste Collection'!$C$11*'Waste Collection'!E33/1000*(1-'Waste Collection'!$E$34)</f>
        <v>4275</v>
      </c>
      <c r="D77" s="10" t="s">
        <v>513</v>
      </c>
      <c r="E77" s="10" t="s">
        <v>513</v>
      </c>
      <c r="F77" s="10" t="s">
        <v>513</v>
      </c>
      <c r="G77" s="10">
        <f>'Waste Collection'!$C$11*('Waste Collection'!$E$33+'Waste Collection'!$F$33)/1000*'Waste Collection'!$E$34*'Waste Input'!B23</f>
        <v>750</v>
      </c>
      <c r="H77" s="10">
        <f>'Waste Collection'!$C$11*('Waste Collection'!$E$33+'Waste Collection'!$F$33)/1000*'Waste Collection'!$E$34*'Waste Input'!C23</f>
        <v>750</v>
      </c>
      <c r="I77" s="10" t="s">
        <v>513</v>
      </c>
      <c r="J77" s="10">
        <f>'Waste Collection'!$C$11*'Waste Collection'!F33/1000*(1-'Waste Collection'!$E$34)</f>
        <v>24225</v>
      </c>
      <c r="K77" s="10" t="s">
        <v>513</v>
      </c>
      <c r="L77" s="11">
        <f t="shared" si="6"/>
        <v>30000</v>
      </c>
      <c r="M77" s="152"/>
      <c r="N77" t="s">
        <v>1485</v>
      </c>
    </row>
    <row r="78" spans="1:14">
      <c r="A78" s="9" t="s">
        <v>1058</v>
      </c>
      <c r="B78" s="10"/>
      <c r="C78" s="10" t="s">
        <v>513</v>
      </c>
      <c r="D78" s="10" t="s">
        <v>513</v>
      </c>
      <c r="E78" s="10" t="s">
        <v>513</v>
      </c>
      <c r="F78" s="10" t="s">
        <v>513</v>
      </c>
      <c r="G78" s="10" t="s">
        <v>513</v>
      </c>
      <c r="H78" s="10" t="s">
        <v>513</v>
      </c>
      <c r="I78" s="10" t="s">
        <v>513</v>
      </c>
      <c r="J78" s="10">
        <f>'Waste Collection'!$G$11*'Waste Collection'!L48</f>
        <v>0</v>
      </c>
      <c r="K78" s="10" t="s">
        <v>513</v>
      </c>
      <c r="L78" s="11">
        <f t="shared" si="6"/>
        <v>0</v>
      </c>
      <c r="M78" s="152"/>
      <c r="N78" t="s">
        <v>1485</v>
      </c>
    </row>
    <row r="79" spans="1:14">
      <c r="A79" s="9" t="s">
        <v>1062</v>
      </c>
      <c r="B79" s="10"/>
      <c r="C79" s="10">
        <f>'Waste Collection'!E103*(1-'Waste Collection'!$E$104)</f>
        <v>0</v>
      </c>
      <c r="D79" s="10" t="s">
        <v>513</v>
      </c>
      <c r="E79" s="10" t="s">
        <v>513</v>
      </c>
      <c r="F79" s="10" t="s">
        <v>513</v>
      </c>
      <c r="G79" s="10">
        <f>('Waste Collection'!E103+'Waste Collection'!F103)*'Waste Collection'!$E$104*'Waste Input'!B23</f>
        <v>0</v>
      </c>
      <c r="H79" s="10">
        <f>('Waste Collection'!E103+'Waste Collection'!F103)*'Waste Collection'!$E$104*'Waste Input'!C23</f>
        <v>0</v>
      </c>
      <c r="I79" s="10" t="s">
        <v>513</v>
      </c>
      <c r="J79" s="10">
        <f>'Waste Collection'!F103*(1-'Waste Collection'!$E$104)</f>
        <v>0</v>
      </c>
      <c r="K79" s="10" t="s">
        <v>513</v>
      </c>
      <c r="L79" s="11">
        <f t="shared" si="6"/>
        <v>0</v>
      </c>
      <c r="M79" s="152"/>
      <c r="N79" t="s">
        <v>1485</v>
      </c>
    </row>
    <row r="80" spans="1:14">
      <c r="A80" s="9" t="s">
        <v>1108</v>
      </c>
      <c r="B80" s="10"/>
      <c r="C80" s="10">
        <f>-Streams!C51*'MRF &amp; RDF Sorting'!$D$82</f>
        <v>0</v>
      </c>
      <c r="D80" s="10">
        <f>-Streams!D51*'MRF &amp; RDF Sorting'!$D$82</f>
        <v>0</v>
      </c>
      <c r="E80" s="10">
        <f>-Streams!E51*'MRF &amp; RDF Sorting'!$D$82</f>
        <v>0</v>
      </c>
      <c r="F80" s="10">
        <f>-Streams!F51*'MRF &amp; RDF Sorting'!$D$82</f>
        <v>0</v>
      </c>
      <c r="G80" s="10">
        <f>-Streams!G51*'MRF &amp; RDF Sorting'!$D$82</f>
        <v>0</v>
      </c>
      <c r="H80" s="10">
        <f>-Streams!H51*'MRF &amp; RDF Sorting'!$D$82</f>
        <v>0</v>
      </c>
      <c r="I80" s="10">
        <f>-Streams!I51*'MRF &amp; RDF Sorting'!$D$82</f>
        <v>0</v>
      </c>
      <c r="J80" s="10">
        <f>-Streams!J51*'MRF &amp; RDF Sorting'!$D$82</f>
        <v>0</v>
      </c>
      <c r="K80" s="10">
        <f>-Streams!K51*'MRF &amp; RDF Sorting'!$D$82</f>
        <v>0</v>
      </c>
      <c r="L80" s="11">
        <f t="shared" si="6"/>
        <v>0</v>
      </c>
    </row>
    <row r="81" spans="1:12">
      <c r="A81" s="9" t="s">
        <v>1109</v>
      </c>
      <c r="B81" s="10"/>
      <c r="C81" s="10">
        <f>-C65*'MRF &amp; RDF Sorting'!$D$143</f>
        <v>0</v>
      </c>
      <c r="D81" s="10">
        <f>-D65*'MRF &amp; RDF Sorting'!$D$143</f>
        <v>0</v>
      </c>
      <c r="E81" s="10">
        <f>-E65*'MRF &amp; RDF Sorting'!$D$143</f>
        <v>0</v>
      </c>
      <c r="F81" s="10">
        <f>-F65*'MRF &amp; RDF Sorting'!$D$143</f>
        <v>0</v>
      </c>
      <c r="G81" s="10">
        <f>-G65*'MRF &amp; RDF Sorting'!$D$143</f>
        <v>0</v>
      </c>
      <c r="H81" s="10">
        <f>-H65*'MRF &amp; RDF Sorting'!$D$143</f>
        <v>0</v>
      </c>
      <c r="I81" s="10">
        <f>-I65*'MRF &amp; RDF Sorting'!$D$143</f>
        <v>0</v>
      </c>
      <c r="J81" s="10">
        <f>-J65*'MRF &amp; RDF Sorting'!$D$143</f>
        <v>0</v>
      </c>
      <c r="K81" s="10">
        <f>-K65*'MRF &amp; RDF Sorting'!$D$143</f>
        <v>0</v>
      </c>
      <c r="L81" s="11">
        <f t="shared" si="6"/>
        <v>0</v>
      </c>
    </row>
    <row r="82" spans="1:12">
      <c r="A82" s="9" t="s">
        <v>1124</v>
      </c>
      <c r="B82" s="10"/>
      <c r="C82" s="10">
        <f>C24</f>
        <v>0</v>
      </c>
      <c r="D82" s="10">
        <f t="shared" ref="D82:K82" si="7">D24</f>
        <v>0</v>
      </c>
      <c r="E82" s="10">
        <f t="shared" si="7"/>
        <v>0</v>
      </c>
      <c r="F82" s="10">
        <f t="shared" si="7"/>
        <v>0</v>
      </c>
      <c r="G82" s="10">
        <f t="shared" si="7"/>
        <v>0</v>
      </c>
      <c r="H82" s="10">
        <f t="shared" si="7"/>
        <v>0</v>
      </c>
      <c r="I82" s="10">
        <f t="shared" si="7"/>
        <v>0</v>
      </c>
      <c r="J82" s="10">
        <f t="shared" si="7"/>
        <v>0</v>
      </c>
      <c r="K82" s="10">
        <f t="shared" si="7"/>
        <v>0</v>
      </c>
      <c r="L82" s="11">
        <f t="shared" si="6"/>
        <v>0</v>
      </c>
    </row>
    <row r="83" spans="1:12">
      <c r="A83" s="9" t="s">
        <v>1110</v>
      </c>
      <c r="B83" s="10"/>
      <c r="C83" s="10" t="s">
        <v>513</v>
      </c>
      <c r="D83" s="10">
        <f>-'Biological Treatment'!D41*'Biological Treatment'!D42</f>
        <v>0</v>
      </c>
      <c r="E83" s="10">
        <f>-'Biological Treatment'!E41*'Biological Treatment'!E42</f>
        <v>0</v>
      </c>
      <c r="F83" s="10">
        <f>-'Biological Treatment'!F41*'Biological Treatment'!F42</f>
        <v>0</v>
      </c>
      <c r="G83" s="10">
        <f>-'Biological Treatment'!G41*'Biological Treatment'!G42</f>
        <v>0</v>
      </c>
      <c r="H83" s="10">
        <f>-'Biological Treatment'!H41*'Biological Treatment'!H42</f>
        <v>0</v>
      </c>
      <c r="I83" s="10">
        <f>-'Biological Treatment'!I41*'Biological Treatment'!I42</f>
        <v>0</v>
      </c>
      <c r="J83" s="10" t="s">
        <v>513</v>
      </c>
      <c r="K83" s="10" t="s">
        <v>513</v>
      </c>
      <c r="L83" s="11">
        <f t="shared" si="6"/>
        <v>0</v>
      </c>
    </row>
    <row r="84" spans="1:12">
      <c r="A84" s="9" t="s">
        <v>1111</v>
      </c>
      <c r="B84" s="10"/>
      <c r="C84" s="10">
        <f>-'Biological Treatment'!C41*'Biological Treatment'!C43*'Biological Treatment'!$D$66</f>
        <v>0</v>
      </c>
      <c r="D84" s="10">
        <f>-'Biological Treatment'!D41*'Biological Treatment'!D43*'Biological Treatment'!$D$66</f>
        <v>0</v>
      </c>
      <c r="E84" s="10">
        <f>-'Biological Treatment'!E41*'Biological Treatment'!E43*'Biological Treatment'!$D$66</f>
        <v>0</v>
      </c>
      <c r="F84" s="10">
        <f>-'Biological Treatment'!F41*'Biological Treatment'!F43*'Biological Treatment'!$D$66</f>
        <v>0</v>
      </c>
      <c r="G84" s="10">
        <f>-'Biological Treatment'!G41*'Biological Treatment'!G43*'Biological Treatment'!$D$66</f>
        <v>0</v>
      </c>
      <c r="H84" s="10">
        <f>-'Biological Treatment'!H41*'Biological Treatment'!H43*'Biological Treatment'!$D$66</f>
        <v>0</v>
      </c>
      <c r="I84" s="10">
        <f>-'Biological Treatment'!I41*'Biological Treatment'!I43*'Biological Treatment'!$D$66</f>
        <v>0</v>
      </c>
      <c r="J84" s="10">
        <f>-'Biological Treatment'!J41*'Biological Treatment'!J43*'Biological Treatment'!$D$66</f>
        <v>0</v>
      </c>
      <c r="K84" s="10">
        <f>-'Biological Treatment'!K41*'Biological Treatment'!K43*'Biological Treatment'!$D$66</f>
        <v>0</v>
      </c>
      <c r="L84" s="11">
        <f t="shared" si="6"/>
        <v>0</v>
      </c>
    </row>
    <row r="85" spans="1:12">
      <c r="A85" s="9" t="s">
        <v>1112</v>
      </c>
      <c r="B85" s="10"/>
      <c r="C85" s="10">
        <f>-'Biological Treatment'!C41*'Biological Treatment'!C43*'Biological Treatment'!$E$66</f>
        <v>-106.875</v>
      </c>
      <c r="D85" s="10">
        <f>-'Biological Treatment'!D41*'Biological Treatment'!D43*'Biological Treatment'!$E$66</f>
        <v>0</v>
      </c>
      <c r="E85" s="10">
        <f>-'Biological Treatment'!E41*'Biological Treatment'!E43*'Biological Treatment'!$E$66</f>
        <v>0</v>
      </c>
      <c r="F85" s="10">
        <f>-'Biological Treatment'!F41*'Biological Treatment'!F43*'Biological Treatment'!$E$66</f>
        <v>0</v>
      </c>
      <c r="G85" s="10">
        <f>-'Biological Treatment'!G41*'Biological Treatment'!G43*'Biological Treatment'!$E$66</f>
        <v>-750</v>
      </c>
      <c r="H85" s="10">
        <f>-'Biological Treatment'!H41*'Biological Treatment'!H43*'Biological Treatment'!$E$66</f>
        <v>-750</v>
      </c>
      <c r="I85" s="10">
        <f>-'Biological Treatment'!I41*'Biological Treatment'!I43*'Biological Treatment'!$E$66</f>
        <v>0</v>
      </c>
      <c r="J85" s="10">
        <f>-'Biological Treatment'!J41*'Biological Treatment'!J43*'Biological Treatment'!$E$66</f>
        <v>-605.625</v>
      </c>
      <c r="K85" s="10">
        <f>-'Biological Treatment'!K41*'Biological Treatment'!K43*'Biological Treatment'!$E$66</f>
        <v>0</v>
      </c>
      <c r="L85" s="11">
        <f t="shared" si="6"/>
        <v>-2212.5</v>
      </c>
    </row>
    <row r="86" spans="1:12">
      <c r="A86" s="9" t="s">
        <v>1291</v>
      </c>
      <c r="B86" s="10"/>
      <c r="C86" s="10">
        <f>-'Biological Treatment'!C44*'Biological Treatment'!$C$53</f>
        <v>-2084.0625</v>
      </c>
      <c r="D86" s="10" t="s">
        <v>513</v>
      </c>
      <c r="E86" s="10" t="s">
        <v>513</v>
      </c>
      <c r="F86" s="10" t="s">
        <v>513</v>
      </c>
      <c r="G86" s="10" t="s">
        <v>513</v>
      </c>
      <c r="H86" s="10" t="s">
        <v>513</v>
      </c>
      <c r="I86" s="10" t="s">
        <v>513</v>
      </c>
      <c r="J86" s="10">
        <f>-'Biological Treatment'!J44*'Biological Treatment'!$C$53</f>
        <v>-11809.6875</v>
      </c>
      <c r="K86" s="10" t="s">
        <v>513</v>
      </c>
      <c r="L86" s="11">
        <f t="shared" si="6"/>
        <v>-13893.75</v>
      </c>
    </row>
    <row r="87" spans="1:12">
      <c r="A87" s="9" t="s">
        <v>1113</v>
      </c>
      <c r="B87" s="10"/>
      <c r="C87" s="10">
        <f>-'Biological Treatment'!C44*(1-'Biological Treatment'!$C$53)*'Biological Treatment'!$C$55</f>
        <v>-2084.0625</v>
      </c>
      <c r="D87" s="10" t="s">
        <v>513</v>
      </c>
      <c r="E87" s="10" t="s">
        <v>513</v>
      </c>
      <c r="F87" s="10" t="s">
        <v>513</v>
      </c>
      <c r="G87" s="10" t="s">
        <v>513</v>
      </c>
      <c r="H87" s="10" t="s">
        <v>513</v>
      </c>
      <c r="I87" s="10" t="s">
        <v>513</v>
      </c>
      <c r="J87" s="10">
        <f>-'Biological Treatment'!J44*(1-'Biological Treatment'!$C$53)*'Biological Treatment'!$C$55</f>
        <v>-11809.6875</v>
      </c>
      <c r="K87" s="10" t="s">
        <v>513</v>
      </c>
      <c r="L87" s="11">
        <f t="shared" si="6"/>
        <v>-13893.75</v>
      </c>
    </row>
    <row r="88" spans="1:12">
      <c r="A88" s="9" t="s">
        <v>1114</v>
      </c>
      <c r="B88" s="10"/>
      <c r="C88" s="10">
        <f>-'Biological Treatment'!C44*(1-'Biological Treatment'!C53)*(1-'Biological Treatment'!C55)*'Biological Treatment'!$D$67</f>
        <v>0</v>
      </c>
      <c r="D88" s="10" t="s">
        <v>513</v>
      </c>
      <c r="E88" s="10" t="s">
        <v>513</v>
      </c>
      <c r="F88" s="10" t="s">
        <v>513</v>
      </c>
      <c r="G88" s="10" t="s">
        <v>513</v>
      </c>
      <c r="H88" s="10" t="s">
        <v>513</v>
      </c>
      <c r="I88" s="10" t="s">
        <v>513</v>
      </c>
      <c r="J88" s="10">
        <f>-'Biological Treatment'!J44*(1-'Biological Treatment'!C53)*(1-'Biological Treatment'!C55)*'Biological Treatment'!$D$67</f>
        <v>0</v>
      </c>
      <c r="K88" s="10" t="s">
        <v>513</v>
      </c>
      <c r="L88" s="11">
        <f t="shared" si="6"/>
        <v>0</v>
      </c>
    </row>
    <row r="89" spans="1:12">
      <c r="A89" s="9" t="s">
        <v>1115</v>
      </c>
      <c r="B89" s="10"/>
      <c r="C89" s="10">
        <f>-'Biological Treatment'!C44*(1-'Biological Treatment'!C53)*(1-'Biological Treatment'!C55)*'Biological Treatment'!$E$67</f>
        <v>0</v>
      </c>
      <c r="D89" s="10" t="s">
        <v>513</v>
      </c>
      <c r="E89" s="10" t="s">
        <v>513</v>
      </c>
      <c r="F89" s="10" t="s">
        <v>513</v>
      </c>
      <c r="G89" s="10" t="s">
        <v>513</v>
      </c>
      <c r="H89" s="10" t="s">
        <v>513</v>
      </c>
      <c r="I89" s="10" t="s">
        <v>513</v>
      </c>
      <c r="J89" s="10">
        <f>-'Biological Treatment'!J44*(1-'Biological Treatment'!C53)*(1-'Biological Treatment'!C55)*'Biological Treatment'!$E$67</f>
        <v>0</v>
      </c>
      <c r="K89" s="10" t="s">
        <v>513</v>
      </c>
      <c r="L89" s="11">
        <f t="shared" si="6"/>
        <v>0</v>
      </c>
    </row>
    <row r="90" spans="1:12">
      <c r="A90" s="9" t="s">
        <v>1116</v>
      </c>
      <c r="B90" s="10"/>
      <c r="C90" s="10" t="s">
        <v>513</v>
      </c>
      <c r="D90" s="10">
        <f>'Biological Treatment'!D94*'Biological Treatment'!D95</f>
        <v>0</v>
      </c>
      <c r="E90" s="10">
        <f>'Biological Treatment'!E94*'Biological Treatment'!E95</f>
        <v>0</v>
      </c>
      <c r="F90" s="10">
        <f>'Biological Treatment'!F94*'Biological Treatment'!F95</f>
        <v>0</v>
      </c>
      <c r="G90" s="10">
        <f>'Biological Treatment'!G94*'Biological Treatment'!G95</f>
        <v>0</v>
      </c>
      <c r="H90" s="10">
        <f>'Biological Treatment'!H94*'Biological Treatment'!H95</f>
        <v>0</v>
      </c>
      <c r="I90" s="10">
        <f>'Biological Treatment'!I94*'Biological Treatment'!I95</f>
        <v>0</v>
      </c>
      <c r="J90" s="10" t="s">
        <v>513</v>
      </c>
      <c r="K90" s="10" t="s">
        <v>513</v>
      </c>
      <c r="L90" s="11">
        <f t="shared" si="6"/>
        <v>0</v>
      </c>
    </row>
    <row r="91" spans="1:12">
      <c r="A91" s="9" t="s">
        <v>1117</v>
      </c>
      <c r="B91" s="10"/>
      <c r="C91" s="10">
        <f>-'Biological Treatment'!C94*'Biological Treatment'!C96*'Biological Treatment'!$D$120</f>
        <v>0</v>
      </c>
      <c r="D91" s="10">
        <f>-'Biological Treatment'!D94*'Biological Treatment'!D96*'Biological Treatment'!$D$120</f>
        <v>0</v>
      </c>
      <c r="E91" s="10">
        <f>-'Biological Treatment'!E94*'Biological Treatment'!E96*'Biological Treatment'!$D$120</f>
        <v>0</v>
      </c>
      <c r="F91" s="10">
        <f>-'Biological Treatment'!F94*'Biological Treatment'!F96*'Biological Treatment'!$D$120</f>
        <v>0</v>
      </c>
      <c r="G91" s="10">
        <f>-'Biological Treatment'!G94*'Biological Treatment'!G96*'Biological Treatment'!$D$120</f>
        <v>0</v>
      </c>
      <c r="H91" s="10">
        <f>-'Biological Treatment'!H94*'Biological Treatment'!H96*'Biological Treatment'!$D$120</f>
        <v>0</v>
      </c>
      <c r="I91" s="10">
        <f>-'Biological Treatment'!I94*'Biological Treatment'!I96*'Biological Treatment'!$D$120</f>
        <v>0</v>
      </c>
      <c r="J91" s="10">
        <f>-'Biological Treatment'!J94*'Biological Treatment'!J96*'Biological Treatment'!$D$120</f>
        <v>0</v>
      </c>
      <c r="K91" s="10">
        <f>-'Biological Treatment'!K94*'Biological Treatment'!K96*'Biological Treatment'!$D$120</f>
        <v>0</v>
      </c>
      <c r="L91" s="11">
        <f t="shared" si="6"/>
        <v>0</v>
      </c>
    </row>
    <row r="92" spans="1:12">
      <c r="A92" s="9" t="s">
        <v>1118</v>
      </c>
      <c r="B92" s="10"/>
      <c r="C92" s="10">
        <f>-'Biological Treatment'!C94*'Biological Treatment'!C96*'Biological Treatment'!$E$120</f>
        <v>0</v>
      </c>
      <c r="D92" s="10">
        <f>-'Biological Treatment'!D94*'Biological Treatment'!D96*'Biological Treatment'!$E$120</f>
        <v>0</v>
      </c>
      <c r="E92" s="10">
        <f>-'Biological Treatment'!E94*'Biological Treatment'!E96*'Biological Treatment'!$E$120</f>
        <v>0</v>
      </c>
      <c r="F92" s="10">
        <f>-'Biological Treatment'!F94*'Biological Treatment'!F96*'Biological Treatment'!$E$120</f>
        <v>0</v>
      </c>
      <c r="G92" s="10">
        <f>-'Biological Treatment'!G94*'Biological Treatment'!G96*'Biological Treatment'!$E$120</f>
        <v>0</v>
      </c>
      <c r="H92" s="10">
        <f>-'Biological Treatment'!H94*'Biological Treatment'!H96*'Biological Treatment'!$E$120</f>
        <v>0</v>
      </c>
      <c r="I92" s="10">
        <f>-'Biological Treatment'!I94*'Biological Treatment'!I96*'Biological Treatment'!$E$120</f>
        <v>0</v>
      </c>
      <c r="J92" s="10">
        <f>-'Biological Treatment'!J94*'Biological Treatment'!J96*'Biological Treatment'!$E$120</f>
        <v>0</v>
      </c>
      <c r="K92" s="10">
        <f>-'Biological Treatment'!K94*'Biological Treatment'!K96*'Biological Treatment'!$E$120</f>
        <v>0</v>
      </c>
      <c r="L92" s="11">
        <f t="shared" si="6"/>
        <v>0</v>
      </c>
    </row>
    <row r="93" spans="1:12">
      <c r="A93" s="9" t="s">
        <v>1119</v>
      </c>
      <c r="B93" s="10"/>
      <c r="C93" s="10">
        <f>-'Biological Treatment'!C97*'Biological Treatment'!$C$106</f>
        <v>0</v>
      </c>
      <c r="D93" s="10" t="s">
        <v>513</v>
      </c>
      <c r="E93" s="10" t="s">
        <v>513</v>
      </c>
      <c r="F93" s="10" t="s">
        <v>513</v>
      </c>
      <c r="G93" s="10" t="s">
        <v>513</v>
      </c>
      <c r="H93" s="10" t="s">
        <v>513</v>
      </c>
      <c r="I93" s="10" t="s">
        <v>513</v>
      </c>
      <c r="J93" s="10">
        <f>-'Biological Treatment'!J97*'Biological Treatment'!$C$106</f>
        <v>0</v>
      </c>
      <c r="K93" s="10" t="s">
        <v>513</v>
      </c>
      <c r="L93" s="11">
        <f t="shared" si="6"/>
        <v>0</v>
      </c>
    </row>
    <row r="94" spans="1:12">
      <c r="A94" s="9" t="s">
        <v>1120</v>
      </c>
      <c r="B94" s="10"/>
      <c r="C94" s="10">
        <f>-'Biological Treatment'!C97*(1-'Biological Treatment'!$C$106)*'Biological Treatment'!$C$108</f>
        <v>0</v>
      </c>
      <c r="D94" s="10" t="s">
        <v>513</v>
      </c>
      <c r="E94" s="10" t="s">
        <v>513</v>
      </c>
      <c r="F94" s="10" t="s">
        <v>513</v>
      </c>
      <c r="G94" s="10" t="s">
        <v>513</v>
      </c>
      <c r="H94" s="10" t="s">
        <v>513</v>
      </c>
      <c r="I94" s="10" t="s">
        <v>513</v>
      </c>
      <c r="J94" s="10">
        <f>-'Biological Treatment'!J97*(1-'Biological Treatment'!$C$106)*'Biological Treatment'!$C$108</f>
        <v>0</v>
      </c>
      <c r="K94" s="10" t="s">
        <v>513</v>
      </c>
      <c r="L94" s="11">
        <f t="shared" si="6"/>
        <v>0</v>
      </c>
    </row>
    <row r="95" spans="1:12">
      <c r="A95" s="9" t="s">
        <v>1121</v>
      </c>
      <c r="B95" s="10"/>
      <c r="C95" s="10">
        <f>-'Biological Treatment'!C97*(1-'Biological Treatment'!$C$106)*(1-'Biological Treatment'!$C$108)*'Biological Treatment'!$D$121</f>
        <v>0</v>
      </c>
      <c r="D95" s="10" t="s">
        <v>513</v>
      </c>
      <c r="E95" s="10" t="s">
        <v>513</v>
      </c>
      <c r="F95" s="10" t="s">
        <v>513</v>
      </c>
      <c r="G95" s="10" t="s">
        <v>513</v>
      </c>
      <c r="H95" s="10" t="s">
        <v>513</v>
      </c>
      <c r="I95" s="10" t="s">
        <v>513</v>
      </c>
      <c r="J95" s="10">
        <f>-'Biological Treatment'!J97*(1-'Biological Treatment'!$C$106)*(1-'Biological Treatment'!$C$108)*'Biological Treatment'!$D$121</f>
        <v>0</v>
      </c>
      <c r="K95" s="10" t="s">
        <v>513</v>
      </c>
      <c r="L95" s="11">
        <f t="shared" si="6"/>
        <v>0</v>
      </c>
    </row>
    <row r="96" spans="1:12">
      <c r="A96" s="9" t="s">
        <v>1122</v>
      </c>
      <c r="B96" s="10"/>
      <c r="C96" s="10">
        <f>-'Biological Treatment'!C97*(1-'Biological Treatment'!$C$106)*(1-'Biological Treatment'!$C$108)*'Biological Treatment'!$E$121</f>
        <v>0</v>
      </c>
      <c r="D96" s="10" t="s">
        <v>513</v>
      </c>
      <c r="E96" s="10" t="s">
        <v>513</v>
      </c>
      <c r="F96" s="10" t="s">
        <v>513</v>
      </c>
      <c r="G96" s="10" t="s">
        <v>513</v>
      </c>
      <c r="H96" s="10" t="s">
        <v>513</v>
      </c>
      <c r="I96" s="10" t="s">
        <v>513</v>
      </c>
      <c r="J96" s="10">
        <f>-'Biological Treatment'!J97*(1-'Biological Treatment'!$C$106)*(1-'Biological Treatment'!$C$108)*'Biological Treatment'!$E$121</f>
        <v>0</v>
      </c>
      <c r="K96" s="10" t="s">
        <v>513</v>
      </c>
      <c r="L96" s="11">
        <f t="shared" si="6"/>
        <v>0</v>
      </c>
    </row>
    <row r="97" spans="1:13" ht="15.75" thickBot="1">
      <c r="A97" s="12" t="s">
        <v>1123</v>
      </c>
      <c r="B97" s="13"/>
      <c r="C97" s="13">
        <f>-'Biological Treatment'!B23*'Biological Treatment'!$C$30</f>
        <v>0</v>
      </c>
      <c r="D97" s="13">
        <f>-'Biological Treatment'!C23*'Biological Treatment'!$C$30</f>
        <v>0</v>
      </c>
      <c r="E97" s="13">
        <f>-'Biological Treatment'!D23*'Biological Treatment'!$C$30</f>
        <v>0</v>
      </c>
      <c r="F97" s="13">
        <f>-'Biological Treatment'!E23*'Biological Treatment'!$C$30</f>
        <v>0</v>
      </c>
      <c r="G97" s="13">
        <f>-'Biological Treatment'!F23*'Biological Treatment'!$C$30</f>
        <v>0</v>
      </c>
      <c r="H97" s="13">
        <f>-'Biological Treatment'!G23*'Biological Treatment'!$C$30</f>
        <v>0</v>
      </c>
      <c r="I97" s="13">
        <f>-'Biological Treatment'!H23*'Biological Treatment'!$C$30</f>
        <v>0</v>
      </c>
      <c r="J97" s="13">
        <f>-'Biological Treatment'!I23*'Biological Treatment'!$C$30</f>
        <v>0</v>
      </c>
      <c r="K97" s="13">
        <f>-'Biological Treatment'!J23*'Biological Treatment'!$C$30</f>
        <v>0</v>
      </c>
      <c r="L97" s="14">
        <f t="shared" si="6"/>
        <v>0</v>
      </c>
    </row>
    <row r="99" spans="1:13" ht="15.75" thickBot="1">
      <c r="A99" s="62" t="s">
        <v>261</v>
      </c>
    </row>
    <row r="100" spans="1:13">
      <c r="A100" s="93" t="s">
        <v>1089</v>
      </c>
      <c r="B100" s="7"/>
      <c r="C100" s="78" t="s">
        <v>4</v>
      </c>
      <c r="D100" s="78" t="s">
        <v>5</v>
      </c>
      <c r="E100" s="78" t="s">
        <v>29</v>
      </c>
      <c r="F100" s="78" t="s">
        <v>30</v>
      </c>
      <c r="G100" s="78" t="s">
        <v>31</v>
      </c>
      <c r="H100" s="78" t="s">
        <v>32</v>
      </c>
      <c r="I100" s="78" t="s">
        <v>8</v>
      </c>
      <c r="J100" s="78" t="s">
        <v>9</v>
      </c>
      <c r="K100" s="78" t="s">
        <v>10</v>
      </c>
      <c r="L100" s="96" t="s">
        <v>264</v>
      </c>
      <c r="M100" s="97" t="s">
        <v>11</v>
      </c>
    </row>
    <row r="101" spans="1:13">
      <c r="A101" s="9" t="s">
        <v>1061</v>
      </c>
      <c r="B101" s="10"/>
      <c r="C101" s="10" t="s">
        <v>513</v>
      </c>
      <c r="D101" s="10">
        <f>'Waste Input'!$B$8*'Waste Input'!B27/1000*(1-'Waste Collection'!E73)*'Waste Collection'!$E$77</f>
        <v>0</v>
      </c>
      <c r="E101" s="10">
        <f>'Waste Input'!$B$8*'Waste Input'!C27/1000*(1-'Waste Collection'!F73)*'Waste Collection'!$E$77</f>
        <v>0</v>
      </c>
      <c r="F101" s="10">
        <f>'Waste Input'!$B$8*'Waste Input'!D27/1000*(1-'Waste Collection'!G73)*'Waste Collection'!$E$77</f>
        <v>0</v>
      </c>
      <c r="G101" s="10">
        <f>'Waste Input'!$B$8*'Waste Input'!E27/1000*(1-'Waste Collection'!H73)*'Waste Collection'!$E$77</f>
        <v>0</v>
      </c>
      <c r="H101" s="10">
        <f>'Waste Input'!$B$8*'Waste Input'!F27/1000*(1-'Waste Collection'!I73)*'Waste Collection'!$E$77</f>
        <v>0</v>
      </c>
      <c r="I101" s="10" t="s">
        <v>513</v>
      </c>
      <c r="J101" s="10" t="s">
        <v>513</v>
      </c>
      <c r="K101" s="10">
        <f>'Waste Input'!$B$8*'Waste Input'!B30/1000*(1-'Waste Collection'!J73)*'Waste Collection'!$E$77</f>
        <v>0</v>
      </c>
      <c r="L101" s="10" t="s">
        <v>513</v>
      </c>
      <c r="M101" s="11">
        <f>SUM(C101:L101)</f>
        <v>0</v>
      </c>
    </row>
    <row r="102" spans="1:13">
      <c r="A102" s="47" t="s">
        <v>1125</v>
      </c>
      <c r="B102" s="10"/>
      <c r="C102" s="10">
        <f>-C34</f>
        <v>0</v>
      </c>
      <c r="D102" s="10">
        <f t="shared" ref="D102:K102" si="8">-D34</f>
        <v>0</v>
      </c>
      <c r="E102" s="10">
        <f t="shared" si="8"/>
        <v>0</v>
      </c>
      <c r="F102" s="10">
        <f t="shared" si="8"/>
        <v>0</v>
      </c>
      <c r="G102" s="10">
        <f t="shared" si="8"/>
        <v>0</v>
      </c>
      <c r="H102" s="10">
        <f t="shared" si="8"/>
        <v>0</v>
      </c>
      <c r="I102" s="10">
        <f t="shared" si="8"/>
        <v>0</v>
      </c>
      <c r="J102" s="10">
        <f t="shared" si="8"/>
        <v>0</v>
      </c>
      <c r="K102" s="10">
        <f t="shared" si="8"/>
        <v>0</v>
      </c>
      <c r="L102" s="10" t="s">
        <v>513</v>
      </c>
      <c r="M102" s="11">
        <f t="shared" ref="M102:M119" si="9">SUM(C102:L102)</f>
        <v>0</v>
      </c>
    </row>
    <row r="103" spans="1:13">
      <c r="A103" s="47" t="s">
        <v>1126</v>
      </c>
      <c r="B103" s="10"/>
      <c r="C103" s="10">
        <f>-C84</f>
        <v>0</v>
      </c>
      <c r="D103" s="10">
        <f t="shared" ref="D103:K103" si="10">-D84</f>
        <v>0</v>
      </c>
      <c r="E103" s="10">
        <f t="shared" si="10"/>
        <v>0</v>
      </c>
      <c r="F103" s="10">
        <f t="shared" si="10"/>
        <v>0</v>
      </c>
      <c r="G103" s="10">
        <f t="shared" si="10"/>
        <v>0</v>
      </c>
      <c r="H103" s="10">
        <f t="shared" si="10"/>
        <v>0</v>
      </c>
      <c r="I103" s="10">
        <f t="shared" si="10"/>
        <v>0</v>
      </c>
      <c r="J103" s="10">
        <f t="shared" si="10"/>
        <v>0</v>
      </c>
      <c r="K103" s="10">
        <f t="shared" si="10"/>
        <v>0</v>
      </c>
      <c r="L103" s="10" t="s">
        <v>513</v>
      </c>
      <c r="M103" s="11">
        <f t="shared" si="9"/>
        <v>0</v>
      </c>
    </row>
    <row r="104" spans="1:13">
      <c r="A104" s="47" t="s">
        <v>1127</v>
      </c>
      <c r="B104" s="10"/>
      <c r="C104" s="10" t="s">
        <v>513</v>
      </c>
      <c r="D104" s="10" t="s">
        <v>513</v>
      </c>
      <c r="E104" s="10" t="s">
        <v>513</v>
      </c>
      <c r="F104" s="10" t="s">
        <v>513</v>
      </c>
      <c r="G104" s="10" t="s">
        <v>513</v>
      </c>
      <c r="H104" s="10" t="s">
        <v>513</v>
      </c>
      <c r="I104" s="10" t="s">
        <v>513</v>
      </c>
      <c r="J104" s="10" t="s">
        <v>513</v>
      </c>
      <c r="K104" s="10" t="s">
        <v>513</v>
      </c>
      <c r="L104" s="10">
        <f>-(C88+J88)</f>
        <v>0</v>
      </c>
      <c r="M104" s="11">
        <f t="shared" si="9"/>
        <v>0</v>
      </c>
    </row>
    <row r="105" spans="1:13">
      <c r="A105" s="47" t="s">
        <v>1128</v>
      </c>
      <c r="B105" s="10"/>
      <c r="C105" s="10">
        <f>-C91</f>
        <v>0</v>
      </c>
      <c r="D105" s="10">
        <f t="shared" ref="D105:K105" si="11">-D91</f>
        <v>0</v>
      </c>
      <c r="E105" s="10">
        <f t="shared" si="11"/>
        <v>0</v>
      </c>
      <c r="F105" s="10">
        <f t="shared" si="11"/>
        <v>0</v>
      </c>
      <c r="G105" s="10">
        <f t="shared" si="11"/>
        <v>0</v>
      </c>
      <c r="H105" s="10">
        <f t="shared" si="11"/>
        <v>0</v>
      </c>
      <c r="I105" s="10">
        <f t="shared" si="11"/>
        <v>0</v>
      </c>
      <c r="J105" s="10">
        <f t="shared" si="11"/>
        <v>0</v>
      </c>
      <c r="K105" s="10">
        <f t="shared" si="11"/>
        <v>0</v>
      </c>
      <c r="L105" s="10" t="s">
        <v>513</v>
      </c>
      <c r="M105" s="11">
        <f t="shared" si="9"/>
        <v>0</v>
      </c>
    </row>
    <row r="106" spans="1:13">
      <c r="A106" s="47" t="s">
        <v>1129</v>
      </c>
      <c r="B106" s="10"/>
      <c r="C106" s="10" t="s">
        <v>513</v>
      </c>
      <c r="D106" s="10" t="s">
        <v>513</v>
      </c>
      <c r="E106" s="10" t="s">
        <v>513</v>
      </c>
      <c r="F106" s="10" t="s">
        <v>513</v>
      </c>
      <c r="G106" s="10" t="s">
        <v>513</v>
      </c>
      <c r="H106" s="10" t="s">
        <v>513</v>
      </c>
      <c r="I106" s="10" t="s">
        <v>513</v>
      </c>
      <c r="J106" s="10" t="s">
        <v>513</v>
      </c>
      <c r="K106" s="10" t="s">
        <v>513</v>
      </c>
      <c r="L106" s="10">
        <f>-(C95+J95)</f>
        <v>0</v>
      </c>
      <c r="M106" s="11">
        <f t="shared" si="9"/>
        <v>0</v>
      </c>
    </row>
    <row r="107" spans="1:13">
      <c r="A107" s="47" t="s">
        <v>1124</v>
      </c>
      <c r="B107" s="10"/>
      <c r="C107" s="10">
        <f>'Thermal Treatment'!B14</f>
        <v>42500</v>
      </c>
      <c r="D107" s="10">
        <f>'Thermal Treatment'!C14</f>
        <v>4112.4999999999982</v>
      </c>
      <c r="E107" s="10">
        <f>'Thermal Treatment'!D14</f>
        <v>5135</v>
      </c>
      <c r="F107" s="10">
        <f>'Thermal Treatment'!E14</f>
        <v>390.00000000000023</v>
      </c>
      <c r="G107" s="10">
        <f>'Thermal Treatment'!F14</f>
        <v>8000</v>
      </c>
      <c r="H107" s="10">
        <f>'Thermal Treatment'!G14</f>
        <v>875</v>
      </c>
      <c r="I107" s="10">
        <f>'Thermal Treatment'!H14</f>
        <v>3900</v>
      </c>
      <c r="J107" s="10">
        <f>'Thermal Treatment'!I14</f>
        <v>9981.2499999999964</v>
      </c>
      <c r="K107" s="10">
        <f>'Thermal Treatment'!J14</f>
        <v>27606.25</v>
      </c>
      <c r="L107" s="10" t="s">
        <v>513</v>
      </c>
      <c r="M107" s="11">
        <f t="shared" si="9"/>
        <v>102500</v>
      </c>
    </row>
    <row r="108" spans="1:13">
      <c r="A108" s="47" t="s">
        <v>1135</v>
      </c>
      <c r="B108" s="10"/>
      <c r="C108" s="10">
        <f>-'Thermal Treatment'!D36*'Thermal Treatment'!D37</f>
        <v>0</v>
      </c>
      <c r="D108" s="10">
        <f>-'Thermal Treatment'!E36*'Thermal Treatment'!E37</f>
        <v>0</v>
      </c>
      <c r="E108" s="10">
        <f>-'Thermal Treatment'!F36*'Thermal Treatment'!F37</f>
        <v>0</v>
      </c>
      <c r="F108" s="10">
        <f>-'Thermal Treatment'!G36*'Thermal Treatment'!G37</f>
        <v>0</v>
      </c>
      <c r="G108" s="10">
        <f>-'Thermal Treatment'!H36*'Thermal Treatment'!H37</f>
        <v>0</v>
      </c>
      <c r="H108" s="10">
        <f>-'Thermal Treatment'!I36*'Thermal Treatment'!I37</f>
        <v>0</v>
      </c>
      <c r="I108" s="10">
        <f>-'Thermal Treatment'!J36*'Thermal Treatment'!J37</f>
        <v>0</v>
      </c>
      <c r="J108" s="10">
        <f>-'Thermal Treatment'!K36*'Thermal Treatment'!K37</f>
        <v>0</v>
      </c>
      <c r="K108" s="10">
        <f>-'Thermal Treatment'!L36*'Thermal Treatment'!L37</f>
        <v>0</v>
      </c>
      <c r="L108" s="10">
        <f>-'Thermal Treatment'!M36*'Thermal Treatment'!M37</f>
        <v>0</v>
      </c>
      <c r="M108" s="11">
        <f t="shared" si="9"/>
        <v>0</v>
      </c>
    </row>
    <row r="109" spans="1:13">
      <c r="A109" s="47" t="s">
        <v>1130</v>
      </c>
      <c r="B109" s="10"/>
      <c r="C109" s="10">
        <f>-'Thermal Treatment'!D38*(1-'Thermal Treatment'!C71-'Thermal Treatment'!C72)</f>
        <v>-37570</v>
      </c>
      <c r="D109" s="10">
        <f>-'Thermal Treatment'!E38*(1-'Thermal Treatment'!D71-'Thermal Treatment'!D72)</f>
        <v>-279.64999999999969</v>
      </c>
      <c r="E109" s="10">
        <f>-'Thermal Treatment'!F38*(1-'Thermal Treatment'!E71-'Thermal Treatment'!E72)</f>
        <v>-605.92999999999995</v>
      </c>
      <c r="F109" s="10">
        <f>-'Thermal Treatment'!G38*(1-'Thermal Treatment'!F71-'Thermal Treatment'!F72)</f>
        <v>-26.519999999999996</v>
      </c>
      <c r="G109" s="10">
        <f>-'Thermal Treatment'!H38*(1-'Thermal Treatment'!G71-'Thermal Treatment'!G72)</f>
        <v>-7024</v>
      </c>
      <c r="H109" s="10">
        <f>-'Thermal Treatment'!I38*(1-'Thermal Treatment'!H71-'Thermal Treatment'!H72)</f>
        <v>-794.49999999999989</v>
      </c>
      <c r="I109" s="10">
        <f>-'Thermal Treatment'!J38*(1-'Thermal Treatment'!I71-'Thermal Treatment'!I72)</f>
        <v>-3482.7000000000003</v>
      </c>
      <c r="J109" s="10">
        <f>-'Thermal Treatment'!K38*(1-'Thermal Treatment'!J71-'Thermal Treatment'!J72)</f>
        <v>-8893.2937499999971</v>
      </c>
      <c r="K109" s="10">
        <f>-'Thermal Treatment'!L38*(1-'Thermal Treatment'!K71-'Thermal Treatment'!K72)</f>
        <v>-15128.225</v>
      </c>
      <c r="L109" s="10">
        <f>-'Thermal Treatment'!M38*(1-'Thermal Treatment'!L71-'Thermal Treatment'!L72)</f>
        <v>0</v>
      </c>
      <c r="M109" s="11">
        <f t="shared" si="9"/>
        <v>-73804.818749999991</v>
      </c>
    </row>
    <row r="110" spans="1:13">
      <c r="A110" s="47" t="s">
        <v>1131</v>
      </c>
      <c r="B110" s="10"/>
      <c r="C110" s="10" t="s">
        <v>513</v>
      </c>
      <c r="D110" s="10" t="s">
        <v>513</v>
      </c>
      <c r="E110" s="54">
        <f>-'Thermal Treatment'!F38*'Thermal Treatment'!E72*'Thermal Treatment'!E80</f>
        <v>-3928.2750000000001</v>
      </c>
      <c r="F110" s="10" t="s">
        <v>513</v>
      </c>
      <c r="G110" s="10" t="s">
        <v>513</v>
      </c>
      <c r="H110" s="10" t="s">
        <v>513</v>
      </c>
      <c r="I110" s="10" t="s">
        <v>513</v>
      </c>
      <c r="J110" s="10" t="s">
        <v>513</v>
      </c>
      <c r="K110" s="10" t="s">
        <v>513</v>
      </c>
      <c r="L110" s="10" t="s">
        <v>513</v>
      </c>
      <c r="M110" s="11">
        <f t="shared" si="9"/>
        <v>-3928.2750000000001</v>
      </c>
    </row>
    <row r="111" spans="1:13">
      <c r="A111" s="47" t="s">
        <v>1132</v>
      </c>
      <c r="B111" s="10"/>
      <c r="C111" s="10">
        <f>-'Thermal Treatment'!D38*'Thermal Treatment'!C72*'Thermal Treatment'!$E$81</f>
        <v>0</v>
      </c>
      <c r="D111" s="10">
        <f>-'Thermal Treatment'!E38*'Thermal Treatment'!D72*'Thermal Treatment'!$E$81</f>
        <v>0</v>
      </c>
      <c r="E111" s="10">
        <f>-'Thermal Treatment'!F38*'Thermal Treatment'!E72*'Thermal Treatment'!$E$81</f>
        <v>0</v>
      </c>
      <c r="F111" s="10">
        <f>-'Thermal Treatment'!G38*'Thermal Treatment'!F72*'Thermal Treatment'!$E$81</f>
        <v>0</v>
      </c>
      <c r="G111" s="10">
        <f>-'Thermal Treatment'!H38*'Thermal Treatment'!G72*'Thermal Treatment'!$E$81</f>
        <v>0</v>
      </c>
      <c r="H111" s="10">
        <f>-'Thermal Treatment'!I38*'Thermal Treatment'!H72*'Thermal Treatment'!$E$81</f>
        <v>0</v>
      </c>
      <c r="I111" s="10">
        <f>-'Thermal Treatment'!J38*'Thermal Treatment'!I72*'Thermal Treatment'!$E$81</f>
        <v>0</v>
      </c>
      <c r="J111" s="10">
        <f>-'Thermal Treatment'!K38*'Thermal Treatment'!J72*'Thermal Treatment'!$E$81</f>
        <v>0</v>
      </c>
      <c r="K111" s="10">
        <f>-'Thermal Treatment'!L38*'Thermal Treatment'!K72*'Thermal Treatment'!$E$81</f>
        <v>0</v>
      </c>
      <c r="L111" s="10">
        <f>-'Thermal Treatment'!M38*'Thermal Treatment'!L72*'Thermal Treatment'!$E$81</f>
        <v>0</v>
      </c>
      <c r="M111" s="11">
        <f t="shared" si="9"/>
        <v>0</v>
      </c>
    </row>
    <row r="112" spans="1:13">
      <c r="A112" s="47" t="s">
        <v>1133</v>
      </c>
      <c r="B112" s="10"/>
      <c r="C112" s="10">
        <f>-'Thermal Treatment'!D38*'Thermal Treatment'!C72*(1-'Thermal Treatment'!$E$81)</f>
        <v>-3570</v>
      </c>
      <c r="D112" s="10">
        <f>-'Thermal Treatment'!E38*'Thermal Treatment'!D72*(1-'Thermal Treatment'!$E$81)</f>
        <v>-3701.2499999999986</v>
      </c>
      <c r="E112" s="10">
        <f>-'Thermal Treatment'!F38*'Thermal Treatment'!E72*(1-'Thermal Treatment'!$E$80)*(1-'Thermal Treatment'!$E$81)</f>
        <v>-436.47499999999991</v>
      </c>
      <c r="F112" s="10">
        <f>-'Thermal Treatment'!G38*'Thermal Treatment'!F72*(1-'Thermal Treatment'!$E$81)</f>
        <v>-351.00000000000023</v>
      </c>
      <c r="G112" s="10">
        <f>-'Thermal Treatment'!H38*'Thermal Treatment'!G72*(1-'Thermal Treatment'!$E$81)</f>
        <v>-720</v>
      </c>
      <c r="H112" s="10">
        <f>-'Thermal Treatment'!I38*'Thermal Treatment'!H72*(1-'Thermal Treatment'!$E$81)</f>
        <v>-52.5</v>
      </c>
      <c r="I112" s="10">
        <f>-'Thermal Treatment'!J38*'Thermal Treatment'!I72*(1-'Thermal Treatment'!$E$81)</f>
        <v>-292.5</v>
      </c>
      <c r="J112" s="10">
        <f>-'Thermal Treatment'!K38*'Thermal Treatment'!J72*(1-'Thermal Treatment'!$E$81)</f>
        <v>-768.55624999999975</v>
      </c>
      <c r="K112" s="10">
        <f>-'Thermal Treatment'!L38*'Thermal Treatment'!K72*(1-'Thermal Treatment'!$E$81)</f>
        <v>-11594.625</v>
      </c>
      <c r="L112" s="10">
        <f>-'Thermal Treatment'!M38*'Thermal Treatment'!L72*(1-'Thermal Treatment'!$E$81)</f>
        <v>0</v>
      </c>
      <c r="M112" s="11">
        <f t="shared" si="9"/>
        <v>-21486.90625</v>
      </c>
    </row>
    <row r="113" spans="1:15">
      <c r="A113" s="47" t="s">
        <v>1134</v>
      </c>
      <c r="B113" s="10"/>
      <c r="C113" s="10">
        <f>-'Thermal Treatment'!D38*'Thermal Treatment'!C71</f>
        <v>-1360</v>
      </c>
      <c r="D113" s="10">
        <f>-'Thermal Treatment'!E38*'Thermal Treatment'!D71</f>
        <v>-131.59999999999994</v>
      </c>
      <c r="E113" s="10">
        <f>-'Thermal Treatment'!F38*'Thermal Treatment'!E71</f>
        <v>-164.32</v>
      </c>
      <c r="F113" s="10">
        <f>-'Thermal Treatment'!G38*'Thermal Treatment'!F71</f>
        <v>-12.480000000000008</v>
      </c>
      <c r="G113" s="10">
        <f>-'Thermal Treatment'!H38*'Thermal Treatment'!G71</f>
        <v>-256</v>
      </c>
      <c r="H113" s="10">
        <f>-'Thermal Treatment'!I38*'Thermal Treatment'!H71</f>
        <v>-28</v>
      </c>
      <c r="I113" s="10">
        <f>-'Thermal Treatment'!J38*'Thermal Treatment'!I71</f>
        <v>-124.8</v>
      </c>
      <c r="J113" s="10">
        <f>-'Thermal Treatment'!K38*'Thermal Treatment'!J71</f>
        <v>-319.39999999999986</v>
      </c>
      <c r="K113" s="10">
        <f>-'Thermal Treatment'!L38*'Thermal Treatment'!K71</f>
        <v>-883.4</v>
      </c>
      <c r="L113" s="10">
        <f>-'Thermal Treatment'!M38*'Thermal Treatment'!L71</f>
        <v>0</v>
      </c>
      <c r="M113" s="11">
        <f t="shared" si="9"/>
        <v>-3279.9999999999995</v>
      </c>
    </row>
    <row r="114" spans="1:15">
      <c r="A114" s="47" t="s">
        <v>1136</v>
      </c>
      <c r="B114" s="10"/>
      <c r="C114" s="10">
        <f>-'Thermal Treatment'!D106*'Thermal Treatment'!D107</f>
        <v>0</v>
      </c>
      <c r="D114" s="10">
        <f>-'Thermal Treatment'!E106*'Thermal Treatment'!E107</f>
        <v>0</v>
      </c>
      <c r="E114" s="10">
        <f>-'Thermal Treatment'!F106*'Thermal Treatment'!F107</f>
        <v>0</v>
      </c>
      <c r="F114" s="10">
        <f>-'Thermal Treatment'!G106*'Thermal Treatment'!G107</f>
        <v>0</v>
      </c>
      <c r="G114" s="10">
        <f>-'Thermal Treatment'!H106*'Thermal Treatment'!H107</f>
        <v>0</v>
      </c>
      <c r="H114" s="10">
        <f>-'Thermal Treatment'!I106*'Thermal Treatment'!I107</f>
        <v>0</v>
      </c>
      <c r="I114" s="10">
        <f>-'Thermal Treatment'!J106*'Thermal Treatment'!J107</f>
        <v>0</v>
      </c>
      <c r="J114" s="10">
        <f>-'Thermal Treatment'!K106*'Thermal Treatment'!K107</f>
        <v>0</v>
      </c>
      <c r="K114" s="10">
        <f>-'Thermal Treatment'!L106*'Thermal Treatment'!L107</f>
        <v>0</v>
      </c>
      <c r="L114" s="10">
        <f>-'Thermal Treatment'!M106*'Thermal Treatment'!M107</f>
        <v>0</v>
      </c>
      <c r="M114" s="11">
        <f t="shared" si="9"/>
        <v>0</v>
      </c>
    </row>
    <row r="115" spans="1:15">
      <c r="A115" s="47" t="s">
        <v>1137</v>
      </c>
      <c r="B115" s="10"/>
      <c r="C115" s="10">
        <f>-'Thermal Treatment'!D108*(1-'Thermal Treatment'!C141-'Thermal Treatment'!C142)</f>
        <v>0</v>
      </c>
      <c r="D115" s="10">
        <f>-'Thermal Treatment'!E108*(1-'Thermal Treatment'!D141-'Thermal Treatment'!D142)</f>
        <v>0</v>
      </c>
      <c r="E115" s="10">
        <f>-'Thermal Treatment'!F108*(1-'Thermal Treatment'!E141-'Thermal Treatment'!E142)</f>
        <v>0</v>
      </c>
      <c r="F115" s="10">
        <f>-'Thermal Treatment'!G108*(1-'Thermal Treatment'!F141-'Thermal Treatment'!F142)</f>
        <v>0</v>
      </c>
      <c r="G115" s="10">
        <f>-'Thermal Treatment'!H108*(1-'Thermal Treatment'!G141-'Thermal Treatment'!G142)</f>
        <v>0</v>
      </c>
      <c r="H115" s="10">
        <f>-'Thermal Treatment'!I108*(1-'Thermal Treatment'!H141-'Thermal Treatment'!H142)</f>
        <v>0</v>
      </c>
      <c r="I115" s="10">
        <f>-'Thermal Treatment'!J108*(1-'Thermal Treatment'!I141-'Thermal Treatment'!I142)</f>
        <v>0</v>
      </c>
      <c r="J115" s="10">
        <f>-'Thermal Treatment'!K108*(1-'Thermal Treatment'!J141-'Thermal Treatment'!J142)</f>
        <v>0</v>
      </c>
      <c r="K115" s="10">
        <f>-'Thermal Treatment'!L108*(1-'Thermal Treatment'!K141-'Thermal Treatment'!K142)</f>
        <v>0</v>
      </c>
      <c r="L115" s="10">
        <f>-'Thermal Treatment'!M108*(1-'Thermal Treatment'!L141-'Thermal Treatment'!L142)</f>
        <v>0</v>
      </c>
      <c r="M115" s="11">
        <f t="shared" si="9"/>
        <v>0</v>
      </c>
    </row>
    <row r="116" spans="1:15">
      <c r="A116" s="47" t="s">
        <v>1138</v>
      </c>
      <c r="B116" s="10"/>
      <c r="C116" s="10" t="s">
        <v>513</v>
      </c>
      <c r="D116" s="10" t="s">
        <v>513</v>
      </c>
      <c r="E116" s="10">
        <f>-'Thermal Treatment'!F108*'Thermal Treatment'!E142*'Thermal Treatment'!$E$150</f>
        <v>0</v>
      </c>
      <c r="F116" s="10" t="s">
        <v>513</v>
      </c>
      <c r="G116" s="10" t="s">
        <v>513</v>
      </c>
      <c r="H116" s="10" t="s">
        <v>513</v>
      </c>
      <c r="I116" s="10" t="s">
        <v>513</v>
      </c>
      <c r="J116" s="10" t="s">
        <v>513</v>
      </c>
      <c r="K116" s="10" t="s">
        <v>513</v>
      </c>
      <c r="L116" s="10" t="s">
        <v>513</v>
      </c>
      <c r="M116" s="11">
        <f t="shared" si="9"/>
        <v>0</v>
      </c>
    </row>
    <row r="117" spans="1:15">
      <c r="A117" s="47" t="s">
        <v>1139</v>
      </c>
      <c r="B117" s="10"/>
      <c r="C117" s="10">
        <f>-'Thermal Treatment'!D108*'Thermal Treatment'!C142*'Thermal Treatment'!$E$151</f>
        <v>0</v>
      </c>
      <c r="D117" s="10">
        <f>-'Thermal Treatment'!E108*'Thermal Treatment'!D142*'Thermal Treatment'!$E$151</f>
        <v>0</v>
      </c>
      <c r="E117" s="10">
        <f>-'Thermal Treatment'!F108*'Thermal Treatment'!E142*'Thermal Treatment'!$E$151</f>
        <v>0</v>
      </c>
      <c r="F117" s="10">
        <f>-'Thermal Treatment'!G108*'Thermal Treatment'!F142*'Thermal Treatment'!$E$151</f>
        <v>0</v>
      </c>
      <c r="G117" s="10">
        <f>-'Thermal Treatment'!H108*'Thermal Treatment'!G142*'Thermal Treatment'!$E$151</f>
        <v>0</v>
      </c>
      <c r="H117" s="10">
        <f>-'Thermal Treatment'!I108*'Thermal Treatment'!H142*'Thermal Treatment'!$E$151</f>
        <v>0</v>
      </c>
      <c r="I117" s="10">
        <f>-'Thermal Treatment'!J108*'Thermal Treatment'!I142*'Thermal Treatment'!$E$151</f>
        <v>0</v>
      </c>
      <c r="J117" s="10">
        <f>-'Thermal Treatment'!K108*'Thermal Treatment'!J142*'Thermal Treatment'!$E$151</f>
        <v>0</v>
      </c>
      <c r="K117" s="10">
        <f>-'Thermal Treatment'!L108*'Thermal Treatment'!K142*'Thermal Treatment'!$E$151</f>
        <v>0</v>
      </c>
      <c r="L117" s="10">
        <f>-'Thermal Treatment'!M108*'Thermal Treatment'!L142*'Thermal Treatment'!$E$151</f>
        <v>0</v>
      </c>
      <c r="M117" s="11">
        <f t="shared" si="9"/>
        <v>0</v>
      </c>
    </row>
    <row r="118" spans="1:15">
      <c r="A118" s="47" t="s">
        <v>1140</v>
      </c>
      <c r="B118" s="10"/>
      <c r="C118" s="10">
        <f>-'Thermal Treatment'!D108*'Thermal Treatment'!C142*(1-'Thermal Treatment'!$E$151)</f>
        <v>0</v>
      </c>
      <c r="D118" s="10">
        <f>-'Thermal Treatment'!E108*'Thermal Treatment'!D142*(1-'Thermal Treatment'!$E$151)</f>
        <v>0</v>
      </c>
      <c r="E118" s="10">
        <f>-'Thermal Treatment'!F108*'Thermal Treatment'!E142*(1-'Thermal Treatment'!E150)*(1-'Thermal Treatment'!$E$151)</f>
        <v>0</v>
      </c>
      <c r="F118" s="10">
        <f>-'Thermal Treatment'!G108*'Thermal Treatment'!F142*(1-'Thermal Treatment'!$E$151)</f>
        <v>0</v>
      </c>
      <c r="G118" s="10">
        <f>-'Thermal Treatment'!H108*'Thermal Treatment'!G142*(1-'Thermal Treatment'!$E$151)</f>
        <v>0</v>
      </c>
      <c r="H118" s="10">
        <f>-'Thermal Treatment'!I108*'Thermal Treatment'!H142*(1-'Thermal Treatment'!$E$151)</f>
        <v>0</v>
      </c>
      <c r="I118" s="10">
        <f>-'Thermal Treatment'!J108*'Thermal Treatment'!I142*(1-'Thermal Treatment'!$E$151)</f>
        <v>0</v>
      </c>
      <c r="J118" s="10">
        <f>-'Thermal Treatment'!K108*'Thermal Treatment'!J142*(1-'Thermal Treatment'!$E$151)</f>
        <v>0</v>
      </c>
      <c r="K118" s="10">
        <f>-'Thermal Treatment'!L108*'Thermal Treatment'!K142*(1-'Thermal Treatment'!$E$151)</f>
        <v>0</v>
      </c>
      <c r="L118" s="10">
        <f>-'Thermal Treatment'!M108*'Thermal Treatment'!L142*(1-'Thermal Treatment'!$E$151)</f>
        <v>0</v>
      </c>
      <c r="M118" s="11">
        <f t="shared" si="9"/>
        <v>0</v>
      </c>
    </row>
    <row r="119" spans="1:15" ht="15.75" thickBot="1">
      <c r="A119" s="88" t="s">
        <v>1141</v>
      </c>
      <c r="B119" s="13"/>
      <c r="C119" s="13">
        <f>-'Thermal Treatment'!D108*'Thermal Treatment'!C141</f>
        <v>0</v>
      </c>
      <c r="D119" s="13">
        <f>-'Thermal Treatment'!E108*'Thermal Treatment'!D141</f>
        <v>0</v>
      </c>
      <c r="E119" s="13">
        <f>-'Thermal Treatment'!F108*'Thermal Treatment'!E141</f>
        <v>0</v>
      </c>
      <c r="F119" s="13">
        <f>-'Thermal Treatment'!G108*'Thermal Treatment'!F141</f>
        <v>0</v>
      </c>
      <c r="G119" s="13">
        <f>-'Thermal Treatment'!H108*'Thermal Treatment'!G141</f>
        <v>0</v>
      </c>
      <c r="H119" s="13">
        <f>-'Thermal Treatment'!I108*'Thermal Treatment'!H141</f>
        <v>0</v>
      </c>
      <c r="I119" s="13">
        <f>-'Thermal Treatment'!J108*'Thermal Treatment'!I141</f>
        <v>0</v>
      </c>
      <c r="J119" s="13">
        <f>-'Thermal Treatment'!K108*'Thermal Treatment'!J141</f>
        <v>0</v>
      </c>
      <c r="K119" s="13">
        <f>-'Thermal Treatment'!L108*'Thermal Treatment'!K141</f>
        <v>0</v>
      </c>
      <c r="L119" s="13">
        <f>-'Thermal Treatment'!M108*'Thermal Treatment'!L141</f>
        <v>0</v>
      </c>
      <c r="M119" s="14">
        <f t="shared" si="9"/>
        <v>0</v>
      </c>
    </row>
    <row r="121" spans="1:15" ht="15.75" thickBot="1">
      <c r="A121" s="62" t="s">
        <v>79</v>
      </c>
    </row>
    <row r="122" spans="1:15">
      <c r="A122" s="93" t="s">
        <v>1089</v>
      </c>
      <c r="B122" s="7"/>
      <c r="C122" s="78" t="s">
        <v>4</v>
      </c>
      <c r="D122" s="78" t="s">
        <v>5</v>
      </c>
      <c r="E122" s="78" t="s">
        <v>29</v>
      </c>
      <c r="F122" s="78" t="s">
        <v>30</v>
      </c>
      <c r="G122" s="78" t="s">
        <v>31</v>
      </c>
      <c r="H122" s="78" t="s">
        <v>32</v>
      </c>
      <c r="I122" s="78" t="s">
        <v>8</v>
      </c>
      <c r="J122" s="78" t="s">
        <v>9</v>
      </c>
      <c r="K122" s="78" t="s">
        <v>10</v>
      </c>
      <c r="L122" s="96" t="s">
        <v>264</v>
      </c>
      <c r="M122" s="96" t="s">
        <v>359</v>
      </c>
      <c r="N122" s="96" t="s">
        <v>803</v>
      </c>
      <c r="O122" s="97" t="s">
        <v>11</v>
      </c>
    </row>
    <row r="123" spans="1:15">
      <c r="A123" s="9" t="s">
        <v>1061</v>
      </c>
      <c r="B123" s="10"/>
      <c r="C123" s="10" t="s">
        <v>513</v>
      </c>
      <c r="D123" s="10">
        <f>'Waste Input'!$B$8*'Waste Input'!B27/1000*(1-'Waste Collection'!E73)*'Waste Collection'!$F$77</f>
        <v>1250</v>
      </c>
      <c r="E123" s="10">
        <f>'Waste Input'!$B$8*'Waste Input'!C27/1000*(1-'Waste Collection'!F73)*'Waste Collection'!$F$77</f>
        <v>2500</v>
      </c>
      <c r="F123" s="10">
        <f>'Waste Input'!$B$8*'Waste Input'!D27/1000*(1-'Waste Collection'!G73)*'Waste Collection'!$F$77</f>
        <v>1250</v>
      </c>
      <c r="G123" s="10">
        <f>'Waste Input'!$B$8*'Waste Input'!E27/1000*(1-'Waste Collection'!H73)*'Waste Collection'!$F$77</f>
        <v>250</v>
      </c>
      <c r="H123" s="10">
        <f>'Waste Input'!$B$8*'Waste Input'!F27/1000*(1-'Waste Collection'!I73)*'Waste Collection'!$F$77</f>
        <v>250</v>
      </c>
      <c r="I123" s="10" t="s">
        <v>513</v>
      </c>
      <c r="J123" s="10" t="s">
        <v>513</v>
      </c>
      <c r="K123" s="10">
        <f>'Waste Input'!$B$8*'Waste Input'!B30/1000*(1-'Waste Collection'!J73)*'Waste Collection'!$F$77</f>
        <v>0</v>
      </c>
      <c r="L123" s="10" t="s">
        <v>513</v>
      </c>
      <c r="M123" s="10" t="s">
        <v>513</v>
      </c>
      <c r="N123" s="10" t="s">
        <v>513</v>
      </c>
      <c r="O123" s="11">
        <f>SUM(C123:N123)</f>
        <v>5500</v>
      </c>
    </row>
    <row r="124" spans="1:15">
      <c r="A124" s="47" t="s">
        <v>1125</v>
      </c>
      <c r="B124" s="10"/>
      <c r="C124" s="10">
        <f>-C35</f>
        <v>3562.5</v>
      </c>
      <c r="D124" s="10">
        <f t="shared" ref="D124:J124" si="12">-D35</f>
        <v>1781.25</v>
      </c>
      <c r="E124" s="10">
        <f t="shared" si="12"/>
        <v>712.5</v>
      </c>
      <c r="F124" s="10">
        <f t="shared" si="12"/>
        <v>0</v>
      </c>
      <c r="G124" s="10">
        <f t="shared" si="12"/>
        <v>0</v>
      </c>
      <c r="H124" s="10">
        <f t="shared" si="12"/>
        <v>712.5</v>
      </c>
      <c r="I124" s="10">
        <f t="shared" si="12"/>
        <v>0</v>
      </c>
      <c r="J124" s="10">
        <f t="shared" si="12"/>
        <v>593.75</v>
      </c>
      <c r="K124" s="10">
        <f>-K35</f>
        <v>593.75</v>
      </c>
      <c r="L124" s="10" t="s">
        <v>513</v>
      </c>
      <c r="M124" s="10" t="s">
        <v>513</v>
      </c>
      <c r="N124" s="10" t="s">
        <v>513</v>
      </c>
      <c r="O124" s="11">
        <f t="shared" ref="O124:O143" si="13">SUM(C124:N124)</f>
        <v>7956.25</v>
      </c>
    </row>
    <row r="125" spans="1:15">
      <c r="A125" s="47" t="s">
        <v>1142</v>
      </c>
      <c r="B125" s="10"/>
      <c r="C125" s="10">
        <f>C61*(1-'MRF &amp; RDF Sorting'!$F$54)</f>
        <v>0</v>
      </c>
      <c r="D125" s="10">
        <f>D61*(1-'MRF &amp; RDF Sorting'!$F$54)</f>
        <v>0</v>
      </c>
      <c r="E125" s="10">
        <f>E61*(1-'MRF &amp; RDF Sorting'!$F$54)</f>
        <v>0</v>
      </c>
      <c r="F125" s="10">
        <f>F61*(1-'MRF &amp; RDF Sorting'!$F$54)</f>
        <v>0</v>
      </c>
      <c r="G125" s="10">
        <f>G61*(1-'MRF &amp; RDF Sorting'!$F$54)</f>
        <v>0</v>
      </c>
      <c r="H125" s="10">
        <f>H61*(1-'MRF &amp; RDF Sorting'!$F$54)</f>
        <v>0</v>
      </c>
      <c r="I125" s="10">
        <f>I61*(1-'MRF &amp; RDF Sorting'!$F$54)</f>
        <v>0</v>
      </c>
      <c r="J125" s="10">
        <f>J61*(1-'MRF &amp; RDF Sorting'!$F$54)</f>
        <v>0</v>
      </c>
      <c r="K125" s="10">
        <f>K61*(1-'MRF &amp; RDF Sorting'!$F$54)</f>
        <v>0</v>
      </c>
      <c r="L125" s="10" t="s">
        <v>513</v>
      </c>
      <c r="M125" s="10" t="s">
        <v>513</v>
      </c>
      <c r="N125" s="10" t="s">
        <v>513</v>
      </c>
      <c r="O125" s="11">
        <f t="shared" si="13"/>
        <v>0</v>
      </c>
    </row>
    <row r="126" spans="1:15">
      <c r="A126" s="47" t="s">
        <v>1108</v>
      </c>
      <c r="B126" s="10"/>
      <c r="C126" s="10">
        <f>-C52*(1-'MRF &amp; RDF Sorting'!$D$82)</f>
        <v>0</v>
      </c>
      <c r="D126" s="10">
        <f>-D52*(1-'MRF &amp; RDF Sorting'!$D$82)</f>
        <v>0</v>
      </c>
      <c r="E126" s="10">
        <f>-E52*(1-'MRF &amp; RDF Sorting'!$D$82)</f>
        <v>0</v>
      </c>
      <c r="F126" s="10">
        <f>-F52*(1-'MRF &amp; RDF Sorting'!$D$82)</f>
        <v>0</v>
      </c>
      <c r="G126" s="10">
        <f>-G52*(1-'MRF &amp; RDF Sorting'!$D$82)</f>
        <v>0</v>
      </c>
      <c r="H126" s="10">
        <f>-H52*(1-'MRF &amp; RDF Sorting'!$D$82)</f>
        <v>0</v>
      </c>
      <c r="I126" s="10">
        <f>-I52*(1-'MRF &amp; RDF Sorting'!$D$82)</f>
        <v>0</v>
      </c>
      <c r="J126" s="10">
        <f>-J52*(1-'MRF &amp; RDF Sorting'!$D$82)</f>
        <v>0</v>
      </c>
      <c r="K126" s="10">
        <f>-K52*(1-'MRF &amp; RDF Sorting'!$D$82)</f>
        <v>0</v>
      </c>
      <c r="L126" s="10" t="s">
        <v>513</v>
      </c>
      <c r="M126" s="10" t="s">
        <v>513</v>
      </c>
      <c r="N126" s="10" t="s">
        <v>513</v>
      </c>
      <c r="O126" s="11">
        <f t="shared" si="13"/>
        <v>0</v>
      </c>
    </row>
    <row r="127" spans="1:15">
      <c r="A127" s="47" t="s">
        <v>1143</v>
      </c>
      <c r="B127" s="10"/>
      <c r="C127" s="10">
        <f>(C47+C48)*'MRF &amp; RDF Sorting'!B62</f>
        <v>0</v>
      </c>
      <c r="D127" s="10">
        <f>(D47+D48)*'MRF &amp; RDF Sorting'!C62</f>
        <v>0</v>
      </c>
      <c r="E127" s="10">
        <f>(E47+E48)*'MRF &amp; RDF Sorting'!D62</f>
        <v>0</v>
      </c>
      <c r="F127" s="10">
        <f>(F47+F48)*'MRF &amp; RDF Sorting'!E62</f>
        <v>0</v>
      </c>
      <c r="G127" s="10">
        <f>(G47+G48)*'MRF &amp; RDF Sorting'!F62</f>
        <v>0</v>
      </c>
      <c r="H127" s="10">
        <f>(H47+H48)*'MRF &amp; RDF Sorting'!G62</f>
        <v>0</v>
      </c>
      <c r="I127" s="10">
        <f>(I47+I48)*'MRF &amp; RDF Sorting'!H62</f>
        <v>0</v>
      </c>
      <c r="J127" s="10">
        <f>(J47+J48)*'MRF &amp; RDF Sorting'!I62</f>
        <v>0</v>
      </c>
      <c r="K127" s="10">
        <f>(K47+K48)*'MRF &amp; RDF Sorting'!J62</f>
        <v>0</v>
      </c>
      <c r="L127" s="10" t="s">
        <v>513</v>
      </c>
      <c r="M127" s="10" t="s">
        <v>513</v>
      </c>
      <c r="N127" s="10" t="s">
        <v>513</v>
      </c>
      <c r="O127" s="11">
        <f t="shared" si="13"/>
        <v>0</v>
      </c>
    </row>
    <row r="128" spans="1:15">
      <c r="A128" s="47" t="s">
        <v>1144</v>
      </c>
      <c r="B128" s="10"/>
      <c r="C128" s="10">
        <f>-C61*(1-'MRF &amp; RDF Sorting'!$F$113)</f>
        <v>0</v>
      </c>
      <c r="D128" s="10">
        <f>-D61*(1-'MRF &amp; RDF Sorting'!$F$113)</f>
        <v>0</v>
      </c>
      <c r="E128" s="10">
        <f>-E61*(1-'MRF &amp; RDF Sorting'!$F$113)</f>
        <v>0</v>
      </c>
      <c r="F128" s="10">
        <f>-F61*(1-'MRF &amp; RDF Sorting'!$F$113)</f>
        <v>0</v>
      </c>
      <c r="G128" s="10">
        <f>-G61*(1-'MRF &amp; RDF Sorting'!$F$113)</f>
        <v>0</v>
      </c>
      <c r="H128" s="10">
        <f>-H61*(1-'MRF &amp; RDF Sorting'!$F$113)</f>
        <v>0</v>
      </c>
      <c r="I128" s="10">
        <f>-I61*(1-'MRF &amp; RDF Sorting'!$F$113)</f>
        <v>0</v>
      </c>
      <c r="J128" s="10">
        <f>-J61*(1-'MRF &amp; RDF Sorting'!$F$113)</f>
        <v>0</v>
      </c>
      <c r="K128" s="10">
        <f>-K61*(1-'MRF &amp; RDF Sorting'!$F$113)</f>
        <v>0</v>
      </c>
      <c r="L128" s="10" t="s">
        <v>513</v>
      </c>
      <c r="M128" s="10" t="s">
        <v>513</v>
      </c>
      <c r="N128" s="10" t="s">
        <v>513</v>
      </c>
      <c r="O128" s="11">
        <f t="shared" si="13"/>
        <v>0</v>
      </c>
    </row>
    <row r="129" spans="1:17">
      <c r="A129" s="47" t="s">
        <v>1109</v>
      </c>
      <c r="B129" s="10"/>
      <c r="C129" s="10">
        <f>-C66*(1-'MRF &amp; RDF Sorting'!$D$143)</f>
        <v>0</v>
      </c>
      <c r="D129" s="10">
        <f>-D66*(1-'MRF &amp; RDF Sorting'!$D$143)</f>
        <v>0</v>
      </c>
      <c r="E129" s="10">
        <f>-E66*(1-'MRF &amp; RDF Sorting'!$D$143)</f>
        <v>0</v>
      </c>
      <c r="F129" s="10">
        <f>-F66*(1-'MRF &amp; RDF Sorting'!$D$143)</f>
        <v>0</v>
      </c>
      <c r="G129" s="10">
        <f>-G66*(1-'MRF &amp; RDF Sorting'!$D$143)</f>
        <v>0</v>
      </c>
      <c r="H129" s="10">
        <f>-H66*(1-'MRF &amp; RDF Sorting'!$D$143)</f>
        <v>0</v>
      </c>
      <c r="I129" s="10">
        <f>-I66*(1-'MRF &amp; RDF Sorting'!$D$143)</f>
        <v>0</v>
      </c>
      <c r="J129" s="10">
        <f>-J66*(1-'MRF &amp; RDF Sorting'!$D$143)</f>
        <v>0</v>
      </c>
      <c r="K129" s="10">
        <f>-K66*(1-'MRF &amp; RDF Sorting'!$D$143)</f>
        <v>0</v>
      </c>
      <c r="L129" s="10" t="s">
        <v>513</v>
      </c>
      <c r="M129" s="10" t="s">
        <v>513</v>
      </c>
      <c r="N129" s="10" t="s">
        <v>513</v>
      </c>
      <c r="O129" s="11">
        <f t="shared" si="13"/>
        <v>0</v>
      </c>
    </row>
    <row r="130" spans="1:17">
      <c r="A130" s="47" t="s">
        <v>1145</v>
      </c>
      <c r="B130" s="10"/>
      <c r="C130" s="10">
        <f>(C61+C62)*'MRF &amp; RDF Sorting'!B121</f>
        <v>0</v>
      </c>
      <c r="D130" s="10">
        <f>(D61+D62)*'MRF &amp; RDF Sorting'!C121</f>
        <v>0</v>
      </c>
      <c r="E130" s="10">
        <f>(E61+E62)*'MRF &amp; RDF Sorting'!D121</f>
        <v>0</v>
      </c>
      <c r="F130" s="10">
        <f>(F61+F62)*'MRF &amp; RDF Sorting'!E121</f>
        <v>0</v>
      </c>
      <c r="G130" s="10">
        <f>(G61+G62)*'MRF &amp; RDF Sorting'!F121</f>
        <v>0</v>
      </c>
      <c r="H130" s="10">
        <f>(H61+H62)*'MRF &amp; RDF Sorting'!G121</f>
        <v>0</v>
      </c>
      <c r="I130" s="10">
        <f>(I61+I62)*'MRF &amp; RDF Sorting'!H121</f>
        <v>0</v>
      </c>
      <c r="J130" s="10">
        <f>(J61+J62)*'MRF &amp; RDF Sorting'!I121</f>
        <v>0</v>
      </c>
      <c r="K130" s="10">
        <f>(K61+K62)*'MRF &amp; RDF Sorting'!J121</f>
        <v>0</v>
      </c>
      <c r="L130" s="10" t="s">
        <v>513</v>
      </c>
      <c r="M130" s="10" t="s">
        <v>513</v>
      </c>
      <c r="N130" s="10" t="s">
        <v>513</v>
      </c>
      <c r="O130" s="11">
        <f t="shared" si="13"/>
        <v>0</v>
      </c>
    </row>
    <row r="131" spans="1:17">
      <c r="A131" s="47" t="s">
        <v>1126</v>
      </c>
      <c r="B131" s="10"/>
      <c r="C131" s="10">
        <f>'Biological Treatment'!C41*'Biological Treatment'!C43*'Biological Treatment'!$E$66</f>
        <v>106.875</v>
      </c>
      <c r="D131" s="10">
        <f>'Biological Treatment'!D41*'Biological Treatment'!D43*'Biological Treatment'!$E$66</f>
        <v>0</v>
      </c>
      <c r="E131" s="10">
        <f>'Biological Treatment'!E41*'Biological Treatment'!E43*'Biological Treatment'!$E$66</f>
        <v>0</v>
      </c>
      <c r="F131" s="10">
        <f>'Biological Treatment'!F41*'Biological Treatment'!F43*'Biological Treatment'!$E$66</f>
        <v>0</v>
      </c>
      <c r="G131" s="10">
        <f>'Biological Treatment'!G41*'Biological Treatment'!G43*'Biological Treatment'!$E$66</f>
        <v>750</v>
      </c>
      <c r="H131" s="10">
        <f>'Biological Treatment'!H41*'Biological Treatment'!H43*'Biological Treatment'!$E$66</f>
        <v>750</v>
      </c>
      <c r="I131" s="10">
        <f>'Biological Treatment'!I41*'Biological Treatment'!I43*'Biological Treatment'!$E$66</f>
        <v>0</v>
      </c>
      <c r="J131" s="10">
        <f>'Biological Treatment'!J41*'Biological Treatment'!J43*'Biological Treatment'!$E$66</f>
        <v>605.625</v>
      </c>
      <c r="K131" s="10">
        <f>'Biological Treatment'!K41*'Biological Treatment'!K43*'Biological Treatment'!$E$66</f>
        <v>0</v>
      </c>
      <c r="L131" s="10" t="s">
        <v>513</v>
      </c>
      <c r="M131" s="10" t="s">
        <v>513</v>
      </c>
      <c r="N131" s="10" t="s">
        <v>513</v>
      </c>
      <c r="O131" s="11">
        <f t="shared" si="13"/>
        <v>2212.5</v>
      </c>
    </row>
    <row r="132" spans="1:17">
      <c r="A132" s="47" t="s">
        <v>1127</v>
      </c>
      <c r="B132" s="10"/>
      <c r="C132" s="10" t="s">
        <v>513</v>
      </c>
      <c r="D132" s="10" t="s">
        <v>513</v>
      </c>
      <c r="E132" s="10" t="s">
        <v>513</v>
      </c>
      <c r="F132" s="10" t="s">
        <v>513</v>
      </c>
      <c r="G132" s="10" t="s">
        <v>513</v>
      </c>
      <c r="H132" s="10" t="s">
        <v>513</v>
      </c>
      <c r="I132" s="10" t="s">
        <v>513</v>
      </c>
      <c r="J132" s="10" t="s">
        <v>513</v>
      </c>
      <c r="K132" s="10" t="s">
        <v>513</v>
      </c>
      <c r="L132" s="10">
        <f>-(C89+J89)</f>
        <v>0</v>
      </c>
      <c r="M132" s="10" t="s">
        <v>513</v>
      </c>
      <c r="N132" s="10" t="s">
        <v>513</v>
      </c>
      <c r="O132" s="11">
        <f t="shared" si="13"/>
        <v>0</v>
      </c>
    </row>
    <row r="133" spans="1:17">
      <c r="A133" s="47" t="s">
        <v>1128</v>
      </c>
      <c r="B133" s="10"/>
      <c r="C133" s="10">
        <f>'Biological Treatment'!C94*'Biological Treatment'!C96*'Biological Treatment'!$E$120</f>
        <v>0</v>
      </c>
      <c r="D133" s="10">
        <f>'Biological Treatment'!D94*'Biological Treatment'!D96*'Biological Treatment'!$E$120</f>
        <v>0</v>
      </c>
      <c r="E133" s="10">
        <f>'Biological Treatment'!E94*'Biological Treatment'!E96*'Biological Treatment'!$E$120</f>
        <v>0</v>
      </c>
      <c r="F133" s="10">
        <f>'Biological Treatment'!F94*'Biological Treatment'!F96*'Biological Treatment'!$E$120</f>
        <v>0</v>
      </c>
      <c r="G133" s="10">
        <f>'Biological Treatment'!G94*'Biological Treatment'!G96*'Biological Treatment'!$E$120</f>
        <v>0</v>
      </c>
      <c r="H133" s="10">
        <f>'Biological Treatment'!H94*'Biological Treatment'!H96*'Biological Treatment'!$E$120</f>
        <v>0</v>
      </c>
      <c r="I133" s="10">
        <f>'Biological Treatment'!I94*'Biological Treatment'!I96*'Biological Treatment'!$E$120</f>
        <v>0</v>
      </c>
      <c r="J133" s="10">
        <f>'Biological Treatment'!J94*'Biological Treatment'!J96*'Biological Treatment'!$E$120</f>
        <v>0</v>
      </c>
      <c r="K133" s="10">
        <f>'Biological Treatment'!K94*'Biological Treatment'!K96*'Biological Treatment'!$E$120</f>
        <v>0</v>
      </c>
      <c r="L133" s="10" t="s">
        <v>513</v>
      </c>
      <c r="M133" s="10" t="s">
        <v>513</v>
      </c>
      <c r="N133" s="10" t="s">
        <v>513</v>
      </c>
      <c r="O133" s="11">
        <f t="shared" si="13"/>
        <v>0</v>
      </c>
    </row>
    <row r="134" spans="1:17">
      <c r="A134" s="47" t="s">
        <v>1129</v>
      </c>
      <c r="B134" s="10"/>
      <c r="C134" s="10" t="s">
        <v>513</v>
      </c>
      <c r="D134" s="10" t="s">
        <v>513</v>
      </c>
      <c r="E134" s="10" t="s">
        <v>513</v>
      </c>
      <c r="F134" s="10" t="s">
        <v>513</v>
      </c>
      <c r="G134" s="10" t="s">
        <v>513</v>
      </c>
      <c r="H134" s="10" t="s">
        <v>513</v>
      </c>
      <c r="I134" s="10" t="s">
        <v>513</v>
      </c>
      <c r="J134" s="10" t="s">
        <v>513</v>
      </c>
      <c r="K134" s="10" t="s">
        <v>513</v>
      </c>
      <c r="L134" s="10">
        <f>-(C96+J96)</f>
        <v>0</v>
      </c>
      <c r="M134" s="10" t="s">
        <v>513</v>
      </c>
      <c r="N134" s="10" t="s">
        <v>513</v>
      </c>
      <c r="O134" s="11">
        <f t="shared" si="13"/>
        <v>0</v>
      </c>
    </row>
    <row r="135" spans="1:17">
      <c r="A135" s="47" t="s">
        <v>1146</v>
      </c>
      <c r="B135" s="10"/>
      <c r="C135" s="10">
        <f>'Biological Treatment'!B23*'Biological Treatment'!$C$30</f>
        <v>0</v>
      </c>
      <c r="D135" s="10">
        <f>'Biological Treatment'!C23*'Biological Treatment'!$C$30</f>
        <v>0</v>
      </c>
      <c r="E135" s="10">
        <f>'Biological Treatment'!D23*'Biological Treatment'!$C$30</f>
        <v>0</v>
      </c>
      <c r="F135" s="10">
        <f>'Biological Treatment'!E23*'Biological Treatment'!$C$30</f>
        <v>0</v>
      </c>
      <c r="G135" s="10">
        <f>'Biological Treatment'!F23*'Biological Treatment'!$C$30</f>
        <v>0</v>
      </c>
      <c r="H135" s="10">
        <f>'Biological Treatment'!G23*'Biological Treatment'!$C$30</f>
        <v>0</v>
      </c>
      <c r="I135" s="10">
        <f>'Biological Treatment'!H23*'Biological Treatment'!$C$30</f>
        <v>0</v>
      </c>
      <c r="J135" s="10">
        <f>'Biological Treatment'!I23*'Biological Treatment'!$C$30</f>
        <v>0</v>
      </c>
      <c r="K135" s="10">
        <f>'Biological Treatment'!J23*'Biological Treatment'!$C$30</f>
        <v>0</v>
      </c>
      <c r="L135" s="10" t="s">
        <v>513</v>
      </c>
      <c r="M135" s="10" t="s">
        <v>513</v>
      </c>
      <c r="N135" s="10" t="s">
        <v>513</v>
      </c>
      <c r="O135" s="11">
        <f t="shared" si="13"/>
        <v>0</v>
      </c>
    </row>
    <row r="136" spans="1:17">
      <c r="A136" s="47" t="s">
        <v>1135</v>
      </c>
      <c r="B136" s="10"/>
      <c r="C136" s="10">
        <f>'Thermal Treatment'!D36*'Thermal Treatment'!D37</f>
        <v>0</v>
      </c>
      <c r="D136" s="10">
        <f>'Thermal Treatment'!E36*'Thermal Treatment'!E37</f>
        <v>0</v>
      </c>
      <c r="E136" s="10">
        <f>'Thermal Treatment'!F36*'Thermal Treatment'!F37</f>
        <v>0</v>
      </c>
      <c r="F136" s="10">
        <f>'Thermal Treatment'!G36*'Thermal Treatment'!G37</f>
        <v>0</v>
      </c>
      <c r="G136" s="10">
        <f>'Thermal Treatment'!H36*'Thermal Treatment'!H37</f>
        <v>0</v>
      </c>
      <c r="H136" s="10">
        <f>'Thermal Treatment'!I36*'Thermal Treatment'!I37</f>
        <v>0</v>
      </c>
      <c r="I136" s="10">
        <f>'Thermal Treatment'!J36*'Thermal Treatment'!J37</f>
        <v>0</v>
      </c>
      <c r="J136" s="10">
        <f>'Thermal Treatment'!K36*'Thermal Treatment'!K37</f>
        <v>0</v>
      </c>
      <c r="K136" s="10">
        <f>'Thermal Treatment'!L36*'Thermal Treatment'!L37</f>
        <v>0</v>
      </c>
      <c r="L136" s="10">
        <f>'Thermal Treatment'!M36*'Thermal Treatment'!M37</f>
        <v>0</v>
      </c>
      <c r="M136" s="10" t="s">
        <v>513</v>
      </c>
      <c r="N136" s="10" t="s">
        <v>513</v>
      </c>
      <c r="O136" s="11">
        <f t="shared" si="13"/>
        <v>0</v>
      </c>
    </row>
    <row r="137" spans="1:17">
      <c r="A137" s="47" t="s">
        <v>1147</v>
      </c>
      <c r="B137" s="10"/>
      <c r="C137" s="10" t="s">
        <v>513</v>
      </c>
      <c r="D137" s="10" t="s">
        <v>513</v>
      </c>
      <c r="E137" s="10" t="s">
        <v>513</v>
      </c>
      <c r="F137" s="10" t="s">
        <v>513</v>
      </c>
      <c r="G137" s="10" t="s">
        <v>513</v>
      </c>
      <c r="H137" s="10" t="s">
        <v>513</v>
      </c>
      <c r="I137" s="10" t="s">
        <v>513</v>
      </c>
      <c r="J137" s="10" t="s">
        <v>513</v>
      </c>
      <c r="K137" s="10" t="s">
        <v>513</v>
      </c>
      <c r="L137" s="10" t="s">
        <v>513</v>
      </c>
      <c r="M137" s="54">
        <f>(1-'Thermal Treatment'!$E$81)*('Thermal Treatment'!D38*'Thermal Treatment'!C72+'Thermal Treatment'!E38*'Thermal Treatment'!D72)+'Thermal Treatment'!F38*'Thermal Treatment'!E72*(1-'Thermal Treatment'!$E$81)*(1-'Thermal Treatment'!E80)+(1-'Thermal Treatment'!$E$81)*('Thermal Treatment'!G38*'Thermal Treatment'!F72+'Thermal Treatment'!H38*'Thermal Treatment'!G72+'Thermal Treatment'!I38*'Thermal Treatment'!H72+'Thermal Treatment'!J38*'Thermal Treatment'!I72+'Thermal Treatment'!K38*'Thermal Treatment'!J72+'Thermal Treatment'!L38*'Thermal Treatment'!K72+'Thermal Treatment'!M38*'Thermal Treatment'!L72)</f>
        <v>21486.90625</v>
      </c>
      <c r="N137" s="10">
        <f>'Thermal Treatment'!D38*'Thermal Treatment'!C71+'Thermal Treatment'!E38*'Thermal Treatment'!D71+'Thermal Treatment'!F38*'Thermal Treatment'!E71+'Thermal Treatment'!G38*'Thermal Treatment'!F71+'Thermal Treatment'!H38*'Thermal Treatment'!G71+'Thermal Treatment'!I38*'Thermal Treatment'!H71+'Thermal Treatment'!J38*'Thermal Treatment'!I71+'Thermal Treatment'!K38*'Thermal Treatment'!J71+'Thermal Treatment'!L38*'Thermal Treatment'!K71+'Thermal Treatment'!M38*'Thermal Treatment'!L71</f>
        <v>3279.9999999999995</v>
      </c>
      <c r="O137" s="11">
        <f t="shared" si="13"/>
        <v>24766.90625</v>
      </c>
    </row>
    <row r="138" spans="1:17">
      <c r="A138" s="47" t="s">
        <v>1136</v>
      </c>
      <c r="B138" s="10"/>
      <c r="C138" s="10">
        <f>'Thermal Treatment'!D106*'Thermal Treatment'!D107</f>
        <v>0</v>
      </c>
      <c r="D138" s="10">
        <f>'Thermal Treatment'!E106*'Thermal Treatment'!E107</f>
        <v>0</v>
      </c>
      <c r="E138" s="10">
        <f>'Thermal Treatment'!F106*'Thermal Treatment'!F107</f>
        <v>0</v>
      </c>
      <c r="F138" s="10">
        <f>'Thermal Treatment'!G106*'Thermal Treatment'!G107</f>
        <v>0</v>
      </c>
      <c r="G138" s="10">
        <f>'Thermal Treatment'!H106*'Thermal Treatment'!H107</f>
        <v>0</v>
      </c>
      <c r="H138" s="10">
        <f>'Thermal Treatment'!I106*'Thermal Treatment'!I107</f>
        <v>0</v>
      </c>
      <c r="I138" s="10">
        <f>'Thermal Treatment'!J106*'Thermal Treatment'!J107</f>
        <v>0</v>
      </c>
      <c r="J138" s="10">
        <f>'Thermal Treatment'!K106*'Thermal Treatment'!K107</f>
        <v>0</v>
      </c>
      <c r="K138" s="10">
        <f>'Thermal Treatment'!L106*'Thermal Treatment'!L107</f>
        <v>0</v>
      </c>
      <c r="L138" s="10">
        <f>'Thermal Treatment'!M106*'Thermal Treatment'!M107</f>
        <v>0</v>
      </c>
      <c r="M138" s="10" t="s">
        <v>513</v>
      </c>
      <c r="N138" s="10" t="s">
        <v>513</v>
      </c>
      <c r="O138" s="11">
        <f t="shared" si="13"/>
        <v>0</v>
      </c>
    </row>
    <row r="139" spans="1:17">
      <c r="A139" s="47" t="s">
        <v>1148</v>
      </c>
      <c r="B139" s="10"/>
      <c r="C139" s="10" t="s">
        <v>513</v>
      </c>
      <c r="D139" s="10" t="s">
        <v>513</v>
      </c>
      <c r="E139" s="10" t="s">
        <v>513</v>
      </c>
      <c r="F139" s="10" t="s">
        <v>513</v>
      </c>
      <c r="G139" s="10" t="s">
        <v>513</v>
      </c>
      <c r="H139" s="10" t="s">
        <v>513</v>
      </c>
      <c r="I139" s="10" t="s">
        <v>513</v>
      </c>
      <c r="J139" s="10" t="s">
        <v>513</v>
      </c>
      <c r="K139" s="10" t="s">
        <v>513</v>
      </c>
      <c r="L139" s="10" t="s">
        <v>513</v>
      </c>
      <c r="M139" s="10">
        <f>(1-'Thermal Treatment'!$E$151)*('Thermal Treatment'!D108*'Thermal Treatment'!C142+'Thermal Treatment'!E108*'Thermal Treatment'!D142)+'Thermal Treatment'!F108*'Thermal Treatment'!E142*(1-'Thermal Treatment'!$E$151)*(1-'Thermal Treatment'!E150)+(1-'Thermal Treatment'!$E$151)*('Thermal Treatment'!G108*'Thermal Treatment'!F142+'Thermal Treatment'!H108*'Thermal Treatment'!G142+'Thermal Treatment'!I108*'Thermal Treatment'!H142+'Thermal Treatment'!J108*'Thermal Treatment'!I142+'Thermal Treatment'!K108*'Thermal Treatment'!J142+'Thermal Treatment'!L108*'Thermal Treatment'!K142+'Thermal Treatment'!M108*'Thermal Treatment'!L142)</f>
        <v>0</v>
      </c>
      <c r="N139" s="10">
        <f>'Thermal Treatment'!D108*'Thermal Treatment'!C141+'Thermal Treatment'!E108*'Thermal Treatment'!D141+'Thermal Treatment'!F108*'Thermal Treatment'!E141+'Thermal Treatment'!G108*'Thermal Treatment'!F141+'Thermal Treatment'!H108*'Thermal Treatment'!G141+'Thermal Treatment'!I108*'Thermal Treatment'!H141+'Thermal Treatment'!J108*'Thermal Treatment'!I141+'Thermal Treatment'!K108*'Thermal Treatment'!J141+'Thermal Treatment'!L108*'Thermal Treatment'!K141+'Thermal Treatment'!M108*'Thermal Treatment'!L141</f>
        <v>0</v>
      </c>
      <c r="O139" s="11">
        <f t="shared" si="13"/>
        <v>0</v>
      </c>
    </row>
    <row r="140" spans="1:17">
      <c r="A140" s="47" t="s">
        <v>1149</v>
      </c>
      <c r="B140" s="10"/>
      <c r="C140" s="10" t="s">
        <v>513</v>
      </c>
      <c r="D140" s="10" t="s">
        <v>513</v>
      </c>
      <c r="E140" s="10" t="s">
        <v>513</v>
      </c>
      <c r="F140" s="10" t="s">
        <v>513</v>
      </c>
      <c r="G140" s="10" t="s">
        <v>513</v>
      </c>
      <c r="H140" s="10" t="s">
        <v>513</v>
      </c>
      <c r="I140" s="10" t="s">
        <v>513</v>
      </c>
      <c r="J140" s="10" t="s">
        <v>513</v>
      </c>
      <c r="K140" s="10" t="s">
        <v>513</v>
      </c>
      <c r="L140" s="10" t="s">
        <v>513</v>
      </c>
      <c r="M140" s="10">
        <f>$L$54*'Thermal Treatment'!C197</f>
        <v>0</v>
      </c>
      <c r="N140" s="10">
        <f>$L$54*'Thermal Treatment'!C196</f>
        <v>0</v>
      </c>
      <c r="O140" s="11">
        <f t="shared" si="13"/>
        <v>0</v>
      </c>
    </row>
    <row r="141" spans="1:17">
      <c r="A141" s="47" t="s">
        <v>1150</v>
      </c>
      <c r="B141" s="10"/>
      <c r="C141" s="10" t="s">
        <v>513</v>
      </c>
      <c r="D141" s="10" t="s">
        <v>513</v>
      </c>
      <c r="E141" s="10" t="s">
        <v>513</v>
      </c>
      <c r="F141" s="10" t="s">
        <v>513</v>
      </c>
      <c r="G141" s="10" t="s">
        <v>513</v>
      </c>
      <c r="H141" s="10" t="s">
        <v>513</v>
      </c>
      <c r="I141" s="10" t="s">
        <v>513</v>
      </c>
      <c r="J141" s="10" t="s">
        <v>513</v>
      </c>
      <c r="K141" s="10" t="s">
        <v>513</v>
      </c>
      <c r="L141" s="10" t="s">
        <v>513</v>
      </c>
      <c r="M141" s="10">
        <f>$L$69*'Thermal Treatment'!D197</f>
        <v>0</v>
      </c>
      <c r="N141" s="10">
        <f>$L$69*'Thermal Treatment'!D196</f>
        <v>0</v>
      </c>
      <c r="O141" s="11">
        <f t="shared" si="13"/>
        <v>0</v>
      </c>
    </row>
    <row r="142" spans="1:17">
      <c r="A142" s="47" t="s">
        <v>1151</v>
      </c>
      <c r="B142" s="10"/>
      <c r="C142" s="10" t="s">
        <v>513</v>
      </c>
      <c r="D142" s="10" t="s">
        <v>513</v>
      </c>
      <c r="E142" s="10" t="s">
        <v>513</v>
      </c>
      <c r="F142" s="10" t="s">
        <v>513</v>
      </c>
      <c r="G142" s="10" t="s">
        <v>513</v>
      </c>
      <c r="H142" s="10" t="s">
        <v>513</v>
      </c>
      <c r="I142" s="10" t="s">
        <v>513</v>
      </c>
      <c r="J142" s="10" t="s">
        <v>513</v>
      </c>
      <c r="K142" s="10" t="s">
        <v>513</v>
      </c>
      <c r="L142" s="10" t="s">
        <v>513</v>
      </c>
      <c r="M142" s="10">
        <f>-F42</f>
        <v>0</v>
      </c>
      <c r="N142" s="10">
        <f>-F43</f>
        <v>0</v>
      </c>
      <c r="O142" s="11">
        <f t="shared" si="13"/>
        <v>0</v>
      </c>
    </row>
    <row r="143" spans="1:17" ht="15.75" thickBot="1">
      <c r="A143" s="88" t="s">
        <v>1152</v>
      </c>
      <c r="B143" s="13"/>
      <c r="C143" s="13">
        <f>C26</f>
        <v>0</v>
      </c>
      <c r="D143" s="13">
        <f t="shared" ref="D143:K143" si="14">D26</f>
        <v>0</v>
      </c>
      <c r="E143" s="13">
        <f t="shared" si="14"/>
        <v>0</v>
      </c>
      <c r="F143" s="13">
        <f t="shared" si="14"/>
        <v>0</v>
      </c>
      <c r="G143" s="13">
        <f t="shared" si="14"/>
        <v>0</v>
      </c>
      <c r="H143" s="13">
        <f t="shared" si="14"/>
        <v>0</v>
      </c>
      <c r="I143" s="13">
        <f t="shared" si="14"/>
        <v>0</v>
      </c>
      <c r="J143" s="13">
        <f t="shared" si="14"/>
        <v>0</v>
      </c>
      <c r="K143" s="13">
        <f t="shared" si="14"/>
        <v>0</v>
      </c>
      <c r="L143" s="13" t="s">
        <v>513</v>
      </c>
      <c r="M143" s="13" t="s">
        <v>513</v>
      </c>
      <c r="N143" s="13" t="s">
        <v>513</v>
      </c>
      <c r="O143" s="14">
        <f t="shared" si="13"/>
        <v>0</v>
      </c>
      <c r="P143" s="152"/>
      <c r="Q143" t="s">
        <v>1485</v>
      </c>
    </row>
    <row r="145" spans="1:14" ht="15.75" thickBot="1">
      <c r="A145" s="62" t="s">
        <v>1153</v>
      </c>
    </row>
    <row r="146" spans="1:14">
      <c r="A146" s="93" t="s">
        <v>1089</v>
      </c>
      <c r="B146" s="7"/>
      <c r="C146" s="78" t="s">
        <v>4</v>
      </c>
      <c r="D146" s="78" t="s">
        <v>5</v>
      </c>
      <c r="E146" s="78" t="s">
        <v>29</v>
      </c>
      <c r="F146" s="78" t="s">
        <v>30</v>
      </c>
      <c r="G146" s="78" t="s">
        <v>31</v>
      </c>
      <c r="H146" s="78" t="s">
        <v>32</v>
      </c>
      <c r="I146" s="78" t="s">
        <v>8</v>
      </c>
      <c r="J146" s="78" t="s">
        <v>264</v>
      </c>
      <c r="K146" s="78" t="s">
        <v>359</v>
      </c>
      <c r="L146" s="97" t="s">
        <v>11</v>
      </c>
    </row>
    <row r="147" spans="1:14">
      <c r="A147" s="9" t="s">
        <v>1058</v>
      </c>
      <c r="B147" s="10"/>
      <c r="C147" s="10">
        <f>'Waste Collection'!$G$11*'Waste Collection'!E48/1000</f>
        <v>6250</v>
      </c>
      <c r="D147" s="10">
        <f>'Waste Collection'!$G$11*'Waste Collection'!F48/1000</f>
        <v>6250</v>
      </c>
      <c r="E147" s="10">
        <f>'Waste Collection'!$G$11*'Waste Collection'!G48/1000</f>
        <v>5000</v>
      </c>
      <c r="F147" s="10">
        <f>'Waste Collection'!$G$11*'Waste Collection'!H48/1000</f>
        <v>1000</v>
      </c>
      <c r="G147" s="10">
        <f>'Waste Collection'!$G$11*'Waste Collection'!I48/1000</f>
        <v>250</v>
      </c>
      <c r="H147" s="10">
        <f>'Waste Collection'!$G$11*'Waste Collection'!J48/1000</f>
        <v>5000</v>
      </c>
      <c r="I147" s="10">
        <f>'Waste Collection'!$G$11*'Waste Collection'!K48/1000</f>
        <v>0</v>
      </c>
      <c r="J147" s="10" t="s">
        <v>513</v>
      </c>
      <c r="K147" s="10" t="s">
        <v>513</v>
      </c>
      <c r="L147" s="11">
        <f>SUM(C147:K147)</f>
        <v>23750</v>
      </c>
      <c r="M147" s="152"/>
      <c r="N147" t="s">
        <v>1485</v>
      </c>
    </row>
    <row r="148" spans="1:14">
      <c r="A148" s="9" t="s">
        <v>1060</v>
      </c>
      <c r="B148" s="10"/>
      <c r="C148" s="10" t="s">
        <v>513</v>
      </c>
      <c r="D148" s="10">
        <f>'Waste Input'!$B$8*'Waste Input'!B27/1000*'Waste Collection'!E73</f>
        <v>0</v>
      </c>
      <c r="E148" s="10">
        <f>'Waste Input'!$B$8*'Waste Input'!C27/1000*'Waste Collection'!F73</f>
        <v>0</v>
      </c>
      <c r="F148" s="10">
        <f>'Waste Input'!$B$8*'Waste Input'!D27/1000*'Waste Collection'!G73</f>
        <v>0</v>
      </c>
      <c r="G148" s="10">
        <f>'Waste Input'!$B$8*'Waste Input'!E27/1000*'Waste Collection'!H73</f>
        <v>0</v>
      </c>
      <c r="H148" s="10">
        <f>'Waste Input'!$B$8*'Waste Input'!F27/1000*'Waste Collection'!I73</f>
        <v>0</v>
      </c>
      <c r="I148" s="10" t="s">
        <v>513</v>
      </c>
      <c r="J148" s="10" t="s">
        <v>513</v>
      </c>
      <c r="K148" s="10" t="s">
        <v>513</v>
      </c>
      <c r="L148" s="11">
        <f t="shared" ref="L148:L159" si="15">SUM(C148:K148)</f>
        <v>0</v>
      </c>
      <c r="M148" s="152"/>
      <c r="N148" t="s">
        <v>1485</v>
      </c>
    </row>
    <row r="149" spans="1:14">
      <c r="A149" s="9" t="s">
        <v>1085</v>
      </c>
      <c r="B149" s="10"/>
      <c r="C149" s="10">
        <f>-C32</f>
        <v>8312.5</v>
      </c>
      <c r="D149" s="10">
        <f t="shared" ref="D149:I149" si="16">-D32</f>
        <v>4156.25</v>
      </c>
      <c r="E149" s="10">
        <f t="shared" si="16"/>
        <v>1662.5</v>
      </c>
      <c r="F149" s="10">
        <f t="shared" si="16"/>
        <v>0</v>
      </c>
      <c r="G149" s="10">
        <f t="shared" si="16"/>
        <v>0</v>
      </c>
      <c r="H149" s="10">
        <f t="shared" si="16"/>
        <v>1662.5</v>
      </c>
      <c r="I149" s="10">
        <f t="shared" si="16"/>
        <v>0</v>
      </c>
      <c r="J149" s="10" t="s">
        <v>513</v>
      </c>
      <c r="K149" s="10" t="s">
        <v>513</v>
      </c>
      <c r="L149" s="11">
        <f t="shared" si="15"/>
        <v>15793.75</v>
      </c>
    </row>
    <row r="150" spans="1:14">
      <c r="A150" s="9" t="s">
        <v>1154</v>
      </c>
      <c r="B150" s="10"/>
      <c r="C150" s="10" t="s">
        <v>513</v>
      </c>
      <c r="D150" s="10" t="s">
        <v>513</v>
      </c>
      <c r="E150" s="10">
        <f>-M49</f>
        <v>0</v>
      </c>
      <c r="F150" s="10">
        <f>-M50</f>
        <v>0</v>
      </c>
      <c r="G150" s="10" t="s">
        <v>513</v>
      </c>
      <c r="H150" s="10" t="s">
        <v>513</v>
      </c>
      <c r="I150" s="10" t="s">
        <v>513</v>
      </c>
      <c r="J150" s="10" t="s">
        <v>513</v>
      </c>
      <c r="K150" s="10" t="s">
        <v>513</v>
      </c>
      <c r="L150" s="11">
        <f t="shared" si="15"/>
        <v>0</v>
      </c>
    </row>
    <row r="151" spans="1:14">
      <c r="A151" s="9" t="s">
        <v>1155</v>
      </c>
      <c r="B151" s="10"/>
      <c r="C151" s="10" t="s">
        <v>513</v>
      </c>
      <c r="D151" s="10" t="s">
        <v>513</v>
      </c>
      <c r="E151" s="10">
        <f>-M63</f>
        <v>0</v>
      </c>
      <c r="F151" s="10">
        <f>-M64</f>
        <v>0</v>
      </c>
      <c r="G151" s="10" t="s">
        <v>513</v>
      </c>
      <c r="H151" s="10" t="s">
        <v>513</v>
      </c>
      <c r="I151" s="10" t="s">
        <v>513</v>
      </c>
      <c r="J151" s="10" t="s">
        <v>513</v>
      </c>
      <c r="K151" s="10" t="s">
        <v>513</v>
      </c>
      <c r="L151" s="11">
        <f t="shared" si="15"/>
        <v>0</v>
      </c>
    </row>
    <row r="152" spans="1:14">
      <c r="A152" s="9" t="s">
        <v>1110</v>
      </c>
      <c r="B152" s="10"/>
      <c r="C152" s="10" t="s">
        <v>513</v>
      </c>
      <c r="D152" s="10">
        <f>'Biological Treatment'!D41*'Biological Treatment'!D42</f>
        <v>0</v>
      </c>
      <c r="E152" s="10">
        <f>'Biological Treatment'!E41*'Biological Treatment'!E42</f>
        <v>0</v>
      </c>
      <c r="F152" s="10">
        <f>'Biological Treatment'!F41*'Biological Treatment'!F42</f>
        <v>0</v>
      </c>
      <c r="G152" s="10">
        <f>'Biological Treatment'!G41*'Biological Treatment'!G42</f>
        <v>0</v>
      </c>
      <c r="H152" s="10">
        <f>'Biological Treatment'!H41*'Biological Treatment'!H42</f>
        <v>0</v>
      </c>
      <c r="I152" s="10">
        <f>'Biological Treatment'!I41*'Biological Treatment'!I42</f>
        <v>0</v>
      </c>
      <c r="J152" s="10" t="s">
        <v>513</v>
      </c>
      <c r="K152" s="10" t="s">
        <v>513</v>
      </c>
      <c r="L152" s="11">
        <f t="shared" si="15"/>
        <v>0</v>
      </c>
    </row>
    <row r="153" spans="1:14">
      <c r="A153" s="9" t="s">
        <v>1156</v>
      </c>
      <c r="B153" s="10"/>
      <c r="C153" s="10" t="s">
        <v>513</v>
      </c>
      <c r="D153" s="10" t="s">
        <v>513</v>
      </c>
      <c r="E153" s="10" t="s">
        <v>513</v>
      </c>
      <c r="F153" s="10" t="s">
        <v>513</v>
      </c>
      <c r="G153" s="10" t="s">
        <v>513</v>
      </c>
      <c r="H153" s="10" t="s">
        <v>513</v>
      </c>
      <c r="I153" s="10" t="s">
        <v>513</v>
      </c>
      <c r="J153" s="10">
        <f>-L87</f>
        <v>13893.75</v>
      </c>
      <c r="K153" s="10" t="s">
        <v>513</v>
      </c>
      <c r="L153" s="11">
        <f t="shared" si="15"/>
        <v>13893.75</v>
      </c>
    </row>
    <row r="154" spans="1:14">
      <c r="A154" s="9" t="s">
        <v>1116</v>
      </c>
      <c r="B154" s="10"/>
      <c r="C154" s="10" t="s">
        <v>513</v>
      </c>
      <c r="D154" s="10">
        <f>D90</f>
        <v>0</v>
      </c>
      <c r="E154" s="10">
        <f t="shared" ref="E154:I154" si="17">E90</f>
        <v>0</v>
      </c>
      <c r="F154" s="10">
        <f t="shared" si="17"/>
        <v>0</v>
      </c>
      <c r="G154" s="10">
        <f t="shared" si="17"/>
        <v>0</v>
      </c>
      <c r="H154" s="10">
        <f t="shared" si="17"/>
        <v>0</v>
      </c>
      <c r="I154" s="10">
        <f t="shared" si="17"/>
        <v>0</v>
      </c>
      <c r="J154" s="10" t="s">
        <v>513</v>
      </c>
      <c r="K154" s="10" t="s">
        <v>513</v>
      </c>
      <c r="L154" s="11">
        <f t="shared" si="15"/>
        <v>0</v>
      </c>
    </row>
    <row r="155" spans="1:14">
      <c r="A155" s="9" t="s">
        <v>1157</v>
      </c>
      <c r="B155" s="10"/>
      <c r="C155" s="10" t="s">
        <v>513</v>
      </c>
      <c r="D155" s="10" t="s">
        <v>513</v>
      </c>
      <c r="E155" s="10" t="s">
        <v>513</v>
      </c>
      <c r="F155" s="10" t="s">
        <v>513</v>
      </c>
      <c r="G155" s="10" t="s">
        <v>513</v>
      </c>
      <c r="H155" s="10" t="s">
        <v>513</v>
      </c>
      <c r="I155" s="10" t="s">
        <v>513</v>
      </c>
      <c r="J155" s="10">
        <f>-L94</f>
        <v>0</v>
      </c>
      <c r="K155" s="10" t="s">
        <v>513</v>
      </c>
      <c r="L155" s="11">
        <f t="shared" si="15"/>
        <v>0</v>
      </c>
    </row>
    <row r="156" spans="1:14">
      <c r="A156" s="9" t="s">
        <v>1131</v>
      </c>
      <c r="B156" s="10"/>
      <c r="C156" s="10" t="s">
        <v>513</v>
      </c>
      <c r="D156" s="10" t="s">
        <v>513</v>
      </c>
      <c r="E156" s="54">
        <f>-E110</f>
        <v>3928.2750000000001</v>
      </c>
      <c r="F156" s="10" t="s">
        <v>513</v>
      </c>
      <c r="G156" s="10" t="s">
        <v>513</v>
      </c>
      <c r="H156" s="10" t="s">
        <v>513</v>
      </c>
      <c r="I156" s="10" t="s">
        <v>513</v>
      </c>
      <c r="J156" s="10" t="s">
        <v>513</v>
      </c>
      <c r="K156" s="10" t="s">
        <v>513</v>
      </c>
      <c r="L156" s="11">
        <f t="shared" si="15"/>
        <v>3928.2750000000001</v>
      </c>
    </row>
    <row r="157" spans="1:14">
      <c r="A157" s="9" t="s">
        <v>1132</v>
      </c>
      <c r="B157" s="10"/>
      <c r="C157" s="10" t="s">
        <v>513</v>
      </c>
      <c r="D157" s="10" t="s">
        <v>513</v>
      </c>
      <c r="E157" s="10" t="s">
        <v>513</v>
      </c>
      <c r="F157" s="10" t="s">
        <v>513</v>
      </c>
      <c r="G157" s="10" t="s">
        <v>513</v>
      </c>
      <c r="H157" s="10" t="s">
        <v>513</v>
      </c>
      <c r="I157" s="10" t="s">
        <v>513</v>
      </c>
      <c r="J157" s="10" t="s">
        <v>513</v>
      </c>
      <c r="K157" s="10">
        <f>-M111</f>
        <v>0</v>
      </c>
      <c r="L157" s="11">
        <f t="shared" si="15"/>
        <v>0</v>
      </c>
    </row>
    <row r="158" spans="1:14">
      <c r="A158" s="9" t="s">
        <v>1138</v>
      </c>
      <c r="B158" s="10"/>
      <c r="C158" s="10" t="s">
        <v>513</v>
      </c>
      <c r="D158" s="10" t="s">
        <v>513</v>
      </c>
      <c r="E158" s="10">
        <f>-E116</f>
        <v>0</v>
      </c>
      <c r="F158" s="10" t="s">
        <v>513</v>
      </c>
      <c r="G158" s="10" t="s">
        <v>513</v>
      </c>
      <c r="H158" s="10" t="s">
        <v>513</v>
      </c>
      <c r="I158" s="10" t="s">
        <v>513</v>
      </c>
      <c r="J158" s="10" t="s">
        <v>513</v>
      </c>
      <c r="K158" s="10" t="s">
        <v>513</v>
      </c>
      <c r="L158" s="11">
        <f t="shared" si="15"/>
        <v>0</v>
      </c>
    </row>
    <row r="159" spans="1:14" ht="15.75" thickBot="1">
      <c r="A159" s="12" t="s">
        <v>1139</v>
      </c>
      <c r="B159" s="13"/>
      <c r="C159" s="13" t="s">
        <v>513</v>
      </c>
      <c r="D159" s="13" t="s">
        <v>513</v>
      </c>
      <c r="E159" s="13" t="s">
        <v>513</v>
      </c>
      <c r="F159" s="13" t="s">
        <v>513</v>
      </c>
      <c r="G159" s="13" t="s">
        <v>513</v>
      </c>
      <c r="H159" s="13" t="s">
        <v>513</v>
      </c>
      <c r="I159" s="13" t="s">
        <v>513</v>
      </c>
      <c r="J159" s="13" t="s">
        <v>513</v>
      </c>
      <c r="K159" s="13">
        <f>-M117</f>
        <v>0</v>
      </c>
      <c r="L159" s="14">
        <f t="shared" si="15"/>
        <v>0</v>
      </c>
    </row>
    <row r="162" spans="1:8">
      <c r="A162" s="62" t="s">
        <v>1158</v>
      </c>
    </row>
    <row r="163" spans="1:8" ht="15.75" thickBot="1">
      <c r="A163" t="s">
        <v>1159</v>
      </c>
    </row>
    <row r="164" spans="1:8">
      <c r="A164" s="93" t="s">
        <v>1089</v>
      </c>
      <c r="B164" s="7"/>
      <c r="C164" s="7"/>
      <c r="D164" s="7"/>
      <c r="E164" s="78" t="s">
        <v>970</v>
      </c>
      <c r="F164" s="78" t="s">
        <v>971</v>
      </c>
      <c r="G164" s="78" t="s">
        <v>1160</v>
      </c>
      <c r="H164" s="79" t="s">
        <v>945</v>
      </c>
    </row>
    <row r="165" spans="1:8">
      <c r="A165" s="9" t="s">
        <v>1161</v>
      </c>
      <c r="B165" s="10"/>
      <c r="C165" s="10"/>
      <c r="D165" s="10"/>
      <c r="E165" s="10" t="s">
        <v>513</v>
      </c>
      <c r="F165" s="10">
        <f>'Waste Collection'!J33</f>
        <v>500000</v>
      </c>
      <c r="G165" s="10" t="s">
        <v>513</v>
      </c>
      <c r="H165" s="11" t="s">
        <v>513</v>
      </c>
    </row>
    <row r="166" spans="1:8">
      <c r="A166" s="18" t="s">
        <v>1162</v>
      </c>
      <c r="B166" s="10"/>
      <c r="C166" s="10"/>
      <c r="D166" s="10"/>
      <c r="E166" s="10">
        <f>'Waste Collection'!$G$11*'Waste Collection'!$F$44*'Waste Collection'!$K$44*2*'Waste Input'!B11*'Advanced Variables'!E26</f>
        <v>355500</v>
      </c>
      <c r="F166" s="10">
        <f>'Waste Collection'!$G$11*'Waste Collection'!$F$44*'Waste Collection'!$K$44*2*'Waste Input'!B12*'Advanced Variables'!E27</f>
        <v>26500</v>
      </c>
      <c r="G166" s="10" t="s">
        <v>513</v>
      </c>
      <c r="H166" s="11" t="s">
        <v>513</v>
      </c>
    </row>
    <row r="167" spans="1:8">
      <c r="A167" s="9" t="s">
        <v>1163</v>
      </c>
      <c r="B167" s="10"/>
      <c r="C167" s="10"/>
      <c r="D167" s="10"/>
      <c r="E167" s="10" t="s">
        <v>513</v>
      </c>
      <c r="F167" s="10">
        <f>'Waste Collection'!$G$11*SUM('Waste Collection'!E47:L48)/1000*'Waste Collection'!$I$51</f>
        <v>47500</v>
      </c>
      <c r="G167" s="10" t="s">
        <v>513</v>
      </c>
      <c r="H167" s="11" t="s">
        <v>513</v>
      </c>
    </row>
    <row r="168" spans="1:8">
      <c r="A168" s="9" t="s">
        <v>1164</v>
      </c>
      <c r="B168" s="10"/>
      <c r="C168" s="10"/>
      <c r="D168" s="10"/>
      <c r="E168" s="10" t="s">
        <v>513</v>
      </c>
      <c r="F168" s="10">
        <f>'Waste Collection'!$G$11*'Waste Collection'!L61/1000*'Waste Collection'!$H$63</f>
        <v>0</v>
      </c>
      <c r="G168" s="10" t="s">
        <v>513</v>
      </c>
      <c r="H168" s="11" t="s">
        <v>513</v>
      </c>
    </row>
    <row r="169" spans="1:8">
      <c r="A169" s="9" t="s">
        <v>1165</v>
      </c>
      <c r="B169" s="10"/>
      <c r="C169" s="10"/>
      <c r="D169" s="10"/>
      <c r="E169" s="10">
        <f>'Waste Input'!$B$8*'Waste Collection'!$F$69*'Waste Collection'!$K$69*2*'Waste Input'!B11*'Advanced Variables'!E26</f>
        <v>0</v>
      </c>
      <c r="F169" s="10">
        <f>'Waste Input'!$B$8*'Waste Collection'!$F$69*'Waste Collection'!$K$69*2*'Waste Input'!B12*'Advanced Variables'!E27</f>
        <v>0</v>
      </c>
      <c r="G169" s="10" t="s">
        <v>513</v>
      </c>
      <c r="H169" s="11" t="s">
        <v>513</v>
      </c>
    </row>
    <row r="170" spans="1:8">
      <c r="A170" s="9" t="s">
        <v>1216</v>
      </c>
      <c r="B170" s="10"/>
      <c r="C170" s="10"/>
      <c r="D170" s="10"/>
      <c r="E170" s="10" t="s">
        <v>513</v>
      </c>
      <c r="F170" s="10">
        <f>'Waste Input'!$B$8*SUM('Waste Input'!B27:G27)/1000*'Waste Collection'!I80</f>
        <v>0</v>
      </c>
      <c r="G170" s="10" t="s">
        <v>513</v>
      </c>
      <c r="H170" s="11" t="s">
        <v>513</v>
      </c>
    </row>
    <row r="171" spans="1:8">
      <c r="A171" s="9" t="s">
        <v>1217</v>
      </c>
      <c r="B171" s="10"/>
      <c r="C171" s="10"/>
      <c r="D171" s="10"/>
      <c r="E171" s="10" t="s">
        <v>513</v>
      </c>
      <c r="F171" s="10">
        <f>CEILING('Waste Input'!$B$8*SUMPRODUCT(('Waste Input'!B27:F27)/1000,(1-'Waste Collection'!E73:I73))*'Waste Collection'!E77/'Advanced Variables'!$D$33,1)*'Waste Collection'!E78*2*'Advanced Variables'!$E$28</f>
        <v>0</v>
      </c>
      <c r="G171" s="10" t="s">
        <v>513</v>
      </c>
      <c r="H171" s="11" t="s">
        <v>513</v>
      </c>
    </row>
    <row r="172" spans="1:8">
      <c r="A172" s="9" t="s">
        <v>1166</v>
      </c>
      <c r="B172" s="10"/>
      <c r="C172" s="10"/>
      <c r="D172" s="10"/>
      <c r="E172" s="10" t="s">
        <v>513</v>
      </c>
      <c r="F172" s="10">
        <f>CEILING('Waste Input'!$B$8*SUMPRODUCT(('Waste Input'!B27:F27)/1000,(1-'Waste Collection'!E73:I73))*'Waste Collection'!F77/'Advanced Variables'!$D$33,1)*'Waste Collection'!F78*2*'Advanced Variables'!$E$28</f>
        <v>0</v>
      </c>
      <c r="G172" s="10" t="s">
        <v>513</v>
      </c>
      <c r="H172" s="11" t="s">
        <v>513</v>
      </c>
    </row>
    <row r="173" spans="1:8">
      <c r="A173" s="9" t="s">
        <v>1167</v>
      </c>
      <c r="B173" s="10"/>
      <c r="C173" s="10"/>
      <c r="D173" s="10"/>
      <c r="E173" s="10" t="s">
        <v>513</v>
      </c>
      <c r="F173" s="10">
        <f>CEILING('Waste Input'!$B$8*'Waste Input'!B30/1000/'Advanced Variables'!$D$33,1)*'Waste Collection'!$G$83*2*'Advanced Variables'!E28</f>
        <v>0</v>
      </c>
      <c r="G173" s="10" t="s">
        <v>513</v>
      </c>
      <c r="H173" s="11" t="s">
        <v>513</v>
      </c>
    </row>
    <row r="174" spans="1:8">
      <c r="A174" s="9" t="s">
        <v>1168</v>
      </c>
      <c r="B174" s="10"/>
      <c r="C174" s="10"/>
      <c r="D174" s="10"/>
      <c r="E174" s="10" t="s">
        <v>513</v>
      </c>
      <c r="F174" s="10">
        <f>CEILING('Waste Collection'!L91/'Advanced Variables'!D33,1)*2*'Waste Collection'!K94*'Advanced Variables'!E28</f>
        <v>0</v>
      </c>
      <c r="G174" s="10" t="s">
        <v>513</v>
      </c>
      <c r="H174" s="11" t="s">
        <v>513</v>
      </c>
    </row>
    <row r="175" spans="1:8">
      <c r="A175" s="9" t="s">
        <v>1169</v>
      </c>
      <c r="B175" s="10"/>
      <c r="C175" s="10"/>
      <c r="D175" s="10"/>
      <c r="E175" s="10" t="s">
        <v>513</v>
      </c>
      <c r="F175" s="10">
        <f>('Waste Collection'!E102+'Waste Collection'!F102)/'Advanced Variables'!$D$33*2*'Waste Collection'!K102*'Advanced Variables'!E28</f>
        <v>0</v>
      </c>
      <c r="G175" s="10" t="s">
        <v>513</v>
      </c>
      <c r="H175" s="11" t="s">
        <v>513</v>
      </c>
    </row>
    <row r="176" spans="1:8">
      <c r="A176" s="9" t="s">
        <v>1170</v>
      </c>
      <c r="B176" s="10"/>
      <c r="C176" s="10"/>
      <c r="D176" s="10"/>
      <c r="E176" s="10" t="s">
        <v>513</v>
      </c>
      <c r="F176" s="10">
        <f>'Waste Collection'!I107</f>
        <v>0</v>
      </c>
      <c r="G176" s="10" t="s">
        <v>513</v>
      </c>
      <c r="H176" s="11" t="s">
        <v>513</v>
      </c>
    </row>
    <row r="177" spans="1:8">
      <c r="A177" s="9" t="s">
        <v>1171</v>
      </c>
      <c r="B177" s="10"/>
      <c r="C177" s="10"/>
      <c r="D177" s="10"/>
      <c r="E177" s="10" t="s">
        <v>513</v>
      </c>
      <c r="F177" s="10" t="s">
        <v>513</v>
      </c>
      <c r="G177" s="10">
        <f>'Waste Collection'!$C$11*'Advanced Variables'!F71*'Advanced Variables'!F72</f>
        <v>0</v>
      </c>
      <c r="H177" s="11" t="s">
        <v>513</v>
      </c>
    </row>
    <row r="178" spans="1:8">
      <c r="A178" s="9" t="s">
        <v>1172</v>
      </c>
      <c r="B178" s="10"/>
      <c r="C178" s="10"/>
      <c r="D178" s="10"/>
      <c r="E178" s="10" t="s">
        <v>513</v>
      </c>
      <c r="F178" s="10">
        <f>'MRF &amp; RDF Sorting'!C25*SUM('MRF &amp; RDF Sorting'!B7:J7)</f>
        <v>0</v>
      </c>
      <c r="G178" s="10">
        <f>'MRF &amp; RDF Sorting'!C24*SUM('MRF &amp; RDF Sorting'!B7:J7)</f>
        <v>593750</v>
      </c>
      <c r="H178" s="11">
        <f>'MRF &amp; RDF Sorting'!C26*SUM('MRF &amp; RDF Sorting'!B7:J7)</f>
        <v>0</v>
      </c>
    </row>
    <row r="179" spans="1:8">
      <c r="A179" s="9" t="s">
        <v>1173</v>
      </c>
      <c r="B179" s="10"/>
      <c r="C179" s="10"/>
      <c r="D179" s="10"/>
      <c r="E179" s="10" t="s">
        <v>513</v>
      </c>
      <c r="F179" s="10">
        <f>CEILING(M102/'Advanced Variables'!$D$33,1)*'MRF &amp; RDF Sorting'!D35*2*'Advanced Variables'!$E$28</f>
        <v>0</v>
      </c>
      <c r="G179" s="10" t="s">
        <v>513</v>
      </c>
      <c r="H179" s="11" t="s">
        <v>513</v>
      </c>
    </row>
    <row r="180" spans="1:8">
      <c r="A180" s="9" t="s">
        <v>1174</v>
      </c>
      <c r="B180" s="10"/>
      <c r="C180" s="10"/>
      <c r="D180" s="10"/>
      <c r="E180" s="10" t="s">
        <v>513</v>
      </c>
      <c r="F180" s="10">
        <f>CEILING(O124/'Advanced Variables'!$D$33,1)*'MRF &amp; RDF Sorting'!D36*2*'Advanced Variables'!$E$28</f>
        <v>1305.44</v>
      </c>
      <c r="G180" s="10" t="s">
        <v>513</v>
      </c>
      <c r="H180" s="11" t="s">
        <v>513</v>
      </c>
    </row>
    <row r="181" spans="1:8">
      <c r="A181" s="9" t="s">
        <v>1175</v>
      </c>
      <c r="B181" s="10"/>
      <c r="C181" s="10"/>
      <c r="D181" s="10"/>
      <c r="E181" s="10" t="s">
        <v>513</v>
      </c>
      <c r="F181" s="10">
        <f>CEILING(-M51/'Advanced Variables'!$D$33,1)*'MRF &amp; RDF Sorting'!E86*'Advanced Variables'!$E$28*2</f>
        <v>0</v>
      </c>
      <c r="G181" s="10" t="s">
        <v>513</v>
      </c>
      <c r="H181" s="11" t="s">
        <v>513</v>
      </c>
    </row>
    <row r="182" spans="1:8">
      <c r="A182" s="9" t="s">
        <v>1176</v>
      </c>
      <c r="B182" s="10"/>
      <c r="C182" s="10"/>
      <c r="D182" s="10"/>
      <c r="E182" s="10" t="s">
        <v>513</v>
      </c>
      <c r="F182" s="10">
        <f>CEILING(-M51/'Advanced Variables'!$D$33,1)*'MRF &amp; RDF Sorting'!E87*'Advanced Variables'!$E$28*2</f>
        <v>0</v>
      </c>
      <c r="G182" s="10" t="s">
        <v>513</v>
      </c>
      <c r="H182" s="11" t="s">
        <v>513</v>
      </c>
    </row>
    <row r="183" spans="1:8">
      <c r="A183" s="9" t="s">
        <v>1178</v>
      </c>
      <c r="B183" s="10"/>
      <c r="C183" s="10"/>
      <c r="D183" s="10"/>
      <c r="E183" s="10" t="s">
        <v>513</v>
      </c>
      <c r="F183" s="10">
        <f>CEILING(-M53/'Advanced Variables'!$D$33,1)*'MRF &amp; RDF Sorting'!E87*'Advanced Variables'!$E$28*2</f>
        <v>0</v>
      </c>
      <c r="G183" s="10" t="s">
        <v>513</v>
      </c>
      <c r="H183" s="11" t="s">
        <v>513</v>
      </c>
    </row>
    <row r="184" spans="1:8">
      <c r="A184" s="9" t="s">
        <v>1177</v>
      </c>
      <c r="B184" s="10"/>
      <c r="C184" s="10"/>
      <c r="D184" s="10"/>
      <c r="E184" s="10" t="s">
        <v>513</v>
      </c>
      <c r="F184" s="10" t="s">
        <v>513</v>
      </c>
      <c r="G184" s="10">
        <f>'MRF &amp; RDF Sorting'!C91*'MRF &amp; RDF Sorting'!D76</f>
        <v>0</v>
      </c>
      <c r="H184" s="11">
        <f>'MRF &amp; RDF Sorting'!C92*'MRF &amp; RDF Sorting'!D76</f>
        <v>0</v>
      </c>
    </row>
    <row r="185" spans="1:8">
      <c r="A185" s="9" t="s">
        <v>1179</v>
      </c>
      <c r="B185" s="10"/>
      <c r="C185" s="10"/>
      <c r="D185" s="10"/>
      <c r="E185" s="10" t="s">
        <v>513</v>
      </c>
      <c r="F185" s="10">
        <f>CEILING(-M65/'Advanced Variables'!$D$33,1)*'MRF &amp; RDF Sorting'!E147*'Advanced Variables'!$E$28*2</f>
        <v>0</v>
      </c>
      <c r="G185" s="10" t="s">
        <v>513</v>
      </c>
      <c r="H185" s="11" t="s">
        <v>513</v>
      </c>
    </row>
    <row r="186" spans="1:8">
      <c r="A186" s="9" t="s">
        <v>1180</v>
      </c>
      <c r="B186" s="10"/>
      <c r="C186" s="10"/>
      <c r="D186" s="10"/>
      <c r="E186" s="10" t="s">
        <v>513</v>
      </c>
      <c r="F186" s="10">
        <f>CEILING(-M51/'Advanced Variables'!$D$33,1)*'MRF &amp; RDF Sorting'!E148*'Advanced Variables'!$E$28*2</f>
        <v>0</v>
      </c>
      <c r="G186" s="10" t="s">
        <v>513</v>
      </c>
      <c r="H186" s="11" t="s">
        <v>513</v>
      </c>
    </row>
    <row r="187" spans="1:8">
      <c r="A187" s="9" t="s">
        <v>1181</v>
      </c>
      <c r="B187" s="10"/>
      <c r="C187" s="10"/>
      <c r="D187" s="10"/>
      <c r="E187" s="10" t="s">
        <v>513</v>
      </c>
      <c r="F187" s="10">
        <f>CEILING(-M53/'Advanced Variables'!$D$33,1)*'MRF &amp; RDF Sorting'!E87*'Advanced Variables'!$E$28*2</f>
        <v>0</v>
      </c>
      <c r="G187" s="10" t="s">
        <v>513</v>
      </c>
      <c r="H187" s="11" t="s">
        <v>513</v>
      </c>
    </row>
    <row r="188" spans="1:8">
      <c r="A188" s="9" t="s">
        <v>1182</v>
      </c>
      <c r="B188" s="10"/>
      <c r="C188" s="10"/>
      <c r="D188" s="10"/>
      <c r="E188" s="10" t="s">
        <v>513</v>
      </c>
      <c r="F188" s="10" t="s">
        <v>513</v>
      </c>
      <c r="G188" s="10">
        <f>'MRF &amp; RDF Sorting'!C152*'MRF &amp; RDF Sorting'!D137</f>
        <v>0</v>
      </c>
      <c r="H188" s="11">
        <f>'MRF &amp; RDF Sorting'!C153*'MRF &amp; RDF Sorting'!D137</f>
        <v>0</v>
      </c>
    </row>
    <row r="189" spans="1:8">
      <c r="A189" s="9" t="s">
        <v>1183</v>
      </c>
      <c r="B189" s="10"/>
      <c r="C189" s="10"/>
      <c r="D189" s="10"/>
      <c r="E189" s="10" t="s">
        <v>513</v>
      </c>
      <c r="F189" s="10" t="s">
        <v>513</v>
      </c>
      <c r="G189" s="10">
        <f>SUM('Biological Treatment'!C41:K41)*'Biological Treatment'!E56</f>
        <v>900000</v>
      </c>
      <c r="H189" s="11" t="s">
        <v>513</v>
      </c>
    </row>
    <row r="190" spans="1:8">
      <c r="A190" s="9" t="s">
        <v>1184</v>
      </c>
      <c r="B190" s="10"/>
      <c r="C190" s="10"/>
      <c r="D190" s="10"/>
      <c r="E190" s="10" t="s">
        <v>513</v>
      </c>
      <c r="F190" s="10">
        <f>CEILING((M103+M104)/'Advanced Variables'!$D$33,1)*'Biological Treatment'!D68*2*'Advanced Variables'!$E$28</f>
        <v>0</v>
      </c>
      <c r="G190" s="10" t="s">
        <v>513</v>
      </c>
      <c r="H190" s="11" t="s">
        <v>513</v>
      </c>
    </row>
    <row r="191" spans="1:8">
      <c r="A191" s="9" t="s">
        <v>1185</v>
      </c>
      <c r="B191" s="10"/>
      <c r="C191" s="10"/>
      <c r="D191" s="10"/>
      <c r="E191" s="10" t="s">
        <v>513</v>
      </c>
      <c r="F191" s="10">
        <f>CEILING((O131+O132)/'Advanced Variables'!$D$33,1)*'Biological Treatment'!E68*2*'Advanced Variables'!$E$28</f>
        <v>728.16000000000008</v>
      </c>
      <c r="G191" s="10" t="s">
        <v>513</v>
      </c>
      <c r="H191" s="11" t="s">
        <v>513</v>
      </c>
    </row>
    <row r="192" spans="1:8">
      <c r="A192" s="9" t="s">
        <v>1186</v>
      </c>
      <c r="B192" s="10"/>
      <c r="C192" s="10"/>
      <c r="D192" s="10"/>
      <c r="E192" s="10" t="s">
        <v>513</v>
      </c>
      <c r="F192" s="10" t="s">
        <v>513</v>
      </c>
      <c r="G192" s="10">
        <f>SUM('Biological Treatment'!C94:K94)*'Biological Treatment'!E109</f>
        <v>0</v>
      </c>
      <c r="H192" s="11" t="s">
        <v>513</v>
      </c>
    </row>
    <row r="193" spans="1:8">
      <c r="A193" s="9" t="s">
        <v>1187</v>
      </c>
      <c r="B193" s="10"/>
      <c r="C193" s="10"/>
      <c r="D193" s="10"/>
      <c r="E193" s="10" t="s">
        <v>513</v>
      </c>
      <c r="F193" s="10" t="s">
        <v>513</v>
      </c>
      <c r="G193" s="10">
        <f>-('Biological Treatment'!C97+'Biological Treatment'!J97)*'Biological Treatment'!E110</f>
        <v>0</v>
      </c>
      <c r="H193" s="11" t="s">
        <v>513</v>
      </c>
    </row>
    <row r="194" spans="1:8">
      <c r="A194" s="9" t="s">
        <v>1188</v>
      </c>
      <c r="B194" s="10"/>
      <c r="C194" s="10"/>
      <c r="D194" s="10"/>
      <c r="E194" s="10" t="s">
        <v>513</v>
      </c>
      <c r="F194" s="10">
        <f>CEILING((M105+M106)/'Advanced Variables'!$D$33,1)*'Biological Treatment'!D122*2*'Advanced Variables'!$E$28</f>
        <v>0</v>
      </c>
      <c r="G194" s="10" t="s">
        <v>513</v>
      </c>
      <c r="H194" s="11" t="s">
        <v>513</v>
      </c>
    </row>
    <row r="195" spans="1:8">
      <c r="A195" s="9" t="s">
        <v>1189</v>
      </c>
      <c r="B195" s="10"/>
      <c r="C195" s="10"/>
      <c r="D195" s="10"/>
      <c r="E195" s="10" t="s">
        <v>513</v>
      </c>
      <c r="F195" s="10">
        <f>CEILING((O133+O134)/'Advanced Variables'!$D$33,1)*'Biological Treatment'!E122*2*'Advanced Variables'!$E$28</f>
        <v>0</v>
      </c>
      <c r="G195" s="10" t="s">
        <v>513</v>
      </c>
      <c r="H195" s="11" t="s">
        <v>513</v>
      </c>
    </row>
    <row r="196" spans="1:8">
      <c r="A196" s="9" t="s">
        <v>1190</v>
      </c>
      <c r="B196" s="10"/>
      <c r="C196" s="10"/>
      <c r="D196" s="10"/>
      <c r="E196" s="10" t="s">
        <v>513</v>
      </c>
      <c r="F196" s="10" t="s">
        <v>513</v>
      </c>
      <c r="G196" s="10">
        <f>SUMPRODUCT('Thermal Treatment'!D38:M38,'Thermal Treatment'!C61:L61)</f>
        <v>7175000</v>
      </c>
      <c r="H196" s="11">
        <f>SUMPRODUCT('Thermal Treatment'!D38:M38,'Thermal Treatment'!C60:L60)</f>
        <v>23575</v>
      </c>
    </row>
    <row r="197" spans="1:8">
      <c r="A197" s="9" t="s">
        <v>1191</v>
      </c>
      <c r="B197" s="10"/>
      <c r="C197" s="10"/>
      <c r="D197" s="10"/>
      <c r="E197" s="10" t="s">
        <v>513</v>
      </c>
      <c r="F197" s="10" t="s">
        <v>513</v>
      </c>
      <c r="G197" s="10">
        <f>-SUM('Thermal Treatment'!D38:M38)*'Thermal Treatment'!E48*'Thermal Treatment'!$E$49*'Advanced Variables'!$B$105</f>
        <v>-72161983.54124999</v>
      </c>
      <c r="H197" s="11" t="s">
        <v>513</v>
      </c>
    </row>
    <row r="198" spans="1:8">
      <c r="A198" s="9" t="s">
        <v>1192</v>
      </c>
      <c r="B198" s="10"/>
      <c r="C198" s="10"/>
      <c r="D198" s="10"/>
      <c r="E198" s="10" t="s">
        <v>513</v>
      </c>
      <c r="F198" s="54">
        <f>CEILING((SUMPRODUCT('Thermal Treatment'!D38:E38,'Thermal Treatment'!C72:D72)+'Thermal Treatment'!F38*(1-'Thermal Treatment'!E80)*'Thermal Treatment'!E72+SUMPRODUCT('Thermal Treatment'!G38:M38,'Thermal Treatment'!F72:L72))/'Advanced Variables'!$D$33,1)*'Thermal Treatment'!F83*2*'Advanced Variables'!$E$28</f>
        <v>3526</v>
      </c>
      <c r="G198" s="10" t="s">
        <v>513</v>
      </c>
      <c r="H198" s="11" t="s">
        <v>513</v>
      </c>
    </row>
    <row r="199" spans="1:8">
      <c r="A199" s="9" t="s">
        <v>1193</v>
      </c>
      <c r="B199" s="10"/>
      <c r="C199" s="10"/>
      <c r="D199" s="10"/>
      <c r="E199" s="10" t="s">
        <v>513</v>
      </c>
      <c r="F199" s="10">
        <f>CEILING(N137/'Advanced Variables'!$D$33,1)*'Thermal Treatment'!F84*2*'Advanced Variables'!$E$28</f>
        <v>537.92000000000007</v>
      </c>
      <c r="G199" s="10" t="s">
        <v>513</v>
      </c>
      <c r="H199" s="11" t="s">
        <v>513</v>
      </c>
    </row>
    <row r="200" spans="1:8">
      <c r="A200" s="9" t="s">
        <v>1194</v>
      </c>
      <c r="B200" s="10"/>
      <c r="C200" s="10"/>
      <c r="D200" s="10"/>
      <c r="E200" s="10" t="s">
        <v>513</v>
      </c>
      <c r="F200" s="10" t="s">
        <v>513</v>
      </c>
      <c r="G200" s="10">
        <f>SUMPRODUCT('Thermal Treatment'!D108:M108,'Thermal Treatment'!C131:L131)</f>
        <v>0</v>
      </c>
      <c r="H200" s="11">
        <f>SUMPRODUCT('Thermal Treatment'!D108:M108,'Thermal Treatment'!C130:L130)</f>
        <v>0</v>
      </c>
    </row>
    <row r="201" spans="1:8">
      <c r="A201" s="9" t="s">
        <v>1195</v>
      </c>
      <c r="B201" s="10"/>
      <c r="C201" s="10"/>
      <c r="D201" s="10"/>
      <c r="E201" s="10" t="s">
        <v>513</v>
      </c>
      <c r="F201" s="10" t="s">
        <v>513</v>
      </c>
      <c r="G201" s="10">
        <f>-SUM('Thermal Treatment'!D108:M108)*'Thermal Treatment'!E118*'Thermal Treatment'!E119*'Advanced Variables'!$B$105</f>
        <v>0</v>
      </c>
      <c r="H201" s="11" t="s">
        <v>513</v>
      </c>
    </row>
    <row r="202" spans="1:8">
      <c r="A202" s="9" t="s">
        <v>1196</v>
      </c>
      <c r="B202" s="10"/>
      <c r="C202" s="10"/>
      <c r="D202" s="10"/>
      <c r="E202" s="10" t="s">
        <v>513</v>
      </c>
      <c r="F202" s="10">
        <f>CEILING((SUMPRODUCT('Thermal Treatment'!D108:E108,'Thermal Treatment'!C142:D142)+'Thermal Treatment'!F108*(1-'Thermal Treatment'!E150)*'Thermal Treatment'!E142+SUMPRODUCT('Thermal Treatment'!G108:M108,'Thermal Treatment'!F142:L142))/'Advanced Variables'!$D$33,1)*'Thermal Treatment'!F153*2*'Advanced Variables'!$E$28</f>
        <v>0</v>
      </c>
      <c r="G202" s="10" t="s">
        <v>513</v>
      </c>
      <c r="H202" s="11" t="s">
        <v>513</v>
      </c>
    </row>
    <row r="203" spans="1:8">
      <c r="A203" s="9" t="s">
        <v>1197</v>
      </c>
      <c r="B203" s="10"/>
      <c r="C203" s="10"/>
      <c r="D203" s="10"/>
      <c r="E203" s="10" t="s">
        <v>513</v>
      </c>
      <c r="F203" s="10">
        <f>CEILING(N139/'Advanced Variables'!$D$33,1)*'Thermal Treatment'!F154*2*'Advanced Variables'!$E$28</f>
        <v>0</v>
      </c>
      <c r="G203" s="10" t="s">
        <v>513</v>
      </c>
      <c r="H203" s="11" t="s">
        <v>513</v>
      </c>
    </row>
    <row r="204" spans="1:8">
      <c r="A204" s="9" t="s">
        <v>1198</v>
      </c>
      <c r="B204" s="10"/>
      <c r="C204" s="10"/>
      <c r="D204" s="10"/>
      <c r="E204" s="10" t="s">
        <v>513</v>
      </c>
      <c r="F204" s="10" t="s">
        <v>513</v>
      </c>
      <c r="G204" s="10">
        <f>'Thermal Treatment'!E177*'Thermal Treatment'!C187</f>
        <v>0</v>
      </c>
      <c r="H204" s="11">
        <f>'Thermal Treatment'!E177*'Thermal Treatment'!C186</f>
        <v>0</v>
      </c>
    </row>
    <row r="205" spans="1:8">
      <c r="A205" s="9" t="s">
        <v>1199</v>
      </c>
      <c r="B205" s="10"/>
      <c r="C205" s="10"/>
      <c r="D205" s="10"/>
      <c r="E205" s="10" t="s">
        <v>513</v>
      </c>
      <c r="F205" s="10" t="s">
        <v>513</v>
      </c>
      <c r="G205" s="10">
        <f>-'Thermal Treatment'!E177*'Thermal Treatment'!E178*'Thermal Treatment'!E179*'Advanced Variables'!$B$105</f>
        <v>0</v>
      </c>
      <c r="H205" s="11" t="s">
        <v>513</v>
      </c>
    </row>
    <row r="206" spans="1:8">
      <c r="A206" s="9" t="s">
        <v>1200</v>
      </c>
      <c r="B206" s="10"/>
      <c r="C206" s="10"/>
      <c r="D206" s="10"/>
      <c r="E206" s="10" t="s">
        <v>513</v>
      </c>
      <c r="F206" s="10">
        <f>CEILING('Thermal Treatment'!E177*'Thermal Treatment'!C197/'Advanced Variables'!$D$33,1)*'Thermal Treatment'!F204*2*'Advanced Variables'!$E$28</f>
        <v>0</v>
      </c>
      <c r="G206" s="10" t="s">
        <v>513</v>
      </c>
      <c r="H206" s="11" t="s">
        <v>513</v>
      </c>
    </row>
    <row r="207" spans="1:8">
      <c r="A207" s="9" t="s">
        <v>1201</v>
      </c>
      <c r="B207" s="10"/>
      <c r="C207" s="10"/>
      <c r="D207" s="10"/>
      <c r="E207" s="10" t="s">
        <v>513</v>
      </c>
      <c r="F207" s="10">
        <f>CEILING('Thermal Treatment'!E177*'Thermal Treatment'!C196/'Advanced Variables'!$D$33,1)*'Thermal Treatment'!F204*2*'Advanced Variables'!$E$28</f>
        <v>0</v>
      </c>
      <c r="G207" s="10" t="s">
        <v>513</v>
      </c>
      <c r="H207" s="11" t="s">
        <v>513</v>
      </c>
    </row>
    <row r="208" spans="1:8">
      <c r="A208" s="9" t="s">
        <v>1202</v>
      </c>
      <c r="B208" s="10"/>
      <c r="C208" s="10"/>
      <c r="D208" s="10"/>
      <c r="E208" s="10" t="s">
        <v>513</v>
      </c>
      <c r="F208" s="10" t="s">
        <v>513</v>
      </c>
      <c r="G208" s="10">
        <f>'Thermal Treatment'!F177*'Thermal Treatment'!D187</f>
        <v>0</v>
      </c>
      <c r="H208" s="11">
        <f>'Thermal Treatment'!F177*'Thermal Treatment'!D186</f>
        <v>0</v>
      </c>
    </row>
    <row r="209" spans="1:8">
      <c r="A209" s="9" t="s">
        <v>1203</v>
      </c>
      <c r="B209" s="10"/>
      <c r="C209" s="10"/>
      <c r="D209" s="10"/>
      <c r="E209" s="10" t="s">
        <v>513</v>
      </c>
      <c r="F209" s="10" t="s">
        <v>513</v>
      </c>
      <c r="G209" s="10">
        <f>-'Thermal Treatment'!F177*'Thermal Treatment'!F178*'Thermal Treatment'!F179*'Advanced Variables'!$B$105</f>
        <v>0</v>
      </c>
      <c r="H209" s="11" t="s">
        <v>513</v>
      </c>
    </row>
    <row r="210" spans="1:8">
      <c r="A210" s="9" t="s">
        <v>1204</v>
      </c>
      <c r="B210" s="10"/>
      <c r="C210" s="10"/>
      <c r="D210" s="10"/>
      <c r="E210" s="10" t="s">
        <v>513</v>
      </c>
      <c r="F210" s="10">
        <f>CEILING('Thermal Treatment'!F177*'Thermal Treatment'!D197/'Advanced Variables'!$D$33,1)*'Thermal Treatment'!G204*2*'Advanced Variables'!$E$28</f>
        <v>0</v>
      </c>
      <c r="G210" s="10" t="s">
        <v>513</v>
      </c>
      <c r="H210" s="11" t="s">
        <v>513</v>
      </c>
    </row>
    <row r="211" spans="1:8">
      <c r="A211" s="9" t="s">
        <v>1205</v>
      </c>
      <c r="B211" s="10"/>
      <c r="C211" s="10"/>
      <c r="D211" s="10"/>
      <c r="E211" s="10" t="s">
        <v>513</v>
      </c>
      <c r="F211" s="10">
        <f>CEILING('Thermal Treatment'!F177*'Thermal Treatment'!D196/'Advanced Variables'!$D$33,1)*'Thermal Treatment'!G205*2*'Advanced Variables'!$E$28</f>
        <v>0</v>
      </c>
      <c r="G211" s="10" t="s">
        <v>513</v>
      </c>
      <c r="H211" s="11" t="s">
        <v>513</v>
      </c>
    </row>
    <row r="212" spans="1:8">
      <c r="A212" s="9" t="s">
        <v>1206</v>
      </c>
      <c r="B212" s="10"/>
      <c r="C212" s="10"/>
      <c r="D212" s="10"/>
      <c r="E212" s="10" t="s">
        <v>513</v>
      </c>
      <c r="F212" s="10" t="s">
        <v>513</v>
      </c>
      <c r="G212" s="10">
        <f>SUMPRODUCT('Thermal Treatment'!E224:F224,'Thermal Treatment'!C234:D234)</f>
        <v>0</v>
      </c>
      <c r="H212" s="11">
        <f>SUMPRODUCT('Thermal Treatment'!E224:F224,'Thermal Treatment'!C233:D233)</f>
        <v>0</v>
      </c>
    </row>
    <row r="213" spans="1:8">
      <c r="A213" s="9" t="s">
        <v>1207</v>
      </c>
      <c r="B213" s="10"/>
      <c r="C213" s="10"/>
      <c r="D213" s="10"/>
      <c r="E213" s="10" t="s">
        <v>513</v>
      </c>
      <c r="F213" s="10" t="s">
        <v>513</v>
      </c>
      <c r="G213" s="10">
        <f>-'Thermal Treatment'!G224*'Thermal Treatment'!E225*'Thermal Treatment'!E226*'Advanced Variables'!$B$105</f>
        <v>0</v>
      </c>
      <c r="H213" s="11" t="s">
        <v>513</v>
      </c>
    </row>
    <row r="214" spans="1:8">
      <c r="A214" s="9" t="s">
        <v>1208</v>
      </c>
      <c r="B214" s="10"/>
      <c r="C214" s="10"/>
      <c r="D214" s="10"/>
      <c r="E214" s="10" t="s">
        <v>513</v>
      </c>
      <c r="F214" s="10">
        <f>CEILING(SUMPRODUCT('Thermal Treatment'!E224:F224,'Thermal Treatment'!C244:D244)/'Advanced Variables'!$D$33,1)*'Thermal Treatment'!F249*2*'Advanced Variables'!$E$28</f>
        <v>0</v>
      </c>
      <c r="G214" s="10" t="s">
        <v>513</v>
      </c>
      <c r="H214" s="11" t="s">
        <v>513</v>
      </c>
    </row>
    <row r="215" spans="1:8">
      <c r="A215" s="9" t="s">
        <v>1209</v>
      </c>
      <c r="B215" s="10"/>
      <c r="C215" s="10"/>
      <c r="D215" s="10"/>
      <c r="E215" s="10" t="s">
        <v>513</v>
      </c>
      <c r="F215" s="10">
        <f>CEILING(SUMPRODUCT('Thermal Treatment'!E224:F224,'Thermal Treatment'!C243:D243)/'Advanced Variables'!$D$33,1)*'Thermal Treatment'!F250*2*'Advanced Variables'!$E$28</f>
        <v>0</v>
      </c>
      <c r="G215" s="10" t="s">
        <v>513</v>
      </c>
      <c r="H215" s="11" t="s">
        <v>513</v>
      </c>
    </row>
    <row r="216" spans="1:8">
      <c r="A216" s="9" t="s">
        <v>1210</v>
      </c>
      <c r="B216" s="10"/>
      <c r="C216" s="10"/>
      <c r="D216" s="10"/>
      <c r="E216" s="10" t="s">
        <v>513</v>
      </c>
      <c r="F216" s="10">
        <f>Landfilling!F136*Landfilling!F138</f>
        <v>0</v>
      </c>
      <c r="G216" s="10">
        <f>Landfilling!F136*Landfilling!F137</f>
        <v>0</v>
      </c>
      <c r="H216" s="11" t="s">
        <v>513</v>
      </c>
    </row>
    <row r="217" spans="1:8">
      <c r="A217" s="9" t="s">
        <v>1211</v>
      </c>
      <c r="B217" s="10"/>
      <c r="C217" s="10"/>
      <c r="D217" s="10"/>
      <c r="E217" s="10" t="s">
        <v>513</v>
      </c>
      <c r="F217" s="10">
        <f>Landfilling!G136*Landfilling!G138</f>
        <v>0</v>
      </c>
      <c r="G217" s="10">
        <f>Landfilling!G136*Landfilling!G137</f>
        <v>0</v>
      </c>
      <c r="H217" s="11" t="s">
        <v>513</v>
      </c>
    </row>
    <row r="218" spans="1:8">
      <c r="A218" s="9" t="s">
        <v>1219</v>
      </c>
      <c r="B218" s="10"/>
      <c r="C218" s="10"/>
      <c r="D218" s="10"/>
      <c r="E218" s="10" t="s">
        <v>513</v>
      </c>
      <c r="F218" s="10">
        <f>CEILING(Landfilling!F136/'Advanced Variables'!$D$33,1)*Landfilling!F139*2*'Advanced Variables'!$E$28</f>
        <v>0</v>
      </c>
      <c r="G218" s="10" t="s">
        <v>513</v>
      </c>
      <c r="H218" s="11" t="s">
        <v>513</v>
      </c>
    </row>
    <row r="219" spans="1:8">
      <c r="A219" s="9" t="s">
        <v>1220</v>
      </c>
      <c r="B219" s="10"/>
      <c r="C219" s="10"/>
      <c r="D219" s="10"/>
      <c r="E219" s="10" t="s">
        <v>513</v>
      </c>
      <c r="F219" s="10">
        <f>CEILING(Landfilling!G136/'Advanced Variables'!$D$33,1)*Landfilling!G139*2*'Advanced Variables'!$E$28</f>
        <v>0</v>
      </c>
      <c r="G219" s="10" t="s">
        <v>513</v>
      </c>
      <c r="H219" s="11" t="s">
        <v>513</v>
      </c>
    </row>
    <row r="220" spans="1:8">
      <c r="A220" s="9" t="s">
        <v>1212</v>
      </c>
      <c r="B220" s="10"/>
      <c r="C220" s="10"/>
      <c r="D220" s="10"/>
      <c r="E220" s="10" t="s">
        <v>513</v>
      </c>
      <c r="F220" s="54">
        <f>Landfilling!D92*Landfilling!F147</f>
        <v>22293.393749999999</v>
      </c>
      <c r="G220" s="10">
        <f>Landfilling!D92*Landfilling!F146</f>
        <v>0</v>
      </c>
      <c r="H220" s="11" t="s">
        <v>513</v>
      </c>
    </row>
    <row r="221" spans="1:8">
      <c r="A221" s="9" t="s">
        <v>1213</v>
      </c>
      <c r="B221" s="10"/>
      <c r="C221" s="10"/>
      <c r="D221" s="10"/>
      <c r="E221" s="10" t="s">
        <v>513</v>
      </c>
      <c r="F221" s="10">
        <f>Landfilling!E92*Landfilling!F181</f>
        <v>0</v>
      </c>
      <c r="G221" s="10">
        <f>Landfilling!E92*Landfilling!F180</f>
        <v>0</v>
      </c>
      <c r="H221" s="11" t="s">
        <v>513</v>
      </c>
    </row>
    <row r="222" spans="1:8">
      <c r="A222" s="9" t="s">
        <v>1214</v>
      </c>
      <c r="B222" s="10"/>
      <c r="C222" s="10"/>
      <c r="D222" s="10"/>
      <c r="E222" s="10" t="s">
        <v>513</v>
      </c>
      <c r="F222" s="10" t="s">
        <v>513</v>
      </c>
      <c r="G222" s="10">
        <f>-(SUMPRODUCT(Landfilling!B85:C85,Landfilling!D110:E110)+(Landfilling!D85+Landfilling!E85)*Landfilling!F110+(Landfilling!F85+Landfilling!G85)*Landfilling!G110+SUMPRODUCT(Landfilling!H85:L85,Landfilling!H110:L110))*Landfilling!$D$108*Landfilling!D155*Landfilling!I154*Landfilling!I155*'Advanced Variables'!$B$106</f>
        <v>-1644517.6875000002</v>
      </c>
      <c r="H222" s="11" t="s">
        <v>513</v>
      </c>
    </row>
    <row r="223" spans="1:8" ht="15.75" thickBot="1">
      <c r="A223" s="12" t="s">
        <v>1215</v>
      </c>
      <c r="B223" s="13"/>
      <c r="C223" s="13"/>
      <c r="D223" s="13"/>
      <c r="E223" s="13" t="s">
        <v>513</v>
      </c>
      <c r="F223" s="98">
        <f>CEILING(2*SUMPRODUCT('Materials Recycling'!D40:K40,'Materials Recycling'!G10:N10)/'Advanced Variables'!$D$33,1)*'Advanced Variables'!$E$28</f>
        <v>36858.344000000005</v>
      </c>
      <c r="G223" s="13" t="s">
        <v>513</v>
      </c>
      <c r="H223" s="14" t="s">
        <v>513</v>
      </c>
    </row>
    <row r="225" spans="1:5">
      <c r="A225" s="62" t="s">
        <v>174</v>
      </c>
    </row>
    <row r="226" spans="1:5" ht="15.75" thickBot="1">
      <c r="A226" t="s">
        <v>1221</v>
      </c>
    </row>
    <row r="227" spans="1:5">
      <c r="A227" s="93" t="s">
        <v>1089</v>
      </c>
      <c r="B227" s="7"/>
      <c r="C227" s="7"/>
      <c r="D227" s="7"/>
      <c r="E227" s="79" t="s">
        <v>82</v>
      </c>
    </row>
    <row r="228" spans="1:5">
      <c r="A228" s="9" t="s">
        <v>1222</v>
      </c>
      <c r="B228" s="10"/>
      <c r="C228" s="10"/>
      <c r="D228" s="10"/>
      <c r="E228" s="99">
        <f>'Waste Collection'!J36</f>
        <v>7000000</v>
      </c>
    </row>
    <row r="229" spans="1:5">
      <c r="A229" s="18" t="s">
        <v>1058</v>
      </c>
      <c r="B229" s="10"/>
      <c r="C229" s="10"/>
      <c r="D229" s="10"/>
      <c r="E229" s="99">
        <f>-'Waste Collection'!$G$11*SUMPRODUCT(('Waste Collection'!E48:K48)/1000,'Waste Collection'!E49:K49)</f>
        <v>-423750</v>
      </c>
    </row>
    <row r="230" spans="1:5">
      <c r="A230" s="9" t="s">
        <v>1223</v>
      </c>
      <c r="B230" s="10"/>
      <c r="C230" s="10"/>
      <c r="D230" s="10"/>
      <c r="E230" s="99">
        <f>'Waste Collection'!$G$11*'Waste Collection'!L61/1000*'Waste Collection'!$H$65</f>
        <v>0</v>
      </c>
    </row>
    <row r="231" spans="1:5">
      <c r="A231" s="9" t="s">
        <v>1224</v>
      </c>
      <c r="B231" s="10"/>
      <c r="C231" s="10"/>
      <c r="D231" s="10"/>
      <c r="E231" s="99">
        <f>-'Waste Input'!$B$8*SUMPRODUCT('Waste Collection'!E74:I74,('Waste Input'!B27:F27)/1000,'Waste Collection'!E73:I73)</f>
        <v>0</v>
      </c>
    </row>
    <row r="232" spans="1:5">
      <c r="A232" s="9" t="s">
        <v>1225</v>
      </c>
      <c r="B232" s="10"/>
      <c r="C232" s="10"/>
      <c r="D232" s="10"/>
      <c r="E232" s="99">
        <f>'Waste Input'!$B$8*(SUM('Waste Input'!B27:G27)+'Waste Input'!B30)/1000*'Waste Collection'!$I$86</f>
        <v>0</v>
      </c>
    </row>
    <row r="233" spans="1:5">
      <c r="A233" s="9" t="s">
        <v>1228</v>
      </c>
      <c r="B233" s="10"/>
      <c r="C233" s="10"/>
      <c r="D233" s="10"/>
      <c r="E233" s="99">
        <f>-SUM('Waste Collection'!E103:F103)*'Waste Collection'!K103</f>
        <v>0</v>
      </c>
    </row>
    <row r="234" spans="1:5">
      <c r="A234" s="9" t="s">
        <v>1226</v>
      </c>
      <c r="B234" s="10"/>
      <c r="C234" s="10"/>
      <c r="D234" s="10"/>
      <c r="E234" s="99">
        <f>-'Waste Collection'!L92*'Waste Collection'!K95</f>
        <v>0</v>
      </c>
    </row>
    <row r="235" spans="1:5">
      <c r="A235" s="9" t="s">
        <v>1227</v>
      </c>
      <c r="B235" s="10"/>
      <c r="C235" s="10"/>
      <c r="D235" s="10"/>
      <c r="E235" s="99">
        <f>-('Waste Input'!B33-'Waste Collection'!L92-SUM('Waste Collection'!E103:F103))*'Waste Collection'!I108</f>
        <v>0</v>
      </c>
    </row>
    <row r="236" spans="1:5">
      <c r="A236" s="9" t="s">
        <v>1229</v>
      </c>
      <c r="B236" s="10"/>
      <c r="C236" s="10"/>
      <c r="D236" s="10"/>
      <c r="E236" s="99">
        <f>M102*'MRF &amp; RDF Sorting'!G35</f>
        <v>0</v>
      </c>
    </row>
    <row r="237" spans="1:5">
      <c r="A237" s="9" t="s">
        <v>1230</v>
      </c>
      <c r="B237" s="10"/>
      <c r="C237" s="10"/>
      <c r="D237" s="10"/>
      <c r="E237" s="99">
        <f>O124*'MRF &amp; RDF Sorting'!G36</f>
        <v>7956.25</v>
      </c>
    </row>
    <row r="238" spans="1:5">
      <c r="A238" s="9" t="s">
        <v>1231</v>
      </c>
      <c r="B238" s="10"/>
      <c r="C238" s="10"/>
      <c r="D238" s="10"/>
      <c r="E238" s="99">
        <f>'MRF &amp; RDF Sorting'!B40*SUM('MRF &amp; RDF Sorting'!B7:J7)</f>
        <v>47500</v>
      </c>
    </row>
    <row r="239" spans="1:5">
      <c r="A239" s="9" t="s">
        <v>1232</v>
      </c>
      <c r="B239" s="10"/>
      <c r="C239" s="10"/>
      <c r="D239" s="10"/>
      <c r="E239" s="99">
        <f>-SUMPRODUCT('MRF &amp; RDF Sorting'!B46:H46,Streams!C149:I149)</f>
        <v>0</v>
      </c>
    </row>
    <row r="240" spans="1:5">
      <c r="A240" s="9" t="s">
        <v>1233</v>
      </c>
      <c r="B240" s="10"/>
      <c r="C240" s="10"/>
      <c r="D240" s="10"/>
      <c r="E240" s="99">
        <f>'MRF &amp; RDF Sorting'!H96*'MRF &amp; RDF Sorting'!D76</f>
        <v>0</v>
      </c>
    </row>
    <row r="241" spans="1:5">
      <c r="A241" s="9" t="s">
        <v>1234</v>
      </c>
      <c r="B241" s="10"/>
      <c r="C241" s="10"/>
      <c r="D241" s="10"/>
      <c r="E241" s="99">
        <f>-M51*'MRF &amp; RDF Sorting'!F99</f>
        <v>0</v>
      </c>
    </row>
    <row r="242" spans="1:5">
      <c r="A242" s="9" t="s">
        <v>1178</v>
      </c>
      <c r="B242" s="10"/>
      <c r="C242" s="10"/>
      <c r="D242" s="10"/>
      <c r="E242" s="99">
        <f>-(M52+M53)*'MRF &amp; RDF Sorting'!F100</f>
        <v>0</v>
      </c>
    </row>
    <row r="243" spans="1:5">
      <c r="A243" s="9" t="s">
        <v>1235</v>
      </c>
      <c r="B243" s="10"/>
      <c r="C243" s="10"/>
      <c r="D243" s="10"/>
      <c r="E243" s="99">
        <f>M49*'MRF &amp; RDF Sorting'!F101</f>
        <v>0</v>
      </c>
    </row>
    <row r="244" spans="1:5">
      <c r="A244" s="9" t="s">
        <v>1236</v>
      </c>
      <c r="B244" s="10"/>
      <c r="C244" s="10"/>
      <c r="D244" s="10"/>
      <c r="E244" s="99">
        <f>M50*'MRF &amp; RDF Sorting'!F102</f>
        <v>0</v>
      </c>
    </row>
    <row r="245" spans="1:5">
      <c r="A245" s="9" t="s">
        <v>1237</v>
      </c>
      <c r="B245" s="10"/>
      <c r="C245" s="10"/>
      <c r="D245" s="10"/>
      <c r="E245" s="99">
        <f>'MRF &amp; RDF Sorting'!H157*'MRF &amp; RDF Sorting'!D137</f>
        <v>0</v>
      </c>
    </row>
    <row r="246" spans="1:5">
      <c r="A246" s="9" t="s">
        <v>1238</v>
      </c>
      <c r="B246" s="10"/>
      <c r="C246" s="10"/>
      <c r="D246" s="10"/>
      <c r="E246" s="99">
        <f>-M65*'MRF &amp; RDF Sorting'!F160</f>
        <v>0</v>
      </c>
    </row>
    <row r="247" spans="1:5">
      <c r="A247" s="9" t="s">
        <v>1181</v>
      </c>
      <c r="B247" s="10"/>
      <c r="C247" s="10"/>
      <c r="D247" s="10"/>
      <c r="E247" s="99">
        <f>-(M66+M67)*'MRF &amp; RDF Sorting'!F161</f>
        <v>0</v>
      </c>
    </row>
    <row r="248" spans="1:5">
      <c r="A248" s="9" t="s">
        <v>1239</v>
      </c>
      <c r="B248" s="10"/>
      <c r="C248" s="10"/>
      <c r="D248" s="10"/>
      <c r="E248" s="99">
        <f>M63*'MRF &amp; RDF Sorting'!F162</f>
        <v>0</v>
      </c>
    </row>
    <row r="249" spans="1:5">
      <c r="A249" s="9" t="s">
        <v>1240</v>
      </c>
      <c r="B249" s="10"/>
      <c r="C249" s="10"/>
      <c r="D249" s="10"/>
      <c r="E249" s="99">
        <f>M64*'MRF &amp; RDF Sorting'!F163</f>
        <v>0</v>
      </c>
    </row>
    <row r="250" spans="1:5">
      <c r="A250" s="9" t="s">
        <v>1241</v>
      </c>
      <c r="B250" s="10"/>
      <c r="C250" s="10"/>
      <c r="D250" s="10"/>
      <c r="E250" s="99">
        <f>'Biological Treatment'!D82*SUM('Biological Treatment'!C41:K41)</f>
        <v>60000</v>
      </c>
    </row>
    <row r="251" spans="1:5">
      <c r="A251" s="9" t="s">
        <v>1244</v>
      </c>
      <c r="B251" s="10"/>
      <c r="C251" s="10"/>
      <c r="D251" s="10"/>
      <c r="E251" s="99">
        <f>(M103+M104)*'Biological Treatment'!D69</f>
        <v>0</v>
      </c>
    </row>
    <row r="252" spans="1:5">
      <c r="A252" s="9" t="s">
        <v>1245</v>
      </c>
      <c r="B252" s="10"/>
      <c r="C252" s="10"/>
      <c r="D252" s="10"/>
      <c r="E252" s="99">
        <f>(O131+O132)*'Biological Treatment'!E69</f>
        <v>2212.5</v>
      </c>
    </row>
    <row r="253" spans="1:5">
      <c r="A253" s="9" t="s">
        <v>1242</v>
      </c>
      <c r="B253" s="10"/>
      <c r="C253" s="10"/>
      <c r="D253" s="10"/>
      <c r="E253" s="99">
        <f>-'Biological Treatment'!C54*'Biological Treatment'!D83</f>
        <v>0</v>
      </c>
    </row>
    <row r="254" spans="1:5">
      <c r="A254" s="9" t="s">
        <v>1243</v>
      </c>
      <c r="B254" s="10"/>
      <c r="C254" s="10"/>
      <c r="D254" s="10"/>
      <c r="E254" s="99">
        <f>-SUMPRODUCT('Biological Treatment'!D41:I41,'Biological Treatment'!D42:I42,'Biological Treatment'!B75:G75)</f>
        <v>0</v>
      </c>
    </row>
    <row r="255" spans="1:5">
      <c r="A255" s="9" t="s">
        <v>1246</v>
      </c>
      <c r="B255" s="10"/>
      <c r="C255" s="10"/>
      <c r="D255" s="10"/>
      <c r="E255" s="99">
        <f>'Biological Treatment'!D136*SUM('Biological Treatment'!C94:K94)</f>
        <v>0</v>
      </c>
    </row>
    <row r="256" spans="1:5">
      <c r="A256" s="9" t="s">
        <v>1247</v>
      </c>
      <c r="B256" s="10"/>
      <c r="C256" s="10"/>
      <c r="D256" s="10"/>
      <c r="E256" s="99">
        <f>(M105+M106)*'Biological Treatment'!D123</f>
        <v>0</v>
      </c>
    </row>
    <row r="257" spans="1:5">
      <c r="A257" s="9" t="s">
        <v>1248</v>
      </c>
      <c r="B257" s="10"/>
      <c r="C257" s="10"/>
      <c r="D257" s="10"/>
      <c r="E257" s="99">
        <f>(O133+O134)*'Biological Treatment'!E123</f>
        <v>0</v>
      </c>
    </row>
    <row r="258" spans="1:5">
      <c r="A258" s="9" t="s">
        <v>1249</v>
      </c>
      <c r="B258" s="10"/>
      <c r="C258" s="10"/>
      <c r="D258" s="10"/>
      <c r="E258" s="99">
        <f>-'Biological Treatment'!C107*'Biological Treatment'!D137</f>
        <v>0</v>
      </c>
    </row>
    <row r="259" spans="1:5">
      <c r="A259" s="9" t="s">
        <v>1250</v>
      </c>
      <c r="B259" s="10"/>
      <c r="C259" s="10"/>
      <c r="D259" s="10"/>
      <c r="E259" s="99">
        <f>-SUMPRODUCT('Biological Treatment'!D94:I94,'Biological Treatment'!D95:I95,'Biological Treatment'!B129:G129)</f>
        <v>0</v>
      </c>
    </row>
    <row r="260" spans="1:5">
      <c r="A260" s="9" t="s">
        <v>1251</v>
      </c>
      <c r="B260" s="10"/>
      <c r="C260" s="10"/>
      <c r="D260" s="10"/>
      <c r="E260" s="99">
        <f>-('Biological Treatment'!C97+'Biological Treatment'!J97)*'Biological Treatment'!E110*'Biological Treatment'!D138</f>
        <v>0</v>
      </c>
    </row>
    <row r="261" spans="1:5">
      <c r="A261" s="9" t="s">
        <v>1252</v>
      </c>
      <c r="B261" s="10"/>
      <c r="C261" s="10"/>
      <c r="D261" s="10"/>
      <c r="E261" s="99">
        <f>'Thermal Treatment'!E47*'Thermal Treatment'!E91</f>
        <v>4100000</v>
      </c>
    </row>
    <row r="262" spans="1:5">
      <c r="A262" s="9" t="s">
        <v>1253</v>
      </c>
      <c r="B262" s="10"/>
      <c r="C262" s="10"/>
      <c r="D262" s="10"/>
      <c r="E262" s="99">
        <f>M137*'Thermal Treatment'!F95</f>
        <v>21486.90625</v>
      </c>
    </row>
    <row r="263" spans="1:5">
      <c r="A263" s="9" t="s">
        <v>1254</v>
      </c>
      <c r="B263" s="10"/>
      <c r="C263" s="10"/>
      <c r="D263" s="10"/>
      <c r="E263" s="99">
        <f>N137*'Thermal Treatment'!F96</f>
        <v>3279.9999999999995</v>
      </c>
    </row>
    <row r="264" spans="1:5">
      <c r="A264" s="9" t="s">
        <v>1255</v>
      </c>
      <c r="B264" s="10"/>
      <c r="C264" s="10"/>
      <c r="D264" s="10"/>
      <c r="E264" s="99">
        <f>G197*'Thermal Treatment'!E92</f>
        <v>-432971.90124749998</v>
      </c>
    </row>
    <row r="265" spans="1:5">
      <c r="A265" s="9" t="s">
        <v>1256</v>
      </c>
      <c r="B265" s="10"/>
      <c r="C265" s="10"/>
      <c r="D265" s="10"/>
      <c r="E265" s="99">
        <f>-L157*'Thermal Treatment'!E93</f>
        <v>0</v>
      </c>
    </row>
    <row r="266" spans="1:5">
      <c r="A266" s="9" t="s">
        <v>1257</v>
      </c>
      <c r="B266" s="10"/>
      <c r="C266" s="10"/>
      <c r="D266" s="10"/>
      <c r="E266" s="99">
        <f>'Thermal Treatment'!E117*'Thermal Treatment'!E161</f>
        <v>0</v>
      </c>
    </row>
    <row r="267" spans="1:5">
      <c r="A267" s="9" t="s">
        <v>1258</v>
      </c>
      <c r="B267" s="10"/>
      <c r="C267" s="10"/>
      <c r="D267" s="10"/>
      <c r="E267" s="99">
        <f>M139*'Thermal Treatment'!F165</f>
        <v>0</v>
      </c>
    </row>
    <row r="268" spans="1:5">
      <c r="A268" s="9" t="s">
        <v>1259</v>
      </c>
      <c r="B268" s="10"/>
      <c r="C268" s="10"/>
      <c r="D268" s="10"/>
      <c r="E268" s="99">
        <f>N137*'Thermal Treatment'!F166</f>
        <v>0</v>
      </c>
    </row>
    <row r="269" spans="1:5">
      <c r="A269" s="9" t="s">
        <v>1260</v>
      </c>
      <c r="B269" s="10"/>
      <c r="C269" s="10"/>
      <c r="D269" s="10"/>
      <c r="E269" s="99">
        <f>G201*'Thermal Treatment'!E162</f>
        <v>0</v>
      </c>
    </row>
    <row r="270" spans="1:5">
      <c r="A270" s="9" t="s">
        <v>1261</v>
      </c>
      <c r="B270" s="10"/>
      <c r="C270" s="10"/>
      <c r="D270" s="10"/>
      <c r="E270" s="99">
        <f>-L159*'Thermal Treatment'!E163</f>
        <v>0</v>
      </c>
    </row>
    <row r="271" spans="1:5">
      <c r="A271" s="9" t="s">
        <v>1262</v>
      </c>
      <c r="B271" s="10"/>
      <c r="C271" s="10"/>
      <c r="D271" s="10"/>
      <c r="E271" s="99">
        <f>'Thermal Treatment'!F211*'Thermal Treatment'!E177</f>
        <v>0</v>
      </c>
    </row>
    <row r="272" spans="1:5">
      <c r="A272" s="9" t="s">
        <v>1263</v>
      </c>
      <c r="B272" s="10"/>
      <c r="C272" s="10"/>
      <c r="D272" s="10"/>
      <c r="E272" s="99">
        <f>'Thermal Treatment'!F213*'Thermal Treatment'!C197*'Thermal Treatment'!E177</f>
        <v>0</v>
      </c>
    </row>
    <row r="273" spans="1:5">
      <c r="A273" s="9" t="s">
        <v>1264</v>
      </c>
      <c r="B273" s="10"/>
      <c r="C273" s="10"/>
      <c r="D273" s="10"/>
      <c r="E273" s="99">
        <f>'Thermal Treatment'!F214*'Thermal Treatment'!C196*'Thermal Treatment'!E177</f>
        <v>0</v>
      </c>
    </row>
    <row r="274" spans="1:5">
      <c r="A274" s="9" t="s">
        <v>1265</v>
      </c>
      <c r="B274" s="10"/>
      <c r="C274" s="10"/>
      <c r="D274" s="10"/>
      <c r="E274" s="99">
        <f>G205*'Thermal Treatment'!F212</f>
        <v>0</v>
      </c>
    </row>
    <row r="275" spans="1:5">
      <c r="A275" s="9" t="s">
        <v>1266</v>
      </c>
      <c r="B275" s="10"/>
      <c r="C275" s="10"/>
      <c r="D275" s="10"/>
      <c r="E275" s="99">
        <f>'Thermal Treatment'!G211*'Thermal Treatment'!F177</f>
        <v>0</v>
      </c>
    </row>
    <row r="276" spans="1:5">
      <c r="A276" s="9" t="s">
        <v>1267</v>
      </c>
      <c r="B276" s="10"/>
      <c r="C276" s="10"/>
      <c r="D276" s="10"/>
      <c r="E276" s="99">
        <f>'Thermal Treatment'!G213*'Thermal Treatment'!D197*'Thermal Treatment'!F177</f>
        <v>0</v>
      </c>
    </row>
    <row r="277" spans="1:5">
      <c r="A277" s="9" t="s">
        <v>1268</v>
      </c>
      <c r="B277" s="10"/>
      <c r="C277" s="10"/>
      <c r="D277" s="10"/>
      <c r="E277" s="99">
        <f>'Thermal Treatment'!G214*'Thermal Treatment'!D196*'Thermal Treatment'!F177</f>
        <v>0</v>
      </c>
    </row>
    <row r="278" spans="1:5">
      <c r="A278" s="9" t="s">
        <v>1269</v>
      </c>
      <c r="B278" s="10"/>
      <c r="C278" s="10"/>
      <c r="D278" s="10"/>
      <c r="E278" s="99">
        <f>G209*'Thermal Treatment'!G212</f>
        <v>0</v>
      </c>
    </row>
    <row r="279" spans="1:5">
      <c r="A279" s="9" t="s">
        <v>1270</v>
      </c>
      <c r="B279" s="10"/>
      <c r="C279" s="10"/>
      <c r="D279" s="10"/>
      <c r="E279" s="99">
        <f>'Thermal Treatment'!F253*'Thermal Treatment'!G224</f>
        <v>0</v>
      </c>
    </row>
    <row r="280" spans="1:5">
      <c r="A280" s="9" t="s">
        <v>1271</v>
      </c>
      <c r="B280" s="10"/>
      <c r="C280" s="10"/>
      <c r="D280" s="10"/>
      <c r="E280" s="99">
        <f>'Thermal Treatment'!F255*SUMPRODUCT('Thermal Treatment'!C244:D244,'Thermal Treatment'!E224:F224)</f>
        <v>0</v>
      </c>
    </row>
    <row r="281" spans="1:5">
      <c r="A281" s="9" t="s">
        <v>1272</v>
      </c>
      <c r="B281" s="10"/>
      <c r="C281" s="10"/>
      <c r="D281" s="10"/>
      <c r="E281" s="99">
        <f>'Thermal Treatment'!F256*SUMPRODUCT('Thermal Treatment'!C243:D243,'Thermal Treatment'!E224:F224)</f>
        <v>0</v>
      </c>
    </row>
    <row r="282" spans="1:5">
      <c r="A282" s="9" t="s">
        <v>1273</v>
      </c>
      <c r="B282" s="10"/>
      <c r="C282" s="10"/>
      <c r="D282" s="10"/>
      <c r="E282" s="99">
        <f>G213*'Thermal Treatment'!F254</f>
        <v>0</v>
      </c>
    </row>
    <row r="283" spans="1:5">
      <c r="A283" s="9" t="s">
        <v>1274</v>
      </c>
      <c r="B283" s="10"/>
      <c r="C283" s="10"/>
      <c r="D283" s="10"/>
      <c r="E283" s="99">
        <f>Landfilling!D92*Landfilling!E171</f>
        <v>37155.65625</v>
      </c>
    </row>
    <row r="284" spans="1:5">
      <c r="A284" s="9" t="s">
        <v>1275</v>
      </c>
      <c r="B284" s="10"/>
      <c r="C284" s="10"/>
      <c r="D284" s="10"/>
      <c r="E284" s="99">
        <f>Landfilling!D92*Landfilling!E172</f>
        <v>891735.75</v>
      </c>
    </row>
    <row r="285" spans="1:5">
      <c r="A285" s="9" t="s">
        <v>1276</v>
      </c>
      <c r="B285" s="10"/>
      <c r="C285" s="10"/>
      <c r="D285" s="10"/>
      <c r="E285" s="99">
        <f>Landfilling!E92*Landfilling!E196</f>
        <v>6559.9999999999991</v>
      </c>
    </row>
    <row r="286" spans="1:5">
      <c r="A286" s="9" t="s">
        <v>1277</v>
      </c>
      <c r="B286" s="10"/>
      <c r="C286" s="10"/>
      <c r="D286" s="10"/>
      <c r="E286" s="99">
        <f>Landfilling!E92*Landfilling!E197</f>
        <v>163999.99999999997</v>
      </c>
    </row>
    <row r="287" spans="1:5">
      <c r="A287" s="9" t="s">
        <v>1278</v>
      </c>
      <c r="B287" s="10"/>
      <c r="C287" s="10"/>
      <c r="D287" s="10"/>
      <c r="E287" s="99">
        <f>G222*Landfilling!I156</f>
        <v>-98671.061250000013</v>
      </c>
    </row>
    <row r="288" spans="1:5">
      <c r="A288" s="9" t="s">
        <v>1279</v>
      </c>
      <c r="B288" s="10"/>
      <c r="C288" s="10"/>
      <c r="D288" s="10"/>
      <c r="E288" s="99">
        <f>SUMPRODUCT('Materials Recycling'!E48:L48,'Materials Recycling'!G10:N10)</f>
        <v>43472.025000000001</v>
      </c>
    </row>
    <row r="289" spans="1:5">
      <c r="A289" s="9" t="s">
        <v>1280</v>
      </c>
      <c r="B289" s="10"/>
      <c r="C289" s="10"/>
      <c r="D289" s="10"/>
      <c r="E289" s="99">
        <f>SUMPRODUCT('Materials Recycling'!E49:L49,'Materials Recycling'!G10:N10,(1-'Advanced Variables'!C99:J99))</f>
        <v>77258.900999999998</v>
      </c>
    </row>
    <row r="290" spans="1:5" ht="15.75" thickBot="1">
      <c r="A290" s="12" t="s">
        <v>1281</v>
      </c>
      <c r="B290" s="13"/>
      <c r="C290" s="13"/>
      <c r="D290" s="13"/>
      <c r="E290" s="100">
        <f>-SUMPRODUCT('Materials Recycling'!E50:L50,'Materials Recycling'!G10:N10)</f>
        <v>0</v>
      </c>
    </row>
  </sheetData>
  <conditionalFormatting sqref="E196:F197 L30:L35 J32:K32 I33:K33 D33:F33 F39 C41:E43 M47:M57 L47:L53 C55:K57 L61:L68 C70:K72 M61:M72 C76:I76 D77:F79 C78 L76:L97 I77 G78:I78 I79 K76:K79 C83 J83:K83 D86:I89 K86:K89 C90 J90:K90 K93:K96 D93:I96 C10:L2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cfRule type="cellIs" dxfId="53" priority="1826" operator="equal">
      <formula>"N/A"</formula>
    </cfRule>
    <cfRule type="cellIs" dxfId="52" priority="1827" operator="equal">
      <formula>0</formula>
    </cfRule>
    <cfRule type="cellIs" dxfId="51" priority="1828" operator="lessThan">
      <formula>0</formula>
    </cfRule>
  </conditionalFormatting>
  <conditionalFormatting sqref="E196:F197 C30:L35 F39 C41:E43 M47:M57 L47:L53 C55:K57 L61:L68 C70:K72 M61:M72 C76:I76 D77:F79 C78 I77 G78:I78 I79 K76:K79 C83 J83:K83 D86:I89 K86:K89 C90 J90:K90 K93:K96 D93:I9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cfRule type="cellIs" dxfId="50" priority="1821" operator="lessThan">
      <formula>0</formula>
    </cfRule>
    <cfRule type="cellIs" dxfId="49" priority="1822" operator="equal">
      <formula>0</formula>
    </cfRule>
  </conditionalFormatting>
  <conditionalFormatting sqref="C39:G43 C47:K47 C49:K57 M47:M57 L47:L53 C61:M72 C76:L97 C101:M119 C123:O143 C147:L159 E165:H223 E228:E290">
    <cfRule type="cellIs" dxfId="48" priority="1805" operator="lessThan">
      <formula>0</formula>
    </cfRule>
    <cfRule type="cellIs" dxfId="47" priority="1806" operator="equal">
      <formula>0</formula>
    </cfRule>
  </conditionalFormatting>
  <conditionalFormatting sqref="E196:F197 C47:K56 K55:K57 L47:M57 L61:L68 C70:K72 M61:M72 C76:I76 D77:F79 C78 I77 G78:I78 I79 K76:K79 C83 J83:K83 D86:I89 K86:K89 C90 J90:K90 K93:K96 D93:I9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cfRule type="cellIs" dxfId="46" priority="1777" operator="equal">
      <formula>0</formula>
    </cfRule>
  </conditionalFormatting>
  <pageMargins left="0.7" right="0.7" top="0.75" bottom="0.75" header="0.3" footer="0.3"/>
  <pageSetup orientation="portrait" r:id="rId1"/>
  <ignoredErrors>
    <ignoredError sqref="F171:F172 E229 E231 E254 E259"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Waste Input</vt:lpstr>
      <vt:lpstr>Waste Collection</vt:lpstr>
      <vt:lpstr>MRF &amp; RDF Sorting</vt:lpstr>
      <vt:lpstr>Biological Treatment</vt:lpstr>
      <vt:lpstr>Thermal Treatment</vt:lpstr>
      <vt:lpstr>Landfilling</vt:lpstr>
      <vt:lpstr>Materials Recycling</vt:lpstr>
      <vt:lpstr>Advanced Variables</vt:lpstr>
      <vt:lpstr>Streams</vt:lpstr>
      <vt:lpstr>Waste Flow Summary</vt:lpstr>
      <vt:lpstr>Results</vt:lpstr>
    </vt:vector>
  </TitlesOfParts>
  <Company>Massachusetts Institute of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 Do</dc:creator>
  <cp:lastModifiedBy>Sydney Do</cp:lastModifiedBy>
  <dcterms:created xsi:type="dcterms:W3CDTF">2011-05-25T00:12:31Z</dcterms:created>
  <dcterms:modified xsi:type="dcterms:W3CDTF">2011-08-18T03:21:06Z</dcterms:modified>
</cp:coreProperties>
</file>