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et-my.sharepoint.com/personal/ttnrh_lunet_lboro_ac_uk/Documents/MEng Auto Group Project - FS Aerodynamics (C)/CFD Data/"/>
    </mc:Choice>
  </mc:AlternateContent>
  <xr:revisionPtr revIDLastSave="36" documentId="13_ncr:1_{F447D429-A305-48F0-B9BF-46EF4A36B8A8}" xr6:coauthVersionLast="46" xr6:coauthVersionMax="47" xr10:uidLastSave="{948CB67B-7AF2-4B1A-9AAE-933A91784C46}"/>
  <bookViews>
    <workbookView xWindow="7020" yWindow="0" windowWidth="28800" windowHeight="15435" firstSheet="1" xr2:uid="{7BD6D176-4E84-408D-BCA9-2E3702669EBE}"/>
  </bookViews>
  <sheets>
    <sheet name="Full Car CFD" sheetId="1" r:id="rId1"/>
    <sheet name="Aero Balance" sheetId="3" r:id="rId2"/>
    <sheet name="OptimumLap Results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" l="1"/>
  <c r="I24" i="1"/>
  <c r="E10" i="3"/>
  <c r="F10" i="3"/>
  <c r="E9" i="3"/>
  <c r="G9" i="3" s="1"/>
  <c r="F9" i="3"/>
  <c r="I9" i="3" s="1"/>
  <c r="G32" i="1"/>
  <c r="E32" i="1"/>
  <c r="L11" i="4"/>
  <c r="J11" i="4"/>
  <c r="H11" i="4"/>
  <c r="F11" i="4"/>
  <c r="E11" i="4"/>
  <c r="C11" i="4"/>
  <c r="L10" i="4"/>
  <c r="J10" i="4"/>
  <c r="H10" i="4"/>
  <c r="F10" i="4"/>
  <c r="E10" i="4"/>
  <c r="C10" i="4"/>
  <c r="L8" i="4"/>
  <c r="J8" i="4"/>
  <c r="H8" i="4"/>
  <c r="F8" i="4"/>
  <c r="E8" i="4"/>
  <c r="C8" i="4"/>
  <c r="L7" i="4"/>
  <c r="J7" i="4"/>
  <c r="H7" i="4"/>
  <c r="F7" i="4"/>
  <c r="E7" i="4"/>
  <c r="C7" i="4"/>
  <c r="L6" i="4"/>
  <c r="J6" i="4"/>
  <c r="H6" i="4"/>
  <c r="F6" i="4"/>
  <c r="E6" i="4"/>
  <c r="C6" i="4"/>
  <c r="L5" i="4"/>
  <c r="J5" i="4"/>
  <c r="H5" i="4"/>
  <c r="F5" i="4"/>
  <c r="E5" i="4"/>
  <c r="C5" i="4"/>
  <c r="L4" i="4"/>
  <c r="J4" i="4"/>
  <c r="H4" i="4"/>
  <c r="F4" i="4"/>
  <c r="E4" i="4"/>
  <c r="C4" i="4"/>
  <c r="E8" i="1"/>
  <c r="J8" i="1"/>
  <c r="E12" i="1"/>
  <c r="D4" i="3"/>
  <c r="E4" i="3" s="1"/>
  <c r="C4" i="3"/>
  <c r="F4" i="3" s="1"/>
  <c r="D5" i="3"/>
  <c r="E5" i="3" s="1"/>
  <c r="C5" i="3"/>
  <c r="F5" i="3" s="1"/>
  <c r="D6" i="3"/>
  <c r="E6" i="3" s="1"/>
  <c r="C6" i="3"/>
  <c r="D7" i="3"/>
  <c r="E7" i="3" s="1"/>
  <c r="C7" i="3"/>
  <c r="F7" i="3" s="1"/>
  <c r="D8" i="3"/>
  <c r="C8" i="3"/>
  <c r="F6" i="3"/>
  <c r="F8" i="3"/>
  <c r="I8" i="3" s="1"/>
  <c r="E8" i="3"/>
  <c r="I32" i="1"/>
  <c r="K31" i="1"/>
  <c r="K32" i="1"/>
  <c r="J20" i="1"/>
  <c r="H20" i="1"/>
  <c r="J23" i="1"/>
  <c r="H23" i="1"/>
  <c r="G22" i="1"/>
  <c r="E22" i="1"/>
  <c r="J22" i="1"/>
  <c r="H22" i="1"/>
  <c r="J24" i="1"/>
  <c r="H24" i="1"/>
  <c r="J21" i="1"/>
  <c r="H21" i="1"/>
  <c r="H12" i="1"/>
  <c r="J12" i="1"/>
  <c r="H15" i="1"/>
  <c r="J15" i="1"/>
  <c r="J14" i="1"/>
  <c r="H14" i="1"/>
  <c r="J13" i="1"/>
  <c r="H13" i="1"/>
  <c r="G15" i="1"/>
  <c r="E15" i="1"/>
  <c r="G14" i="1"/>
  <c r="E14" i="1"/>
  <c r="G13" i="1"/>
  <c r="E13" i="1"/>
  <c r="G12" i="1"/>
  <c r="H4" i="1"/>
  <c r="I8" i="1" s="1"/>
  <c r="J4" i="1"/>
  <c r="H7" i="1"/>
  <c r="J7" i="1"/>
  <c r="J6" i="1"/>
  <c r="K6" i="1" s="1"/>
  <c r="H6" i="1"/>
  <c r="J5" i="1"/>
  <c r="K5" i="1" s="1"/>
  <c r="H5" i="1"/>
  <c r="I13" i="1" s="1"/>
  <c r="I34" i="1"/>
  <c r="K34" i="1"/>
  <c r="G34" i="1"/>
  <c r="E34" i="1"/>
  <c r="I31" i="1"/>
  <c r="G31" i="1"/>
  <c r="E31" i="1"/>
  <c r="K30" i="1"/>
  <c r="I30" i="1"/>
  <c r="G30" i="1"/>
  <c r="E30" i="1"/>
  <c r="K29" i="1"/>
  <c r="K28" i="1"/>
  <c r="K27" i="1"/>
  <c r="K26" i="1"/>
  <c r="I29" i="1"/>
  <c r="I28" i="1"/>
  <c r="I27" i="1"/>
  <c r="I26" i="1"/>
  <c r="G29" i="1"/>
  <c r="G28" i="1"/>
  <c r="G27" i="1"/>
  <c r="G26" i="1"/>
  <c r="E29" i="1"/>
  <c r="E28" i="1"/>
  <c r="E27" i="1"/>
  <c r="E26" i="1"/>
  <c r="E20" i="1"/>
  <c r="G24" i="1"/>
  <c r="E24" i="1"/>
  <c r="G21" i="1"/>
  <c r="E21" i="1"/>
  <c r="G20" i="1"/>
  <c r="G19" i="1"/>
  <c r="G18" i="1"/>
  <c r="G17" i="1"/>
  <c r="G16" i="1"/>
  <c r="E19" i="1"/>
  <c r="E18" i="1"/>
  <c r="E17" i="1"/>
  <c r="E16" i="1"/>
  <c r="H16" i="1"/>
  <c r="J16" i="1"/>
  <c r="H17" i="1"/>
  <c r="J17" i="1"/>
  <c r="H18" i="1"/>
  <c r="J18" i="1"/>
  <c r="H19" i="1"/>
  <c r="J19" i="1"/>
  <c r="G8" i="1"/>
  <c r="G4" i="1"/>
  <c r="E4" i="1"/>
  <c r="E5" i="1"/>
  <c r="G5" i="1"/>
  <c r="G7" i="1"/>
  <c r="E7" i="1"/>
  <c r="E6" i="1"/>
  <c r="G6" i="1"/>
  <c r="G10" i="3" l="1"/>
  <c r="I10" i="3"/>
  <c r="K16" i="1"/>
  <c r="I12" i="1"/>
  <c r="G4" i="3"/>
  <c r="G5" i="3"/>
  <c r="I6" i="3"/>
  <c r="I7" i="3"/>
  <c r="G7" i="3"/>
  <c r="G8" i="3"/>
  <c r="I4" i="3"/>
  <c r="I5" i="3"/>
  <c r="G6" i="3"/>
  <c r="K15" i="1"/>
  <c r="I20" i="1"/>
  <c r="K12" i="1"/>
  <c r="K13" i="1"/>
  <c r="I21" i="1"/>
  <c r="K22" i="1"/>
  <c r="I22" i="1"/>
  <c r="K19" i="1"/>
  <c r="I15" i="1"/>
  <c r="I19" i="1"/>
  <c r="I7" i="1"/>
  <c r="I6" i="1"/>
  <c r="K17" i="1"/>
  <c r="I14" i="1"/>
  <c r="I4" i="1"/>
  <c r="I16" i="1"/>
  <c r="K8" i="1"/>
  <c r="K20" i="1"/>
  <c r="K4" i="1"/>
  <c r="K7" i="1"/>
  <c r="K24" i="1"/>
  <c r="K18" i="1"/>
  <c r="I18" i="1"/>
  <c r="K21" i="1"/>
  <c r="I17" i="1"/>
  <c r="I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Ethan O'Kelly</author>
  </authors>
  <commentList>
    <comment ref="E22" authorId="0" shapeId="0" xr:uid="{8946E669-0B83-4576-8C98-A3E8587E163C}">
      <text>
        <r>
          <rPr>
            <b/>
            <sz val="9"/>
            <color indexed="81"/>
            <rFont val="Tahoma"/>
            <family val="2"/>
          </rPr>
          <t>0.2 CL combined</t>
        </r>
      </text>
    </comment>
    <comment ref="G22" authorId="0" shapeId="0" xr:uid="{10765650-CBD0-4A94-8B0A-0C11E4A7C7D8}">
      <text>
        <r>
          <rPr>
            <b/>
            <sz val="9"/>
            <color indexed="81"/>
            <rFont val="Tahoma"/>
            <family val="2"/>
          </rPr>
          <t>0.64 CD combined</t>
        </r>
      </text>
    </comment>
    <comment ref="E32" authorId="0" shapeId="0" xr:uid="{7845FED5-C44A-41F4-8351-1C933F7C9D06}">
      <text>
        <r>
          <rPr>
            <b/>
            <sz val="9"/>
            <color indexed="81"/>
            <rFont val="Tahoma"/>
            <family val="2"/>
          </rPr>
          <t>0.17 CL combined</t>
        </r>
      </text>
    </comment>
    <comment ref="G32" authorId="0" shapeId="0" xr:uid="{CEBD0F2E-F572-427A-A858-691E43A613A3}">
      <text>
        <r>
          <rPr>
            <b/>
            <sz val="9"/>
            <color indexed="81"/>
            <rFont val="Tahoma"/>
            <family val="2"/>
          </rPr>
          <t>0.59 CD combined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Ethan O'Kelly</author>
  </authors>
  <commentList>
    <comment ref="B3" authorId="0" shapeId="0" xr:uid="{7C9B9DCC-703E-499D-9A48-BD839F059BFD}">
      <text>
        <r>
          <rPr>
            <b/>
            <sz val="9"/>
            <color indexed="81"/>
            <rFont val="Tahoma"/>
            <family val="2"/>
          </rPr>
          <t>Must be given using
frontal area</t>
        </r>
      </text>
    </comment>
    <comment ref="K3" authorId="0" shapeId="0" xr:uid="{3D266B5C-A910-45E9-9810-22D590366040}">
      <text>
        <r>
          <rPr>
            <b/>
            <sz val="9"/>
            <color indexed="81"/>
            <rFont val="Tahoma"/>
            <family val="2"/>
          </rPr>
          <t>Track: FS UK 2018</t>
        </r>
      </text>
    </comment>
  </commentList>
</comments>
</file>

<file path=xl/sharedStrings.xml><?xml version="1.0" encoding="utf-8"?>
<sst xmlns="http://schemas.openxmlformats.org/spreadsheetml/2006/main" count="141" uniqueCount="66">
  <si>
    <t>FULL CAR CFD RESULTS</t>
  </si>
  <si>
    <t>Setup Folder</t>
  </si>
  <si>
    <t>Component</t>
  </si>
  <si>
    <t>Description</t>
  </si>
  <si>
    <t>Coefficient</t>
  </si>
  <si>
    <t>Force</t>
  </si>
  <si>
    <t>Coefficient Setup</t>
  </si>
  <si>
    <t>Lift</t>
  </si>
  <si>
    <t xml:space="preserve"> ± %</t>
  </si>
  <si>
    <t>Drag</t>
  </si>
  <si>
    <t>Coordinate System</t>
  </si>
  <si>
    <t>Laboratory</t>
  </si>
  <si>
    <t>LFS19</t>
  </si>
  <si>
    <t>Whole Car</t>
  </si>
  <si>
    <t>2019 Setup</t>
  </si>
  <si>
    <t>Direction</t>
  </si>
  <si>
    <t>Drag = [-1.0, 0.0, 0.0] / Lift = [0.0, 0.0, -1.0]</t>
  </si>
  <si>
    <t>Front Wing</t>
  </si>
  <si>
    <t>Force Option</t>
  </si>
  <si>
    <t>Pressure + Shear</t>
  </si>
  <si>
    <t>Mid Section</t>
  </si>
  <si>
    <t>Reference Pressure</t>
  </si>
  <si>
    <t>0 Pa</t>
  </si>
  <si>
    <t>Rear Wing</t>
  </si>
  <si>
    <t>Reference Density</t>
  </si>
  <si>
    <t>1.225 kg/m^3</t>
  </si>
  <si>
    <t>FS2021 - V1</t>
  </si>
  <si>
    <t>New Design (25.03.2021)</t>
  </si>
  <si>
    <t>Reference Velocity</t>
  </si>
  <si>
    <t>35 m/s</t>
  </si>
  <si>
    <t>Reference Area</t>
  </si>
  <si>
    <t>Drag = Frontal Area / Lift = Plan Area</t>
  </si>
  <si>
    <t>Parts</t>
  </si>
  <si>
    <t>Region: Subtract.XX</t>
  </si>
  <si>
    <t>FS2021 - V2</t>
  </si>
  <si>
    <t>New Design (29.03.2021)</t>
  </si>
  <si>
    <t>Whole car values are produced ignoring the lift/drag effects of the wheels.</t>
  </si>
  <si>
    <t>FS2021 - V3</t>
  </si>
  <si>
    <t>New Design (06.04.2021)</t>
  </si>
  <si>
    <t>FS2021 - V4</t>
  </si>
  <si>
    <t>Final Design (21.04.2021)</t>
  </si>
  <si>
    <t>Chassis</t>
  </si>
  <si>
    <t>Floor</t>
  </si>
  <si>
    <t>LFS19 YAW</t>
  </si>
  <si>
    <t>FS2021 - V4 YAW</t>
  </si>
  <si>
    <t>AERODYNAMIC BALANCE RESULTS</t>
  </si>
  <si>
    <t>Moment about Axle (Nm)</t>
  </si>
  <si>
    <t>Axle Downforce (N)</t>
  </si>
  <si>
    <t>Aero Balance (%)</t>
  </si>
  <si>
    <t>Setup</t>
  </si>
  <si>
    <t>Front</t>
  </si>
  <si>
    <t>Rear</t>
  </si>
  <si>
    <t>:</t>
  </si>
  <si>
    <t>Wheelbase</t>
  </si>
  <si>
    <t>m</t>
  </si>
  <si>
    <t>OPTIMUM LAP RESULTS</t>
  </si>
  <si>
    <t>Frontal Area (m²)</t>
  </si>
  <si>
    <t>Performance</t>
  </si>
  <si>
    <t>CFD Coefficient Calculations</t>
  </si>
  <si>
    <t>0-100 km/h (sec)</t>
  </si>
  <si>
    <t>Top Speed (km/h)</t>
  </si>
  <si>
    <t>Lap Time (sec)</t>
  </si>
  <si>
    <t xml:space="preserve"> ±</t>
  </si>
  <si>
    <t>Frontal Area</t>
  </si>
  <si>
    <t>RWP2</t>
  </si>
  <si>
    <t>RWP2 "DRS"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</si>
</sst>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i/>
      <sz val="12"/>
      <color theme="1" tint="0.249977111117893"/>
      <name val="Arial"/>
      <family val="2"/>
    </font>
    <font>
      <b/>
      <i/>
      <sz val="12"/>
      <color rgb="FF0070C0"/>
      <name val="Arial"/>
      <family val="2"/>
    </font>
    <font>
      <b/>
      <sz val="16"/>
      <color theme="1"/>
      <name val="Trebuchet MS"/>
      <family val="2"/>
    </font>
    <font>
      <i/>
      <sz val="12"/>
      <color theme="1"/>
      <name val="Arial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i/>
      <sz val="14"/>
      <color theme="1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/>
      <diagonal/>
    </border>
    <border>
      <left style="medium">
        <color indexed="64"/>
      </left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theme="1" tint="0.499984740745262"/>
      </bottom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indexed="64"/>
      </right>
      <top style="medium">
        <color theme="1"/>
      </top>
      <bottom/>
      <diagonal/>
    </border>
    <border>
      <left/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 style="medium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16" xfId="0" applyFont="1" applyBorder="1" applyAlignment="1">
      <alignment horizontal="right" vertical="center"/>
    </xf>
    <xf numFmtId="0" fontId="2" fillId="0" borderId="17" xfId="0" applyFont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10" fontId="3" fillId="0" borderId="1" xfId="0" applyNumberFormat="1" applyFont="1" applyBorder="1" applyAlignment="1">
      <alignment horizontal="center" vertical="center"/>
    </xf>
    <xf numFmtId="10" fontId="0" fillId="0" borderId="0" xfId="0" applyNumberFormat="1" applyBorder="1"/>
    <xf numFmtId="10" fontId="0" fillId="0" borderId="0" xfId="0" applyNumberFormat="1"/>
    <xf numFmtId="10" fontId="3" fillId="0" borderId="3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5" xfId="0" applyBorder="1"/>
    <xf numFmtId="0" fontId="2" fillId="4" borderId="4" xfId="0" applyFont="1" applyFill="1" applyBorder="1" applyAlignment="1">
      <alignment horizontal="center" vertical="center"/>
    </xf>
    <xf numFmtId="0" fontId="0" fillId="4" borderId="10" xfId="0" applyFill="1" applyBorder="1"/>
    <xf numFmtId="0" fontId="2" fillId="4" borderId="12" xfId="0" applyFont="1" applyFill="1" applyBorder="1" applyAlignment="1">
      <alignment horizontal="center" vertical="center" wrapText="1"/>
    </xf>
    <xf numFmtId="2" fontId="2" fillId="4" borderId="5" xfId="0" applyNumberFormat="1" applyFont="1" applyFill="1" applyBorder="1" applyAlignment="1">
      <alignment horizontal="center"/>
    </xf>
    <xf numFmtId="10" fontId="4" fillId="4" borderId="0" xfId="0" applyNumberFormat="1" applyFont="1" applyFill="1" applyBorder="1" applyAlignment="1">
      <alignment horizontal="right" vertical="center"/>
    </xf>
    <xf numFmtId="2" fontId="2" fillId="4" borderId="0" xfId="0" applyNumberFormat="1" applyFont="1" applyFill="1" applyBorder="1" applyAlignment="1">
      <alignment horizontal="center"/>
    </xf>
    <xf numFmtId="10" fontId="4" fillId="4" borderId="2" xfId="0" applyNumberFormat="1" applyFont="1" applyFill="1" applyBorder="1" applyAlignment="1">
      <alignment horizontal="right" vertical="center"/>
    </xf>
    <xf numFmtId="0" fontId="0" fillId="0" borderId="0" xfId="0" applyFill="1"/>
    <xf numFmtId="0" fontId="2" fillId="5" borderId="10" xfId="0" applyFont="1" applyFill="1" applyBorder="1" applyAlignment="1">
      <alignment horizontal="center"/>
    </xf>
    <xf numFmtId="2" fontId="2" fillId="5" borderId="5" xfId="0" applyNumberFormat="1" applyFont="1" applyFill="1" applyBorder="1" applyAlignment="1">
      <alignment horizontal="center"/>
    </xf>
    <xf numFmtId="10" fontId="4" fillId="5" borderId="0" xfId="0" applyNumberFormat="1" applyFont="1" applyFill="1" applyBorder="1" applyAlignment="1">
      <alignment horizontal="right" vertical="center"/>
    </xf>
    <xf numFmtId="2" fontId="2" fillId="5" borderId="0" xfId="0" applyNumberFormat="1" applyFont="1" applyFill="1" applyBorder="1" applyAlignment="1">
      <alignment horizontal="center"/>
    </xf>
    <xf numFmtId="10" fontId="4" fillId="5" borderId="2" xfId="0" applyNumberFormat="1" applyFont="1" applyFill="1" applyBorder="1" applyAlignment="1">
      <alignment horizontal="right" vertic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2" fontId="2" fillId="5" borderId="6" xfId="0" applyNumberFormat="1" applyFont="1" applyFill="1" applyBorder="1" applyAlignment="1">
      <alignment horizontal="center"/>
    </xf>
    <xf numFmtId="10" fontId="4" fillId="5" borderId="1" xfId="0" applyNumberFormat="1" applyFont="1" applyFill="1" applyBorder="1" applyAlignment="1">
      <alignment horizontal="right" vertical="center"/>
    </xf>
    <xf numFmtId="2" fontId="2" fillId="5" borderId="1" xfId="0" applyNumberFormat="1" applyFont="1" applyFill="1" applyBorder="1" applyAlignment="1">
      <alignment horizontal="center"/>
    </xf>
    <xf numFmtId="10" fontId="4" fillId="5" borderId="3" xfId="0" applyNumberFormat="1" applyFont="1" applyFill="1" applyBorder="1" applyAlignment="1">
      <alignment horizontal="right" vertical="center"/>
    </xf>
    <xf numFmtId="10" fontId="4" fillId="5" borderId="10" xfId="0" applyNumberFormat="1" applyFont="1" applyFill="1" applyBorder="1" applyAlignment="1">
      <alignment horizontal="right" vertical="center"/>
    </xf>
    <xf numFmtId="0" fontId="2" fillId="0" borderId="17" xfId="0" applyFont="1" applyBorder="1" applyAlignment="1">
      <alignment horizontal="center" vertical="center"/>
    </xf>
    <xf numFmtId="0" fontId="2" fillId="6" borderId="24" xfId="0" applyFont="1" applyFill="1" applyBorder="1" applyAlignment="1">
      <alignment horizontal="right" vertical="center"/>
    </xf>
    <xf numFmtId="10" fontId="1" fillId="0" borderId="3" xfId="0" applyNumberFormat="1" applyFont="1" applyBorder="1" applyAlignment="1">
      <alignment horizontal="center" vertical="center"/>
    </xf>
    <xf numFmtId="0" fontId="2" fillId="6" borderId="23" xfId="0" applyFont="1" applyFill="1" applyBorder="1" applyAlignment="1">
      <alignment horizontal="left" vertical="center"/>
    </xf>
    <xf numFmtId="2" fontId="2" fillId="0" borderId="2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right"/>
    </xf>
    <xf numFmtId="0" fontId="1" fillId="0" borderId="3" xfId="0" applyFont="1" applyBorder="1" applyAlignment="1">
      <alignment horizontal="left"/>
    </xf>
    <xf numFmtId="0" fontId="1" fillId="6" borderId="1" xfId="0" applyFont="1" applyFill="1" applyBorder="1" applyAlignment="1">
      <alignment horizontal="center"/>
    </xf>
    <xf numFmtId="1" fontId="1" fillId="6" borderId="0" xfId="0" applyNumberFormat="1" applyFont="1" applyFill="1" applyBorder="1" applyAlignment="1">
      <alignment horizontal="center" vertical="top"/>
    </xf>
    <xf numFmtId="0" fontId="0" fillId="0" borderId="0" xfId="0" applyBorder="1"/>
    <xf numFmtId="0" fontId="0" fillId="0" borderId="26" xfId="0" applyBorder="1"/>
    <xf numFmtId="0" fontId="1" fillId="0" borderId="25" xfId="0" applyFont="1" applyBorder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10" fontId="4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horizontal="center" vertical="center"/>
    </xf>
    <xf numFmtId="164" fontId="4" fillId="0" borderId="2" xfId="0" applyNumberFormat="1" applyFont="1" applyBorder="1" applyAlignment="1">
      <alignment horizontal="right" vertical="center"/>
    </xf>
    <xf numFmtId="0" fontId="2" fillId="0" borderId="13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/>
    </xf>
    <xf numFmtId="10" fontId="4" fillId="4" borderId="0" xfId="0" applyNumberFormat="1" applyFont="1" applyFill="1" applyAlignment="1">
      <alignment horizontal="right" vertical="center"/>
    </xf>
    <xf numFmtId="164" fontId="2" fillId="4" borderId="0" xfId="0" applyNumberFormat="1" applyFont="1" applyFill="1" applyAlignment="1">
      <alignment horizontal="center" vertical="center"/>
    </xf>
    <xf numFmtId="2" fontId="2" fillId="4" borderId="5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right"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" fontId="2" fillId="0" borderId="1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 vertical="center"/>
    </xf>
    <xf numFmtId="1" fontId="2" fillId="0" borderId="6" xfId="0" applyNumberFormat="1" applyFont="1" applyFill="1" applyBorder="1" applyAlignment="1">
      <alignment horizontal="right" vertical="top"/>
    </xf>
    <xf numFmtId="1" fontId="1" fillId="6" borderId="1" xfId="0" applyNumberFormat="1" applyFont="1" applyFill="1" applyBorder="1" applyAlignment="1">
      <alignment horizontal="center" vertical="top"/>
    </xf>
    <xf numFmtId="1" fontId="2" fillId="0" borderId="3" xfId="0" applyNumberFormat="1" applyFont="1" applyFill="1" applyBorder="1" applyAlignment="1">
      <alignment horizontal="left" vertical="top"/>
    </xf>
    <xf numFmtId="2" fontId="2" fillId="5" borderId="10" xfId="0" applyNumberFormat="1" applyFont="1" applyFill="1" applyBorder="1" applyAlignment="1">
      <alignment horizontal="center" vertical="center"/>
    </xf>
    <xf numFmtId="2" fontId="2" fillId="5" borderId="4" xfId="0" applyNumberFormat="1" applyFont="1" applyFill="1" applyBorder="1" applyAlignment="1">
      <alignment horizontal="center" vertical="center"/>
    </xf>
    <xf numFmtId="1" fontId="2" fillId="5" borderId="7" xfId="0" applyNumberFormat="1" applyFont="1" applyFill="1" applyBorder="1" applyAlignment="1">
      <alignment horizontal="right" vertical="top"/>
    </xf>
    <xf numFmtId="1" fontId="8" fillId="5" borderId="4" xfId="0" applyNumberFormat="1" applyFont="1" applyFill="1" applyBorder="1" applyAlignment="1">
      <alignment horizontal="center" vertical="top"/>
    </xf>
    <xf numFmtId="1" fontId="2" fillId="5" borderId="10" xfId="0" applyNumberFormat="1" applyFont="1" applyFill="1" applyBorder="1" applyAlignment="1">
      <alignment horizontal="left" vertical="top"/>
    </xf>
    <xf numFmtId="2" fontId="2" fillId="0" borderId="2" xfId="0" applyNumberFormat="1" applyFont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 vertical="center"/>
    </xf>
    <xf numFmtId="1" fontId="2" fillId="0" borderId="5" xfId="0" applyNumberFormat="1" applyFont="1" applyFill="1" applyBorder="1" applyAlignment="1">
      <alignment horizontal="right" vertical="top"/>
    </xf>
    <xf numFmtId="1" fontId="2" fillId="0" borderId="2" xfId="0" applyNumberFormat="1" applyFont="1" applyFill="1" applyBorder="1" applyAlignment="1">
      <alignment horizontal="left" vertical="top"/>
    </xf>
    <xf numFmtId="2" fontId="2" fillId="0" borderId="6" xfId="0" applyNumberFormat="1" applyFont="1" applyFill="1" applyBorder="1" applyAlignment="1">
      <alignment horizontal="center"/>
    </xf>
    <xf numFmtId="2" fontId="2" fillId="0" borderId="3" xfId="0" applyNumberFormat="1" applyFont="1" applyFill="1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2" fontId="2" fillId="0" borderId="27" xfId="0" applyNumberFormat="1" applyFont="1" applyBorder="1" applyAlignment="1">
      <alignment horizontal="center" vertical="center"/>
    </xf>
    <xf numFmtId="10" fontId="4" fillId="0" borderId="27" xfId="0" applyNumberFormat="1" applyFont="1" applyBorder="1" applyAlignment="1">
      <alignment horizontal="right" vertical="center"/>
    </xf>
    <xf numFmtId="10" fontId="4" fillId="0" borderId="32" xfId="0" applyNumberFormat="1" applyFont="1" applyBorder="1" applyAlignment="1">
      <alignment horizontal="right" vertical="center"/>
    </xf>
    <xf numFmtId="164" fontId="2" fillId="0" borderId="27" xfId="0" applyNumberFormat="1" applyFont="1" applyBorder="1" applyAlignment="1">
      <alignment horizontal="center" vertical="center"/>
    </xf>
    <xf numFmtId="2" fontId="2" fillId="0" borderId="33" xfId="0" applyNumberFormat="1" applyFont="1" applyBorder="1" applyAlignment="1">
      <alignment horizontal="center" vertical="center"/>
    </xf>
    <xf numFmtId="164" fontId="4" fillId="0" borderId="32" xfId="0" applyNumberFormat="1" applyFont="1" applyBorder="1" applyAlignment="1">
      <alignment horizontal="right" vertical="center"/>
    </xf>
    <xf numFmtId="2" fontId="2" fillId="0" borderId="30" xfId="0" applyNumberFormat="1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0" fontId="0" fillId="0" borderId="30" xfId="0" applyBorder="1"/>
    <xf numFmtId="164" fontId="0" fillId="0" borderId="0" xfId="0" applyNumberFormat="1" applyBorder="1"/>
    <xf numFmtId="0" fontId="2" fillId="5" borderId="10" xfId="0" applyFont="1" applyFill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0" fontId="4" fillId="5" borderId="0" xfId="0" applyNumberFormat="1" applyFont="1" applyFill="1" applyAlignment="1">
      <alignment horizontal="right" vertical="center"/>
    </xf>
    <xf numFmtId="164" fontId="2" fillId="5" borderId="0" xfId="0" applyNumberFormat="1" applyFont="1" applyFill="1" applyAlignment="1">
      <alignment horizontal="center" vertical="center"/>
    </xf>
    <xf numFmtId="2" fontId="2" fillId="5" borderId="5" xfId="0" applyNumberFormat="1" applyFont="1" applyFill="1" applyBorder="1" applyAlignment="1">
      <alignment horizontal="center" vertical="center"/>
    </xf>
    <xf numFmtId="164" fontId="4" fillId="5" borderId="2" xfId="0" applyNumberFormat="1" applyFont="1" applyFill="1" applyBorder="1" applyAlignment="1">
      <alignment horizontal="right" vertical="center"/>
    </xf>
    <xf numFmtId="0" fontId="0" fillId="0" borderId="38" xfId="0" applyBorder="1"/>
    <xf numFmtId="10" fontId="4" fillId="0" borderId="0" xfId="0" applyNumberFormat="1" applyFont="1" applyBorder="1" applyAlignment="1">
      <alignment horizontal="right" vertical="center"/>
    </xf>
    <xf numFmtId="10" fontId="4" fillId="0" borderId="2" xfId="0" applyNumberFormat="1" applyFont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4" fillId="0" borderId="10" xfId="0" applyNumberFormat="1" applyFont="1" applyBorder="1" applyAlignment="1">
      <alignment horizontal="right" vertical="center"/>
    </xf>
    <xf numFmtId="10" fontId="4" fillId="0" borderId="3" xfId="0" applyNumberFormat="1" applyFont="1" applyBorder="1" applyAlignment="1">
      <alignment horizontal="right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center" vertic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10" fontId="4" fillId="0" borderId="0" xfId="0" applyNumberFormat="1" applyFont="1" applyBorder="1" applyAlignment="1">
      <alignment horizontal="right" vertical="center"/>
    </xf>
    <xf numFmtId="10" fontId="4" fillId="0" borderId="2" xfId="0" applyNumberFormat="1" applyFont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4" fillId="0" borderId="10" xfId="0" applyNumberFormat="1" applyFont="1" applyBorder="1" applyAlignment="1">
      <alignment horizontal="right" vertical="center"/>
    </xf>
    <xf numFmtId="10" fontId="4" fillId="0" borderId="3" xfId="0" applyNumberFormat="1" applyFont="1" applyBorder="1" applyAlignment="1">
      <alignment horizontal="right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10" fontId="4" fillId="0" borderId="4" xfId="0" applyNumberFormat="1" applyFont="1" applyBorder="1" applyAlignment="1">
      <alignment horizontal="right" vertical="center"/>
    </xf>
    <xf numFmtId="10" fontId="4" fillId="0" borderId="1" xfId="0" applyNumberFormat="1" applyFont="1" applyBorder="1" applyAlignment="1">
      <alignment horizontal="right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 wrapText="1"/>
    </xf>
    <xf numFmtId="0" fontId="5" fillId="3" borderId="34" xfId="0" applyFont="1" applyFill="1" applyBorder="1" applyAlignment="1">
      <alignment horizontal="center" vertical="center" wrapText="1"/>
    </xf>
    <xf numFmtId="0" fontId="5" fillId="3" borderId="36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37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E4E4"/>
      <color rgb="FF6543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EB08-5BB6-40D6-9D9B-96FFDB561DE1}">
  <dimension ref="A1:P58"/>
  <sheetViews>
    <sheetView tabSelected="1" topLeftCell="F2" workbookViewId="0">
      <selection activeCell="K18" sqref="K18"/>
    </sheetView>
  </sheetViews>
  <sheetFormatPr defaultRowHeight="15" x14ac:dyDescent="0.25"/>
  <cols>
    <col min="1" max="1" width="21.42578125" customWidth="1"/>
    <col min="2" max="2" width="16.140625" customWidth="1"/>
    <col min="3" max="3" width="42.85546875" customWidth="1"/>
    <col min="4" max="4" width="12.85546875" customWidth="1"/>
    <col min="5" max="5" width="14.28515625" style="17" customWidth="1"/>
    <col min="6" max="6" width="12.85546875" customWidth="1"/>
    <col min="7" max="7" width="14.28515625" style="17" customWidth="1"/>
    <col min="8" max="8" width="12.85546875" customWidth="1"/>
    <col min="9" max="9" width="14.28515625" style="17" customWidth="1"/>
    <col min="10" max="10" width="12.85546875" customWidth="1"/>
    <col min="11" max="11" width="14.28515625" style="17" customWidth="1"/>
    <col min="12" max="12" width="2.85546875" customWidth="1"/>
    <col min="13" max="13" width="21.42578125" customWidth="1"/>
    <col min="14" max="14" width="44.28515625" customWidth="1"/>
    <col min="15" max="15" width="10.85546875" customWidth="1"/>
    <col min="16" max="16" width="12.85546875" customWidth="1"/>
    <col min="17" max="17" width="10.85546875" customWidth="1"/>
    <col min="18" max="18" width="12.85546875" customWidth="1"/>
    <col min="19" max="19" width="10.85546875" customWidth="1"/>
  </cols>
  <sheetData>
    <row r="1" spans="1:15" ht="26.25" customHeight="1" thickBot="1" x14ac:dyDescent="0.3">
      <c r="A1" s="118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65"/>
    </row>
    <row r="2" spans="1:15" ht="15.75" x14ac:dyDescent="0.25">
      <c r="A2" s="124" t="s">
        <v>1</v>
      </c>
      <c r="B2" s="124" t="s">
        <v>2</v>
      </c>
      <c r="C2" s="124" t="s">
        <v>3</v>
      </c>
      <c r="D2" s="116" t="s">
        <v>4</v>
      </c>
      <c r="E2" s="117"/>
      <c r="F2" s="117"/>
      <c r="G2" s="129"/>
      <c r="H2" s="116" t="s">
        <v>5</v>
      </c>
      <c r="I2" s="117"/>
      <c r="J2" s="117"/>
      <c r="K2" s="129"/>
      <c r="M2" s="116" t="s">
        <v>6</v>
      </c>
      <c r="N2" s="117"/>
      <c r="O2" s="21"/>
    </row>
    <row r="3" spans="1:15" ht="16.5" thickBot="1" x14ac:dyDescent="0.3">
      <c r="A3" s="125"/>
      <c r="B3" s="125"/>
      <c r="C3" s="125"/>
      <c r="D3" s="3" t="s">
        <v>7</v>
      </c>
      <c r="E3" s="15" t="s">
        <v>8</v>
      </c>
      <c r="F3" s="1" t="s">
        <v>9</v>
      </c>
      <c r="G3" s="18" t="s">
        <v>8</v>
      </c>
      <c r="H3" s="3" t="s">
        <v>7</v>
      </c>
      <c r="I3" s="15" t="s">
        <v>8</v>
      </c>
      <c r="J3" s="1" t="s">
        <v>9</v>
      </c>
      <c r="K3" s="18" t="s">
        <v>8</v>
      </c>
      <c r="M3" s="11" t="s">
        <v>10</v>
      </c>
      <c r="N3" s="10" t="s">
        <v>11</v>
      </c>
    </row>
    <row r="4" spans="1:15" ht="15.75" x14ac:dyDescent="0.25">
      <c r="A4" s="121" t="s">
        <v>12</v>
      </c>
      <c r="B4" s="30" t="s">
        <v>13</v>
      </c>
      <c r="C4" s="126" t="s">
        <v>14</v>
      </c>
      <c r="D4" s="31">
        <v>1.01</v>
      </c>
      <c r="E4" s="32">
        <f>(D4-D4)/D4</f>
        <v>0</v>
      </c>
      <c r="F4" s="33">
        <v>1.25</v>
      </c>
      <c r="G4" s="32">
        <f>(F4-F4)/F4</f>
        <v>0</v>
      </c>
      <c r="H4" s="31">
        <f>1105.86*2</f>
        <v>2211.7199999999998</v>
      </c>
      <c r="I4" s="32">
        <f>(H4-H4)/H4</f>
        <v>0</v>
      </c>
      <c r="J4" s="33">
        <f>404.47*2</f>
        <v>808.94</v>
      </c>
      <c r="K4" s="34">
        <f>(J4-J4)/J4</f>
        <v>0</v>
      </c>
      <c r="M4" s="11" t="s">
        <v>15</v>
      </c>
      <c r="N4" s="10" t="s">
        <v>16</v>
      </c>
    </row>
    <row r="5" spans="1:15" ht="15.75" x14ac:dyDescent="0.25">
      <c r="A5" s="122"/>
      <c r="B5" s="35" t="s">
        <v>17</v>
      </c>
      <c r="C5" s="127"/>
      <c r="D5" s="31">
        <v>2.13</v>
      </c>
      <c r="E5" s="32">
        <f>(D5-D5)/D5</f>
        <v>0</v>
      </c>
      <c r="F5" s="33">
        <v>1.1299999999999999</v>
      </c>
      <c r="G5" s="32">
        <f>(F5-F5)/F5</f>
        <v>0</v>
      </c>
      <c r="H5" s="31">
        <f>551.87*2</f>
        <v>1103.74</v>
      </c>
      <c r="I5" s="32">
        <f>(H5-H5)/H5</f>
        <v>0</v>
      </c>
      <c r="J5" s="33">
        <f>88.33*2</f>
        <v>176.66</v>
      </c>
      <c r="K5" s="34">
        <f>(J5-J5)/J5</f>
        <v>0</v>
      </c>
      <c r="M5" s="11" t="s">
        <v>18</v>
      </c>
      <c r="N5" s="10" t="s">
        <v>19</v>
      </c>
    </row>
    <row r="6" spans="1:15" ht="15.75" x14ac:dyDescent="0.25">
      <c r="A6" s="122"/>
      <c r="B6" s="35" t="s">
        <v>20</v>
      </c>
      <c r="C6" s="127"/>
      <c r="D6" s="31">
        <v>0.19</v>
      </c>
      <c r="E6" s="32">
        <f>(D6-D6)/D6</f>
        <v>0</v>
      </c>
      <c r="F6" s="33">
        <v>0.94</v>
      </c>
      <c r="G6" s="32">
        <f>(F6-F6)/F6</f>
        <v>0</v>
      </c>
      <c r="H6" s="31">
        <f>148.12*2</f>
        <v>296.24</v>
      </c>
      <c r="I6" s="32">
        <f>(H6-H6)/H6</f>
        <v>0</v>
      </c>
      <c r="J6" s="33">
        <f>195.42*2</f>
        <v>390.84</v>
      </c>
      <c r="K6" s="34">
        <f>(J6-J6)/J6</f>
        <v>0</v>
      </c>
      <c r="M6" s="11" t="s">
        <v>21</v>
      </c>
      <c r="N6" s="10" t="s">
        <v>22</v>
      </c>
    </row>
    <row r="7" spans="1:15" ht="16.5" thickBot="1" x14ac:dyDescent="0.3">
      <c r="A7" s="123"/>
      <c r="B7" s="36" t="s">
        <v>23</v>
      </c>
      <c r="C7" s="128"/>
      <c r="D7" s="37">
        <v>2.5299999999999998</v>
      </c>
      <c r="E7" s="38">
        <f>(D7-D7)/D7</f>
        <v>0</v>
      </c>
      <c r="F7" s="39">
        <v>1.18</v>
      </c>
      <c r="G7" s="38">
        <f>(F7-F7)/F7</f>
        <v>0</v>
      </c>
      <c r="H7" s="37">
        <f>405.87*2</f>
        <v>811.74</v>
      </c>
      <c r="I7" s="38">
        <f>(H7-H7)/H7</f>
        <v>0</v>
      </c>
      <c r="J7" s="39">
        <f>120.71*2</f>
        <v>241.42</v>
      </c>
      <c r="K7" s="40">
        <f>(J7-J7)/J7</f>
        <v>0</v>
      </c>
      <c r="M7" s="11" t="s">
        <v>24</v>
      </c>
      <c r="N7" s="10" t="s">
        <v>25</v>
      </c>
    </row>
    <row r="8" spans="1:15" ht="15.75" customHeight="1" x14ac:dyDescent="0.25">
      <c r="A8" s="130" t="s">
        <v>26</v>
      </c>
      <c r="B8" s="138" t="s">
        <v>13</v>
      </c>
      <c r="C8" s="135" t="s">
        <v>27</v>
      </c>
      <c r="D8" s="141">
        <v>0.72</v>
      </c>
      <c r="E8" s="144">
        <f>(D8-$D$4)/$D$4</f>
        <v>-0.28712871287128716</v>
      </c>
      <c r="F8" s="146">
        <v>1.05</v>
      </c>
      <c r="G8" s="133">
        <f>(F8-F4)/F4</f>
        <v>-0.15999999999999998</v>
      </c>
      <c r="H8" s="141">
        <v>1757.46</v>
      </c>
      <c r="I8" s="144">
        <f>(H8-$H$4)/$H$4</f>
        <v>-0.20538766209104217</v>
      </c>
      <c r="J8" s="146">
        <f>355.09*2</f>
        <v>710.18</v>
      </c>
      <c r="K8" s="133">
        <f>(J8-J4)/J4</f>
        <v>-0.12208569238756904</v>
      </c>
      <c r="M8" s="11" t="s">
        <v>28</v>
      </c>
      <c r="N8" s="10" t="s">
        <v>29</v>
      </c>
    </row>
    <row r="9" spans="1:15" x14ac:dyDescent="0.25">
      <c r="A9" s="131"/>
      <c r="B9" s="139"/>
      <c r="C9" s="136"/>
      <c r="D9" s="142"/>
      <c r="E9" s="119"/>
      <c r="F9" s="147"/>
      <c r="G9" s="120"/>
      <c r="H9" s="142"/>
      <c r="I9" s="119"/>
      <c r="J9" s="147"/>
      <c r="K9" s="120"/>
      <c r="M9" s="11" t="s">
        <v>30</v>
      </c>
      <c r="N9" s="19" t="s">
        <v>31</v>
      </c>
    </row>
    <row r="10" spans="1:15" ht="15.75" thickBot="1" x14ac:dyDescent="0.3">
      <c r="A10" s="131"/>
      <c r="B10" s="139"/>
      <c r="C10" s="136"/>
      <c r="D10" s="142"/>
      <c r="E10" s="119"/>
      <c r="F10" s="147"/>
      <c r="G10" s="120"/>
      <c r="H10" s="142"/>
      <c r="I10" s="119"/>
      <c r="J10" s="147"/>
      <c r="K10" s="120"/>
      <c r="M10" s="12" t="s">
        <v>32</v>
      </c>
      <c r="N10" s="20" t="s">
        <v>33</v>
      </c>
    </row>
    <row r="11" spans="1:15" ht="16.5" customHeight="1" thickBot="1" x14ac:dyDescent="0.3">
      <c r="A11" s="132"/>
      <c r="B11" s="140"/>
      <c r="C11" s="137"/>
      <c r="D11" s="143"/>
      <c r="E11" s="145"/>
      <c r="F11" s="148"/>
      <c r="G11" s="134"/>
      <c r="H11" s="143"/>
      <c r="I11" s="145"/>
      <c r="J11" s="148"/>
      <c r="K11" s="134"/>
      <c r="M11" s="52"/>
      <c r="N11" s="14"/>
    </row>
    <row r="12" spans="1:15" ht="21" customHeight="1" x14ac:dyDescent="0.25">
      <c r="A12" s="130" t="s">
        <v>34</v>
      </c>
      <c r="B12" s="6" t="s">
        <v>13</v>
      </c>
      <c r="C12" s="135" t="s">
        <v>35</v>
      </c>
      <c r="D12" s="4">
        <v>0.98</v>
      </c>
      <c r="E12" s="102">
        <f>(D12-$D$4)/$D$4</f>
        <v>-2.9702970297029729E-2</v>
      </c>
      <c r="F12" s="5">
        <v>1.19</v>
      </c>
      <c r="G12" s="108">
        <f>(F12-$F$4)/$F$4</f>
        <v>-4.8000000000000043E-2</v>
      </c>
      <c r="H12" s="4">
        <f>1120.82*2</f>
        <v>2241.64</v>
      </c>
      <c r="I12" s="102">
        <f>(H12-$H$4)/$H$4</f>
        <v>1.3527933011411968E-2</v>
      </c>
      <c r="J12" s="5">
        <f>411.63*2</f>
        <v>823.26</v>
      </c>
      <c r="K12" s="108">
        <f>(J12-$J$4)/$J$4</f>
        <v>1.7702178159072286E-2</v>
      </c>
      <c r="M12" s="149" t="s">
        <v>36</v>
      </c>
      <c r="N12" s="150"/>
    </row>
    <row r="13" spans="1:15" ht="15.75" customHeight="1" x14ac:dyDescent="0.25">
      <c r="A13" s="131"/>
      <c r="B13" s="2" t="s">
        <v>17</v>
      </c>
      <c r="C13" s="136"/>
      <c r="D13" s="4">
        <v>2.0099999999999998</v>
      </c>
      <c r="E13" s="102">
        <f>(D13-$D$5)/$D$5</f>
        <v>-5.6338028169014134E-2</v>
      </c>
      <c r="F13" s="5">
        <v>0.89</v>
      </c>
      <c r="G13" s="103">
        <f>(F13-$F$5)/$F$5</f>
        <v>-0.21238938053097337</v>
      </c>
      <c r="H13" s="4">
        <f>412.64*2</f>
        <v>825.28</v>
      </c>
      <c r="I13" s="102">
        <f>(H13-$H$5)/$H$5</f>
        <v>-0.25228767644553973</v>
      </c>
      <c r="J13" s="5">
        <f>67.28*2</f>
        <v>134.56</v>
      </c>
      <c r="K13" s="103">
        <f>(J13-$J$5)/$J$5</f>
        <v>-0.23831087965583606</v>
      </c>
      <c r="L13" s="13"/>
      <c r="M13" s="151"/>
      <c r="N13" s="152"/>
    </row>
    <row r="14" spans="1:15" ht="15.75" customHeight="1" x14ac:dyDescent="0.25">
      <c r="A14" s="131"/>
      <c r="B14" s="2" t="s">
        <v>20</v>
      </c>
      <c r="C14" s="136"/>
      <c r="D14" s="4">
        <v>0.17</v>
      </c>
      <c r="E14" s="102">
        <f>(D14-$D$6)/$D$6</f>
        <v>-0.10526315789473679</v>
      </c>
      <c r="F14" s="5">
        <v>0.64</v>
      </c>
      <c r="G14" s="103">
        <f>(F14-$F$6)/$F$6</f>
        <v>-0.31914893617021273</v>
      </c>
      <c r="H14" s="4">
        <f>155.13*2</f>
        <v>310.26</v>
      </c>
      <c r="I14" s="102">
        <f>(H14-$H$6)/$H$6</f>
        <v>4.7326492033486302E-2</v>
      </c>
      <c r="J14" s="5">
        <f>141.37*2</f>
        <v>282.74</v>
      </c>
      <c r="K14" s="103">
        <f>(J14-$J$6)/$J$6</f>
        <v>-0.27658376829393094</v>
      </c>
      <c r="L14" s="13"/>
      <c r="M14" s="151"/>
      <c r="N14" s="152"/>
    </row>
    <row r="15" spans="1:15" ht="16.5" customHeight="1" thickBot="1" x14ac:dyDescent="0.3">
      <c r="A15" s="132"/>
      <c r="B15" s="7" t="s">
        <v>23</v>
      </c>
      <c r="C15" s="137"/>
      <c r="D15" s="8">
        <v>3.91</v>
      </c>
      <c r="E15" s="114">
        <f>(D15-$D$7)/$D$7</f>
        <v>0.54545454545454564</v>
      </c>
      <c r="F15" s="9">
        <v>1.61</v>
      </c>
      <c r="G15" s="109">
        <f>(F15-$F$7)/$F$7</f>
        <v>0.36440677966101709</v>
      </c>
      <c r="H15" s="8">
        <f>553.05*2</f>
        <v>1106.0999999999999</v>
      </c>
      <c r="I15" s="114">
        <f>(H15-$H$7)/$H$7</f>
        <v>0.36262842782171617</v>
      </c>
      <c r="J15" s="9">
        <f>202.98*2</f>
        <v>405.96</v>
      </c>
      <c r="K15" s="109">
        <f>(J15-$J$7)/$J$7</f>
        <v>0.68155082428961977</v>
      </c>
      <c r="L15" s="13"/>
      <c r="M15" s="153"/>
      <c r="N15" s="154"/>
    </row>
    <row r="16" spans="1:15" ht="16.5" customHeight="1" x14ac:dyDescent="0.25">
      <c r="A16" s="130" t="s">
        <v>37</v>
      </c>
      <c r="B16" s="6" t="s">
        <v>13</v>
      </c>
      <c r="C16" s="135" t="s">
        <v>38</v>
      </c>
      <c r="D16" s="4">
        <v>1.06</v>
      </c>
      <c r="E16" s="102">
        <f>(D16-$D$4)/$D$4</f>
        <v>4.9504950495049549E-2</v>
      </c>
      <c r="F16" s="5">
        <v>1.22</v>
      </c>
      <c r="G16" s="108">
        <f>(F16-$F$4)/$F$4</f>
        <v>-2.4000000000000021E-2</v>
      </c>
      <c r="H16" s="4">
        <f>1211.06*2</f>
        <v>2422.12</v>
      </c>
      <c r="I16" s="102">
        <f>(H16-$H$4)/$H$4</f>
        <v>9.5129582406452945E-2</v>
      </c>
      <c r="J16" s="5">
        <f>407.49*2</f>
        <v>814.98</v>
      </c>
      <c r="K16" s="102">
        <f>(J16-$J$4)/$J$4</f>
        <v>7.4665611788265673E-3</v>
      </c>
      <c r="L16" s="21"/>
      <c r="M16" s="101"/>
    </row>
    <row r="17" spans="1:16" ht="15.75" x14ac:dyDescent="0.25">
      <c r="A17" s="131"/>
      <c r="B17" s="2" t="s">
        <v>17</v>
      </c>
      <c r="C17" s="136"/>
      <c r="D17" s="4">
        <v>2.0099999999999998</v>
      </c>
      <c r="E17" s="102">
        <f>(D17-$D$5)/$D$5</f>
        <v>-5.6338028169014134E-2</v>
      </c>
      <c r="F17" s="5">
        <v>0.92</v>
      </c>
      <c r="G17" s="103">
        <f>(F17-$F$5)/$F$5</f>
        <v>-0.18584070796460167</v>
      </c>
      <c r="H17" s="4">
        <f>423.03*2</f>
        <v>846.06</v>
      </c>
      <c r="I17" s="102">
        <f>(H17-$H$5)/$H$5</f>
        <v>-0.23346077880660307</v>
      </c>
      <c r="J17" s="5">
        <f>71.2*2</f>
        <v>142.4</v>
      </c>
      <c r="K17" s="103">
        <f>(J17-$J$5)/$J$5</f>
        <v>-0.19393184648477296</v>
      </c>
    </row>
    <row r="18" spans="1:16" ht="15.75" x14ac:dyDescent="0.25">
      <c r="A18" s="131"/>
      <c r="B18" s="2" t="s">
        <v>20</v>
      </c>
      <c r="C18" s="136"/>
      <c r="D18" s="4">
        <v>0.2</v>
      </c>
      <c r="E18" s="102">
        <f>(D18-$D$6)/$D$6</f>
        <v>5.2631578947368467E-2</v>
      </c>
      <c r="F18" s="5">
        <v>0.57999999999999996</v>
      </c>
      <c r="G18" s="103">
        <f>(F18-$F$6)/$F$6</f>
        <v>-0.38297872340425532</v>
      </c>
      <c r="H18" s="4">
        <f>176.06*2</f>
        <v>352.12</v>
      </c>
      <c r="I18" s="102">
        <f>(H18-$H$6)/$H$6</f>
        <v>0.1886308398595733</v>
      </c>
      <c r="J18" s="5">
        <f>128.34*2</f>
        <v>256.68</v>
      </c>
      <c r="K18" s="103">
        <f>(J18-$J$6)/$J$6</f>
        <v>-0.34326066932760202</v>
      </c>
    </row>
    <row r="19" spans="1:16" ht="16.5" thickBot="1" x14ac:dyDescent="0.3">
      <c r="A19" s="132"/>
      <c r="B19" s="7" t="s">
        <v>23</v>
      </c>
      <c r="C19" s="137"/>
      <c r="D19" s="8">
        <v>4.5999999999999996</v>
      </c>
      <c r="E19" s="114">
        <f>(D19-$D$7)/$D$7</f>
        <v>0.81818181818181823</v>
      </c>
      <c r="F19" s="9">
        <v>1.99</v>
      </c>
      <c r="G19" s="109">
        <f>(F19-$F$7)/$F$7</f>
        <v>0.68644067796610175</v>
      </c>
      <c r="H19" s="8">
        <f>611.97*2</f>
        <v>1223.94</v>
      </c>
      <c r="I19" s="114">
        <f>(H19-$H$7)/$H$7</f>
        <v>0.50779806341932154</v>
      </c>
      <c r="J19" s="9">
        <f>207.95*2</f>
        <v>415.9</v>
      </c>
      <c r="K19" s="109">
        <f>(J19-$J$7)/$J$7</f>
        <v>0.7227238836881783</v>
      </c>
    </row>
    <row r="20" spans="1:16" ht="15.75" x14ac:dyDescent="0.25">
      <c r="A20" s="130" t="s">
        <v>39</v>
      </c>
      <c r="B20" s="6" t="s">
        <v>13</v>
      </c>
      <c r="C20" s="135" t="s">
        <v>40</v>
      </c>
      <c r="D20" s="4">
        <v>0.98</v>
      </c>
      <c r="E20" s="102">
        <f>(D20-$D$4)/$D$4</f>
        <v>-2.9702970297029729E-2</v>
      </c>
      <c r="F20" s="5">
        <v>1.17</v>
      </c>
      <c r="G20" s="108">
        <f>(F20-$F$4)/$F$4</f>
        <v>-6.4000000000000057E-2</v>
      </c>
      <c r="H20" s="4">
        <f>1125.3*2</f>
        <v>2250.6</v>
      </c>
      <c r="I20" s="102">
        <f>(H20-$H$4)/$H$4</f>
        <v>1.7579078726059408E-2</v>
      </c>
      <c r="J20" s="5">
        <f>393.23*2</f>
        <v>786.46</v>
      </c>
      <c r="K20" s="102">
        <f>(J20-$J$4)/$J$4</f>
        <v>-2.7789452864242115E-2</v>
      </c>
      <c r="L20" s="21"/>
    </row>
    <row r="21" spans="1:16" ht="15.75" x14ac:dyDescent="0.25">
      <c r="A21" s="131"/>
      <c r="B21" s="2" t="s">
        <v>17</v>
      </c>
      <c r="C21" s="136"/>
      <c r="D21" s="4">
        <v>1.78</v>
      </c>
      <c r="E21" s="102">
        <f>(D21-$D$5)/$D$5</f>
        <v>-0.16431924882629104</v>
      </c>
      <c r="F21" s="5">
        <v>0.9</v>
      </c>
      <c r="G21" s="103">
        <f>(F21-$F$5)/$F$5</f>
        <v>-0.20353982300884946</v>
      </c>
      <c r="H21" s="4">
        <f>372.62*2</f>
        <v>745.24</v>
      </c>
      <c r="I21" s="102">
        <f>(H21-$H$5)/$H$5</f>
        <v>-0.32480475474296483</v>
      </c>
      <c r="J21" s="5">
        <f>67.54*2</f>
        <v>135.08000000000001</v>
      </c>
      <c r="K21" s="103">
        <f>(J21-$J$5)/$J$5</f>
        <v>-0.23536737235367364</v>
      </c>
    </row>
    <row r="22" spans="1:16" ht="15.75" x14ac:dyDescent="0.25">
      <c r="A22" s="131"/>
      <c r="B22" s="2" t="s">
        <v>41</v>
      </c>
      <c r="C22" s="136"/>
      <c r="D22" s="4">
        <v>-7.0000000000000007E-2</v>
      </c>
      <c r="E22" s="119">
        <f>(0.2-$D$6)/$D$6</f>
        <v>5.2631578947368467E-2</v>
      </c>
      <c r="F22" s="5">
        <v>0.62</v>
      </c>
      <c r="G22" s="120">
        <f>(0.64-$F$6)/$F$6</f>
        <v>-0.31914893617021273</v>
      </c>
      <c r="H22" s="4">
        <f>-50.43*2</f>
        <v>-100.86</v>
      </c>
      <c r="I22" s="119">
        <f>((H22+H23)-$H$6)/$H$6</f>
        <v>0.24844720496894399</v>
      </c>
      <c r="J22" s="5">
        <f>131.85*2</f>
        <v>263.7</v>
      </c>
      <c r="K22" s="120">
        <f>((J22+J23)-$J$6)/$J$6</f>
        <v>-0.26384198137345211</v>
      </c>
    </row>
    <row r="23" spans="1:16" ht="15.75" x14ac:dyDescent="0.25">
      <c r="A23" s="131"/>
      <c r="B23" s="2" t="s">
        <v>42</v>
      </c>
      <c r="C23" s="136"/>
      <c r="D23" s="4">
        <v>0.35</v>
      </c>
      <c r="E23" s="119"/>
      <c r="F23" s="5">
        <v>4.62</v>
      </c>
      <c r="G23" s="120"/>
      <c r="H23" s="4">
        <f>235.35*2</f>
        <v>470.7</v>
      </c>
      <c r="I23" s="119"/>
      <c r="J23" s="5">
        <f>12.01*2</f>
        <v>24.02</v>
      </c>
      <c r="K23" s="120"/>
    </row>
    <row r="24" spans="1:16" ht="16.5" thickBot="1" x14ac:dyDescent="0.3">
      <c r="A24" s="132"/>
      <c r="B24" s="7" t="s">
        <v>23</v>
      </c>
      <c r="C24" s="137"/>
      <c r="D24" s="8">
        <v>4.2699999999999996</v>
      </c>
      <c r="E24" s="114">
        <f>(D24-$D$7)/$D$7</f>
        <v>0.68774703557312244</v>
      </c>
      <c r="F24" s="9">
        <v>1.74</v>
      </c>
      <c r="G24" s="109">
        <f>(F24-$F$7)/$F$7</f>
        <v>0.47457627118644075</v>
      </c>
      <c r="H24" s="8">
        <f>567.75*2</f>
        <v>1135.5</v>
      </c>
      <c r="I24" s="114">
        <f>(H24-$H$7)/$H$7</f>
        <v>0.39884692142804345</v>
      </c>
      <c r="J24" s="9">
        <f>181.82*2</f>
        <v>363.64</v>
      </c>
      <c r="K24" s="109">
        <f>(J24-$J$7)/$J$7</f>
        <v>0.50625465992875485</v>
      </c>
    </row>
    <row r="25" spans="1:16" ht="7.5" customHeight="1" thickBot="1" x14ac:dyDescent="0.3">
      <c r="A25" s="22"/>
      <c r="B25" s="23"/>
      <c r="C25" s="24"/>
      <c r="D25" s="25"/>
      <c r="E25" s="26"/>
      <c r="F25" s="27"/>
      <c r="G25" s="26"/>
      <c r="H25" s="25"/>
      <c r="I25" s="26"/>
      <c r="J25" s="27"/>
      <c r="K25" s="28"/>
      <c r="L25" s="29"/>
      <c r="M25" s="29"/>
      <c r="N25" s="29"/>
      <c r="O25" s="29"/>
      <c r="P25" s="29"/>
    </row>
    <row r="26" spans="1:16" ht="15.75" x14ac:dyDescent="0.25">
      <c r="A26" s="121" t="s">
        <v>43</v>
      </c>
      <c r="B26" s="30" t="s">
        <v>13</v>
      </c>
      <c r="C26" s="126" t="s">
        <v>14</v>
      </c>
      <c r="D26" s="31">
        <v>0.8</v>
      </c>
      <c r="E26" s="32">
        <f>(D26-$D$26)/$D$26</f>
        <v>0</v>
      </c>
      <c r="F26" s="33">
        <v>0.87</v>
      </c>
      <c r="G26" s="41">
        <f>(F26-$F$26)/$F$26</f>
        <v>0</v>
      </c>
      <c r="H26" s="31">
        <v>1756.25</v>
      </c>
      <c r="I26" s="32">
        <f>(H26-$H$26)/$H$26</f>
        <v>0</v>
      </c>
      <c r="J26" s="33">
        <v>667.06</v>
      </c>
      <c r="K26" s="41">
        <f>(J26-$J$26)/$J$26</f>
        <v>0</v>
      </c>
    </row>
    <row r="27" spans="1:16" ht="15.75" x14ac:dyDescent="0.25">
      <c r="A27" s="122"/>
      <c r="B27" s="35" t="s">
        <v>17</v>
      </c>
      <c r="C27" s="127"/>
      <c r="D27" s="31">
        <v>1.84</v>
      </c>
      <c r="E27" s="32">
        <f>(D27-$D$27)/$D$27</f>
        <v>0</v>
      </c>
      <c r="F27" s="33">
        <v>0.95</v>
      </c>
      <c r="G27" s="34">
        <f>(F27-$F$27)/$F$27</f>
        <v>0</v>
      </c>
      <c r="H27" s="31">
        <v>952.52</v>
      </c>
      <c r="I27" s="32">
        <f>(H27-$H$27)/$H$27</f>
        <v>0</v>
      </c>
      <c r="J27" s="33">
        <v>156</v>
      </c>
      <c r="K27" s="34">
        <f>(J27-$J$27)/$J$27</f>
        <v>0</v>
      </c>
    </row>
    <row r="28" spans="1:16" ht="15.75" x14ac:dyDescent="0.25">
      <c r="A28" s="122"/>
      <c r="B28" s="35" t="s">
        <v>20</v>
      </c>
      <c r="C28" s="127"/>
      <c r="D28" s="31">
        <v>0.18</v>
      </c>
      <c r="E28" s="32">
        <f>(D28-$D$28)/$D$28</f>
        <v>0</v>
      </c>
      <c r="F28" s="33">
        <v>0.64</v>
      </c>
      <c r="G28" s="34">
        <f>(F28-$F$28)/$F$28</f>
        <v>0</v>
      </c>
      <c r="H28" s="31">
        <v>278.38</v>
      </c>
      <c r="I28" s="32">
        <f>(H28-$H$28)/$H$28</f>
        <v>0</v>
      </c>
      <c r="J28" s="33">
        <v>308.74</v>
      </c>
      <c r="K28" s="34">
        <f>(J28-$J$28)/$J$28</f>
        <v>0</v>
      </c>
    </row>
    <row r="29" spans="1:16" ht="16.5" thickBot="1" x14ac:dyDescent="0.3">
      <c r="A29" s="123"/>
      <c r="B29" s="36" t="s">
        <v>23</v>
      </c>
      <c r="C29" s="128"/>
      <c r="D29" s="37">
        <v>1.63</v>
      </c>
      <c r="E29" s="38">
        <f>(D29-$D$29)/$D$29</f>
        <v>0</v>
      </c>
      <c r="F29" s="39">
        <v>0.79</v>
      </c>
      <c r="G29" s="40">
        <f>(F29-$F$29)/$F$29</f>
        <v>0</v>
      </c>
      <c r="H29" s="37">
        <v>525.35</v>
      </c>
      <c r="I29" s="38">
        <f>(H29-$H$29)/$H$29</f>
        <v>0</v>
      </c>
      <c r="J29" s="39">
        <v>202.32</v>
      </c>
      <c r="K29" s="40">
        <f>(J29-$J$29)/$J$29</f>
        <v>0</v>
      </c>
    </row>
    <row r="30" spans="1:16" ht="15.75" x14ac:dyDescent="0.25">
      <c r="A30" s="155" t="s">
        <v>44</v>
      </c>
      <c r="B30" s="6" t="s">
        <v>13</v>
      </c>
      <c r="C30" s="135" t="s">
        <v>40</v>
      </c>
      <c r="D30" s="4">
        <v>0.89</v>
      </c>
      <c r="E30" s="102">
        <f>(D30-$D$26)/$D$26</f>
        <v>0.11249999999999996</v>
      </c>
      <c r="F30" s="5">
        <v>1.01</v>
      </c>
      <c r="G30" s="108">
        <f>(F30-$F$26)/$F$26</f>
        <v>0.16091954022988508</v>
      </c>
      <c r="H30" s="4">
        <v>2040.75</v>
      </c>
      <c r="I30" s="102">
        <f>(H30-$H$26)/$H$26</f>
        <v>0.16199288256227759</v>
      </c>
      <c r="J30" s="5">
        <v>823.72</v>
      </c>
      <c r="K30" s="108">
        <f>(J30-$J$26)/$J$26</f>
        <v>0.23485143765178559</v>
      </c>
      <c r="L30" s="21"/>
    </row>
    <row r="31" spans="1:16" ht="15.75" x14ac:dyDescent="0.25">
      <c r="A31" s="156"/>
      <c r="B31" s="2" t="s">
        <v>17</v>
      </c>
      <c r="C31" s="136"/>
      <c r="D31" s="4">
        <v>1.67</v>
      </c>
      <c r="E31" s="102">
        <f>(D31-$D$27)/$D$27</f>
        <v>-9.2391304347826164E-2</v>
      </c>
      <c r="F31" s="5">
        <v>0.81</v>
      </c>
      <c r="G31" s="103">
        <f>(F31-$F$27)/$F$27</f>
        <v>-0.14736842105263148</v>
      </c>
      <c r="H31" s="4">
        <v>698.96</v>
      </c>
      <c r="I31" s="102">
        <f>(H31-$H$27)/$H$27</f>
        <v>-0.26619913492630071</v>
      </c>
      <c r="J31" s="5">
        <v>132.55000000000001</v>
      </c>
      <c r="K31" s="103">
        <f>(J31-$J$27)/$J$27</f>
        <v>-0.15032051282051276</v>
      </c>
    </row>
    <row r="32" spans="1:16" ht="15.75" x14ac:dyDescent="0.25">
      <c r="A32" s="156"/>
      <c r="B32" s="2" t="s">
        <v>41</v>
      </c>
      <c r="C32" s="136"/>
      <c r="D32" s="4">
        <v>-0.06</v>
      </c>
      <c r="E32" s="119">
        <f>(0.17-$D$28)/$D$28</f>
        <v>-5.5555555555555455E-2</v>
      </c>
      <c r="F32" s="5">
        <v>0.56000000000000005</v>
      </c>
      <c r="G32" s="120">
        <f>(0.59-$F$28)/$F$28</f>
        <v>-7.8125000000000069E-2</v>
      </c>
      <c r="H32" s="4">
        <v>-90.16</v>
      </c>
      <c r="I32" s="119">
        <f>((H32+H33)-$H$28)/$H$28</f>
        <v>0.13337883468639988</v>
      </c>
      <c r="J32" s="5">
        <v>293.55</v>
      </c>
      <c r="K32" s="120">
        <f>((J32+J33)-$J$28)/$J$28</f>
        <v>-2.0729416337370806E-3</v>
      </c>
    </row>
    <row r="33" spans="1:11" ht="15.75" x14ac:dyDescent="0.25">
      <c r="A33" s="156"/>
      <c r="B33" s="2" t="s">
        <v>42</v>
      </c>
      <c r="C33" s="136"/>
      <c r="D33" s="4">
        <v>0.31</v>
      </c>
      <c r="E33" s="119"/>
      <c r="F33" s="5">
        <v>0.26</v>
      </c>
      <c r="G33" s="120"/>
      <c r="H33" s="4">
        <v>405.67</v>
      </c>
      <c r="I33" s="119"/>
      <c r="J33" s="5">
        <v>14.55</v>
      </c>
      <c r="K33" s="120"/>
    </row>
    <row r="34" spans="1:11" ht="16.5" thickBot="1" x14ac:dyDescent="0.3">
      <c r="A34" s="157"/>
      <c r="B34" s="7" t="s">
        <v>23</v>
      </c>
      <c r="C34" s="137"/>
      <c r="D34" s="8">
        <v>3.86</v>
      </c>
      <c r="E34" s="114">
        <f>(D34-$D$29)/$D$29</f>
        <v>1.3680981595092025</v>
      </c>
      <c r="F34" s="9">
        <v>1.48</v>
      </c>
      <c r="G34" s="109">
        <f>(F34-$F$29)/$F$29</f>
        <v>0.87341772151898722</v>
      </c>
      <c r="H34" s="8">
        <v>1026.28</v>
      </c>
      <c r="I34" s="114">
        <f>(H34-$H$29)/$H$29</f>
        <v>0.95351670315028059</v>
      </c>
      <c r="J34" s="9">
        <v>383.07</v>
      </c>
      <c r="K34" s="109">
        <f>(J34-$J$29)/$J$29</f>
        <v>0.89338671411625148</v>
      </c>
    </row>
    <row r="35" spans="1:11" x14ac:dyDescent="0.25">
      <c r="E35"/>
      <c r="G35"/>
      <c r="I35"/>
      <c r="K35"/>
    </row>
    <row r="36" spans="1:11" x14ac:dyDescent="0.25">
      <c r="E36"/>
      <c r="G36"/>
      <c r="I36"/>
      <c r="K36"/>
    </row>
    <row r="37" spans="1:11" x14ac:dyDescent="0.25">
      <c r="E37"/>
      <c r="G37"/>
      <c r="I37"/>
      <c r="K37"/>
    </row>
    <row r="38" spans="1:11" x14ac:dyDescent="0.25">
      <c r="E38"/>
      <c r="G38"/>
      <c r="I38"/>
      <c r="K38"/>
    </row>
    <row r="39" spans="1:11" x14ac:dyDescent="0.25">
      <c r="E39"/>
      <c r="G39"/>
      <c r="I39"/>
      <c r="K39"/>
    </row>
    <row r="40" spans="1:11" x14ac:dyDescent="0.25">
      <c r="E40"/>
      <c r="G40"/>
      <c r="I40"/>
      <c r="K40"/>
    </row>
    <row r="41" spans="1:11" x14ac:dyDescent="0.25">
      <c r="E41"/>
      <c r="G41"/>
      <c r="I41"/>
      <c r="K41"/>
    </row>
    <row r="42" spans="1:11" x14ac:dyDescent="0.25">
      <c r="E42"/>
      <c r="G42"/>
      <c r="I42"/>
      <c r="K42"/>
    </row>
    <row r="43" spans="1:11" x14ac:dyDescent="0.25">
      <c r="E43"/>
      <c r="G43"/>
      <c r="I43"/>
      <c r="K43"/>
    </row>
    <row r="44" spans="1:11" x14ac:dyDescent="0.25">
      <c r="E44"/>
      <c r="G44"/>
      <c r="I44"/>
      <c r="K44"/>
    </row>
    <row r="45" spans="1:11" x14ac:dyDescent="0.25">
      <c r="E45"/>
      <c r="G45"/>
      <c r="I45"/>
      <c r="K45"/>
    </row>
    <row r="46" spans="1:11" x14ac:dyDescent="0.25">
      <c r="E46"/>
      <c r="G46"/>
      <c r="I46"/>
      <c r="K46"/>
    </row>
    <row r="47" spans="1:11" x14ac:dyDescent="0.25">
      <c r="E47"/>
      <c r="G47"/>
      <c r="I47"/>
      <c r="K47"/>
    </row>
    <row r="48" spans="1:11" x14ac:dyDescent="0.25">
      <c r="E48"/>
      <c r="G48"/>
      <c r="I48"/>
      <c r="K48"/>
    </row>
    <row r="49" spans="5:11" x14ac:dyDescent="0.25">
      <c r="E49"/>
      <c r="G49"/>
      <c r="I49"/>
      <c r="K49"/>
    </row>
    <row r="50" spans="5:11" x14ac:dyDescent="0.25">
      <c r="E50"/>
      <c r="G50"/>
      <c r="I50"/>
      <c r="K50"/>
    </row>
    <row r="51" spans="5:11" x14ac:dyDescent="0.25">
      <c r="E51"/>
      <c r="G51"/>
      <c r="I51"/>
      <c r="K51"/>
    </row>
    <row r="52" spans="5:11" x14ac:dyDescent="0.25">
      <c r="E52"/>
      <c r="G52"/>
      <c r="I52"/>
      <c r="K52"/>
    </row>
    <row r="53" spans="5:11" x14ac:dyDescent="0.25">
      <c r="I53" s="16"/>
    </row>
    <row r="54" spans="5:11" x14ac:dyDescent="0.25">
      <c r="I54" s="16"/>
    </row>
    <row r="55" spans="5:11" x14ac:dyDescent="0.25">
      <c r="I55" s="16"/>
    </row>
    <row r="56" spans="5:11" x14ac:dyDescent="0.25">
      <c r="I56" s="16"/>
    </row>
    <row r="57" spans="5:11" x14ac:dyDescent="0.25">
      <c r="I57" s="16"/>
    </row>
    <row r="58" spans="5:11" x14ac:dyDescent="0.25">
      <c r="I58" s="16"/>
    </row>
  </sheetData>
  <mergeCells count="39">
    <mergeCell ref="M12:N15"/>
    <mergeCell ref="C26:C29"/>
    <mergeCell ref="C30:C34"/>
    <mergeCell ref="A26:A29"/>
    <mergeCell ref="A30:A34"/>
    <mergeCell ref="C20:C24"/>
    <mergeCell ref="A20:A24"/>
    <mergeCell ref="D2:G2"/>
    <mergeCell ref="A8:A11"/>
    <mergeCell ref="A12:A15"/>
    <mergeCell ref="A16:A19"/>
    <mergeCell ref="K8:K11"/>
    <mergeCell ref="C8:C11"/>
    <mergeCell ref="C12:C15"/>
    <mergeCell ref="C16:C19"/>
    <mergeCell ref="B8:B11"/>
    <mergeCell ref="D8:D11"/>
    <mergeCell ref="E8:E11"/>
    <mergeCell ref="F8:F11"/>
    <mergeCell ref="G8:G11"/>
    <mergeCell ref="H8:H11"/>
    <mergeCell ref="I8:I11"/>
    <mergeCell ref="J8:J11"/>
    <mergeCell ref="M2:N2"/>
    <mergeCell ref="A1:N1"/>
    <mergeCell ref="E32:E33"/>
    <mergeCell ref="I32:I33"/>
    <mergeCell ref="G32:G33"/>
    <mergeCell ref="K32:K33"/>
    <mergeCell ref="E22:E23"/>
    <mergeCell ref="G22:G23"/>
    <mergeCell ref="I22:I23"/>
    <mergeCell ref="K22:K23"/>
    <mergeCell ref="A4:A7"/>
    <mergeCell ref="C2:C3"/>
    <mergeCell ref="C4:C7"/>
    <mergeCell ref="A2:A3"/>
    <mergeCell ref="B2:B3"/>
    <mergeCell ref="H2:K2"/>
  </mergeCells>
  <conditionalFormatting sqref="E4:E6">
    <cfRule type="iconSet" priority="44">
      <iconSet iconSet="3Arrows">
        <cfvo type="percent" val="0"/>
        <cfvo type="num" val="0"/>
        <cfvo type="num" val="0" gte="0"/>
      </iconSet>
    </cfRule>
  </conditionalFormatting>
  <conditionalFormatting sqref="E3">
    <cfRule type="iconSet" priority="43">
      <iconSet iconSet="3Arrows">
        <cfvo type="percent" val="0"/>
        <cfvo type="num" val="0"/>
        <cfvo type="num" val="0" gte="0"/>
      </iconSet>
    </cfRule>
  </conditionalFormatting>
  <conditionalFormatting sqref="G3">
    <cfRule type="iconSet" priority="42">
      <iconSet iconSet="3Arrows">
        <cfvo type="percent" val="0"/>
        <cfvo type="num" val="0"/>
        <cfvo type="num" val="0" gte="0"/>
      </iconSet>
    </cfRule>
  </conditionalFormatting>
  <conditionalFormatting sqref="I3">
    <cfRule type="iconSet" priority="41">
      <iconSet iconSet="3Arrows">
        <cfvo type="percent" val="0"/>
        <cfvo type="num" val="0"/>
        <cfvo type="num" val="0" gte="0"/>
      </iconSet>
    </cfRule>
  </conditionalFormatting>
  <conditionalFormatting sqref="K3">
    <cfRule type="iconSet" priority="40">
      <iconSet iconSet="3Arrows">
        <cfvo type="percent" val="0"/>
        <cfvo type="num" val="0"/>
        <cfvo type="num" val="0" gte="0"/>
      </iconSet>
    </cfRule>
  </conditionalFormatting>
  <conditionalFormatting sqref="E7:E8 E16:E19 G16:G19 I16:I19 K16:K19 E25">
    <cfRule type="iconSet" priority="16">
      <iconSet iconSet="3Arrows">
        <cfvo type="percent" val="0"/>
        <cfvo type="num" val="0"/>
        <cfvo type="num" val="0" gte="0"/>
      </iconSet>
    </cfRule>
  </conditionalFormatting>
  <conditionalFormatting sqref="G4:G6">
    <cfRule type="iconSet" priority="15">
      <iconSet iconSet="3Arrows">
        <cfvo type="percent" val="0"/>
        <cfvo type="num" val="0"/>
        <cfvo type="num" val="0" gte="0"/>
      </iconSet>
    </cfRule>
  </conditionalFormatting>
  <conditionalFormatting sqref="G7:G8 G25">
    <cfRule type="iconSet" priority="14">
      <iconSet iconSet="3Arrows">
        <cfvo type="percent" val="0"/>
        <cfvo type="num" val="0"/>
        <cfvo type="num" val="0" gte="0"/>
      </iconSet>
    </cfRule>
  </conditionalFormatting>
  <conditionalFormatting sqref="I4:I8 I25">
    <cfRule type="iconSet" priority="12">
      <iconSet iconSet="3Arrows">
        <cfvo type="percent" val="0"/>
        <cfvo type="num" val="0"/>
        <cfvo type="num" val="0" gte="0"/>
      </iconSet>
    </cfRule>
  </conditionalFormatting>
  <conditionalFormatting sqref="K4:K8 K25">
    <cfRule type="iconSet" priority="10">
      <iconSet iconSet="3Arrows">
        <cfvo type="percent" val="0"/>
        <cfvo type="num" val="0"/>
        <cfvo type="num" val="0" gte="0"/>
      </iconSet>
    </cfRule>
  </conditionalFormatting>
  <conditionalFormatting sqref="E20:E22 G20:G22 I20:I22 K20:K22 E24 G24 I24 K24">
    <cfRule type="iconSet" priority="5">
      <iconSet iconSet="3Arrows">
        <cfvo type="percent" val="0"/>
        <cfvo type="num" val="0"/>
        <cfvo type="num" val="0" gte="0"/>
      </iconSet>
    </cfRule>
  </conditionalFormatting>
  <conditionalFormatting sqref="E26:E29 G26:G29 I26:I29 K26:K29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E30:E32 G30:G32 I30:I32 K30:K32 E34 I34 G34 K34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E12:E15 G12:G15 I12:I15 K12:K15">
    <cfRule type="iconSet" priority="1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paperSize="9" orientation="portrait" r:id="rId1"/>
  <ignoredErrors>
    <ignoredError sqref="J16 H16 H17 H18 H19 J17 J18 J19 H4:J7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AC327-6240-46E4-9411-C7F4CEE67A48}">
  <dimension ref="A1:P42"/>
  <sheetViews>
    <sheetView workbookViewId="0">
      <selection activeCell="J2" sqref="J2"/>
    </sheetView>
  </sheetViews>
  <sheetFormatPr defaultRowHeight="15" x14ac:dyDescent="0.25"/>
  <cols>
    <col min="1" max="1" width="21.42578125" customWidth="1"/>
    <col min="2" max="2" width="42.85546875" customWidth="1"/>
    <col min="3" max="3" width="14.28515625" customWidth="1"/>
    <col min="4" max="4" width="14.28515625" style="17" customWidth="1"/>
    <col min="5" max="5" width="14.28515625" customWidth="1"/>
    <col min="6" max="6" width="14.28515625" style="17" customWidth="1"/>
    <col min="7" max="7" width="14.28515625" customWidth="1"/>
    <col min="8" max="8" width="1.42578125" customWidth="1"/>
    <col min="9" max="9" width="14.28515625" style="17" customWidth="1"/>
    <col min="10" max="10" width="2.85546875" customWidth="1"/>
    <col min="11" max="11" width="12.85546875" style="17" customWidth="1"/>
    <col min="12" max="17" width="9.140625" customWidth="1"/>
    <col min="18" max="18" width="12.85546875" customWidth="1"/>
    <col min="19" max="19" width="10.85546875" customWidth="1"/>
  </cols>
  <sheetData>
    <row r="1" spans="1:16" ht="26.25" customHeight="1" thickBot="1" x14ac:dyDescent="0.3">
      <c r="A1" s="158" t="s">
        <v>45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66"/>
      <c r="O1" s="66"/>
    </row>
    <row r="2" spans="1:16" ht="16.5" customHeight="1" x14ac:dyDescent="0.25">
      <c r="A2" s="124" t="s">
        <v>1</v>
      </c>
      <c r="B2" s="124" t="s">
        <v>3</v>
      </c>
      <c r="C2" s="159" t="s">
        <v>46</v>
      </c>
      <c r="D2" s="160"/>
      <c r="E2" s="159" t="s">
        <v>47</v>
      </c>
      <c r="F2" s="160"/>
      <c r="G2" s="159" t="s">
        <v>48</v>
      </c>
      <c r="H2" s="161"/>
      <c r="I2" s="160"/>
      <c r="K2" s="159" t="s">
        <v>49</v>
      </c>
      <c r="L2" s="161"/>
      <c r="M2" s="160"/>
    </row>
    <row r="3" spans="1:16" ht="16.5" thickBot="1" x14ac:dyDescent="0.3">
      <c r="A3" s="125"/>
      <c r="B3" s="125"/>
      <c r="C3" s="3" t="s">
        <v>50</v>
      </c>
      <c r="D3" s="44" t="s">
        <v>51</v>
      </c>
      <c r="E3" s="1" t="s">
        <v>50</v>
      </c>
      <c r="F3" s="44" t="s">
        <v>51</v>
      </c>
      <c r="G3" s="47" t="s">
        <v>50</v>
      </c>
      <c r="H3" s="49" t="s">
        <v>52</v>
      </c>
      <c r="I3" s="48" t="s">
        <v>51</v>
      </c>
      <c r="K3" s="42" t="s">
        <v>53</v>
      </c>
      <c r="L3" s="43">
        <v>1.534</v>
      </c>
      <c r="M3" s="45" t="s">
        <v>54</v>
      </c>
    </row>
    <row r="4" spans="1:16" ht="16.5" customHeight="1" x14ac:dyDescent="0.25">
      <c r="A4" s="104" t="s">
        <v>12</v>
      </c>
      <c r="B4" s="105" t="s">
        <v>14</v>
      </c>
      <c r="C4" s="104">
        <f>670.61*2</f>
        <v>1341.22</v>
      </c>
      <c r="D4" s="72">
        <f>1025.79*2</f>
        <v>2051.58</v>
      </c>
      <c r="E4" s="73">
        <f t="shared" ref="E4:E10" si="0">D4/$L$3</f>
        <v>1337.4054758800521</v>
      </c>
      <c r="F4" s="73">
        <f t="shared" ref="F4:F10" si="1">C4/$L$3</f>
        <v>874.32855280312913</v>
      </c>
      <c r="G4" s="74">
        <f>E4/(SUM(E4:F4))*100</f>
        <v>60.468639471822684</v>
      </c>
      <c r="H4" s="75" t="s">
        <v>52</v>
      </c>
      <c r="I4" s="76">
        <f t="shared" ref="I4:I7" si="2">F4/(SUM(E4:F4))*100</f>
        <v>39.531360528177316</v>
      </c>
    </row>
    <row r="5" spans="1:16" ht="16.5" customHeight="1" x14ac:dyDescent="0.25">
      <c r="A5" s="112" t="s">
        <v>26</v>
      </c>
      <c r="B5" s="110" t="s">
        <v>27</v>
      </c>
      <c r="C5" s="4">
        <f>581.01*2</f>
        <v>1162.02</v>
      </c>
      <c r="D5" s="77">
        <f>766.96*2</f>
        <v>1533.92</v>
      </c>
      <c r="E5" s="78">
        <f t="shared" si="0"/>
        <v>999.94784876140807</v>
      </c>
      <c r="F5" s="79">
        <f t="shared" si="1"/>
        <v>757.50977835723597</v>
      </c>
      <c r="G5" s="80">
        <f t="shared" ref="G5:G7" si="3">E5/(SUM(E5:F5))*100</f>
        <v>56.897408696039228</v>
      </c>
      <c r="H5" s="50" t="s">
        <v>52</v>
      </c>
      <c r="I5" s="81">
        <f t="shared" si="2"/>
        <v>43.102591303960772</v>
      </c>
      <c r="K5"/>
    </row>
    <row r="6" spans="1:16" ht="16.5" customHeight="1" x14ac:dyDescent="0.25">
      <c r="A6" s="106" t="s">
        <v>34</v>
      </c>
      <c r="B6" s="110" t="s">
        <v>35</v>
      </c>
      <c r="C6" s="4">
        <f>1037.59*2</f>
        <v>2075.1799999999998</v>
      </c>
      <c r="D6" s="46">
        <f>681.75*2</f>
        <v>1363.5</v>
      </c>
      <c r="E6" s="78">
        <f t="shared" si="0"/>
        <v>888.85267275097783</v>
      </c>
      <c r="F6" s="79">
        <f t="shared" si="1"/>
        <v>1352.7900912646674</v>
      </c>
      <c r="G6" s="80">
        <f t="shared" si="3"/>
        <v>39.651843149115358</v>
      </c>
      <c r="H6" s="50" t="s">
        <v>52</v>
      </c>
      <c r="I6" s="81">
        <f t="shared" si="2"/>
        <v>60.348156850884635</v>
      </c>
      <c r="K6"/>
    </row>
    <row r="7" spans="1:16" ht="16.5" customHeight="1" x14ac:dyDescent="0.25">
      <c r="A7" s="106" t="s">
        <v>37</v>
      </c>
      <c r="B7" s="110" t="s">
        <v>38</v>
      </c>
      <c r="C7" s="4">
        <f>1150.87*2</f>
        <v>2301.7399999999998</v>
      </c>
      <c r="D7" s="46">
        <f>706.89*2</f>
        <v>1413.78</v>
      </c>
      <c r="E7" s="78">
        <f t="shared" si="0"/>
        <v>921.62972620599737</v>
      </c>
      <c r="F7" s="79">
        <f t="shared" si="1"/>
        <v>1500.482398956975</v>
      </c>
      <c r="G7" s="80">
        <f t="shared" si="3"/>
        <v>38.050663164240802</v>
      </c>
      <c r="H7" s="50" t="s">
        <v>52</v>
      </c>
      <c r="I7" s="81">
        <f t="shared" si="2"/>
        <v>61.949336835759183</v>
      </c>
      <c r="K7"/>
    </row>
    <row r="8" spans="1:16" ht="16.5" customHeight="1" thickBot="1" x14ac:dyDescent="0.3">
      <c r="A8" s="107" t="s">
        <v>39</v>
      </c>
      <c r="B8" s="111" t="s">
        <v>40</v>
      </c>
      <c r="C8" s="82">
        <f>1097.05*2</f>
        <v>2194.1</v>
      </c>
      <c r="D8" s="83">
        <f>629.16*2</f>
        <v>1258.32</v>
      </c>
      <c r="E8" s="67">
        <f t="shared" si="0"/>
        <v>820.28683181225551</v>
      </c>
      <c r="F8" s="68">
        <f t="shared" si="1"/>
        <v>1430.3129074315514</v>
      </c>
      <c r="G8" s="69">
        <f>E8/(SUM(E8:F8))*100</f>
        <v>36.44747742163468</v>
      </c>
      <c r="H8" s="70" t="s">
        <v>52</v>
      </c>
      <c r="I8" s="71">
        <f>F8/(SUM(E8:F8))*100</f>
        <v>63.55252257836532</v>
      </c>
      <c r="K8"/>
    </row>
    <row r="9" spans="1:16" ht="15" customHeight="1" x14ac:dyDescent="0.25">
      <c r="A9" s="104" t="s">
        <v>43</v>
      </c>
      <c r="B9" s="105" t="s">
        <v>14</v>
      </c>
      <c r="C9" s="104">
        <v>927.94</v>
      </c>
      <c r="D9" s="72">
        <v>1603.67</v>
      </c>
      <c r="E9" s="73">
        <f t="shared" si="0"/>
        <v>1045.4172099087355</v>
      </c>
      <c r="F9" s="73">
        <f t="shared" si="1"/>
        <v>604.9152542372882</v>
      </c>
      <c r="G9" s="74">
        <f>E9/(SUM(E9:F9))*100</f>
        <v>63.345855009262884</v>
      </c>
      <c r="H9" s="75" t="s">
        <v>52</v>
      </c>
      <c r="I9" s="76">
        <f t="shared" ref="I9" si="4">F9/(SUM(E9:F9))*100</f>
        <v>36.654144990737123</v>
      </c>
      <c r="K9"/>
      <c r="M9" s="29"/>
      <c r="N9" s="29"/>
      <c r="O9" s="29"/>
      <c r="P9" s="29"/>
    </row>
    <row r="10" spans="1:16" ht="16.5" thickBot="1" x14ac:dyDescent="0.3">
      <c r="A10" s="107" t="s">
        <v>44</v>
      </c>
      <c r="B10" s="111" t="s">
        <v>40</v>
      </c>
      <c r="C10" s="82">
        <v>2026.84</v>
      </c>
      <c r="D10" s="83">
        <v>914.86</v>
      </c>
      <c r="E10" s="67">
        <f t="shared" si="0"/>
        <v>596.38852672750977</v>
      </c>
      <c r="F10" s="68">
        <f t="shared" si="1"/>
        <v>1321.2777053455018</v>
      </c>
      <c r="G10" s="69">
        <f>E10/(SUM(E10:F10))*100</f>
        <v>31.099704252643036</v>
      </c>
      <c r="H10" s="70" t="s">
        <v>52</v>
      </c>
      <c r="I10" s="71">
        <f>F10/(SUM(E10:F10))*100</f>
        <v>68.900295747356964</v>
      </c>
      <c r="K10"/>
    </row>
    <row r="11" spans="1:16" x14ac:dyDescent="0.25">
      <c r="D11"/>
      <c r="F11"/>
      <c r="I11"/>
      <c r="K11"/>
    </row>
    <row r="12" spans="1:16" x14ac:dyDescent="0.25">
      <c r="D12"/>
      <c r="F12"/>
      <c r="I12"/>
      <c r="K12"/>
    </row>
    <row r="13" spans="1:16" x14ac:dyDescent="0.25">
      <c r="D13"/>
      <c r="F13"/>
      <c r="I13"/>
      <c r="K13"/>
    </row>
    <row r="14" spans="1:16" x14ac:dyDescent="0.25">
      <c r="D14"/>
      <c r="F14"/>
      <c r="I14"/>
      <c r="K14"/>
    </row>
    <row r="15" spans="1:16" x14ac:dyDescent="0.25">
      <c r="D15"/>
      <c r="F15"/>
      <c r="I15"/>
      <c r="K15"/>
    </row>
    <row r="16" spans="1:16" x14ac:dyDescent="0.25">
      <c r="D16"/>
      <c r="F16"/>
      <c r="I16"/>
      <c r="K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spans="4:11" x14ac:dyDescent="0.25">
      <c r="D33"/>
      <c r="F33"/>
      <c r="I33"/>
      <c r="K33"/>
    </row>
    <row r="34" spans="4:11" x14ac:dyDescent="0.25">
      <c r="D34"/>
      <c r="F34"/>
      <c r="I34"/>
      <c r="K34"/>
    </row>
    <row r="35" spans="4:11" x14ac:dyDescent="0.25">
      <c r="D35"/>
      <c r="F35"/>
      <c r="I35"/>
      <c r="K35"/>
    </row>
    <row r="36" spans="4:11" x14ac:dyDescent="0.25">
      <c r="D36"/>
      <c r="F36"/>
      <c r="I36"/>
      <c r="K36"/>
    </row>
    <row r="37" spans="4:11" x14ac:dyDescent="0.25">
      <c r="I37" s="16"/>
    </row>
    <row r="38" spans="4:11" x14ac:dyDescent="0.25">
      <c r="I38" s="16"/>
    </row>
    <row r="39" spans="4:11" x14ac:dyDescent="0.25">
      <c r="I39" s="16"/>
    </row>
    <row r="40" spans="4:11" x14ac:dyDescent="0.25">
      <c r="I40" s="16"/>
    </row>
    <row r="41" spans="4:11" x14ac:dyDescent="0.25">
      <c r="I41" s="16"/>
    </row>
    <row r="42" spans="4:11" x14ac:dyDescent="0.25">
      <c r="I42" s="16"/>
    </row>
  </sheetData>
  <mergeCells count="7">
    <mergeCell ref="A1:M1"/>
    <mergeCell ref="C2:D2"/>
    <mergeCell ref="G2:I2"/>
    <mergeCell ref="E2:F2"/>
    <mergeCell ref="A2:A3"/>
    <mergeCell ref="B2:B3"/>
    <mergeCell ref="K2:M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D7297-78B6-4E4D-BFB4-58977E986066}">
  <dimension ref="A1:O39"/>
  <sheetViews>
    <sheetView workbookViewId="0">
      <selection activeCell="M2" sqref="M2"/>
    </sheetView>
  </sheetViews>
  <sheetFormatPr defaultRowHeight="15" x14ac:dyDescent="0.25"/>
  <cols>
    <col min="1" max="1" width="21.42578125" customWidth="1"/>
    <col min="2" max="2" width="12.85546875" customWidth="1"/>
    <col min="3" max="3" width="14.28515625" style="17" customWidth="1"/>
    <col min="4" max="4" width="12.85546875" customWidth="1"/>
    <col min="5" max="5" width="14.28515625" style="17" customWidth="1"/>
    <col min="6" max="6" width="21.42578125" style="17" customWidth="1"/>
    <col min="7" max="7" width="21.42578125" customWidth="1"/>
    <col min="8" max="8" width="14.28515625" style="17" customWidth="1"/>
    <col min="9" max="9" width="21.42578125" customWidth="1"/>
    <col min="10" max="10" width="14.28515625" style="17" customWidth="1"/>
    <col min="11" max="11" width="17.140625" style="17" customWidth="1"/>
    <col min="12" max="12" width="14.28515625" style="17" customWidth="1"/>
    <col min="13" max="13" width="2.85546875" customWidth="1"/>
    <col min="14" max="14" width="21.42578125" customWidth="1"/>
    <col min="15" max="15" width="21.85546875" customWidth="1"/>
    <col min="16" max="20" width="9.140625" customWidth="1"/>
  </cols>
  <sheetData>
    <row r="1" spans="1:15" ht="26.25" customHeight="1" thickBot="1" x14ac:dyDescent="0.3">
      <c r="A1" s="158" t="s">
        <v>55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</row>
    <row r="2" spans="1:15" ht="16.5" thickBot="1" x14ac:dyDescent="0.3">
      <c r="A2" s="162" t="s">
        <v>1</v>
      </c>
      <c r="B2" s="163" t="s">
        <v>4</v>
      </c>
      <c r="C2" s="163"/>
      <c r="D2" s="163"/>
      <c r="E2" s="163"/>
      <c r="F2" s="164" t="s">
        <v>56</v>
      </c>
      <c r="G2" s="163" t="s">
        <v>57</v>
      </c>
      <c r="H2" s="163"/>
      <c r="I2" s="163"/>
      <c r="J2" s="163"/>
      <c r="K2" s="163"/>
      <c r="L2" s="163"/>
      <c r="N2" s="165" t="s">
        <v>58</v>
      </c>
      <c r="O2" s="166"/>
    </row>
    <row r="3" spans="1:15" ht="16.5" thickBot="1" x14ac:dyDescent="0.3">
      <c r="A3" s="162"/>
      <c r="B3" s="3" t="s">
        <v>7</v>
      </c>
      <c r="C3" s="15" t="s">
        <v>8</v>
      </c>
      <c r="D3" s="1" t="s">
        <v>9</v>
      </c>
      <c r="E3" s="18" t="s">
        <v>8</v>
      </c>
      <c r="F3" s="125"/>
      <c r="G3" s="3" t="s">
        <v>59</v>
      </c>
      <c r="H3" s="15" t="s">
        <v>8</v>
      </c>
      <c r="I3" s="53" t="s">
        <v>60</v>
      </c>
      <c r="J3" s="18" t="s">
        <v>8</v>
      </c>
      <c r="K3" s="1" t="s">
        <v>61</v>
      </c>
      <c r="L3" s="18" t="s">
        <v>62</v>
      </c>
      <c r="N3" s="11" t="s">
        <v>21</v>
      </c>
      <c r="O3" s="10" t="s">
        <v>22</v>
      </c>
    </row>
    <row r="4" spans="1:15" ht="16.5" customHeight="1" x14ac:dyDescent="0.25">
      <c r="A4" s="95" t="s">
        <v>12</v>
      </c>
      <c r="B4" s="96">
        <v>3.4159999999999999</v>
      </c>
      <c r="C4" s="97">
        <f>(B4-$B$4)/$B$4</f>
        <v>0</v>
      </c>
      <c r="D4" s="96">
        <v>1.2490000000000001</v>
      </c>
      <c r="E4" s="41">
        <f>(D4-$D$4)/$D$4</f>
        <v>0</v>
      </c>
      <c r="F4" s="98">
        <f>0.4314499*2</f>
        <v>0.86289979999999999</v>
      </c>
      <c r="G4" s="99">
        <v>2.78</v>
      </c>
      <c r="H4" s="97">
        <f>(G4-$G$4)/$G$4</f>
        <v>0</v>
      </c>
      <c r="I4" s="99">
        <v>159.06</v>
      </c>
      <c r="J4" s="34">
        <f>(I4-$I$4)/$I$4</f>
        <v>0</v>
      </c>
      <c r="K4" s="99">
        <v>55.4</v>
      </c>
      <c r="L4" s="100">
        <f>(K4-$K$4)</f>
        <v>0</v>
      </c>
      <c r="N4" s="11" t="s">
        <v>24</v>
      </c>
      <c r="O4" s="10" t="s">
        <v>25</v>
      </c>
    </row>
    <row r="5" spans="1:15" ht="16.5" customHeight="1" x14ac:dyDescent="0.25">
      <c r="A5" s="112" t="s">
        <v>26</v>
      </c>
      <c r="B5" s="54">
        <v>2.59</v>
      </c>
      <c r="C5" s="55">
        <f t="shared" ref="C5:C8" si="0">(B5-$B$4)/$B$4</f>
        <v>-0.24180327868852461</v>
      </c>
      <c r="D5" s="54">
        <v>1.05</v>
      </c>
      <c r="E5" s="103">
        <f t="shared" ref="E5:E8" si="1">(D5-$D$4)/$D$4</f>
        <v>-0.1593274619695757</v>
      </c>
      <c r="F5" s="56">
        <f>0.4516407*2</f>
        <v>0.90328140000000001</v>
      </c>
      <c r="G5" s="113">
        <v>2.88</v>
      </c>
      <c r="H5" s="55">
        <f t="shared" ref="H5:H8" si="2">(G5-$G$4)/$G$4</f>
        <v>3.5971223021582767E-2</v>
      </c>
      <c r="I5" s="113">
        <v>166.87</v>
      </c>
      <c r="J5" s="103">
        <f t="shared" ref="J5:J8" si="3">(I5-$I$4)/$I$4</f>
        <v>4.910096818810513E-2</v>
      </c>
      <c r="K5" s="113">
        <v>56.27</v>
      </c>
      <c r="L5" s="57">
        <f>(K5-$K$4)</f>
        <v>0.87000000000000455</v>
      </c>
      <c r="N5" s="11" t="s">
        <v>28</v>
      </c>
      <c r="O5" s="10" t="s">
        <v>29</v>
      </c>
    </row>
    <row r="6" spans="1:15" ht="16.5" customHeight="1" thickBot="1" x14ac:dyDescent="0.3">
      <c r="A6" s="112" t="s">
        <v>34</v>
      </c>
      <c r="B6" s="54">
        <v>3.2349999999999999</v>
      </c>
      <c r="C6" s="55">
        <f t="shared" si="0"/>
        <v>-5.2985948477751774E-2</v>
      </c>
      <c r="D6" s="54">
        <v>1.1879999999999999</v>
      </c>
      <c r="E6" s="103">
        <f t="shared" si="1"/>
        <v>-4.8839071257005734E-2</v>
      </c>
      <c r="F6" s="56">
        <f>0.462*2</f>
        <v>0.92400000000000004</v>
      </c>
      <c r="G6" s="113">
        <v>2.78</v>
      </c>
      <c r="H6" s="55">
        <f t="shared" si="2"/>
        <v>0</v>
      </c>
      <c r="I6" s="113">
        <v>157.99</v>
      </c>
      <c r="J6" s="103">
        <f t="shared" si="3"/>
        <v>-6.7270212498427833E-3</v>
      </c>
      <c r="K6" s="113">
        <v>55.35</v>
      </c>
      <c r="L6" s="57">
        <f>(K6-$K$4)</f>
        <v>-4.9999999999997158E-2</v>
      </c>
      <c r="N6" s="12" t="s">
        <v>30</v>
      </c>
      <c r="O6" s="58" t="s">
        <v>63</v>
      </c>
    </row>
    <row r="7" spans="1:15" ht="16.5" customHeight="1" x14ac:dyDescent="0.25">
      <c r="A7" s="112" t="s">
        <v>37</v>
      </c>
      <c r="B7" s="54">
        <v>3.6120000000000001</v>
      </c>
      <c r="C7" s="55">
        <f t="shared" si="0"/>
        <v>5.7377049180327919E-2</v>
      </c>
      <c r="D7" s="54">
        <v>1.2150000000000001</v>
      </c>
      <c r="E7" s="103">
        <f t="shared" si="1"/>
        <v>-2.7221777421937571E-2</v>
      </c>
      <c r="F7" s="56">
        <f>0.4468393*2</f>
        <v>0.89367859999999999</v>
      </c>
      <c r="G7" s="113">
        <v>2.72</v>
      </c>
      <c r="H7" s="55">
        <f t="shared" si="2"/>
        <v>-2.1582733812949503E-2</v>
      </c>
      <c r="I7" s="113">
        <v>158.21</v>
      </c>
      <c r="J7" s="103">
        <f t="shared" si="3"/>
        <v>-5.3438953853891255E-3</v>
      </c>
      <c r="K7" s="113">
        <v>54.95</v>
      </c>
      <c r="L7" s="57">
        <f>(K7-$K$4)</f>
        <v>-0.44999999999999574</v>
      </c>
    </row>
    <row r="8" spans="1:15" ht="16.5" customHeight="1" x14ac:dyDescent="0.25">
      <c r="A8" s="112" t="s">
        <v>39</v>
      </c>
      <c r="B8" s="54">
        <v>3.36</v>
      </c>
      <c r="C8" s="55">
        <f t="shared" si="0"/>
        <v>-1.6393442622950834E-2</v>
      </c>
      <c r="D8" s="54">
        <v>1.17</v>
      </c>
      <c r="E8" s="103">
        <f t="shared" si="1"/>
        <v>-6.3250600480384445E-2</v>
      </c>
      <c r="F8" s="56">
        <f>0.4463645*2</f>
        <v>0.89272899999999999</v>
      </c>
      <c r="G8" s="113">
        <v>2.75</v>
      </c>
      <c r="H8" s="55">
        <f t="shared" si="2"/>
        <v>-1.0791366906474751E-2</v>
      </c>
      <c r="I8" s="113">
        <v>160.69999999999999</v>
      </c>
      <c r="J8" s="103">
        <f t="shared" si="3"/>
        <v>1.0310574625927237E-2</v>
      </c>
      <c r="K8" s="113">
        <v>55.28</v>
      </c>
      <c r="L8" s="57">
        <f>(K8-$K$4)</f>
        <v>-0.11999999999999744</v>
      </c>
    </row>
    <row r="9" spans="1:15" ht="7.5" customHeight="1" x14ac:dyDescent="0.25">
      <c r="A9" s="59"/>
      <c r="B9" s="60"/>
      <c r="C9" s="61"/>
      <c r="D9" s="60"/>
      <c r="E9" s="28"/>
      <c r="F9" s="62"/>
      <c r="G9" s="63"/>
      <c r="H9" s="61"/>
      <c r="I9" s="63"/>
      <c r="J9" s="28"/>
      <c r="K9" s="63"/>
      <c r="L9" s="64"/>
    </row>
    <row r="10" spans="1:15" ht="16.5" customHeight="1" x14ac:dyDescent="0.25">
      <c r="A10" s="112" t="s">
        <v>64</v>
      </c>
      <c r="B10" s="54">
        <v>3.03</v>
      </c>
      <c r="C10" s="55">
        <f>(B10-$B$10)/$B$10</f>
        <v>0</v>
      </c>
      <c r="D10" s="54">
        <v>1.1140000000000001</v>
      </c>
      <c r="E10" s="103">
        <f>(D10-$D$10)/$D$10</f>
        <v>0</v>
      </c>
      <c r="F10" s="56">
        <f>0.4316588*2</f>
        <v>0.86331760000000002</v>
      </c>
      <c r="G10" s="113">
        <v>2.81</v>
      </c>
      <c r="H10" s="55">
        <f>(G10-$G$10)/$G$10</f>
        <v>0</v>
      </c>
      <c r="I10" s="113">
        <v>165.68</v>
      </c>
      <c r="J10" s="103">
        <f>(I10-$I$10)/$I$10</f>
        <v>0</v>
      </c>
      <c r="K10" s="113">
        <v>55.84</v>
      </c>
      <c r="L10" s="57">
        <f>(K10-$K$10)</f>
        <v>0</v>
      </c>
    </row>
    <row r="11" spans="1:15" ht="16.5" customHeight="1" thickBot="1" x14ac:dyDescent="0.3">
      <c r="A11" s="84" t="s">
        <v>65</v>
      </c>
      <c r="B11" s="85">
        <v>2.012</v>
      </c>
      <c r="C11" s="86">
        <f>(B11-$B$10)/$B$10</f>
        <v>-0.33597359735973592</v>
      </c>
      <c r="D11" s="85">
        <v>0.65700000000000003</v>
      </c>
      <c r="E11" s="87">
        <f>(D11-$D$10)/$D$10</f>
        <v>-0.41023339317773794</v>
      </c>
      <c r="F11" s="88">
        <f>0.357825*2</f>
        <v>0.71565000000000001</v>
      </c>
      <c r="G11" s="89">
        <v>2.91</v>
      </c>
      <c r="H11" s="86">
        <f>(G11-$G$10)/$G$10</f>
        <v>3.5587188612099675E-2</v>
      </c>
      <c r="I11" s="89">
        <v>200.6</v>
      </c>
      <c r="J11" s="87">
        <f>(I11-$I$10)/$I$10</f>
        <v>0.21076774505070006</v>
      </c>
      <c r="K11" s="89">
        <v>57.36</v>
      </c>
      <c r="L11" s="90">
        <f>(K11-$K$10)</f>
        <v>1.519999999999996</v>
      </c>
    </row>
    <row r="12" spans="1:15" x14ac:dyDescent="0.25">
      <c r="A12" s="106"/>
      <c r="B12" s="91"/>
      <c r="C12"/>
      <c r="D12" s="54"/>
      <c r="E12" s="51"/>
      <c r="F12" s="92"/>
      <c r="G12" s="91"/>
      <c r="H12" s="93"/>
      <c r="I12" s="115"/>
      <c r="J12"/>
      <c r="K12" s="91"/>
      <c r="L12" s="94"/>
      <c r="M12" s="51"/>
    </row>
    <row r="13" spans="1:15" x14ac:dyDescent="0.25">
      <c r="C13"/>
      <c r="E13"/>
      <c r="F13"/>
      <c r="H13"/>
      <c r="J13"/>
      <c r="K13"/>
      <c r="L13"/>
    </row>
    <row r="14" spans="1:15" x14ac:dyDescent="0.25">
      <c r="C14"/>
      <c r="E14"/>
      <c r="F14"/>
      <c r="H14"/>
      <c r="J14"/>
      <c r="K14"/>
      <c r="L14"/>
    </row>
    <row r="15" spans="1:15" x14ac:dyDescent="0.25">
      <c r="C15"/>
      <c r="E15"/>
      <c r="F15"/>
      <c r="H15"/>
      <c r="J15"/>
      <c r="K15"/>
      <c r="L15"/>
    </row>
    <row r="16" spans="1:15" x14ac:dyDescent="0.25">
      <c r="C16"/>
      <c r="E16"/>
      <c r="F16"/>
      <c r="H16"/>
      <c r="J16"/>
      <c r="K16"/>
      <c r="L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</sheetData>
  <mergeCells count="6">
    <mergeCell ref="A1:O1"/>
    <mergeCell ref="A2:A3"/>
    <mergeCell ref="B2:E2"/>
    <mergeCell ref="F2:F3"/>
    <mergeCell ref="G2:L2"/>
    <mergeCell ref="N2:O2"/>
  </mergeCells>
  <phoneticPr fontId="10" type="noConversion"/>
  <conditionalFormatting sqref="C3">
    <cfRule type="iconSet" priority="5">
      <iconSet iconSet="3Arrows">
        <cfvo type="percent" val="0"/>
        <cfvo type="num" val="0"/>
        <cfvo type="num" val="0" gte="0"/>
      </iconSet>
    </cfRule>
  </conditionalFormatting>
  <conditionalFormatting sqref="H3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J3 L3">
    <cfRule type="iconSet" priority="3">
      <iconSet iconSet="3Arrows">
        <cfvo type="percent" val="0"/>
        <cfvo type="num" val="0"/>
        <cfvo type="num" val="0" gte="0"/>
      </iconSet>
    </cfRule>
  </conditionalFormatting>
  <conditionalFormatting sqref="E3">
    <cfRule type="iconSet" priority="7">
      <iconSet iconSet="3Arrows">
        <cfvo type="percent" val="0"/>
        <cfvo type="num" val="0"/>
        <cfvo type="num" val="0" gte="0"/>
      </iconSet>
    </cfRule>
  </conditionalFormatting>
  <conditionalFormatting sqref="H4:H11">
    <cfRule type="iconSet" priority="45">
      <iconSet iconSet="3Arrows">
        <cfvo type="percent" val="0"/>
        <cfvo type="num" val="0"/>
        <cfvo type="num" val="0" gte="0"/>
      </iconSet>
    </cfRule>
  </conditionalFormatting>
  <conditionalFormatting sqref="J4:J11 L4:L11">
    <cfRule type="iconSet" priority="47">
      <iconSet iconSet="3Arrows">
        <cfvo type="percent" val="0"/>
        <cfvo type="num" val="0"/>
        <cfvo type="num" val="0" gte="0"/>
      </iconSet>
    </cfRule>
  </conditionalFormatting>
  <conditionalFormatting sqref="C4:C11">
    <cfRule type="iconSet" priority="51">
      <iconSet iconSet="3Arrows">
        <cfvo type="percent" val="0"/>
        <cfvo type="num" val="0"/>
        <cfvo type="num" val="0" gte="0"/>
      </iconSet>
    </cfRule>
  </conditionalFormatting>
  <conditionalFormatting sqref="E4:E11">
    <cfRule type="iconSet" priority="53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Car CFD</vt:lpstr>
      <vt:lpstr>Aero Balance</vt:lpstr>
      <vt:lpstr>OptimumLap Results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Ethan O'Kelly</dc:creator>
  <cp:keywords/>
  <dc:description/>
  <cp:lastModifiedBy>James</cp:lastModifiedBy>
  <cp:revision/>
  <dcterms:created xsi:type="dcterms:W3CDTF">2020-12-16T11:42:16Z</dcterms:created>
  <dcterms:modified xsi:type="dcterms:W3CDTF">2021-04-27T16:09:38Z</dcterms:modified>
  <cp:category/>
  <cp:contentStatus/>
</cp:coreProperties>
</file>