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ami-my.sharepoint.com/personal/pmo_gdyp_enami_cl/Documents/PMO_CG/TI/01 ResumenProy/SistemaReportes/sistemareportes/media/"/>
    </mc:Choice>
  </mc:AlternateContent>
  <xr:revisionPtr revIDLastSave="26" documentId="13_ncr:1_{1907CE0E-CE94-48E5-B5C6-14DFA660701D}" xr6:coauthVersionLast="47" xr6:coauthVersionMax="47" xr10:uidLastSave="{CFA8E452-114F-43F5-9F03-6223C21BF975}"/>
  <bookViews>
    <workbookView xWindow="9620" yWindow="10770" windowWidth="19420" windowHeight="10300" xr2:uid="{7918E562-3A32-4837-8E77-FB92BE33E3ED}"/>
  </bookViews>
  <sheets>
    <sheet name="FLUJO DE CAJA PROYECTOS" sheetId="1" r:id="rId1"/>
  </sheets>
  <externalReferences>
    <externalReference r:id="rId2"/>
  </externalReferences>
  <definedNames>
    <definedName name="_xlnm._FilterDatabase" localSheetId="0" hidden="1">'FLUJO DE CAJA PROYECTOS'!$A$1:$Q$150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C2" i="1"/>
  <c r="Q147" i="1"/>
  <c r="Q146" i="1"/>
  <c r="Q145" i="1"/>
  <c r="Q141" i="1"/>
  <c r="Q140" i="1"/>
  <c r="Q139" i="1"/>
  <c r="Q138" i="1"/>
  <c r="Q137" i="1"/>
  <c r="Q136" i="1"/>
  <c r="Q135" i="1"/>
  <c r="Q134" i="1"/>
  <c r="Q133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68" i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6" i="1"/>
  <c r="Q65" i="1"/>
  <c r="Q64" i="1"/>
  <c r="Q63" i="1"/>
  <c r="Q62" i="1"/>
  <c r="Q61" i="1"/>
  <c r="Q60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H41" i="1"/>
  <c r="I41" i="1" s="1"/>
  <c r="J41" i="1" s="1"/>
  <c r="K41" i="1" s="1"/>
  <c r="L41" i="1" s="1"/>
  <c r="M41" i="1" s="1"/>
  <c r="N41" i="1" s="1"/>
  <c r="O41" i="1" s="1"/>
  <c r="P41" i="1" s="1"/>
  <c r="G41" i="1"/>
  <c r="Q40" i="1"/>
  <c r="Q39" i="1"/>
  <c r="Q38" i="1"/>
  <c r="Q37" i="1"/>
  <c r="Q36" i="1"/>
  <c r="Q35" i="1"/>
  <c r="Q34" i="1"/>
  <c r="Q33" i="1"/>
  <c r="G32" i="1"/>
  <c r="H32" i="1" s="1"/>
  <c r="F32" i="1"/>
  <c r="Q31" i="1"/>
  <c r="Q30" i="1"/>
  <c r="Q29" i="1"/>
  <c r="Q28" i="1"/>
  <c r="Q27" i="1"/>
  <c r="Q26" i="1"/>
  <c r="Q25" i="1"/>
  <c r="Q24" i="1"/>
  <c r="Q23" i="1"/>
  <c r="Q22" i="1"/>
  <c r="Q21" i="1"/>
  <c r="Q20" i="1"/>
  <c r="U19" i="1"/>
  <c r="Q19" i="1"/>
  <c r="Q16" i="1"/>
  <c r="Q15" i="1"/>
  <c r="Q14" i="1"/>
  <c r="Q13" i="1"/>
  <c r="Q12" i="1"/>
  <c r="Q11" i="1"/>
  <c r="Q10" i="1"/>
  <c r="Q9" i="1"/>
  <c r="Q8" i="1"/>
  <c r="Q7" i="1"/>
  <c r="Q5" i="1"/>
  <c r="Q4" i="1"/>
  <c r="Q3" i="1"/>
  <c r="Q2" i="1"/>
  <c r="Q41" i="1" l="1"/>
  <c r="I32" i="1"/>
  <c r="J32" i="1" s="1"/>
  <c r="K32" i="1" s="1"/>
  <c r="L32" i="1" s="1"/>
  <c r="M32" i="1" s="1"/>
  <c r="N32" i="1" s="1"/>
  <c r="O32" i="1" s="1"/>
  <c r="P32" i="1" s="1"/>
  <c r="Q67" i="1"/>
  <c r="Q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invitado</author>
  </authors>
  <commentList>
    <comment ref="B40" authorId="0" shapeId="0" xr:uid="{3E29EBE2-D77C-46F1-8535-9E278A1DE951}">
      <text>
        <r>
          <rPr>
            <sz val="11"/>
            <color theme="1"/>
            <rFont val="Aptos Narrow"/>
            <family val="2"/>
            <scheme val="minor"/>
          </rPr>
          <t xml:space="preserve">Carlos Bruit G: En reformulación por costo, licitación pre-adjudicada.
</t>
        </r>
      </text>
    </comment>
  </commentList>
</comments>
</file>

<file path=xl/sharedStrings.xml><?xml version="1.0" encoding="utf-8"?>
<sst xmlns="http://schemas.openxmlformats.org/spreadsheetml/2006/main" count="522" uniqueCount="137">
  <si>
    <t>Código</t>
  </si>
  <si>
    <t>Nombre Proyecto</t>
  </si>
  <si>
    <t>ESTADO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</si>
  <si>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</si>
  <si>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</si>
  <si>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</si>
  <si>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</si>
  <si>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</si>
  <si>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</si>
  <si>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</si>
  <si>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</si>
  <si>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</si>
  <si>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</si>
  <si>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</si>
  <si>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</si>
  <si>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SUBTOTAL</t>
  </si>
  <si>
    <t>Observaciones flujo de caja</t>
  </si>
  <si>
    <t>Exploración geológica Distrito Pastenes</t>
  </si>
  <si>
    <t>PROG.</t>
  </si>
  <si>
    <t>320-XL-001</t>
  </si>
  <si>
    <t>PROG.P6</t>
  </si>
  <si>
    <t>REAL</t>
  </si>
  <si>
    <t>Exploración geológica Distrito Agua Amarga</t>
  </si>
  <si>
    <t>321-XL-002</t>
  </si>
  <si>
    <t>Estudio de exploración básica salares ENAMI</t>
  </si>
  <si>
    <t xml:space="preserve">232.379	</t>
  </si>
  <si>
    <t>322-EL-156</t>
  </si>
  <si>
    <t>Ingeniería de detalles y construcción ampliación depósito de relaves Planta Delta etapa I</t>
  </si>
  <si>
    <t>422-PD-048</t>
  </si>
  <si>
    <t xml:space="preserve">Valores del servicio incorpora la ejecución completa de Servicio Peraltamiento Sur Poniente para final de año, ademas de actividades remanentes de Piping Agua Fresca. CD y Contingencias parcial quedaran para 2026 como posible monto remanente. </t>
  </si>
  <si>
    <t>Obras de regularización del crecimiento de botaderos de ripios 1 y 2</t>
  </si>
  <si>
    <t>322-PS-052</t>
  </si>
  <si>
    <t>Actualizado 30-06. Reflejo de avances remanentes al termino del 2025 corresponden a la proyección de la estrategia "Planificación ejecución obras paquete A" presentado por el Jefe Proyecto en la semana del 20 de Junio a Gerencia.</t>
  </si>
  <si>
    <t>222-ET-053</t>
  </si>
  <si>
    <t>Ingeniería básica avanzada y ambiental depósito de ripios Planta Taltal</t>
  </si>
  <si>
    <t>Instrumentación en pozos de aguas subterráneas por cambio del código de aguas y transmisión en línea</t>
  </si>
  <si>
    <t>323-PU-009</t>
  </si>
  <si>
    <t>Construcción cúpula cono fino planta súlfuros.</t>
  </si>
  <si>
    <t>424-PD-053</t>
  </si>
  <si>
    <t>Presupuesto del proyecto difiere de Capex (Ing. Detalles). Presupuesto estimado en torno a $USD 800 mil. Proyecto se debera presentar como proyecto para  Cochilco generar aprobación de etapa Construcción.</t>
  </si>
  <si>
    <t>Ingeniería de detalle y construcción galpón testigoteca, estanterías y equipamiento operativo - El Salado</t>
  </si>
  <si>
    <t>324-PS-064</t>
  </si>
  <si>
    <t>Actualizado 30-06. Servicio principal en proceso de recotización por parte de (1) oferente clasificado. En dependencia de proceso de negociación la ejecución de la Ingenieria - Construcción Proyectada.</t>
  </si>
  <si>
    <t>Exploración y valorización propiedad minera Cerro Negro y alrededores</t>
  </si>
  <si>
    <t>324-XL-003</t>
  </si>
  <si>
    <t>Ingeniería de detalles y construcción depósito de relaves filtrados Planta Matta</t>
  </si>
  <si>
    <t>324-PM-081</t>
  </si>
  <si>
    <t>Actualizado 30-06, monto 2025 del mes de Mayo rondaba los $2.065.441, se actualizo con confirmación de valores en actividades de Permisos.</t>
  </si>
  <si>
    <t>Estudio de diagnóstico nave SX y EW Planta El Salado</t>
  </si>
  <si>
    <t>324-ES-065</t>
  </si>
  <si>
    <t>Ingeniería básica regularización aducción de agua Planta El Salado</t>
  </si>
  <si>
    <t>324-ES-062</t>
  </si>
  <si>
    <t>Reposición de estanque de ácido planta el salado</t>
  </si>
  <si>
    <t>324-PS-063</t>
  </si>
  <si>
    <t>Ingeniería de Detalle y Construcción de nuevo layout de línea de impulsión agua fresca Planta Matta</t>
  </si>
  <si>
    <t>324-PM-086</t>
  </si>
  <si>
    <t>Estudio de ingeniería conceptual empalme eléctrico Planta Matta y Fundición HVL</t>
  </si>
  <si>
    <t>324-EP-029</t>
  </si>
  <si>
    <t>Estudio de aumento de capacidad de procesamiento y recuperacion de especies de interés.</t>
  </si>
  <si>
    <t>424-ED-058</t>
  </si>
  <si>
    <t>Ingeniería básica (factibilidad) mejora y reforzamiento Tank Farm Planta Matta</t>
  </si>
  <si>
    <t>324-EM-082</t>
  </si>
  <si>
    <t>Ingeniería pre-factibilidad continuidad operacional largo plazo depósito de relaves Planta Delta</t>
  </si>
  <si>
    <t>424-ED-057</t>
  </si>
  <si>
    <t>324-PM-083</t>
  </si>
  <si>
    <t>Habilitación Estructura y Equipos Chancado Terciario - Línea 2</t>
  </si>
  <si>
    <t>Ingeniería de detalles y construcción depósito de ripios Planta Vallenar etapa I</t>
  </si>
  <si>
    <t>324-PV-066</t>
  </si>
  <si>
    <t>Implementación de sistema de monitoreo y gestión energética</t>
  </si>
  <si>
    <t>325-PG-030</t>
  </si>
  <si>
    <t>Ingeniería detalles, compras y construcción poder de compras de minerales en el sector de las Breas Taltal</t>
  </si>
  <si>
    <t>224-PT-061</t>
  </si>
  <si>
    <t>Actualizado el 30-06. Valor levemente incrementado con confirmación de valores estudios de permisos y generación expedientes.</t>
  </si>
  <si>
    <t>Estudio de exploración básica complementaria Salares Altoandinos</t>
  </si>
  <si>
    <t>325-EL-157</t>
  </si>
  <si>
    <t>Exploración y Valorización de Propiedades mineras con potencial extracción de Cu-Co-Mn</t>
  </si>
  <si>
    <t>GDP-2025-3</t>
  </si>
  <si>
    <t>Ing. Plan de Cierre Planta Taltal/FHVL</t>
  </si>
  <si>
    <t>325-PG-033</t>
  </si>
  <si>
    <t xml:space="preserve">	Ingeniería Conceptual planta de procesamiento de óxidos sector las Breas Taltal</t>
  </si>
  <si>
    <t>225-ET-064</t>
  </si>
  <si>
    <t>Reposición equipos chancadores comunas de Copiapó y Chañaral, planteles Manuel Antonio Matta y Osvaldo Martínez (GORE)</t>
  </si>
  <si>
    <t>324-GF-028</t>
  </si>
  <si>
    <t>Ingeniería Detalle y Construcción 2° Peraltamiento Depósito de Relaves</t>
  </si>
  <si>
    <t>GDP-2025-6</t>
  </si>
  <si>
    <t>Ingeniería factibilidad depósito de relaves filtrados</t>
  </si>
  <si>
    <t>GDP-2025-7</t>
  </si>
  <si>
    <t>Ing. Detalle Construcción Botadero de Ripios 3 Planta El Salado</t>
  </si>
  <si>
    <t>GDP-2025-8</t>
  </si>
  <si>
    <t>GDP-2025-9</t>
  </si>
  <si>
    <t>Reemplazo equipo chancador terciario planta delta</t>
  </si>
  <si>
    <t>Ingeniería Factibilidad, Mejora Cancha de Recepción Distrito Delta.</t>
  </si>
  <si>
    <t>425-ED-060</t>
  </si>
  <si>
    <t>Estudio Implementación laboratorio fundición para análisis de Oro y Plata Planta Delta</t>
  </si>
  <si>
    <t>GDP-2025-11</t>
  </si>
  <si>
    <t>Ing. de Factibilidad, Obras Civiles Obtención Permisos Sectoriales (ETAPA- PTAS)</t>
  </si>
  <si>
    <t>325-EO-002</t>
  </si>
  <si>
    <t>Ingeniería Pre-Factibilidad, Nuevo Distrito Minero Salado Norte.</t>
  </si>
  <si>
    <t>GDP-2025-13</t>
  </si>
  <si>
    <t>Laboratorio Químico, muestreo y preparación FHVL</t>
  </si>
  <si>
    <t>325-PC-032</t>
  </si>
  <si>
    <t>Ingeniería factibilidad, optimización planta concentradora para aumentar recuperaciones metalurgicas con aumento de capacidad de flotación y molienda sulfuro, e incorporación de concentración de miner</t>
  </si>
  <si>
    <t>GDP-2025-15</t>
  </si>
  <si>
    <t>GDP-2025-16</t>
  </si>
  <si>
    <t>Chancador Primario Línea N°3 de Agencia de Compras. Planta DeltaChancador Primario Línea N°3 de Agencia de Compras. Planta Delta</t>
  </si>
  <si>
    <t>Ing. detalles y construcción scrubber para Aglomerado (Reemplazo existente) Planta Salado</t>
  </si>
  <si>
    <t>GDP-2025-17</t>
  </si>
  <si>
    <t>Estudio conceptual de derrames soluciones ácidas y concentraducto - Sistema de alerta temprana de derrames</t>
  </si>
  <si>
    <t>GDP-2025-18</t>
  </si>
  <si>
    <t xml:space="preserve">Ingeniería prefactibilidad, Alternativa a Poder de Compra Los Robles (Rancagua) </t>
  </si>
  <si>
    <t>425-PG-069</t>
  </si>
  <si>
    <t>Ingeniería prefactibilidad, traslado poder de compra Illapel</t>
  </si>
  <si>
    <t>425-EG-070</t>
  </si>
  <si>
    <t>Reposición equipos chancadores comunas de Tocopilla y Taltal, poderes de compra Barriles (Tocopilla) y planta Taltal (GORE)</t>
  </si>
  <si>
    <t>324-GF-027</t>
  </si>
  <si>
    <t>Ingeniería de detalle y Contrucción Línea de Chancado N°1 Planta El Salado</t>
  </si>
  <si>
    <t>325-PS-068</t>
  </si>
  <si>
    <t>Estudio básico para el control de emisiones de material particulado</t>
  </si>
  <si>
    <t>325-EO-001</t>
  </si>
  <si>
    <t>Ing. detalles y construccion canales de contorno</t>
  </si>
  <si>
    <t>GDP-2025-23</t>
  </si>
  <si>
    <t>Ingeniería detalles y permisos nuevo depósito de ripios etapa I, Planta José Antonio Moreno - Taltal</t>
  </si>
  <si>
    <t>225-PT-063</t>
  </si>
  <si>
    <t>Evaluación de Alternativas de Sistemas de Detección y Extinción de Incendios en Planta LIX-SX-EW</t>
  </si>
  <si>
    <t>325-EG-034</t>
  </si>
  <si>
    <t>Exploracion geologica prospecto panulcillo</t>
  </si>
  <si>
    <t>425-XL-005</t>
  </si>
  <si>
    <t>Construcción Nuevo Depósito de Ripios Planta Taltal</t>
  </si>
  <si>
    <t>225-PT-066</t>
  </si>
  <si>
    <t>Identificado</t>
  </si>
  <si>
    <t>Cierre</t>
  </si>
  <si>
    <t>Eliminado</t>
  </si>
  <si>
    <t>Presupuestado</t>
  </si>
  <si>
    <t>Ingresado MDSF-C</t>
  </si>
  <si>
    <t>Postergado 26</t>
  </si>
  <si>
    <t>Enviado SCI-GAF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</si>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</sst>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0_ ;_ &quot;$&quot;* \-#,##0.000_ ;_ &quot;$&quot;* &quot;-&quot;_ ;_ @_ "/>
    <numFmt numFmtId="166" formatCode="_ &quot;$&quot;* #,##0.0_ ;_ &quot;$&quot;* \-#,##0.0_ ;_ &quot;$&quot;* &quot;-&quot;_ ;_ @_ "/>
    <numFmt numFmtId="167" formatCode="_ &quot;$&quot;* #,##0.00_ ;_ &quot;$&quot;* \-#,##0.00_ ;_ &quot;$&quot;* &quot;-&quot;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C0C0C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7" xfId="0" applyBorder="1"/>
    <xf numFmtId="165" fontId="0" fillId="0" borderId="8" xfId="1" applyNumberFormat="1" applyFont="1" applyBorder="1"/>
    <xf numFmtId="165" fontId="4" fillId="0" borderId="9" xfId="1" applyNumberFormat="1" applyFont="1" applyBorder="1"/>
    <xf numFmtId="0" fontId="0" fillId="0" borderId="3" xfId="0" applyBorder="1"/>
    <xf numFmtId="0" fontId="0" fillId="0" borderId="13" xfId="0" applyBorder="1"/>
    <xf numFmtId="165" fontId="6" fillId="0" borderId="1" xfId="1" applyNumberFormat="1" applyFont="1" applyFill="1" applyBorder="1"/>
    <xf numFmtId="164" fontId="0" fillId="4" borderId="1" xfId="1" applyFont="1" applyFill="1" applyBorder="1"/>
    <xf numFmtId="164" fontId="0" fillId="0" borderId="1" xfId="1" applyFont="1" applyBorder="1"/>
    <xf numFmtId="164" fontId="4" fillId="0" borderId="9" xfId="1" applyFont="1" applyBorder="1"/>
    <xf numFmtId="0" fontId="0" fillId="0" borderId="14" xfId="0" applyBorder="1" applyAlignment="1">
      <alignment vertical="center"/>
    </xf>
    <xf numFmtId="0" fontId="0" fillId="0" borderId="1" xfId="0" applyBorder="1"/>
    <xf numFmtId="165" fontId="0" fillId="0" borderId="1" xfId="1" applyNumberFormat="1" applyFont="1" applyBorder="1"/>
    <xf numFmtId="166" fontId="0" fillId="0" borderId="8" xfId="1" applyNumberFormat="1" applyFont="1" applyBorder="1"/>
    <xf numFmtId="164" fontId="4" fillId="0" borderId="15" xfId="1" applyFont="1" applyBorder="1"/>
    <xf numFmtId="166" fontId="0" fillId="0" borderId="1" xfId="1" applyNumberFormat="1" applyFont="1" applyBorder="1"/>
    <xf numFmtId="166" fontId="0" fillId="0" borderId="1" xfId="0" applyNumberFormat="1" applyBorder="1"/>
    <xf numFmtId="0" fontId="0" fillId="0" borderId="8" xfId="0" applyBorder="1"/>
    <xf numFmtId="164" fontId="0" fillId="0" borderId="8" xfId="1" applyFont="1" applyBorder="1"/>
    <xf numFmtId="3" fontId="0" fillId="0" borderId="8" xfId="0" applyNumberFormat="1" applyBorder="1"/>
    <xf numFmtId="164" fontId="4" fillId="0" borderId="18" xfId="1" applyFont="1" applyBorder="1"/>
    <xf numFmtId="164" fontId="0" fillId="0" borderId="12" xfId="1" applyFont="1" applyBorder="1"/>
    <xf numFmtId="0" fontId="0" fillId="0" borderId="21" xfId="0" applyBorder="1"/>
    <xf numFmtId="164" fontId="0" fillId="0" borderId="21" xfId="1" applyFont="1" applyBorder="1"/>
    <xf numFmtId="164" fontId="4" fillId="0" borderId="22" xfId="1" applyFont="1" applyBorder="1"/>
    <xf numFmtId="0" fontId="0" fillId="0" borderId="23" xfId="0" applyBorder="1"/>
    <xf numFmtId="164" fontId="0" fillId="0" borderId="23" xfId="1" applyFont="1" applyBorder="1"/>
    <xf numFmtId="164" fontId="4" fillId="0" borderId="24" xfId="0" applyNumberFormat="1" applyFont="1" applyBorder="1"/>
    <xf numFmtId="164" fontId="0" fillId="5" borderId="13" xfId="1" applyFont="1" applyFill="1" applyBorder="1"/>
    <xf numFmtId="164" fontId="4" fillId="5" borderId="25" xfId="0" applyNumberFormat="1" applyFont="1" applyFill="1" applyBorder="1"/>
    <xf numFmtId="0" fontId="0" fillId="0" borderId="3" xfId="0" applyBorder="1" applyAlignment="1">
      <alignment vertical="center" wrapText="1"/>
    </xf>
    <xf numFmtId="164" fontId="0" fillId="4" borderId="21" xfId="1" applyFont="1" applyFill="1" applyBorder="1"/>
    <xf numFmtId="164" fontId="4" fillId="0" borderId="22" xfId="0" applyNumberFormat="1" applyFont="1" applyBorder="1"/>
    <xf numFmtId="165" fontId="4" fillId="0" borderId="27" xfId="1" applyNumberFormat="1" applyFont="1" applyBorder="1"/>
    <xf numFmtId="164" fontId="4" fillId="6" borderId="27" xfId="1" applyFont="1" applyFill="1" applyBorder="1"/>
    <xf numFmtId="0" fontId="0" fillId="0" borderId="3" xfId="0" applyBorder="1" applyAlignment="1">
      <alignment wrapText="1"/>
    </xf>
    <xf numFmtId="0" fontId="0" fillId="0" borderId="0" xfId="0" applyAlignment="1">
      <alignment vertical="center"/>
    </xf>
    <xf numFmtId="164" fontId="0" fillId="0" borderId="21" xfId="0" applyNumberFormat="1" applyBorder="1"/>
    <xf numFmtId="164" fontId="4" fillId="0" borderId="27" xfId="1" applyFont="1" applyBorder="1"/>
    <xf numFmtId="0" fontId="0" fillId="0" borderId="24" xfId="0" applyBorder="1"/>
    <xf numFmtId="0" fontId="0" fillId="0" borderId="9" xfId="0" applyBorder="1"/>
    <xf numFmtId="164" fontId="0" fillId="4" borderId="8" xfId="1" applyFont="1" applyFill="1" applyBorder="1"/>
    <xf numFmtId="164" fontId="0" fillId="7" borderId="8" xfId="1" applyFont="1" applyFill="1" applyBorder="1"/>
    <xf numFmtId="164" fontId="4" fillId="0" borderId="27" xfId="0" applyNumberFormat="1" applyFont="1" applyBorder="1"/>
    <xf numFmtId="164" fontId="0" fillId="0" borderId="13" xfId="1" applyFont="1" applyBorder="1"/>
    <xf numFmtId="164" fontId="0" fillId="4" borderId="13" xfId="1" applyFont="1" applyFill="1" applyBorder="1"/>
    <xf numFmtId="164" fontId="0" fillId="7" borderId="13" xfId="1" applyFont="1" applyFill="1" applyBorder="1"/>
    <xf numFmtId="164" fontId="4" fillId="0" borderId="25" xfId="0" applyNumberFormat="1" applyFont="1" applyBorder="1"/>
    <xf numFmtId="164" fontId="4" fillId="0" borderId="9" xfId="0" applyNumberFormat="1" applyFont="1" applyBorder="1"/>
    <xf numFmtId="164" fontId="0" fillId="0" borderId="1" xfId="1" applyFont="1" applyFill="1" applyBorder="1"/>
    <xf numFmtId="164" fontId="0" fillId="4" borderId="23" xfId="1" applyFont="1" applyFill="1" applyBorder="1"/>
    <xf numFmtId="164" fontId="4" fillId="0" borderId="2" xfId="0" applyNumberFormat="1" applyFont="1" applyBorder="1"/>
    <xf numFmtId="164" fontId="0" fillId="8" borderId="13" xfId="1" applyFont="1" applyFill="1" applyBorder="1"/>
    <xf numFmtId="164" fontId="4" fillId="0" borderId="18" xfId="0" applyNumberFormat="1" applyFont="1" applyBorder="1"/>
    <xf numFmtId="0" fontId="0" fillId="0" borderId="12" xfId="0" applyBorder="1"/>
    <xf numFmtId="164" fontId="4" fillId="0" borderId="25" xfId="1" applyFont="1" applyBorder="1"/>
    <xf numFmtId="164" fontId="4" fillId="9" borderId="27" xfId="1" applyFont="1" applyFill="1" applyBorder="1"/>
    <xf numFmtId="164" fontId="4" fillId="9" borderId="25" xfId="1" applyFont="1" applyFill="1" applyBorder="1"/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left" indent="3"/>
    </xf>
    <xf numFmtId="164" fontId="0" fillId="0" borderId="8" xfId="1" applyFont="1" applyBorder="1" applyAlignment="1">
      <alignment horizontal="left" indent="3"/>
    </xf>
    <xf numFmtId="164" fontId="4" fillId="9" borderId="22" xfId="1" applyFont="1" applyFill="1" applyBorder="1"/>
    <xf numFmtId="164" fontId="0" fillId="9" borderId="13" xfId="1" applyFont="1" applyFill="1" applyBorder="1"/>
    <xf numFmtId="164" fontId="4" fillId="9" borderId="2" xfId="0" applyNumberFormat="1" applyFont="1" applyFill="1" applyBorder="1"/>
    <xf numFmtId="3" fontId="0" fillId="0" borderId="21" xfId="0" applyNumberFormat="1" applyBorder="1"/>
    <xf numFmtId="0" fontId="0" fillId="0" borderId="34" xfId="0" applyBorder="1"/>
    <xf numFmtId="165" fontId="0" fillId="0" borderId="23" xfId="1" applyNumberFormat="1" applyFont="1" applyBorder="1"/>
    <xf numFmtId="165" fontId="4" fillId="0" borderId="24" xfId="1" applyNumberFormat="1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4" fillId="0" borderId="24" xfId="1" applyFont="1" applyBorder="1"/>
    <xf numFmtId="0" fontId="0" fillId="0" borderId="38" xfId="0" applyBorder="1"/>
    <xf numFmtId="0" fontId="0" fillId="0" borderId="39" xfId="0" applyBorder="1"/>
    <xf numFmtId="0" fontId="0" fillId="0" borderId="27" xfId="0" applyBorder="1"/>
    <xf numFmtId="0" fontId="0" fillId="0" borderId="22" xfId="0" applyBorder="1"/>
    <xf numFmtId="164" fontId="4" fillId="0" borderId="2" xfId="1" applyFont="1" applyBorder="1"/>
    <xf numFmtId="165" fontId="0" fillId="0" borderId="20" xfId="1" applyNumberFormat="1" applyFont="1" applyBorder="1"/>
    <xf numFmtId="164" fontId="4" fillId="0" borderId="40" xfId="1" applyFont="1" applyBorder="1"/>
    <xf numFmtId="165" fontId="0" fillId="0" borderId="8" xfId="1" applyNumberFormat="1" applyFont="1" applyFill="1" applyBorder="1"/>
    <xf numFmtId="165" fontId="0" fillId="0" borderId="20" xfId="1" applyNumberFormat="1" applyFont="1" applyFill="1" applyBorder="1"/>
    <xf numFmtId="164" fontId="0" fillId="0" borderId="20" xfId="1" applyFont="1" applyBorder="1"/>
    <xf numFmtId="0" fontId="8" fillId="11" borderId="41" xfId="0" applyFont="1" applyFill="1" applyBorder="1" applyAlignment="1">
      <alignment horizontal="right" vertical="center" wrapText="1"/>
    </xf>
    <xf numFmtId="0" fontId="0" fillId="0" borderId="25" xfId="0" applyBorder="1"/>
    <xf numFmtId="164" fontId="0" fillId="0" borderId="13" xfId="0" applyNumberFormat="1" applyBorder="1"/>
    <xf numFmtId="164" fontId="0" fillId="4" borderId="13" xfId="0" applyNumberFormat="1" applyFill="1" applyBorder="1"/>
    <xf numFmtId="0" fontId="0" fillId="0" borderId="44" xfId="0" applyBorder="1"/>
    <xf numFmtId="164" fontId="0" fillId="8" borderId="20" xfId="1" applyFont="1" applyFill="1" applyBorder="1"/>
    <xf numFmtId="164" fontId="0" fillId="0" borderId="0" xfId="0" applyNumberFormat="1"/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7" xfId="0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0" borderId="33" xfId="0" applyBorder="1" applyAlignment="1">
      <alignment vertical="center"/>
    </xf>
    <xf numFmtId="167" fontId="0" fillId="4" borderId="1" xfId="1" applyNumberFormat="1" applyFont="1" applyFill="1" applyBorder="1"/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10" borderId="17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20" xfId="0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ami-my.sharepoint.com/personal/pmo_gdyp_enami_cl/Documents/PMO_CG/Portafolios/2025/GDYP-Control%20de%20Proyectos.xlsm" TargetMode="External"/><Relationship Id="rId1" Type="http://schemas.openxmlformats.org/officeDocument/2006/relationships/externalLinkPath" Target="/personal/pmo_gdyp_enami_cl/Documents/PMO_CG/Portafolios/2025/GDYP-Control%20de%20Proyec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OS"/>
      <sheetName val="RESUMEN"/>
      <sheetName val="sv"/>
      <sheetName val="FLUJO DE CAJA PROYECTOS"/>
      <sheetName val="CUMPLIMIENTO"/>
      <sheetName val="Presentación COCHILCO "/>
      <sheetName val="Informe Semanal"/>
      <sheetName val="Reporte"/>
      <sheetName val="PROGRAMA SCI"/>
      <sheetName val="REAL SCI"/>
      <sheetName val="SERVICIOS"/>
      <sheetName val="HES"/>
      <sheetName val="LICITACIONES"/>
      <sheetName val="JP"/>
      <sheetName val="Hoja1"/>
      <sheetName val="Hoja2"/>
      <sheetName val="TASK"/>
      <sheetName val="PROJWBS"/>
      <sheetName val="PROJECT"/>
      <sheetName val="Acumulado FISICO"/>
    </sheetNames>
    <sheetDataSet>
      <sheetData sheetId="0"/>
      <sheetData sheetId="1"/>
      <sheetData sheetId="2"/>
      <sheetData sheetId="3"/>
      <sheetData sheetId="4">
        <row r="2">
          <cell r="O2" t="str">
            <v>Identificado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721B-01F0-46FE-B008-640CE38D6511}">
  <dimension ref="A1:U152"/>
  <sheetViews>
    <sheetView tabSelected="1" zoomScale="85" zoomScaleNormal="100" workbookViewId="0">
      <pane ySplit="1" topLeftCell="A2" activePane="bottomLeft" state="frozen"/>
      <selection pane="bottomLeft" activeCell="D5" sqref="D5"/>
    </sheetView>
  </sheetViews>
  <sheetFormatPr baseColWidth="10" defaultColWidth="9.140625" defaultRowHeight="15" x14ac:dyDescent="0.25"/>
  <cols>
    <col min="1" max="1" width="11.5703125" customWidth="1"/>
    <col min="2" max="2" width="84.85546875" customWidth="1"/>
    <col min="3" max="3" width="17.140625" bestFit="1" customWidth="1"/>
    <col min="4" max="4" width="10.42578125" bestFit="1" customWidth="1"/>
    <col min="5" max="5" width="13.85546875" bestFit="1" customWidth="1"/>
    <col min="6" max="6" width="13.7109375" bestFit="1" customWidth="1"/>
    <col min="7" max="7" width="13" bestFit="1" customWidth="1"/>
    <col min="8" max="9" width="13.42578125" bestFit="1" customWidth="1"/>
    <col min="10" max="10" width="14" customWidth="1"/>
    <col min="11" max="11" width="13" bestFit="1" customWidth="1"/>
    <col min="12" max="12" width="14.85546875" bestFit="1" customWidth="1"/>
    <col min="13" max="13" width="13" customWidth="1"/>
    <col min="14" max="14" width="15.85546875" bestFit="1" customWidth="1"/>
    <col min="15" max="15" width="17.140625" bestFit="1" customWidth="1"/>
    <col min="16" max="16" width="17" bestFit="1" customWidth="1"/>
    <col min="17" max="17" width="29.85546875" customWidth="1"/>
    <col min="18" max="18" width="96" customWidth="1"/>
    <col min="19" max="22" width="10" bestFit="1" customWidth="1"/>
    <col min="23" max="23" width="10.140625" bestFit="1" customWidth="1"/>
    <col min="24" max="24" width="10" bestFit="1" customWidth="1"/>
    <col min="25" max="26" width="10.140625" bestFit="1" customWidth="1"/>
    <col min="27" max="27" width="10.42578125" bestFit="1" customWidth="1"/>
    <col min="28" max="28" width="10.28515625" bestFit="1" customWidth="1"/>
    <col min="29" max="29" width="10.140625" bestFit="1" customWidth="1"/>
    <col min="30" max="30" width="9.85546875" bestFit="1" customWidth="1"/>
    <col min="31" max="32" width="10" bestFit="1" customWidth="1"/>
    <col min="33" max="33" width="9.7109375" bestFit="1" customWidth="1"/>
    <col min="34" max="34" width="9.85546875" bestFit="1" customWidth="1"/>
    <col min="35" max="37" width="9.5703125" bestFit="1" customWidth="1"/>
    <col min="38" max="38" width="9.42578125" bestFit="1" customWidth="1"/>
    <col min="39" max="54" width="9.28515625" bestFit="1" customWidth="1"/>
  </cols>
  <sheetData>
    <row r="1" spans="1:18" ht="15.75" thickBot="1" x14ac:dyDescent="0.3">
      <c r="A1" s="1" t="s">
        <v>0</v>
      </c>
      <c r="B1" s="2" t="s">
        <v>1</v>
      </c>
      <c r="C1" s="1" t="s">
        <v>2</v>
      </c>
      <c r="D1" s="1" t="s">
        <v>136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5" t="s">
        <v>16</v>
      </c>
    </row>
    <row r="2" spans="1:18" x14ac:dyDescent="0.25">
      <c r="A2" s="6" t="s">
        <v>19</v>
      </c>
      <c r="B2" s="101" t="s">
        <v>17</v>
      </c>
      <c r="C2" s="6" t="str">
        <f>[1]CUMPLIMIENTO!O2</f>
        <v>Identificado</v>
      </c>
      <c r="D2" s="7" t="s">
        <v>18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25</v>
      </c>
      <c r="L2" s="8">
        <v>25</v>
      </c>
      <c r="M2" s="8">
        <v>25</v>
      </c>
      <c r="N2" s="8">
        <v>25</v>
      </c>
      <c r="O2" s="8">
        <v>25</v>
      </c>
      <c r="P2" s="8">
        <v>25</v>
      </c>
      <c r="Q2" s="9">
        <f t="shared" ref="Q2:Q10" si="0">SUM(E2:P2)</f>
        <v>150</v>
      </c>
      <c r="R2" s="10"/>
    </row>
    <row r="3" spans="1:18" x14ac:dyDescent="0.25">
      <c r="A3" s="64" t="s">
        <v>19</v>
      </c>
      <c r="B3" s="102"/>
      <c r="C3" s="64" t="s">
        <v>129</v>
      </c>
      <c r="D3" s="11" t="s">
        <v>20</v>
      </c>
      <c r="E3" s="12">
        <v>0</v>
      </c>
      <c r="F3" s="12">
        <v>0</v>
      </c>
      <c r="G3" s="12">
        <v>0</v>
      </c>
      <c r="H3" s="13">
        <v>84.08</v>
      </c>
      <c r="I3" s="13">
        <v>19468.560000000001</v>
      </c>
      <c r="J3" s="13">
        <v>2439.96</v>
      </c>
      <c r="K3" s="14">
        <v>28390.09</v>
      </c>
      <c r="L3" s="14">
        <v>43390.31</v>
      </c>
      <c r="M3" s="14">
        <v>0</v>
      </c>
      <c r="N3" s="14">
        <v>0</v>
      </c>
      <c r="O3" s="14">
        <v>0</v>
      </c>
      <c r="P3" s="14">
        <v>0</v>
      </c>
      <c r="Q3" s="15">
        <f>SUM(E3:P3)</f>
        <v>93773</v>
      </c>
      <c r="R3" s="10"/>
    </row>
    <row r="4" spans="1:18" ht="15.75" thickBot="1" x14ac:dyDescent="0.3">
      <c r="A4" s="16" t="s">
        <v>19</v>
      </c>
      <c r="B4" s="102"/>
      <c r="C4" s="16" t="s">
        <v>129</v>
      </c>
      <c r="D4" s="17" t="s">
        <v>21</v>
      </c>
      <c r="E4" s="18">
        <v>0</v>
      </c>
      <c r="F4" s="18">
        <v>0</v>
      </c>
      <c r="G4" s="18">
        <v>0</v>
      </c>
      <c r="H4" s="14">
        <v>84</v>
      </c>
      <c r="I4" s="14">
        <v>19469</v>
      </c>
      <c r="J4" s="17">
        <v>2.44</v>
      </c>
      <c r="K4" s="17"/>
      <c r="L4" s="17"/>
      <c r="M4" s="17"/>
      <c r="N4" s="17"/>
      <c r="O4" s="17"/>
      <c r="P4" s="17"/>
      <c r="Q4" s="15">
        <f>SUM(E4:P4)</f>
        <v>19555.439999999999</v>
      </c>
      <c r="R4" s="10"/>
    </row>
    <row r="5" spans="1:18" x14ac:dyDescent="0.25">
      <c r="A5" s="6" t="s">
        <v>23</v>
      </c>
      <c r="B5" s="103" t="s">
        <v>22</v>
      </c>
      <c r="C5" s="6" t="s">
        <v>129</v>
      </c>
      <c r="D5" s="7" t="s">
        <v>18</v>
      </c>
      <c r="E5" s="19">
        <v>50000</v>
      </c>
      <c r="F5" s="19">
        <v>50000</v>
      </c>
      <c r="G5" s="19">
        <v>50000</v>
      </c>
      <c r="H5" s="19">
        <v>50000</v>
      </c>
      <c r="I5" s="19">
        <v>79702</v>
      </c>
      <c r="J5" s="19">
        <v>106766</v>
      </c>
      <c r="K5" s="19">
        <v>106766</v>
      </c>
      <c r="L5" s="19">
        <v>106766</v>
      </c>
      <c r="M5" s="19">
        <v>106766</v>
      </c>
      <c r="N5" s="19">
        <v>106766</v>
      </c>
      <c r="O5" s="19">
        <v>106766</v>
      </c>
      <c r="P5" s="19">
        <v>79702</v>
      </c>
      <c r="Q5" s="20">
        <f>SUM(E5:P5)</f>
        <v>1000000</v>
      </c>
      <c r="R5" s="10"/>
    </row>
    <row r="6" spans="1:18" x14ac:dyDescent="0.25">
      <c r="A6" s="64" t="s">
        <v>23</v>
      </c>
      <c r="B6" s="104"/>
      <c r="C6" s="64" t="s">
        <v>129</v>
      </c>
      <c r="D6" s="11" t="s">
        <v>20</v>
      </c>
      <c r="E6" s="100">
        <v>3695.95</v>
      </c>
      <c r="F6" s="13">
        <v>4891.5200000000004</v>
      </c>
      <c r="G6" s="13">
        <v>8386.84</v>
      </c>
      <c r="H6" s="13">
        <v>1118.06</v>
      </c>
      <c r="I6" s="13">
        <v>4754.2</v>
      </c>
      <c r="J6" s="13">
        <v>8192.5300000000007</v>
      </c>
      <c r="K6" s="21">
        <v>4536.0600000000004</v>
      </c>
      <c r="L6" s="21">
        <v>135508.35</v>
      </c>
      <c r="M6" s="21">
        <v>77311.570000000007</v>
      </c>
      <c r="N6" s="21">
        <v>126815.69</v>
      </c>
      <c r="O6" s="21">
        <v>95319.41</v>
      </c>
      <c r="P6" s="21">
        <v>420847.82</v>
      </c>
      <c r="Q6" s="15">
        <f t="shared" si="0"/>
        <v>891378</v>
      </c>
      <c r="R6" s="10"/>
    </row>
    <row r="7" spans="1:18" ht="15.75" thickBot="1" x14ac:dyDescent="0.3">
      <c r="A7" s="16" t="s">
        <v>23</v>
      </c>
      <c r="B7" s="104"/>
      <c r="C7" s="16" t="s">
        <v>129</v>
      </c>
      <c r="D7" s="17" t="s">
        <v>21</v>
      </c>
      <c r="E7" s="14">
        <v>3696</v>
      </c>
      <c r="F7" s="14">
        <v>4892</v>
      </c>
      <c r="G7" s="14">
        <v>8387</v>
      </c>
      <c r="H7" s="14">
        <v>1118</v>
      </c>
      <c r="I7" s="14">
        <v>4754</v>
      </c>
      <c r="J7" s="22">
        <v>8193</v>
      </c>
      <c r="K7" s="22"/>
      <c r="L7" s="22"/>
      <c r="M7" s="22"/>
      <c r="N7" s="22"/>
      <c r="O7" s="22"/>
      <c r="P7" s="22"/>
      <c r="Q7" s="15">
        <f t="shared" si="0"/>
        <v>31040</v>
      </c>
      <c r="R7" s="10"/>
    </row>
    <row r="8" spans="1:18" x14ac:dyDescent="0.25">
      <c r="A8" s="6" t="s">
        <v>26</v>
      </c>
      <c r="B8" s="105" t="s">
        <v>24</v>
      </c>
      <c r="C8" s="6" t="s">
        <v>129</v>
      </c>
      <c r="D8" s="23" t="s">
        <v>18</v>
      </c>
      <c r="E8" s="24">
        <v>1756535</v>
      </c>
      <c r="F8" s="24">
        <v>66587</v>
      </c>
      <c r="G8" s="24" t="s">
        <v>25</v>
      </c>
      <c r="H8" s="24">
        <v>466144</v>
      </c>
      <c r="I8" s="24"/>
      <c r="J8" s="25"/>
      <c r="K8" s="25"/>
      <c r="L8" s="25"/>
      <c r="M8" s="25"/>
      <c r="N8" s="23"/>
      <c r="O8" s="23"/>
      <c r="P8" s="23"/>
      <c r="Q8" s="26">
        <f t="shared" si="0"/>
        <v>2289266</v>
      </c>
      <c r="R8" s="10"/>
    </row>
    <row r="9" spans="1:18" x14ac:dyDescent="0.25">
      <c r="A9" s="64" t="s">
        <v>26</v>
      </c>
      <c r="B9" s="102"/>
      <c r="C9" s="64" t="s">
        <v>129</v>
      </c>
      <c r="D9" s="11" t="s">
        <v>20</v>
      </c>
      <c r="E9" s="27">
        <v>-1880077</v>
      </c>
      <c r="F9" s="27">
        <v>497810</v>
      </c>
      <c r="G9" s="27">
        <v>514334</v>
      </c>
      <c r="H9" s="27">
        <v>935492</v>
      </c>
      <c r="I9" s="27">
        <v>-65957</v>
      </c>
      <c r="J9" s="27">
        <v>94650</v>
      </c>
      <c r="K9" s="27">
        <v>1236172.7109603547</v>
      </c>
      <c r="L9" s="27">
        <v>590453.13290228054</v>
      </c>
      <c r="M9" s="27">
        <v>386544.13290228054</v>
      </c>
      <c r="N9" s="27">
        <v>199087.75188956619</v>
      </c>
      <c r="O9" s="27">
        <v>212514.12688956619</v>
      </c>
      <c r="P9" s="27">
        <v>621626.53148140293</v>
      </c>
      <c r="Q9" s="15">
        <f>SUM(E9:P9)</f>
        <v>3342650.3870254504</v>
      </c>
      <c r="R9" s="10"/>
    </row>
    <row r="10" spans="1:18" ht="15.75" thickBot="1" x14ac:dyDescent="0.3">
      <c r="A10" s="16" t="s">
        <v>26</v>
      </c>
      <c r="B10" s="106"/>
      <c r="C10" s="16" t="s">
        <v>129</v>
      </c>
      <c r="D10" s="28" t="s">
        <v>21</v>
      </c>
      <c r="E10" s="29">
        <v>-1880077</v>
      </c>
      <c r="F10" s="29">
        <v>497810</v>
      </c>
      <c r="G10" s="29">
        <v>514334</v>
      </c>
      <c r="H10" s="29">
        <v>935492</v>
      </c>
      <c r="I10" s="29">
        <v>-65957</v>
      </c>
      <c r="J10" s="29">
        <v>94650</v>
      </c>
      <c r="K10" s="28"/>
      <c r="L10" s="28"/>
      <c r="M10" s="28"/>
      <c r="N10" s="28"/>
      <c r="O10" s="28"/>
      <c r="P10" s="28"/>
      <c r="Q10" s="30">
        <f t="shared" si="0"/>
        <v>96252</v>
      </c>
      <c r="R10" s="10"/>
    </row>
    <row r="11" spans="1:18" x14ac:dyDescent="0.25">
      <c r="A11" s="6" t="s">
        <v>28</v>
      </c>
      <c r="B11" s="102" t="s">
        <v>27</v>
      </c>
      <c r="C11" s="6" t="s">
        <v>129</v>
      </c>
      <c r="D11" s="31" t="s">
        <v>18</v>
      </c>
      <c r="E11" s="32">
        <v>149756</v>
      </c>
      <c r="F11" s="32">
        <v>149756</v>
      </c>
      <c r="G11" s="32">
        <v>149756</v>
      </c>
      <c r="H11" s="32">
        <v>149756</v>
      </c>
      <c r="I11" s="32">
        <v>149756</v>
      </c>
      <c r="J11" s="32">
        <v>149756</v>
      </c>
      <c r="K11" s="32">
        <v>149756</v>
      </c>
      <c r="L11" s="32">
        <v>170702</v>
      </c>
      <c r="M11" s="32">
        <v>40375</v>
      </c>
      <c r="N11" s="32">
        <v>42211</v>
      </c>
      <c r="O11" s="32">
        <v>47556</v>
      </c>
      <c r="P11" s="32">
        <v>47556</v>
      </c>
      <c r="Q11" s="33">
        <f t="shared" ref="Q11:Q16" si="1">SUM(E11:P11)</f>
        <v>1396692</v>
      </c>
      <c r="R11" s="10"/>
    </row>
    <row r="12" spans="1:18" ht="45" x14ac:dyDescent="0.25">
      <c r="A12" s="64" t="s">
        <v>28</v>
      </c>
      <c r="B12" s="102"/>
      <c r="C12" s="64" t="s">
        <v>129</v>
      </c>
      <c r="D12" s="11" t="s">
        <v>20</v>
      </c>
      <c r="E12" s="34">
        <v>-10978</v>
      </c>
      <c r="F12" s="34">
        <v>28105</v>
      </c>
      <c r="G12" s="34">
        <v>13149</v>
      </c>
      <c r="H12" s="34">
        <v>99355</v>
      </c>
      <c r="I12" s="34">
        <v>133039</v>
      </c>
      <c r="J12" s="34">
        <v>532193</v>
      </c>
      <c r="K12" s="34">
        <v>369578</v>
      </c>
      <c r="L12" s="34">
        <v>168325</v>
      </c>
      <c r="M12" s="34">
        <v>293764</v>
      </c>
      <c r="N12" s="34">
        <v>413958</v>
      </c>
      <c r="O12" s="34">
        <v>463173</v>
      </c>
      <c r="P12" s="34">
        <v>423129</v>
      </c>
      <c r="Q12" s="35">
        <f>SUM(E12:P12)</f>
        <v>2926790</v>
      </c>
      <c r="R12" s="36" t="s">
        <v>29</v>
      </c>
    </row>
    <row r="13" spans="1:18" ht="15.75" thickBot="1" x14ac:dyDescent="0.3">
      <c r="A13" s="16" t="s">
        <v>28</v>
      </c>
      <c r="B13" s="106"/>
      <c r="C13" s="16" t="s">
        <v>129</v>
      </c>
      <c r="D13" s="28" t="s">
        <v>21</v>
      </c>
      <c r="E13" s="37">
        <v>-10979</v>
      </c>
      <c r="F13" s="37">
        <v>28105</v>
      </c>
      <c r="G13" s="37">
        <v>13149</v>
      </c>
      <c r="H13" s="37">
        <v>99355</v>
      </c>
      <c r="I13" s="37">
        <v>133039</v>
      </c>
      <c r="J13" s="37">
        <v>532193</v>
      </c>
      <c r="K13" s="29"/>
      <c r="L13" s="29"/>
      <c r="M13" s="29"/>
      <c r="N13" s="29"/>
      <c r="O13" s="29"/>
      <c r="P13" s="29"/>
      <c r="Q13" s="38">
        <f t="shared" si="1"/>
        <v>794862</v>
      </c>
      <c r="R13" s="10"/>
    </row>
    <row r="14" spans="1:18" ht="15.75" thickBot="1" x14ac:dyDescent="0.3">
      <c r="A14" s="6" t="s">
        <v>31</v>
      </c>
      <c r="B14" s="107" t="s">
        <v>30</v>
      </c>
      <c r="C14" s="6" t="s">
        <v>129</v>
      </c>
      <c r="D14" s="23" t="s">
        <v>18</v>
      </c>
      <c r="E14" s="8">
        <v>118170</v>
      </c>
      <c r="F14" s="8">
        <v>148773</v>
      </c>
      <c r="G14" s="8">
        <v>148773</v>
      </c>
      <c r="H14" s="8">
        <v>148773</v>
      </c>
      <c r="I14" s="8">
        <v>148773</v>
      </c>
      <c r="J14" s="8">
        <v>148773</v>
      </c>
      <c r="K14" s="8">
        <v>148773</v>
      </c>
      <c r="L14" s="8">
        <v>148773</v>
      </c>
      <c r="M14" s="8">
        <v>148773</v>
      </c>
      <c r="N14" s="8">
        <v>253456</v>
      </c>
      <c r="O14" s="8">
        <v>233791</v>
      </c>
      <c r="P14" s="8">
        <v>233791</v>
      </c>
      <c r="Q14" s="39">
        <f t="shared" si="1"/>
        <v>2029392</v>
      </c>
      <c r="R14" s="10"/>
    </row>
    <row r="15" spans="1:18" s="42" customFormat="1" ht="45.75" thickBot="1" x14ac:dyDescent="0.3">
      <c r="A15" s="64" t="s">
        <v>31</v>
      </c>
      <c r="B15" s="108"/>
      <c r="C15" s="64" t="s">
        <v>129</v>
      </c>
      <c r="D15" s="11" t="s">
        <v>20</v>
      </c>
      <c r="E15" s="17">
        <v>4000</v>
      </c>
      <c r="F15" s="17">
        <v>4149</v>
      </c>
      <c r="G15" s="17">
        <v>4396</v>
      </c>
      <c r="H15" s="17">
        <v>275681</v>
      </c>
      <c r="I15" s="17">
        <v>364845</v>
      </c>
      <c r="J15" s="14">
        <v>453461</v>
      </c>
      <c r="K15" s="14">
        <v>269605</v>
      </c>
      <c r="L15" s="14">
        <v>508916</v>
      </c>
      <c r="M15" s="14">
        <v>41616</v>
      </c>
      <c r="N15" s="14">
        <v>292527</v>
      </c>
      <c r="O15" s="14">
        <v>488339</v>
      </c>
      <c r="P15" s="14">
        <v>1154025</v>
      </c>
      <c r="Q15" s="40">
        <f t="shared" si="1"/>
        <v>3861560</v>
      </c>
      <c r="R15" s="41" t="s">
        <v>32</v>
      </c>
    </row>
    <row r="16" spans="1:18" ht="15.75" thickBot="1" x14ac:dyDescent="0.3">
      <c r="A16" s="16" t="s">
        <v>31</v>
      </c>
      <c r="B16" s="109"/>
      <c r="C16" s="16" t="s">
        <v>129</v>
      </c>
      <c r="D16" s="28" t="s">
        <v>21</v>
      </c>
      <c r="E16" s="14">
        <v>3999.75</v>
      </c>
      <c r="F16" s="14">
        <v>4148.82</v>
      </c>
      <c r="G16" s="14">
        <v>4396.17</v>
      </c>
      <c r="H16" s="14">
        <v>275680.89</v>
      </c>
      <c r="I16" s="14">
        <v>364844.64</v>
      </c>
      <c r="J16" s="43">
        <v>453456</v>
      </c>
      <c r="K16" s="43"/>
      <c r="L16" s="43"/>
      <c r="M16" s="43"/>
      <c r="N16" s="43"/>
      <c r="O16" s="43"/>
      <c r="P16" s="43"/>
      <c r="Q16" s="44">
        <f t="shared" si="1"/>
        <v>1106526.27</v>
      </c>
      <c r="R16" s="10"/>
    </row>
    <row r="17" spans="1:21" ht="15.75" thickBot="1" x14ac:dyDescent="0.3">
      <c r="A17" s="6" t="s">
        <v>33</v>
      </c>
      <c r="B17" s="102" t="s">
        <v>34</v>
      </c>
      <c r="C17" s="97" t="s">
        <v>130</v>
      </c>
      <c r="D17" s="31" t="s">
        <v>18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5"/>
      <c r="R17" s="10"/>
      <c r="U17">
        <v>4609035</v>
      </c>
    </row>
    <row r="18" spans="1:21" ht="15.75" thickBot="1" x14ac:dyDescent="0.3">
      <c r="A18" s="64" t="s">
        <v>33</v>
      </c>
      <c r="B18" s="102"/>
      <c r="C18" s="97" t="s">
        <v>130</v>
      </c>
      <c r="D18" s="17" t="s">
        <v>21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46"/>
      <c r="R18" s="10"/>
      <c r="U18">
        <v>1154024</v>
      </c>
    </row>
    <row r="19" spans="1:21" ht="15.75" thickBot="1" x14ac:dyDescent="0.3">
      <c r="A19" s="6" t="s">
        <v>36</v>
      </c>
      <c r="B19" s="107" t="s">
        <v>35</v>
      </c>
      <c r="C19" s="6" t="s">
        <v>129</v>
      </c>
      <c r="D19" s="23" t="s">
        <v>18</v>
      </c>
      <c r="E19" s="24">
        <v>35</v>
      </c>
      <c r="F19" s="24">
        <v>35</v>
      </c>
      <c r="G19" s="24">
        <v>35</v>
      </c>
      <c r="H19" s="24">
        <v>35</v>
      </c>
      <c r="I19" s="8">
        <v>42.162999999999997</v>
      </c>
      <c r="J19" s="8">
        <v>69.911000000000001</v>
      </c>
      <c r="K19" s="8">
        <v>69.911000000000001</v>
      </c>
      <c r="L19" s="8">
        <v>69.911000000000001</v>
      </c>
      <c r="M19" s="8">
        <v>69.911000000000001</v>
      </c>
      <c r="N19" s="8">
        <v>69.911000000000001</v>
      </c>
      <c r="O19" s="8">
        <v>69.911000000000001</v>
      </c>
      <c r="P19" s="8">
        <v>69.911000000000001</v>
      </c>
      <c r="Q19" s="39">
        <f>SUM(E19:P19)</f>
        <v>671.54000000000019</v>
      </c>
      <c r="R19" s="10"/>
      <c r="U19">
        <f>U17-U18</f>
        <v>3455011</v>
      </c>
    </row>
    <row r="20" spans="1:21" ht="15.75" thickBot="1" x14ac:dyDescent="0.3">
      <c r="A20" s="64" t="s">
        <v>36</v>
      </c>
      <c r="B20" s="108"/>
      <c r="C20" s="64" t="s">
        <v>129</v>
      </c>
      <c r="D20" s="11" t="s">
        <v>20</v>
      </c>
      <c r="E20" s="17"/>
      <c r="F20" s="17"/>
      <c r="G20" s="17"/>
      <c r="H20" s="17"/>
      <c r="I20" s="14"/>
      <c r="J20" s="14">
        <v>46246.74</v>
      </c>
      <c r="K20" s="14">
        <v>50406.29</v>
      </c>
      <c r="L20" s="14">
        <v>76653.11</v>
      </c>
      <c r="M20" s="14">
        <v>96336.22</v>
      </c>
      <c r="N20" s="14">
        <v>177231.99</v>
      </c>
      <c r="O20" s="14">
        <v>679236.29</v>
      </c>
      <c r="P20" s="14">
        <v>23368.86</v>
      </c>
      <c r="Q20" s="44">
        <f>SUM(J20:P20)</f>
        <v>1149479.5000000002</v>
      </c>
      <c r="R20" s="10"/>
    </row>
    <row r="21" spans="1:21" ht="15.75" thickBot="1" x14ac:dyDescent="0.3">
      <c r="A21" s="16" t="s">
        <v>36</v>
      </c>
      <c r="B21" s="109"/>
      <c r="C21" s="16" t="s">
        <v>129</v>
      </c>
      <c r="D21" s="28" t="s">
        <v>21</v>
      </c>
      <c r="E21" s="14">
        <v>23969</v>
      </c>
      <c r="F21" s="14">
        <v>297</v>
      </c>
      <c r="G21" s="14">
        <v>570</v>
      </c>
      <c r="H21" s="14">
        <v>590</v>
      </c>
      <c r="I21" s="14">
        <v>12963</v>
      </c>
      <c r="J21" s="43">
        <v>6765</v>
      </c>
      <c r="K21" s="43"/>
      <c r="L21" s="43"/>
      <c r="M21" s="43"/>
      <c r="N21" s="43"/>
      <c r="O21" s="43"/>
      <c r="P21" s="43"/>
      <c r="Q21" s="44">
        <f>SUM(E21:P21)</f>
        <v>45154</v>
      </c>
      <c r="R21" s="10"/>
    </row>
    <row r="22" spans="1:21" ht="15.75" thickBot="1" x14ac:dyDescent="0.3">
      <c r="A22" s="16" t="s">
        <v>38</v>
      </c>
      <c r="B22" s="107" t="s">
        <v>37</v>
      </c>
      <c r="C22" s="6" t="s">
        <v>129</v>
      </c>
      <c r="D22" s="7" t="s">
        <v>18</v>
      </c>
      <c r="E22" s="24">
        <v>3123</v>
      </c>
      <c r="F22" s="24">
        <v>9964</v>
      </c>
      <c r="G22" s="24">
        <v>19559</v>
      </c>
      <c r="H22" s="24">
        <v>29637</v>
      </c>
      <c r="I22" s="47">
        <v>39090</v>
      </c>
      <c r="J22" s="24">
        <v>45903</v>
      </c>
      <c r="K22" s="24">
        <v>42924</v>
      </c>
      <c r="L22" s="24"/>
      <c r="M22" s="24"/>
      <c r="N22" s="24"/>
      <c r="O22" s="24"/>
      <c r="P22" s="24"/>
      <c r="Q22" s="44">
        <f t="shared" ref="Q22:Q27" si="2">SUM(E22:P22)</f>
        <v>190200</v>
      </c>
      <c r="R22" s="10"/>
    </row>
    <row r="23" spans="1:21" ht="30" x14ac:dyDescent="0.25">
      <c r="A23" s="6" t="s">
        <v>38</v>
      </c>
      <c r="B23" s="108"/>
      <c r="C23" s="64" t="s">
        <v>129</v>
      </c>
      <c r="D23" s="11" t="s">
        <v>20</v>
      </c>
      <c r="E23" s="14">
        <v>0</v>
      </c>
      <c r="F23" s="14">
        <v>0</v>
      </c>
      <c r="G23" s="14">
        <v>19558</v>
      </c>
      <c r="H23" s="14">
        <v>0</v>
      </c>
      <c r="I23" s="13">
        <v>1186</v>
      </c>
      <c r="J23" s="14">
        <v>2433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5">
        <f t="shared" si="2"/>
        <v>23177</v>
      </c>
      <c r="R23" s="36" t="s">
        <v>39</v>
      </c>
    </row>
    <row r="24" spans="1:21" ht="15.75" thickBot="1" x14ac:dyDescent="0.3">
      <c r="A24" s="64" t="s">
        <v>38</v>
      </c>
      <c r="B24" s="109"/>
      <c r="C24" s="16" t="s">
        <v>129</v>
      </c>
      <c r="D24" s="28" t="s">
        <v>21</v>
      </c>
      <c r="E24" s="14">
        <v>0</v>
      </c>
      <c r="F24" s="14">
        <v>0</v>
      </c>
      <c r="G24" s="14">
        <v>19558</v>
      </c>
      <c r="H24" s="14">
        <v>0</v>
      </c>
      <c r="I24" s="14">
        <v>1186</v>
      </c>
      <c r="J24" s="29">
        <v>2433</v>
      </c>
      <c r="K24" s="29"/>
      <c r="L24" s="29"/>
      <c r="M24" s="29"/>
      <c r="N24" s="29"/>
      <c r="O24" s="29"/>
      <c r="P24" s="29"/>
      <c r="Q24" s="30">
        <f t="shared" si="2"/>
        <v>23177</v>
      </c>
      <c r="R24" s="10"/>
    </row>
    <row r="25" spans="1:21" x14ac:dyDescent="0.25">
      <c r="A25" s="6" t="s">
        <v>41</v>
      </c>
      <c r="B25" s="107" t="s">
        <v>40</v>
      </c>
      <c r="C25" s="6" t="s">
        <v>129</v>
      </c>
      <c r="D25" s="7" t="s">
        <v>18</v>
      </c>
      <c r="E25" s="24">
        <v>5079</v>
      </c>
      <c r="F25" s="24">
        <v>19704</v>
      </c>
      <c r="G25" s="24">
        <v>36617</v>
      </c>
      <c r="H25" s="24">
        <v>19009</v>
      </c>
      <c r="I25" s="47">
        <v>45263</v>
      </c>
      <c r="J25" s="48">
        <v>69700</v>
      </c>
      <c r="K25" s="24">
        <v>153642</v>
      </c>
      <c r="L25" s="24"/>
      <c r="M25" s="24"/>
      <c r="N25" s="24"/>
      <c r="O25" s="24"/>
      <c r="P25" s="24"/>
      <c r="Q25" s="49">
        <f t="shared" si="2"/>
        <v>349014</v>
      </c>
      <c r="R25" s="10"/>
    </row>
    <row r="26" spans="1:21" ht="30" x14ac:dyDescent="0.25">
      <c r="A26" s="64" t="s">
        <v>41</v>
      </c>
      <c r="B26" s="108"/>
      <c r="C26" s="64" t="s">
        <v>129</v>
      </c>
      <c r="D26" s="11" t="s">
        <v>20</v>
      </c>
      <c r="E26" s="50"/>
      <c r="F26" s="50"/>
      <c r="G26" s="50"/>
      <c r="H26" s="50"/>
      <c r="I26" s="51">
        <v>1186</v>
      </c>
      <c r="J26" s="52">
        <v>2433</v>
      </c>
      <c r="K26" s="50">
        <v>2735</v>
      </c>
      <c r="L26" s="50">
        <v>18141</v>
      </c>
      <c r="M26" s="50">
        <v>37691</v>
      </c>
      <c r="N26" s="50">
        <v>21030</v>
      </c>
      <c r="O26" s="50">
        <v>40910</v>
      </c>
      <c r="P26" s="50">
        <v>76758</v>
      </c>
      <c r="Q26" s="53">
        <f t="shared" si="2"/>
        <v>200884</v>
      </c>
      <c r="R26" s="36" t="s">
        <v>42</v>
      </c>
    </row>
    <row r="27" spans="1:21" ht="15.75" thickBot="1" x14ac:dyDescent="0.3">
      <c r="A27" s="16" t="s">
        <v>41</v>
      </c>
      <c r="B27" s="108"/>
      <c r="C27" s="16" t="s">
        <v>129</v>
      </c>
      <c r="D27" s="17" t="s">
        <v>21</v>
      </c>
      <c r="E27" s="14">
        <v>0</v>
      </c>
      <c r="F27" s="14">
        <v>0</v>
      </c>
      <c r="G27" s="14">
        <v>0</v>
      </c>
      <c r="H27" s="14">
        <v>0</v>
      </c>
      <c r="I27" s="14">
        <v>1186</v>
      </c>
      <c r="J27" s="14">
        <v>2433</v>
      </c>
      <c r="K27" s="14"/>
      <c r="L27" s="14"/>
      <c r="M27" s="14"/>
      <c r="N27" s="14"/>
      <c r="O27" s="14"/>
      <c r="P27" s="14"/>
      <c r="Q27" s="54">
        <f t="shared" si="2"/>
        <v>3619</v>
      </c>
      <c r="R27" s="10"/>
    </row>
    <row r="28" spans="1:21" x14ac:dyDescent="0.25">
      <c r="A28" s="6" t="s">
        <v>44</v>
      </c>
      <c r="B28" s="110" t="s">
        <v>43</v>
      </c>
      <c r="C28" s="6" t="s">
        <v>129</v>
      </c>
      <c r="D28" s="23" t="s">
        <v>18</v>
      </c>
      <c r="E28" s="24">
        <v>32609</v>
      </c>
      <c r="F28" s="24">
        <v>54916</v>
      </c>
      <c r="G28" s="24">
        <v>71776</v>
      </c>
      <c r="H28" s="24">
        <v>67346</v>
      </c>
      <c r="I28" s="24">
        <v>51180</v>
      </c>
      <c r="J28" s="24">
        <v>111080</v>
      </c>
      <c r="K28" s="24">
        <v>195159</v>
      </c>
      <c r="L28" s="24">
        <v>334402</v>
      </c>
      <c r="M28" s="24">
        <v>357747</v>
      </c>
      <c r="N28" s="24">
        <v>323785</v>
      </c>
      <c r="O28" s="24">
        <v>226720</v>
      </c>
      <c r="P28" s="24">
        <v>173280</v>
      </c>
      <c r="Q28" s="49">
        <f>SUM(E28:P28)</f>
        <v>2000000</v>
      </c>
      <c r="R28" s="10"/>
    </row>
    <row r="29" spans="1:21" x14ac:dyDescent="0.25">
      <c r="A29" s="64" t="s">
        <v>44</v>
      </c>
      <c r="B29" s="111"/>
      <c r="C29" s="64" t="s">
        <v>129</v>
      </c>
      <c r="D29" s="11" t="s">
        <v>20</v>
      </c>
      <c r="E29" s="55">
        <v>0</v>
      </c>
      <c r="F29" s="13">
        <v>3434.74</v>
      </c>
      <c r="G29" s="13">
        <v>4559.53</v>
      </c>
      <c r="H29" s="13">
        <v>176250.22</v>
      </c>
      <c r="I29" s="13">
        <v>8439.43</v>
      </c>
      <c r="J29" s="13">
        <v>403292.05</v>
      </c>
      <c r="K29" s="14">
        <v>4438.34</v>
      </c>
      <c r="L29" s="14">
        <v>674647.95</v>
      </c>
      <c r="M29" s="14">
        <v>881247.29</v>
      </c>
      <c r="N29" s="14">
        <v>656165.93000000005</v>
      </c>
      <c r="O29" s="14">
        <v>320996.38</v>
      </c>
      <c r="P29" s="14">
        <v>318310.25</v>
      </c>
      <c r="Q29" s="53">
        <f>SUM(E29:P29)</f>
        <v>3451782.11</v>
      </c>
      <c r="R29" s="10"/>
    </row>
    <row r="30" spans="1:21" ht="15.75" thickBot="1" x14ac:dyDescent="0.3">
      <c r="A30" s="16" t="s">
        <v>44</v>
      </c>
      <c r="B30" s="112"/>
      <c r="C30" s="16" t="s">
        <v>129</v>
      </c>
      <c r="D30" s="28" t="s">
        <v>21</v>
      </c>
      <c r="E30" s="29">
        <v>0</v>
      </c>
      <c r="F30" s="29">
        <v>3435</v>
      </c>
      <c r="G30" s="29">
        <v>4560</v>
      </c>
      <c r="H30" s="29">
        <v>176250</v>
      </c>
      <c r="I30" s="29">
        <v>8439</v>
      </c>
      <c r="J30" s="28">
        <v>403292</v>
      </c>
      <c r="K30" s="28"/>
      <c r="L30" s="28"/>
      <c r="M30" s="28"/>
      <c r="N30" s="28"/>
      <c r="O30" s="28"/>
      <c r="P30" s="28"/>
      <c r="Q30" s="38">
        <f t="shared" ref="Q30:Q37" si="3">SUM(E30:P30)</f>
        <v>595976</v>
      </c>
      <c r="R30" s="10"/>
    </row>
    <row r="31" spans="1:21" x14ac:dyDescent="0.25">
      <c r="A31" s="6" t="s">
        <v>46</v>
      </c>
      <c r="B31" s="108" t="s">
        <v>45</v>
      </c>
      <c r="C31" s="6" t="s">
        <v>129</v>
      </c>
      <c r="D31" s="23" t="s">
        <v>18</v>
      </c>
      <c r="E31" s="32">
        <v>81380</v>
      </c>
      <c r="F31" s="32">
        <v>96765</v>
      </c>
      <c r="G31" s="32">
        <v>127742</v>
      </c>
      <c r="H31" s="32">
        <v>58224</v>
      </c>
      <c r="I31" s="56">
        <v>8678</v>
      </c>
      <c r="J31" s="32">
        <v>8961</v>
      </c>
      <c r="K31" s="32">
        <v>10442</v>
      </c>
      <c r="L31" s="32">
        <v>11521</v>
      </c>
      <c r="M31" s="32">
        <v>163704</v>
      </c>
      <c r="N31" s="32">
        <v>163704</v>
      </c>
      <c r="O31" s="32">
        <v>400000</v>
      </c>
      <c r="P31" s="32">
        <v>380818</v>
      </c>
      <c r="Q31" s="57">
        <f t="shared" si="3"/>
        <v>1511939</v>
      </c>
      <c r="R31" s="10"/>
    </row>
    <row r="32" spans="1:21" ht="30" x14ac:dyDescent="0.25">
      <c r="A32" s="64" t="s">
        <v>46</v>
      </c>
      <c r="B32" s="108"/>
      <c r="C32" s="64" t="s">
        <v>129</v>
      </c>
      <c r="D32" s="11" t="s">
        <v>20</v>
      </c>
      <c r="E32" s="58">
        <v>30015</v>
      </c>
      <c r="F32" s="58">
        <f>76759-E32</f>
        <v>46744</v>
      </c>
      <c r="G32" s="58">
        <f>202676-F32-E32</f>
        <v>125917</v>
      </c>
      <c r="H32" s="58">
        <f>258773-G32-F32-E32</f>
        <v>56097</v>
      </c>
      <c r="I32" s="51">
        <f>355897-H32-G32-F32-E32</f>
        <v>97124</v>
      </c>
      <c r="J32" s="50">
        <f>355897-I32-H32-G32-F32-E32</f>
        <v>0</v>
      </c>
      <c r="K32" s="50">
        <f>609826-J32-I32-H32-G32-F32-E32</f>
        <v>253929</v>
      </c>
      <c r="L32" s="50">
        <f>617322-K32-J32-I32-H32-G32-F32-E32</f>
        <v>7496</v>
      </c>
      <c r="M32" s="50">
        <f>625339-L32-K32-J32-I32-H32-G32-F32-E32</f>
        <v>8017</v>
      </c>
      <c r="N32" s="50">
        <f>1168604-M32-L32-K32-J32-I32-H32-G32-F32-E32</f>
        <v>543265</v>
      </c>
      <c r="O32" s="50">
        <f>1643090-N32-M32-L32-K32-J32-I32-H32-G32-F32-E32</f>
        <v>474486</v>
      </c>
      <c r="P32" s="50">
        <f>2188750-O32-N32-M32-L32-K32-J32-I32-H32-G32-F32-E32</f>
        <v>545660</v>
      </c>
      <c r="Q32" s="57">
        <f t="shared" si="3"/>
        <v>2188750</v>
      </c>
      <c r="R32" s="36" t="s">
        <v>47</v>
      </c>
    </row>
    <row r="33" spans="1:18" ht="15.75" thickBot="1" x14ac:dyDescent="0.3">
      <c r="A33" s="16" t="s">
        <v>46</v>
      </c>
      <c r="B33" s="109"/>
      <c r="C33" s="16" t="s">
        <v>129</v>
      </c>
      <c r="D33" s="28" t="s">
        <v>21</v>
      </c>
      <c r="E33" s="29">
        <v>-9943</v>
      </c>
      <c r="F33" s="29">
        <v>46540</v>
      </c>
      <c r="G33" s="29">
        <v>125919</v>
      </c>
      <c r="H33" s="29">
        <v>56095</v>
      </c>
      <c r="I33" s="29">
        <v>102615</v>
      </c>
      <c r="J33" s="29">
        <v>80185</v>
      </c>
      <c r="K33" s="29"/>
      <c r="L33" s="29"/>
      <c r="M33" s="29"/>
      <c r="N33" s="29"/>
      <c r="O33" s="29"/>
      <c r="P33" s="29"/>
      <c r="Q33" s="38">
        <f t="shared" si="3"/>
        <v>401411</v>
      </c>
      <c r="R33" s="10"/>
    </row>
    <row r="34" spans="1:18" x14ac:dyDescent="0.25">
      <c r="A34" s="6" t="s">
        <v>49</v>
      </c>
      <c r="B34" s="107" t="s">
        <v>48</v>
      </c>
      <c r="C34" s="6" t="s">
        <v>129</v>
      </c>
      <c r="D34" s="23" t="s">
        <v>18</v>
      </c>
      <c r="E34" s="8">
        <v>0</v>
      </c>
      <c r="F34" s="24">
        <v>3462</v>
      </c>
      <c r="G34" s="24">
        <v>6204</v>
      </c>
      <c r="H34" s="24">
        <v>60595</v>
      </c>
      <c r="I34" s="24">
        <v>91507</v>
      </c>
      <c r="J34" s="24">
        <v>48722</v>
      </c>
      <c r="K34" s="24">
        <v>55496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57">
        <f t="shared" si="3"/>
        <v>265986</v>
      </c>
      <c r="R34" s="10"/>
    </row>
    <row r="35" spans="1:18" x14ac:dyDescent="0.25">
      <c r="A35" s="64" t="s">
        <v>49</v>
      </c>
      <c r="B35" s="108"/>
      <c r="C35" s="64" t="s">
        <v>129</v>
      </c>
      <c r="D35" s="11" t="s">
        <v>20</v>
      </c>
      <c r="F35" s="31"/>
      <c r="G35" s="31"/>
      <c r="H35" s="32">
        <v>10899</v>
      </c>
      <c r="I35" s="32">
        <v>16599</v>
      </c>
      <c r="J35" s="32">
        <v>43321</v>
      </c>
      <c r="K35" s="32">
        <v>37800</v>
      </c>
      <c r="L35" s="32">
        <v>65923</v>
      </c>
      <c r="M35" s="32">
        <v>70552</v>
      </c>
      <c r="N35" s="32">
        <v>37052</v>
      </c>
      <c r="O35" s="32">
        <v>53968</v>
      </c>
      <c r="P35" s="31"/>
      <c r="Q35" s="57">
        <f t="shared" si="3"/>
        <v>336114</v>
      </c>
      <c r="R35" s="10"/>
    </row>
    <row r="36" spans="1:18" ht="15.75" thickBot="1" x14ac:dyDescent="0.3">
      <c r="A36" s="16" t="s">
        <v>49</v>
      </c>
      <c r="B36" s="109"/>
      <c r="C36" s="16" t="s">
        <v>129</v>
      </c>
      <c r="D36" s="28" t="s">
        <v>21</v>
      </c>
      <c r="E36" s="14">
        <v>0</v>
      </c>
      <c r="F36" s="14">
        <v>0</v>
      </c>
      <c r="G36" s="14">
        <v>0</v>
      </c>
      <c r="H36" s="14">
        <v>272</v>
      </c>
      <c r="I36" s="14">
        <v>3813</v>
      </c>
      <c r="J36" s="28">
        <v>7032</v>
      </c>
      <c r="K36" s="28"/>
      <c r="L36" s="28"/>
      <c r="M36" s="28"/>
      <c r="N36" s="28"/>
      <c r="O36" s="28"/>
      <c r="P36" s="28"/>
      <c r="Q36" s="38">
        <f t="shared" si="3"/>
        <v>11117</v>
      </c>
      <c r="R36" s="10"/>
    </row>
    <row r="37" spans="1:18" ht="15.75" thickBot="1" x14ac:dyDescent="0.3">
      <c r="A37" s="6" t="s">
        <v>51</v>
      </c>
      <c r="B37" s="107" t="s">
        <v>50</v>
      </c>
      <c r="C37" s="6" t="s">
        <v>129</v>
      </c>
      <c r="D37" s="23" t="s">
        <v>18</v>
      </c>
      <c r="E37" s="24">
        <v>105484</v>
      </c>
      <c r="F37" s="24">
        <v>87284</v>
      </c>
      <c r="G37" s="24">
        <v>3624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59">
        <f t="shared" si="3"/>
        <v>196392</v>
      </c>
      <c r="R37" s="10"/>
    </row>
    <row r="38" spans="1:18" ht="15.75" thickBot="1" x14ac:dyDescent="0.3">
      <c r="A38" s="64" t="s">
        <v>51</v>
      </c>
      <c r="B38" s="108"/>
      <c r="C38" s="64" t="s">
        <v>129</v>
      </c>
      <c r="D38" s="11" t="s">
        <v>20</v>
      </c>
      <c r="E38" s="24">
        <v>5650</v>
      </c>
      <c r="F38" s="24">
        <v>9463</v>
      </c>
      <c r="G38" s="24">
        <v>46231</v>
      </c>
      <c r="H38" s="24">
        <v>39491</v>
      </c>
      <c r="I38" s="24">
        <v>84445</v>
      </c>
      <c r="J38" s="24">
        <v>48384</v>
      </c>
      <c r="K38" s="24">
        <v>52246</v>
      </c>
      <c r="L38" s="24">
        <v>8090</v>
      </c>
      <c r="M38" s="8"/>
      <c r="N38" s="60"/>
      <c r="O38" s="60"/>
      <c r="P38" s="60"/>
      <c r="Q38" s="59">
        <f t="shared" ref="Q38" si="4">SUM(E38:P38)</f>
        <v>294000</v>
      </c>
      <c r="R38" s="10"/>
    </row>
    <row r="39" spans="1:18" ht="15.75" thickBot="1" x14ac:dyDescent="0.3">
      <c r="A39" s="16" t="s">
        <v>51</v>
      </c>
      <c r="B39" s="109"/>
      <c r="C39" s="16" t="s">
        <v>129</v>
      </c>
      <c r="D39" s="28" t="s">
        <v>21</v>
      </c>
      <c r="E39" s="29">
        <v>0</v>
      </c>
      <c r="F39" s="29">
        <v>0</v>
      </c>
      <c r="G39" s="29">
        <v>0</v>
      </c>
      <c r="H39" s="29">
        <v>2119</v>
      </c>
      <c r="I39" s="29">
        <v>6159</v>
      </c>
      <c r="J39" s="29">
        <v>87268</v>
      </c>
      <c r="K39" s="28"/>
      <c r="L39" s="28"/>
      <c r="M39" s="28"/>
      <c r="N39" s="28"/>
      <c r="O39" s="28"/>
      <c r="P39" s="28"/>
      <c r="Q39" s="59">
        <f t="shared" ref="Q39:Q57" si="5">SUM(E39:P39)</f>
        <v>95546</v>
      </c>
      <c r="R39" s="10"/>
    </row>
    <row r="40" spans="1:18" x14ac:dyDescent="0.25">
      <c r="A40" s="6" t="s">
        <v>53</v>
      </c>
      <c r="B40" s="107" t="s">
        <v>52</v>
      </c>
      <c r="C40" s="6" t="s">
        <v>129</v>
      </c>
      <c r="D40" s="23" t="s">
        <v>18</v>
      </c>
      <c r="E40" s="24">
        <v>24135</v>
      </c>
      <c r="F40" s="24">
        <v>80403</v>
      </c>
      <c r="G40" s="24">
        <v>110473</v>
      </c>
      <c r="H40" s="24">
        <v>173066</v>
      </c>
      <c r="I40" s="24">
        <v>58323</v>
      </c>
      <c r="J40" s="24">
        <v>102275</v>
      </c>
      <c r="K40" s="24"/>
      <c r="L40" s="24"/>
      <c r="M40" s="24"/>
      <c r="N40" s="24"/>
      <c r="O40" s="24"/>
      <c r="P40" s="24"/>
      <c r="Q40" s="44">
        <f t="shared" si="5"/>
        <v>548675</v>
      </c>
      <c r="R40" s="10"/>
    </row>
    <row r="41" spans="1:18" x14ac:dyDescent="0.25">
      <c r="A41" s="64" t="s">
        <v>53</v>
      </c>
      <c r="B41" s="108"/>
      <c r="C41" s="64" t="s">
        <v>129</v>
      </c>
      <c r="D41" s="11" t="s">
        <v>20</v>
      </c>
      <c r="E41" s="58"/>
      <c r="F41" s="58">
        <v>21513</v>
      </c>
      <c r="G41" s="58">
        <f>103091-F41</f>
        <v>81578</v>
      </c>
      <c r="H41" s="58">
        <f>103091-G41-F41</f>
        <v>0</v>
      </c>
      <c r="I41" s="50">
        <f>103091-H41-G41-F41</f>
        <v>0</v>
      </c>
      <c r="J41" s="50">
        <f>105107-I41-H41-G41-F41</f>
        <v>2016</v>
      </c>
      <c r="K41" s="50">
        <f>105107-J41-I41-H41-G41-F41</f>
        <v>0</v>
      </c>
      <c r="L41" s="50">
        <f>105107-K41-J41-I41-H41-G41-F41</f>
        <v>0</v>
      </c>
      <c r="M41" s="50">
        <f>105107-L41-K41-J41-I41-H41-G41-F41</f>
        <v>0</v>
      </c>
      <c r="N41" s="50">
        <f>107883-M41-L41-K41-J41-I41-H41-G41-F41</f>
        <v>2776</v>
      </c>
      <c r="O41" s="50">
        <f>115006-N41-M41-L41-K41-J41-I41-H41-G41-F41</f>
        <v>7123</v>
      </c>
      <c r="P41" s="50">
        <f>152685-O41-N41-M41-L41-K41-J41-I41-H41-G41-F41</f>
        <v>37679</v>
      </c>
      <c r="Q41" s="61">
        <f t="shared" si="5"/>
        <v>152685</v>
      </c>
      <c r="R41" s="10"/>
    </row>
    <row r="42" spans="1:18" ht="15.75" thickBot="1" x14ac:dyDescent="0.3">
      <c r="A42" s="16" t="s">
        <v>53</v>
      </c>
      <c r="B42" s="109"/>
      <c r="C42" s="16" t="s">
        <v>129</v>
      </c>
      <c r="D42" s="28" t="s">
        <v>21</v>
      </c>
      <c r="E42" s="29">
        <v>0</v>
      </c>
      <c r="F42" s="29">
        <v>0</v>
      </c>
      <c r="G42" s="29">
        <v>0</v>
      </c>
      <c r="H42" s="29">
        <v>0</v>
      </c>
      <c r="I42" s="29">
        <v>1694</v>
      </c>
      <c r="J42" s="29">
        <v>3421</v>
      </c>
      <c r="K42" s="29"/>
      <c r="L42" s="29"/>
      <c r="M42" s="29"/>
      <c r="N42" s="29"/>
      <c r="O42" s="29"/>
      <c r="P42" s="29"/>
      <c r="Q42" s="30">
        <f t="shared" si="5"/>
        <v>5115</v>
      </c>
      <c r="R42" s="10"/>
    </row>
    <row r="43" spans="1:18" ht="15.75" thickBot="1" x14ac:dyDescent="0.3">
      <c r="A43" s="6" t="s">
        <v>55</v>
      </c>
      <c r="B43" s="107" t="s">
        <v>54</v>
      </c>
      <c r="C43" s="6" t="s">
        <v>129</v>
      </c>
      <c r="D43" s="23" t="s">
        <v>18</v>
      </c>
      <c r="E43" s="8">
        <v>0</v>
      </c>
      <c r="F43" s="24">
        <v>775</v>
      </c>
      <c r="G43" s="24">
        <v>34336</v>
      </c>
      <c r="H43" s="24">
        <v>67614</v>
      </c>
      <c r="I43" s="24">
        <v>92153</v>
      </c>
      <c r="J43" s="24">
        <v>121829</v>
      </c>
      <c r="K43" s="24">
        <v>29273</v>
      </c>
      <c r="L43" s="24">
        <v>30031</v>
      </c>
      <c r="M43" s="24">
        <v>30031</v>
      </c>
      <c r="N43" s="24">
        <v>30031</v>
      </c>
      <c r="O43" s="24">
        <v>30031</v>
      </c>
      <c r="P43" s="24">
        <v>26921</v>
      </c>
      <c r="Q43" s="44">
        <f t="shared" si="5"/>
        <v>493025</v>
      </c>
      <c r="R43" s="10"/>
    </row>
    <row r="44" spans="1:18" ht="15.75" thickBot="1" x14ac:dyDescent="0.3">
      <c r="A44" s="64" t="s">
        <v>55</v>
      </c>
      <c r="B44" s="108"/>
      <c r="C44" s="64" t="s">
        <v>129</v>
      </c>
      <c r="D44" s="11" t="s">
        <v>20</v>
      </c>
      <c r="E44" s="31"/>
      <c r="F44" s="31"/>
      <c r="G44" s="29">
        <v>1876</v>
      </c>
      <c r="H44" s="29">
        <v>2304</v>
      </c>
      <c r="I44" s="29">
        <v>2944</v>
      </c>
      <c r="J44" s="29">
        <v>4354</v>
      </c>
      <c r="K44" s="29">
        <v>5933</v>
      </c>
      <c r="L44" s="29">
        <v>7609</v>
      </c>
      <c r="M44" s="29">
        <v>9614</v>
      </c>
      <c r="N44" s="29">
        <v>15912</v>
      </c>
      <c r="O44" s="29">
        <v>61827</v>
      </c>
      <c r="P44" s="29">
        <v>78658</v>
      </c>
      <c r="Q44" s="44">
        <f t="shared" si="5"/>
        <v>191031</v>
      </c>
      <c r="R44" s="10"/>
    </row>
    <row r="45" spans="1:18" ht="15.75" thickBot="1" x14ac:dyDescent="0.3">
      <c r="A45" s="16" t="s">
        <v>55</v>
      </c>
      <c r="B45" s="109"/>
      <c r="C45" s="16" t="s">
        <v>129</v>
      </c>
      <c r="D45" s="28" t="s">
        <v>21</v>
      </c>
      <c r="E45" s="29">
        <v>0</v>
      </c>
      <c r="F45" s="29">
        <v>0</v>
      </c>
      <c r="G45" s="29">
        <v>0</v>
      </c>
      <c r="H45" s="29">
        <v>0</v>
      </c>
      <c r="I45" s="29">
        <v>2796</v>
      </c>
      <c r="J45" s="29">
        <v>5957</v>
      </c>
      <c r="K45" s="28"/>
      <c r="L45" s="28"/>
      <c r="M45" s="28"/>
      <c r="N45" s="28"/>
      <c r="O45" s="28"/>
      <c r="P45" s="28"/>
      <c r="Q45" s="44">
        <f t="shared" si="5"/>
        <v>8753</v>
      </c>
      <c r="R45" s="10"/>
    </row>
    <row r="46" spans="1:18" ht="15.75" thickBot="1" x14ac:dyDescent="0.3">
      <c r="A46" s="6" t="s">
        <v>57</v>
      </c>
      <c r="B46" s="107" t="s">
        <v>56</v>
      </c>
      <c r="C46" s="6" t="s">
        <v>129</v>
      </c>
      <c r="D46" s="23" t="s">
        <v>18</v>
      </c>
      <c r="E46" s="24">
        <v>30847</v>
      </c>
      <c r="F46" s="24">
        <v>48897</v>
      </c>
      <c r="G46" s="24">
        <v>40018</v>
      </c>
      <c r="H46" s="24">
        <v>25961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44">
        <f t="shared" si="5"/>
        <v>145723</v>
      </c>
      <c r="R46" s="10"/>
    </row>
    <row r="47" spans="1:18" ht="15.75" thickBot="1" x14ac:dyDescent="0.3">
      <c r="A47" s="64" t="s">
        <v>57</v>
      </c>
      <c r="B47" s="108"/>
      <c r="C47" s="64" t="s">
        <v>129</v>
      </c>
      <c r="D47" s="11" t="s">
        <v>20</v>
      </c>
      <c r="E47" s="60"/>
      <c r="F47" s="60"/>
      <c r="G47" s="60"/>
      <c r="H47" s="24">
        <v>7146</v>
      </c>
      <c r="I47" s="24">
        <v>20960</v>
      </c>
      <c r="J47" s="24">
        <v>35931</v>
      </c>
      <c r="K47" s="24">
        <v>54999</v>
      </c>
      <c r="L47" s="24">
        <v>45211</v>
      </c>
      <c r="M47" s="24">
        <v>31754</v>
      </c>
      <c r="N47" s="24"/>
      <c r="O47" s="24"/>
      <c r="P47" s="24"/>
      <c r="Q47" s="44">
        <f t="shared" si="5"/>
        <v>196001</v>
      </c>
      <c r="R47" s="10"/>
    </row>
    <row r="48" spans="1:18" ht="15.75" thickBot="1" x14ac:dyDescent="0.3">
      <c r="A48" s="16" t="s">
        <v>57</v>
      </c>
      <c r="B48" s="109"/>
      <c r="C48" s="16" t="s">
        <v>129</v>
      </c>
      <c r="D48" s="28" t="s">
        <v>21</v>
      </c>
      <c r="E48" s="29">
        <v>0</v>
      </c>
      <c r="F48" s="29">
        <v>0</v>
      </c>
      <c r="G48" s="29">
        <v>0</v>
      </c>
      <c r="H48" s="29">
        <v>2119</v>
      </c>
      <c r="I48" s="29">
        <v>5520</v>
      </c>
      <c r="J48" s="29">
        <v>8386</v>
      </c>
      <c r="K48" s="29"/>
      <c r="L48" s="28"/>
      <c r="M48" s="28"/>
      <c r="N48" s="28"/>
      <c r="O48" s="28"/>
      <c r="P48" s="28"/>
      <c r="Q48" s="44">
        <f t="shared" si="5"/>
        <v>16025</v>
      </c>
      <c r="R48" s="10"/>
    </row>
    <row r="49" spans="1:18" ht="15.75" thickBot="1" x14ac:dyDescent="0.3">
      <c r="A49" s="6" t="s">
        <v>59</v>
      </c>
      <c r="B49" s="107" t="s">
        <v>58</v>
      </c>
      <c r="C49" s="6" t="s">
        <v>129</v>
      </c>
      <c r="D49" s="23" t="s">
        <v>18</v>
      </c>
      <c r="E49" s="24">
        <v>36333</v>
      </c>
      <c r="F49" s="24">
        <v>35339</v>
      </c>
      <c r="G49" s="24">
        <v>9913</v>
      </c>
      <c r="H49" s="24">
        <v>81653</v>
      </c>
      <c r="I49" s="24">
        <v>5153</v>
      </c>
      <c r="J49" s="24">
        <v>46561</v>
      </c>
      <c r="K49" s="24">
        <v>84833</v>
      </c>
      <c r="L49" s="24">
        <v>0</v>
      </c>
      <c r="M49" s="8">
        <v>0</v>
      </c>
      <c r="N49" s="8">
        <v>0</v>
      </c>
      <c r="O49" s="8">
        <v>0</v>
      </c>
      <c r="P49" s="8">
        <v>0</v>
      </c>
      <c r="Q49" s="39">
        <f t="shared" si="5"/>
        <v>299785</v>
      </c>
      <c r="R49" s="10"/>
    </row>
    <row r="50" spans="1:18" ht="15.75" thickBot="1" x14ac:dyDescent="0.3">
      <c r="A50" s="64" t="s">
        <v>59</v>
      </c>
      <c r="B50" s="108"/>
      <c r="C50" s="64" t="s">
        <v>129</v>
      </c>
      <c r="D50" s="11" t="s">
        <v>20</v>
      </c>
      <c r="E50" s="17"/>
      <c r="F50" s="17"/>
      <c r="G50" s="17"/>
      <c r="H50" s="17"/>
      <c r="I50" s="24">
        <v>12051</v>
      </c>
      <c r="J50" s="24">
        <v>44701</v>
      </c>
      <c r="K50" s="24">
        <v>37286</v>
      </c>
      <c r="L50" s="24">
        <v>56605</v>
      </c>
      <c r="M50" s="24">
        <v>64827</v>
      </c>
      <c r="N50" s="24">
        <v>7289</v>
      </c>
      <c r="O50" s="24"/>
      <c r="P50" s="24"/>
      <c r="Q50" s="39">
        <f t="shared" si="5"/>
        <v>222759</v>
      </c>
      <c r="R50" s="10"/>
    </row>
    <row r="51" spans="1:18" ht="15.75" thickBot="1" x14ac:dyDescent="0.3">
      <c r="A51" s="16" t="s">
        <v>59</v>
      </c>
      <c r="B51" s="109"/>
      <c r="C51" s="16" t="s">
        <v>129</v>
      </c>
      <c r="D51" s="28" t="s">
        <v>21</v>
      </c>
      <c r="E51" s="29">
        <v>0</v>
      </c>
      <c r="F51" s="29">
        <v>0</v>
      </c>
      <c r="G51" s="29">
        <v>0</v>
      </c>
      <c r="H51" s="29">
        <v>0</v>
      </c>
      <c r="I51" s="29">
        <v>1610</v>
      </c>
      <c r="J51" s="29">
        <v>3335</v>
      </c>
      <c r="K51" s="28"/>
      <c r="L51" s="28"/>
      <c r="M51" s="28"/>
      <c r="N51" s="28"/>
      <c r="O51" s="28"/>
      <c r="P51" s="28"/>
      <c r="Q51" s="44">
        <f t="shared" si="5"/>
        <v>4945</v>
      </c>
      <c r="R51" s="10"/>
    </row>
    <row r="52" spans="1:18" ht="15.75" thickBot="1" x14ac:dyDescent="0.3">
      <c r="A52" s="6" t="s">
        <v>61</v>
      </c>
      <c r="B52" s="107" t="s">
        <v>60</v>
      </c>
      <c r="C52" s="6" t="s">
        <v>129</v>
      </c>
      <c r="D52" s="23" t="s">
        <v>18</v>
      </c>
      <c r="E52" s="24">
        <v>17063</v>
      </c>
      <c r="F52" s="24">
        <v>129331</v>
      </c>
      <c r="G52" s="24">
        <v>96093</v>
      </c>
      <c r="H52" s="24">
        <v>4223</v>
      </c>
      <c r="I52" s="24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39">
        <f t="shared" si="5"/>
        <v>246710</v>
      </c>
      <c r="R52" s="10"/>
    </row>
    <row r="53" spans="1:18" ht="15.75" thickBot="1" x14ac:dyDescent="0.3">
      <c r="A53" s="64" t="s">
        <v>61</v>
      </c>
      <c r="B53" s="108"/>
      <c r="C53" s="64" t="s">
        <v>129</v>
      </c>
      <c r="D53" s="11" t="s">
        <v>20</v>
      </c>
      <c r="E53" s="14">
        <v>15169</v>
      </c>
      <c r="F53" s="14">
        <v>34665</v>
      </c>
      <c r="G53" s="14">
        <v>37896</v>
      </c>
      <c r="H53" s="14">
        <v>62328</v>
      </c>
      <c r="I53" s="14">
        <v>54539</v>
      </c>
      <c r="J53" s="14">
        <v>36925</v>
      </c>
      <c r="K53" s="17"/>
      <c r="L53" s="17"/>
      <c r="M53" s="17"/>
      <c r="N53" s="17"/>
      <c r="O53" s="17"/>
      <c r="P53" s="17"/>
      <c r="Q53" s="39">
        <f t="shared" si="5"/>
        <v>241522</v>
      </c>
      <c r="R53" s="10"/>
    </row>
    <row r="54" spans="1:18" ht="15.75" thickBot="1" x14ac:dyDescent="0.3">
      <c r="A54" s="16" t="s">
        <v>61</v>
      </c>
      <c r="B54" s="109"/>
      <c r="C54" s="16" t="s">
        <v>129</v>
      </c>
      <c r="D54" s="28" t="s">
        <v>21</v>
      </c>
      <c r="E54" s="29">
        <v>9017</v>
      </c>
      <c r="F54" s="29">
        <v>14765</v>
      </c>
      <c r="G54" s="29">
        <v>16115</v>
      </c>
      <c r="H54" s="29">
        <v>9125</v>
      </c>
      <c r="I54" s="29">
        <v>53751</v>
      </c>
      <c r="J54" s="29">
        <v>84103</v>
      </c>
      <c r="K54" s="28"/>
      <c r="L54" s="28"/>
      <c r="M54" s="28"/>
      <c r="N54" s="28"/>
      <c r="O54" s="28"/>
      <c r="P54" s="28"/>
      <c r="Q54" s="44">
        <f t="shared" si="5"/>
        <v>186876</v>
      </c>
      <c r="R54" s="10"/>
    </row>
    <row r="55" spans="1:18" ht="15.75" thickBot="1" x14ac:dyDescent="0.3">
      <c r="A55" s="6" t="s">
        <v>63</v>
      </c>
      <c r="B55" s="107" t="s">
        <v>62</v>
      </c>
      <c r="C55" s="6" t="s">
        <v>129</v>
      </c>
      <c r="D55" s="23" t="s">
        <v>18</v>
      </c>
      <c r="E55" s="8">
        <v>43.82</v>
      </c>
      <c r="F55" s="8">
        <v>97.385000000000005</v>
      </c>
      <c r="G55" s="8">
        <v>93.486000000000004</v>
      </c>
      <c r="H55" s="8">
        <v>62.667000000000002</v>
      </c>
      <c r="I55" s="8">
        <v>36.212000000000003</v>
      </c>
      <c r="J55" s="8">
        <v>63.756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39">
        <f t="shared" si="5"/>
        <v>397.32600000000002</v>
      </c>
      <c r="R55" s="10"/>
    </row>
    <row r="56" spans="1:18" ht="15.75" thickBot="1" x14ac:dyDescent="0.3">
      <c r="A56" s="64" t="s">
        <v>63</v>
      </c>
      <c r="B56" s="108"/>
      <c r="C56" s="64" t="s">
        <v>129</v>
      </c>
      <c r="D56" s="11" t="s">
        <v>20</v>
      </c>
      <c r="E56" s="8"/>
      <c r="F56" s="24">
        <v>3538</v>
      </c>
      <c r="G56" s="24">
        <v>19616</v>
      </c>
      <c r="H56" s="24">
        <v>27595</v>
      </c>
      <c r="I56" s="24">
        <v>47735</v>
      </c>
      <c r="J56" s="24">
        <v>52672</v>
      </c>
      <c r="K56" s="24">
        <v>58757</v>
      </c>
      <c r="L56" s="24">
        <v>77237</v>
      </c>
      <c r="M56" s="24"/>
      <c r="N56" s="8"/>
      <c r="O56" s="8"/>
      <c r="P56" s="11"/>
      <c r="Q56" s="44">
        <f t="shared" si="5"/>
        <v>287150</v>
      </c>
      <c r="R56" s="10"/>
    </row>
    <row r="57" spans="1:18" ht="15.75" thickBot="1" x14ac:dyDescent="0.3">
      <c r="A57" s="16" t="s">
        <v>63</v>
      </c>
      <c r="B57" s="109"/>
      <c r="C57" s="16" t="s">
        <v>129</v>
      </c>
      <c r="D57" s="28" t="s">
        <v>21</v>
      </c>
      <c r="E57" s="29">
        <v>0</v>
      </c>
      <c r="F57" s="29">
        <v>55</v>
      </c>
      <c r="G57" s="29">
        <v>0</v>
      </c>
      <c r="H57" s="29">
        <v>8373</v>
      </c>
      <c r="I57" s="29">
        <v>932</v>
      </c>
      <c r="J57" s="29">
        <v>2221</v>
      </c>
      <c r="K57" s="28"/>
      <c r="L57" s="28"/>
      <c r="M57" s="28"/>
      <c r="N57" s="28"/>
      <c r="O57" s="28"/>
      <c r="P57" s="28"/>
      <c r="Q57" s="44">
        <f t="shared" si="5"/>
        <v>11581</v>
      </c>
      <c r="R57" s="10"/>
    </row>
    <row r="58" spans="1:18" ht="15.75" thickBot="1" x14ac:dyDescent="0.3">
      <c r="A58" s="6" t="s">
        <v>64</v>
      </c>
      <c r="B58" s="102" t="s">
        <v>65</v>
      </c>
      <c r="C58" s="98" t="s">
        <v>131</v>
      </c>
      <c r="D58" s="31" t="s">
        <v>18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45"/>
      <c r="R58" s="10"/>
    </row>
    <row r="59" spans="1:18" ht="15.75" thickBot="1" x14ac:dyDescent="0.3">
      <c r="A59" s="64" t="s">
        <v>64</v>
      </c>
      <c r="B59" s="102"/>
      <c r="C59" s="98" t="s">
        <v>131</v>
      </c>
      <c r="D59" s="17" t="s">
        <v>21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46"/>
      <c r="R59" s="10"/>
    </row>
    <row r="60" spans="1:18" ht="15.75" thickBot="1" x14ac:dyDescent="0.3">
      <c r="A60" s="16" t="s">
        <v>67</v>
      </c>
      <c r="B60" s="107" t="s">
        <v>66</v>
      </c>
      <c r="C60" s="97" t="s">
        <v>129</v>
      </c>
      <c r="D60" s="23" t="s">
        <v>18</v>
      </c>
      <c r="E60" s="24">
        <v>148942</v>
      </c>
      <c r="F60" s="24">
        <v>11792</v>
      </c>
      <c r="G60" s="24">
        <v>5444</v>
      </c>
      <c r="H60" s="24">
        <v>7195</v>
      </c>
      <c r="I60" s="24">
        <v>7704</v>
      </c>
      <c r="J60" s="24">
        <v>20206</v>
      </c>
      <c r="K60" s="24">
        <v>77554</v>
      </c>
      <c r="L60" s="24">
        <v>138194</v>
      </c>
      <c r="M60" s="24">
        <v>138194</v>
      </c>
      <c r="N60" s="24">
        <v>138194</v>
      </c>
      <c r="O60" s="24">
        <v>138194</v>
      </c>
      <c r="P60" s="24">
        <v>61247</v>
      </c>
      <c r="Q60" s="62">
        <f t="shared" ref="Q60:Q68" si="6">SUM(E60:P60)</f>
        <v>892860</v>
      </c>
      <c r="R60" s="10"/>
    </row>
    <row r="61" spans="1:18" ht="15.75" thickBot="1" x14ac:dyDescent="0.3">
      <c r="A61" s="6" t="s">
        <v>67</v>
      </c>
      <c r="B61" s="108"/>
      <c r="C61" s="97" t="s">
        <v>129</v>
      </c>
      <c r="D61" s="11" t="s">
        <v>20</v>
      </c>
      <c r="E61" s="14">
        <v>0</v>
      </c>
      <c r="F61" s="29">
        <v>6252</v>
      </c>
      <c r="G61" s="29">
        <v>133219</v>
      </c>
      <c r="H61" s="29">
        <v>53932</v>
      </c>
      <c r="I61" s="29">
        <v>105071</v>
      </c>
      <c r="J61" s="29">
        <v>57970</v>
      </c>
      <c r="K61" s="14">
        <v>38326.120000000003</v>
      </c>
      <c r="L61" s="14">
        <v>87004.59</v>
      </c>
      <c r="M61" s="14">
        <v>0</v>
      </c>
      <c r="N61" s="14">
        <v>0</v>
      </c>
      <c r="O61" s="14">
        <v>0</v>
      </c>
      <c r="P61" s="14">
        <v>0</v>
      </c>
      <c r="Q61" s="63">
        <f>SUM(E61:P61)-101518.45</f>
        <v>380256.25999999995</v>
      </c>
      <c r="R61" s="10"/>
    </row>
    <row r="62" spans="1:18" ht="15.75" thickBot="1" x14ac:dyDescent="0.3">
      <c r="A62" s="64" t="s">
        <v>67</v>
      </c>
      <c r="B62" s="109"/>
      <c r="C62" s="97" t="s">
        <v>129</v>
      </c>
      <c r="D62" s="28" t="s">
        <v>21</v>
      </c>
      <c r="E62" s="29">
        <v>0</v>
      </c>
      <c r="F62" s="29">
        <v>6252</v>
      </c>
      <c r="G62" s="29">
        <v>133219</v>
      </c>
      <c r="H62" s="29">
        <v>53932</v>
      </c>
      <c r="I62" s="29">
        <v>105071</v>
      </c>
      <c r="J62" s="29">
        <v>57970</v>
      </c>
      <c r="K62" s="29"/>
      <c r="L62" s="29"/>
      <c r="M62" s="29"/>
      <c r="N62" s="29"/>
      <c r="O62" s="29"/>
      <c r="P62" s="29"/>
      <c r="Q62" s="30">
        <f t="shared" si="6"/>
        <v>356444</v>
      </c>
      <c r="R62" s="10"/>
    </row>
    <row r="63" spans="1:18" ht="15.75" thickBot="1" x14ac:dyDescent="0.3">
      <c r="A63" s="16" t="s">
        <v>69</v>
      </c>
      <c r="B63" s="107" t="s">
        <v>68</v>
      </c>
      <c r="C63" s="97" t="s">
        <v>129</v>
      </c>
      <c r="D63" s="23" t="s">
        <v>18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50</v>
      </c>
      <c r="M63" s="8">
        <v>50</v>
      </c>
      <c r="N63" s="8">
        <v>150</v>
      </c>
      <c r="O63" s="8">
        <v>150</v>
      </c>
      <c r="P63" s="8">
        <v>200</v>
      </c>
      <c r="Q63" s="39">
        <f t="shared" si="6"/>
        <v>600</v>
      </c>
      <c r="R63" s="10"/>
    </row>
    <row r="64" spans="1:18" ht="15.75" thickBot="1" x14ac:dyDescent="0.3">
      <c r="A64" s="6" t="s">
        <v>69</v>
      </c>
      <c r="B64" s="108"/>
      <c r="C64" s="97" t="s">
        <v>129</v>
      </c>
      <c r="D64" s="11" t="s">
        <v>20</v>
      </c>
      <c r="E64" s="17"/>
      <c r="F64" s="17"/>
      <c r="G64" s="17"/>
      <c r="H64" s="17"/>
      <c r="I64" s="17"/>
      <c r="J64" s="17"/>
      <c r="K64" s="65"/>
      <c r="L64" s="66">
        <v>5165</v>
      </c>
      <c r="M64" s="66">
        <v>27850</v>
      </c>
      <c r="N64" s="66">
        <v>56001</v>
      </c>
      <c r="O64" s="66">
        <v>74777</v>
      </c>
      <c r="P64" s="66">
        <v>100641</v>
      </c>
      <c r="Q64" s="44">
        <f>SUM(E64:P64)</f>
        <v>264434</v>
      </c>
      <c r="R64" s="10"/>
    </row>
    <row r="65" spans="1:18" ht="15.75" thickBot="1" x14ac:dyDescent="0.3">
      <c r="A65" s="64" t="s">
        <v>69</v>
      </c>
      <c r="B65" s="109"/>
      <c r="C65" s="97" t="s">
        <v>129</v>
      </c>
      <c r="D65" s="28" t="s">
        <v>21</v>
      </c>
      <c r="E65" s="29">
        <v>0</v>
      </c>
      <c r="F65" s="29">
        <v>0</v>
      </c>
      <c r="G65" s="29">
        <v>0</v>
      </c>
      <c r="H65" s="29">
        <v>0</v>
      </c>
      <c r="I65" s="29">
        <v>932</v>
      </c>
      <c r="J65" s="29">
        <v>2066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67">
        <f t="shared" si="6"/>
        <v>2998</v>
      </c>
      <c r="R65" s="10"/>
    </row>
    <row r="66" spans="1:18" ht="15.75" thickBot="1" x14ac:dyDescent="0.3">
      <c r="A66" s="6" t="s">
        <v>71</v>
      </c>
      <c r="B66" s="107" t="s">
        <v>70</v>
      </c>
      <c r="C66" s="97" t="s">
        <v>129</v>
      </c>
      <c r="D66" s="23" t="s">
        <v>18</v>
      </c>
      <c r="E66" s="24">
        <v>15978</v>
      </c>
      <c r="F66" s="24">
        <v>15978</v>
      </c>
      <c r="G66" s="24">
        <v>15978</v>
      </c>
      <c r="H66" s="24">
        <v>15978</v>
      </c>
      <c r="I66" s="47">
        <v>15978</v>
      </c>
      <c r="J66" s="24">
        <v>15978</v>
      </c>
      <c r="K66" s="24">
        <v>50000</v>
      </c>
      <c r="L66" s="24">
        <v>50000</v>
      </c>
      <c r="M66" s="24">
        <v>50000</v>
      </c>
      <c r="N66" s="24">
        <v>250000</v>
      </c>
      <c r="O66" s="24">
        <v>300000</v>
      </c>
      <c r="P66" s="24">
        <v>804132</v>
      </c>
      <c r="Q66" s="44">
        <f t="shared" si="6"/>
        <v>1600000</v>
      </c>
      <c r="R66" s="10"/>
    </row>
    <row r="67" spans="1:18" ht="18" customHeight="1" thickBot="1" x14ac:dyDescent="0.3">
      <c r="A67" s="64" t="s">
        <v>71</v>
      </c>
      <c r="B67" s="108"/>
      <c r="C67" s="97" t="s">
        <v>129</v>
      </c>
      <c r="D67" s="11" t="s">
        <v>20</v>
      </c>
      <c r="E67" s="68">
        <f>12606-1008</f>
        <v>11598</v>
      </c>
      <c r="F67" s="68">
        <f>12606-E67</f>
        <v>1008</v>
      </c>
      <c r="G67" s="68">
        <f>12606-F67-E67</f>
        <v>0</v>
      </c>
      <c r="H67" s="68">
        <f>13158-G67-F67-E67</f>
        <v>552</v>
      </c>
      <c r="I67" s="68">
        <f>27313-H67-G67-F67-E67</f>
        <v>14155</v>
      </c>
      <c r="J67" s="68">
        <f>41965-I67-H67-G67-F67-E67</f>
        <v>14652</v>
      </c>
      <c r="K67" s="68">
        <f>121616-J67-I67-H67-G67-F67-E67</f>
        <v>79651</v>
      </c>
      <c r="L67" s="68">
        <f>267296-K67-J67-I67-H67-G67-F67-E67</f>
        <v>145680</v>
      </c>
      <c r="M67" s="68">
        <f>441723-L67-K67-J67-I67-H67-G67-F67-E67</f>
        <v>174427</v>
      </c>
      <c r="N67" s="68">
        <f>481997-M67-L67-K67-J67-I67-H67-G67-F67-E67</f>
        <v>40274</v>
      </c>
      <c r="O67" s="68">
        <f>510178-N67-M67-L67-K67-J67-I67-H67-G67-F67-E67</f>
        <v>28181</v>
      </c>
      <c r="P67" s="68">
        <f>538883-O67-N67-M67-L67-K67-J67-I67-H67-G67-F67-E67</f>
        <v>28705</v>
      </c>
      <c r="Q67" s="69">
        <f>SUM(E67:P67)</f>
        <v>538883</v>
      </c>
      <c r="R67" s="36" t="s">
        <v>72</v>
      </c>
    </row>
    <row r="68" spans="1:18" ht="15.75" thickBot="1" x14ac:dyDescent="0.3">
      <c r="A68" s="16" t="s">
        <v>71</v>
      </c>
      <c r="B68" s="109"/>
      <c r="C68" s="97" t="s">
        <v>129</v>
      </c>
      <c r="D68" s="28" t="s">
        <v>21</v>
      </c>
      <c r="E68" s="29">
        <v>11598</v>
      </c>
      <c r="F68" s="29">
        <v>0</v>
      </c>
      <c r="G68" s="29">
        <v>0</v>
      </c>
      <c r="H68" s="29">
        <v>276</v>
      </c>
      <c r="I68" s="29">
        <v>13796</v>
      </c>
      <c r="J68" s="29">
        <v>14652</v>
      </c>
      <c r="L68" s="29"/>
      <c r="M68" s="29"/>
      <c r="N68" s="29"/>
      <c r="O68" s="29"/>
      <c r="P68" s="29"/>
      <c r="Q68" s="30">
        <f t="shared" si="6"/>
        <v>40322</v>
      </c>
      <c r="R68" s="10"/>
    </row>
    <row r="69" spans="1:18" ht="15.75" thickBot="1" x14ac:dyDescent="0.3">
      <c r="A69" s="6" t="s">
        <v>74</v>
      </c>
      <c r="B69" s="102" t="s">
        <v>73</v>
      </c>
      <c r="C69" s="97" t="s">
        <v>129</v>
      </c>
      <c r="D69" s="31" t="s">
        <v>18</v>
      </c>
      <c r="E69" s="24">
        <v>1991398</v>
      </c>
      <c r="F69" s="24">
        <v>1749671</v>
      </c>
      <c r="G69" s="24">
        <v>1923591</v>
      </c>
      <c r="H69" s="24">
        <v>1698658</v>
      </c>
      <c r="I69" s="24">
        <v>1555399</v>
      </c>
      <c r="J69" s="25">
        <v>1734594</v>
      </c>
      <c r="K69" s="25">
        <v>106479</v>
      </c>
      <c r="L69" s="25">
        <v>106479</v>
      </c>
      <c r="M69" s="25">
        <v>1121731</v>
      </c>
      <c r="N69" s="31"/>
      <c r="O69" s="31"/>
      <c r="P69" s="31"/>
      <c r="Q69" s="45"/>
      <c r="R69" s="10"/>
    </row>
    <row r="70" spans="1:18" ht="15.75" thickBot="1" x14ac:dyDescent="0.3">
      <c r="A70" s="64" t="s">
        <v>74</v>
      </c>
      <c r="B70" s="102"/>
      <c r="C70" s="97" t="s">
        <v>129</v>
      </c>
      <c r="D70" s="11" t="s">
        <v>20</v>
      </c>
      <c r="E70" s="60"/>
      <c r="F70" s="60"/>
      <c r="G70" s="60"/>
      <c r="H70" s="60"/>
      <c r="I70" s="60"/>
      <c r="J70" s="60"/>
      <c r="K70" s="60"/>
      <c r="L70" s="60"/>
      <c r="M70" s="60"/>
      <c r="N70" s="31"/>
      <c r="O70" s="31"/>
      <c r="P70" s="31"/>
      <c r="Q70" s="45"/>
      <c r="R70" s="10"/>
    </row>
    <row r="71" spans="1:18" ht="15.75" thickBot="1" x14ac:dyDescent="0.3">
      <c r="A71" s="16" t="s">
        <v>74</v>
      </c>
      <c r="B71" s="102"/>
      <c r="C71" s="97" t="s">
        <v>129</v>
      </c>
      <c r="D71" s="17" t="s">
        <v>21</v>
      </c>
      <c r="E71" s="28">
        <v>0</v>
      </c>
      <c r="F71" s="70">
        <v>59191</v>
      </c>
      <c r="G71" s="70">
        <v>50840</v>
      </c>
      <c r="H71" s="70">
        <v>431329</v>
      </c>
      <c r="I71" s="70">
        <v>559507</v>
      </c>
      <c r="J71" s="70">
        <v>1139238</v>
      </c>
      <c r="K71" s="28"/>
      <c r="L71" s="28"/>
      <c r="M71" s="28"/>
      <c r="N71" s="17"/>
      <c r="O71" s="17"/>
      <c r="P71" s="17"/>
      <c r="Q71" s="46"/>
      <c r="R71" s="10"/>
    </row>
    <row r="72" spans="1:18" ht="15.75" thickBot="1" x14ac:dyDescent="0.3">
      <c r="A72" s="6" t="s">
        <v>76</v>
      </c>
      <c r="B72" s="105" t="s">
        <v>75</v>
      </c>
      <c r="C72" s="97" t="s">
        <v>132</v>
      </c>
      <c r="D72" s="23" t="s">
        <v>18</v>
      </c>
      <c r="E72" s="8">
        <v>0</v>
      </c>
      <c r="F72" s="8">
        <v>0</v>
      </c>
      <c r="G72" s="8">
        <v>0</v>
      </c>
      <c r="H72" s="8">
        <v>0</v>
      </c>
      <c r="I72" s="8">
        <v>9505</v>
      </c>
      <c r="J72" s="8">
        <v>9505</v>
      </c>
      <c r="K72" s="8">
        <v>9505</v>
      </c>
      <c r="L72" s="8">
        <v>9505</v>
      </c>
      <c r="M72" s="8">
        <v>15248</v>
      </c>
      <c r="N72" s="8">
        <v>15248</v>
      </c>
      <c r="O72" s="8">
        <v>15248</v>
      </c>
      <c r="P72" s="8">
        <v>16236</v>
      </c>
      <c r="Q72" s="44">
        <f>SUM(E72:P72)</f>
        <v>100000</v>
      </c>
      <c r="R72" s="10"/>
    </row>
    <row r="73" spans="1:18" ht="15.75" thickBot="1" x14ac:dyDescent="0.3">
      <c r="A73" s="64" t="s">
        <v>76</v>
      </c>
      <c r="B73" s="102"/>
      <c r="C73" s="97" t="s">
        <v>132</v>
      </c>
      <c r="D73" s="11" t="s">
        <v>20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63">
        <f>SUM(E73:P73)</f>
        <v>0</v>
      </c>
      <c r="R73" s="10"/>
    </row>
    <row r="74" spans="1:18" ht="15.75" thickBot="1" x14ac:dyDescent="0.3">
      <c r="A74" s="16" t="s">
        <v>76</v>
      </c>
      <c r="B74" s="106"/>
      <c r="C74" s="97" t="s">
        <v>132</v>
      </c>
      <c r="D74" s="28" t="s">
        <v>21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/>
      <c r="K74" s="29"/>
      <c r="L74" s="29"/>
      <c r="M74" s="29"/>
      <c r="N74" s="29"/>
      <c r="O74" s="29"/>
      <c r="P74" s="29"/>
      <c r="Q74" s="67">
        <f>SUM(E74:P74)</f>
        <v>0</v>
      </c>
      <c r="R74" s="10"/>
    </row>
    <row r="75" spans="1:18" x14ac:dyDescent="0.25">
      <c r="A75" s="6" t="s">
        <v>78</v>
      </c>
      <c r="B75" s="113" t="s">
        <v>77</v>
      </c>
      <c r="C75" s="99" t="s">
        <v>129</v>
      </c>
      <c r="D75" s="71" t="s">
        <v>18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0</v>
      </c>
      <c r="M75" s="72">
        <v>0</v>
      </c>
      <c r="N75" s="72">
        <v>50</v>
      </c>
      <c r="O75" s="72">
        <v>94.509</v>
      </c>
      <c r="P75" s="72">
        <v>55.491</v>
      </c>
      <c r="Q75" s="73">
        <f>SUM(E75:P75)</f>
        <v>200</v>
      </c>
      <c r="R75" s="10"/>
    </row>
    <row r="76" spans="1:18" x14ac:dyDescent="0.25">
      <c r="A76" s="64" t="s">
        <v>78</v>
      </c>
      <c r="B76" s="113"/>
      <c r="C76" s="99" t="s">
        <v>129</v>
      </c>
      <c r="D76" s="74" t="s">
        <v>20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63">
        <f t="shared" ref="Q76" si="7">SUM(E76:P76)</f>
        <v>0</v>
      </c>
      <c r="R76" s="10"/>
    </row>
    <row r="77" spans="1:18" ht="15.75" thickBot="1" x14ac:dyDescent="0.3">
      <c r="A77" s="16" t="s">
        <v>78</v>
      </c>
      <c r="B77" s="113"/>
      <c r="C77" s="99" t="s">
        <v>129</v>
      </c>
      <c r="D77" s="75" t="s">
        <v>21</v>
      </c>
      <c r="E77" s="29">
        <v>0</v>
      </c>
      <c r="F77" s="29">
        <v>0</v>
      </c>
      <c r="G77" s="29">
        <v>0</v>
      </c>
      <c r="H77" s="29">
        <v>0</v>
      </c>
      <c r="I77" s="29">
        <v>932</v>
      </c>
      <c r="J77" s="28"/>
      <c r="K77" s="28"/>
      <c r="L77" s="28"/>
      <c r="M77" s="28"/>
      <c r="N77" s="28"/>
      <c r="O77" s="28"/>
      <c r="P77" s="28"/>
      <c r="Q77" s="67">
        <f>SUM(E77:P77)</f>
        <v>932</v>
      </c>
      <c r="R77" s="10"/>
    </row>
    <row r="78" spans="1:18" ht="15.75" thickBot="1" x14ac:dyDescent="0.3">
      <c r="A78" s="6" t="s">
        <v>80</v>
      </c>
      <c r="B78" s="114" t="s">
        <v>79</v>
      </c>
      <c r="C78" s="6" t="s">
        <v>133</v>
      </c>
      <c r="D78" s="76" t="s">
        <v>18</v>
      </c>
      <c r="E78" s="72">
        <v>0</v>
      </c>
      <c r="F78" s="72">
        <v>0</v>
      </c>
      <c r="G78" s="72">
        <v>0</v>
      </c>
      <c r="H78" s="72">
        <v>0</v>
      </c>
      <c r="I78" s="72">
        <v>0</v>
      </c>
      <c r="J78" s="72">
        <v>0</v>
      </c>
      <c r="K78" s="72">
        <v>0</v>
      </c>
      <c r="L78" s="72">
        <v>0</v>
      </c>
      <c r="M78" s="32">
        <v>100692</v>
      </c>
      <c r="N78" s="32">
        <v>66436</v>
      </c>
      <c r="O78" s="32">
        <v>66436</v>
      </c>
      <c r="P78" s="32">
        <v>66436</v>
      </c>
      <c r="Q78" s="77">
        <f>SUM(E78:P78)</f>
        <v>300000</v>
      </c>
      <c r="R78" s="10"/>
    </row>
    <row r="79" spans="1:18" ht="15.75" thickBot="1" x14ac:dyDescent="0.3">
      <c r="A79" s="64" t="s">
        <v>80</v>
      </c>
      <c r="B79" s="115"/>
      <c r="C79" s="6" t="s">
        <v>133</v>
      </c>
      <c r="D79" s="78" t="s">
        <v>20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77">
        <f t="shared" ref="Q79:Q92" si="8">SUM(E79:P79)</f>
        <v>0</v>
      </c>
      <c r="R79" s="10"/>
    </row>
    <row r="80" spans="1:18" ht="15.75" thickBot="1" x14ac:dyDescent="0.3">
      <c r="A80" s="16" t="s">
        <v>80</v>
      </c>
      <c r="B80" s="116"/>
      <c r="C80" s="6" t="s">
        <v>133</v>
      </c>
      <c r="D80" s="79" t="s">
        <v>21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17"/>
      <c r="K80" s="17"/>
      <c r="L80" s="17"/>
      <c r="M80" s="17"/>
      <c r="N80" s="17"/>
      <c r="O80" s="17"/>
      <c r="P80" s="17"/>
      <c r="Q80" s="77">
        <f t="shared" si="8"/>
        <v>0</v>
      </c>
      <c r="R80" s="10"/>
    </row>
    <row r="81" spans="1:18" ht="15.75" thickBot="1" x14ac:dyDescent="0.3">
      <c r="A81" s="6" t="s">
        <v>82</v>
      </c>
      <c r="B81" s="107" t="s">
        <v>81</v>
      </c>
      <c r="C81" s="97" t="s">
        <v>129</v>
      </c>
      <c r="D81" s="23" t="s">
        <v>18</v>
      </c>
      <c r="E81" s="8">
        <v>22.206</v>
      </c>
      <c r="F81" s="8">
        <v>179.86699999999999</v>
      </c>
      <c r="G81" s="8">
        <v>180.876</v>
      </c>
      <c r="H81" s="8">
        <v>221.80600000000001</v>
      </c>
      <c r="I81" s="8">
        <v>221.80600000000001</v>
      </c>
      <c r="J81" s="8">
        <v>320.596</v>
      </c>
      <c r="K81" s="8">
        <v>395.97</v>
      </c>
      <c r="L81" s="8">
        <v>355.58300000000003</v>
      </c>
      <c r="M81" s="8">
        <v>68.132000000000005</v>
      </c>
      <c r="N81" s="8">
        <v>0</v>
      </c>
      <c r="O81" s="8">
        <v>0</v>
      </c>
      <c r="P81" s="8">
        <v>0</v>
      </c>
      <c r="Q81" s="39">
        <f>SUM(E81:P81)</f>
        <v>1966.8420000000003</v>
      </c>
      <c r="R81" s="10"/>
    </row>
    <row r="82" spans="1:18" ht="15.75" thickBot="1" x14ac:dyDescent="0.3">
      <c r="A82" s="64" t="s">
        <v>82</v>
      </c>
      <c r="B82" s="108"/>
      <c r="C82" s="97" t="s">
        <v>129</v>
      </c>
      <c r="D82" s="11" t="s">
        <v>20</v>
      </c>
      <c r="E82" s="11"/>
      <c r="F82" s="11"/>
      <c r="G82" s="11"/>
      <c r="H82" s="11"/>
      <c r="I82" s="11"/>
      <c r="J82" s="11"/>
      <c r="K82" s="24">
        <v>356128</v>
      </c>
      <c r="L82" s="24">
        <v>269518</v>
      </c>
      <c r="M82" s="24">
        <v>164349</v>
      </c>
      <c r="N82" s="24">
        <v>150926</v>
      </c>
      <c r="O82" s="24">
        <v>128549</v>
      </c>
      <c r="P82" s="24">
        <v>232937</v>
      </c>
      <c r="Q82" s="77">
        <f t="shared" si="8"/>
        <v>1302407</v>
      </c>
      <c r="R82" s="10"/>
    </row>
    <row r="83" spans="1:18" ht="15.75" thickBot="1" x14ac:dyDescent="0.3">
      <c r="A83" s="16" t="s">
        <v>82</v>
      </c>
      <c r="B83" s="109"/>
      <c r="C83" s="97" t="s">
        <v>129</v>
      </c>
      <c r="D83" s="28" t="s">
        <v>21</v>
      </c>
      <c r="E83" s="29">
        <v>0</v>
      </c>
      <c r="F83" s="29">
        <v>0</v>
      </c>
      <c r="G83" s="29">
        <v>0</v>
      </c>
      <c r="H83" s="29">
        <v>0</v>
      </c>
      <c r="I83" s="29">
        <v>3219</v>
      </c>
      <c r="J83" s="29">
        <v>6671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77">
        <f t="shared" si="8"/>
        <v>9890</v>
      </c>
      <c r="R83" s="10"/>
    </row>
    <row r="84" spans="1:18" ht="15.75" thickBot="1" x14ac:dyDescent="0.3">
      <c r="A84" s="6" t="s">
        <v>84</v>
      </c>
      <c r="B84" s="105" t="s">
        <v>83</v>
      </c>
      <c r="C84" s="97" t="s">
        <v>132</v>
      </c>
      <c r="D84" s="23" t="s">
        <v>18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32">
        <v>21636</v>
      </c>
      <c r="Q84" s="39">
        <f>SUM(E84:P84)</f>
        <v>21636</v>
      </c>
      <c r="R84" s="10"/>
    </row>
    <row r="85" spans="1:18" ht="15.75" thickBot="1" x14ac:dyDescent="0.3">
      <c r="A85" s="64" t="s">
        <v>84</v>
      </c>
      <c r="B85" s="102"/>
      <c r="C85" s="97" t="s">
        <v>132</v>
      </c>
      <c r="D85" s="11" t="s">
        <v>20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77">
        <f t="shared" si="8"/>
        <v>0</v>
      </c>
      <c r="R85" s="10"/>
    </row>
    <row r="86" spans="1:18" ht="15.75" thickBot="1" x14ac:dyDescent="0.3">
      <c r="A86" s="16" t="s">
        <v>84</v>
      </c>
      <c r="B86" s="106"/>
      <c r="C86" s="97" t="s">
        <v>132</v>
      </c>
      <c r="D86" s="28" t="s">
        <v>21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8"/>
      <c r="K86" s="28"/>
      <c r="L86" s="28"/>
      <c r="M86" s="28"/>
      <c r="N86" s="28"/>
      <c r="O86" s="28"/>
      <c r="P86" s="28"/>
      <c r="Q86" s="77">
        <f t="shared" si="8"/>
        <v>0</v>
      </c>
      <c r="R86" s="10"/>
    </row>
    <row r="87" spans="1:18" ht="15.75" thickBot="1" x14ac:dyDescent="0.3">
      <c r="A87" s="6" t="s">
        <v>86</v>
      </c>
      <c r="B87" s="105" t="s">
        <v>85</v>
      </c>
      <c r="C87" s="97" t="s">
        <v>134</v>
      </c>
      <c r="D87" s="23" t="s">
        <v>18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32">
        <v>4273</v>
      </c>
      <c r="Q87" s="44">
        <f>SUM(E87:P87)</f>
        <v>4273</v>
      </c>
      <c r="R87" s="10"/>
    </row>
    <row r="88" spans="1:18" ht="15.75" thickBot="1" x14ac:dyDescent="0.3">
      <c r="A88" s="64" t="s">
        <v>86</v>
      </c>
      <c r="B88" s="102"/>
      <c r="C88" s="97" t="s">
        <v>134</v>
      </c>
      <c r="D88" s="11" t="s">
        <v>20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77">
        <f t="shared" si="8"/>
        <v>0</v>
      </c>
      <c r="R88" s="10"/>
    </row>
    <row r="89" spans="1:18" ht="15.75" thickBot="1" x14ac:dyDescent="0.3">
      <c r="A89" s="16" t="s">
        <v>86</v>
      </c>
      <c r="B89" s="106"/>
      <c r="C89" s="97" t="s">
        <v>134</v>
      </c>
      <c r="D89" s="28" t="s">
        <v>21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8"/>
      <c r="K89" s="28"/>
      <c r="L89" s="28"/>
      <c r="M89" s="28"/>
      <c r="N89" s="28"/>
      <c r="O89" s="28"/>
      <c r="P89" s="28"/>
      <c r="Q89" s="77">
        <f t="shared" si="8"/>
        <v>0</v>
      </c>
      <c r="R89" s="10"/>
    </row>
    <row r="90" spans="1:18" ht="15.75" thickBot="1" x14ac:dyDescent="0.3">
      <c r="A90" s="6" t="s">
        <v>88</v>
      </c>
      <c r="B90" s="105" t="s">
        <v>87</v>
      </c>
      <c r="C90" s="97" t="s">
        <v>135</v>
      </c>
      <c r="D90" s="23" t="s">
        <v>18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32">
        <v>31818</v>
      </c>
      <c r="Q90" s="44">
        <f>SUM(E90:P90)</f>
        <v>31818</v>
      </c>
      <c r="R90" s="10"/>
    </row>
    <row r="91" spans="1:18" ht="15.75" thickBot="1" x14ac:dyDescent="0.3">
      <c r="A91" s="64" t="s">
        <v>88</v>
      </c>
      <c r="B91" s="102"/>
      <c r="C91" s="97" t="s">
        <v>135</v>
      </c>
      <c r="D91" s="11" t="s">
        <v>20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>
        <v>0</v>
      </c>
      <c r="Q91" s="77">
        <f t="shared" si="8"/>
        <v>0</v>
      </c>
      <c r="R91" s="10"/>
    </row>
    <row r="92" spans="1:18" ht="15.75" thickBot="1" x14ac:dyDescent="0.3">
      <c r="A92" s="16" t="s">
        <v>88</v>
      </c>
      <c r="B92" s="106"/>
      <c r="C92" s="97" t="s">
        <v>135</v>
      </c>
      <c r="D92" s="28" t="s">
        <v>21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8"/>
      <c r="L92" s="28"/>
      <c r="M92" s="28"/>
      <c r="N92" s="28"/>
      <c r="O92" s="28"/>
      <c r="P92" s="28"/>
      <c r="Q92" s="77">
        <f t="shared" si="8"/>
        <v>0</v>
      </c>
      <c r="R92" s="10"/>
    </row>
    <row r="93" spans="1:18" ht="15.75" thickBot="1" x14ac:dyDescent="0.3">
      <c r="A93" s="6" t="s">
        <v>89</v>
      </c>
      <c r="B93" s="105" t="s">
        <v>90</v>
      </c>
      <c r="C93" s="98" t="s">
        <v>131</v>
      </c>
      <c r="D93" s="23" t="s">
        <v>18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80"/>
      <c r="R93" s="10"/>
    </row>
    <row r="94" spans="1:18" ht="15.75" thickBot="1" x14ac:dyDescent="0.3">
      <c r="A94" s="64" t="s">
        <v>89</v>
      </c>
      <c r="B94" s="106"/>
      <c r="C94" s="98" t="s">
        <v>131</v>
      </c>
      <c r="D94" s="28" t="s">
        <v>21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81"/>
      <c r="R94" s="10"/>
    </row>
    <row r="95" spans="1:18" ht="15.75" thickBot="1" x14ac:dyDescent="0.3">
      <c r="A95" s="6" t="s">
        <v>92</v>
      </c>
      <c r="B95" s="105" t="s">
        <v>91</v>
      </c>
      <c r="C95" s="97" t="s">
        <v>133</v>
      </c>
      <c r="D95" s="23" t="s">
        <v>18</v>
      </c>
      <c r="E95" s="72">
        <v>0</v>
      </c>
      <c r="F95" s="72">
        <v>0</v>
      </c>
      <c r="G95" s="72">
        <v>0</v>
      </c>
      <c r="H95" s="72">
        <v>0</v>
      </c>
      <c r="I95" s="72">
        <v>0</v>
      </c>
      <c r="J95" s="72">
        <v>0</v>
      </c>
      <c r="K95" s="72">
        <v>0</v>
      </c>
      <c r="L95" s="72">
        <v>0</v>
      </c>
      <c r="M95" s="72">
        <v>0</v>
      </c>
      <c r="N95" s="72">
        <v>0</v>
      </c>
      <c r="O95" s="72">
        <v>0</v>
      </c>
      <c r="P95" s="32">
        <v>3364</v>
      </c>
      <c r="Q95" s="44">
        <f>SUM(E95:P95)</f>
        <v>3364</v>
      </c>
      <c r="R95" s="10"/>
    </row>
    <row r="96" spans="1:18" ht="15.75" thickBot="1" x14ac:dyDescent="0.3">
      <c r="A96" s="64" t="s">
        <v>92</v>
      </c>
      <c r="B96" s="102"/>
      <c r="C96" s="97" t="s">
        <v>133</v>
      </c>
      <c r="D96" s="11" t="s">
        <v>20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77">
        <f t="shared" ref="Q96:Q112" si="9">SUM(E96:P96)</f>
        <v>0</v>
      </c>
      <c r="R96" s="10"/>
    </row>
    <row r="97" spans="1:18" ht="15.75" thickBot="1" x14ac:dyDescent="0.3">
      <c r="A97" s="16" t="s">
        <v>92</v>
      </c>
      <c r="B97" s="106"/>
      <c r="C97" s="97" t="s">
        <v>133</v>
      </c>
      <c r="D97" s="28" t="s">
        <v>21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77">
        <f t="shared" si="9"/>
        <v>0</v>
      </c>
      <c r="R97" s="10"/>
    </row>
    <row r="98" spans="1:18" ht="15.75" thickBot="1" x14ac:dyDescent="0.3">
      <c r="A98" s="6" t="s">
        <v>94</v>
      </c>
      <c r="B98" s="105" t="s">
        <v>93</v>
      </c>
      <c r="C98" s="97" t="s">
        <v>132</v>
      </c>
      <c r="D98" s="23" t="s">
        <v>18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32">
        <v>2444</v>
      </c>
      <c r="M98" s="32">
        <v>9309</v>
      </c>
      <c r="N98" s="32">
        <v>34909</v>
      </c>
      <c r="O98" s="32">
        <v>41251</v>
      </c>
      <c r="P98" s="32">
        <v>53120</v>
      </c>
      <c r="Q98" s="44">
        <f>SUM(E98:P98)</f>
        <v>141033</v>
      </c>
      <c r="R98" s="10"/>
    </row>
    <row r="99" spans="1:18" ht="15.75" thickBot="1" x14ac:dyDescent="0.3">
      <c r="A99" s="64" t="s">
        <v>94</v>
      </c>
      <c r="B99" s="102"/>
      <c r="C99" s="97" t="s">
        <v>132</v>
      </c>
      <c r="D99" s="11" t="s">
        <v>20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77">
        <f t="shared" si="9"/>
        <v>0</v>
      </c>
      <c r="R99" s="10"/>
    </row>
    <row r="100" spans="1:18" ht="15.75" thickBot="1" x14ac:dyDescent="0.3">
      <c r="A100" s="16" t="s">
        <v>94</v>
      </c>
      <c r="B100" s="102"/>
      <c r="C100" s="97" t="s">
        <v>132</v>
      </c>
      <c r="D100" s="17" t="s">
        <v>21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17"/>
      <c r="K100" s="17"/>
      <c r="L100" s="17"/>
      <c r="M100" s="17"/>
      <c r="N100" s="17"/>
      <c r="O100" s="17"/>
      <c r="P100" s="17"/>
      <c r="Q100" s="82">
        <f t="shared" si="9"/>
        <v>0</v>
      </c>
      <c r="R100" s="10"/>
    </row>
    <row r="101" spans="1:18" ht="15.75" thickBot="1" x14ac:dyDescent="0.3">
      <c r="A101" s="6" t="s">
        <v>96</v>
      </c>
      <c r="B101" s="105" t="s">
        <v>95</v>
      </c>
      <c r="C101" s="97" t="s">
        <v>133</v>
      </c>
      <c r="D101" s="23" t="s">
        <v>18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24">
        <v>4036</v>
      </c>
      <c r="N101" s="24">
        <v>8291</v>
      </c>
      <c r="O101" s="24">
        <v>53836</v>
      </c>
      <c r="P101" s="24">
        <v>83837</v>
      </c>
      <c r="Q101" s="44">
        <f>SUM(E101:P101)</f>
        <v>150000</v>
      </c>
      <c r="R101" s="10"/>
    </row>
    <row r="102" spans="1:18" ht="15.75" thickBot="1" x14ac:dyDescent="0.3">
      <c r="A102" s="64" t="s">
        <v>96</v>
      </c>
      <c r="B102" s="102"/>
      <c r="C102" s="97" t="s">
        <v>133</v>
      </c>
      <c r="D102" s="11" t="s">
        <v>20</v>
      </c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77">
        <f t="shared" si="9"/>
        <v>0</v>
      </c>
      <c r="R102" s="10"/>
    </row>
    <row r="103" spans="1:18" ht="15.75" thickBot="1" x14ac:dyDescent="0.3">
      <c r="A103" s="16" t="s">
        <v>96</v>
      </c>
      <c r="B103" s="106"/>
      <c r="C103" s="97" t="s">
        <v>133</v>
      </c>
      <c r="D103" s="28" t="s">
        <v>21</v>
      </c>
      <c r="E103" s="72">
        <v>0</v>
      </c>
      <c r="F103" s="72">
        <v>0</v>
      </c>
      <c r="G103" s="72">
        <v>0</v>
      </c>
      <c r="H103" s="72">
        <v>0</v>
      </c>
      <c r="I103" s="72">
        <v>0</v>
      </c>
      <c r="J103" s="28"/>
      <c r="K103" s="28"/>
      <c r="L103" s="28"/>
      <c r="M103" s="28"/>
      <c r="N103" s="28"/>
      <c r="O103" s="28"/>
      <c r="P103" s="28"/>
      <c r="Q103" s="77">
        <f t="shared" si="9"/>
        <v>0</v>
      </c>
      <c r="R103" s="10"/>
    </row>
    <row r="104" spans="1:18" ht="15.75" thickBot="1" x14ac:dyDescent="0.3">
      <c r="A104" s="6" t="s">
        <v>98</v>
      </c>
      <c r="B104" s="105" t="s">
        <v>97</v>
      </c>
      <c r="C104" s="97" t="s">
        <v>134</v>
      </c>
      <c r="D104" s="23" t="s">
        <v>18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24">
        <v>77778</v>
      </c>
      <c r="O104" s="24">
        <v>111111</v>
      </c>
      <c r="P104" s="24">
        <v>127778</v>
      </c>
      <c r="Q104" s="44">
        <f>SUM(E104:P104)</f>
        <v>316667</v>
      </c>
      <c r="R104" s="10"/>
    </row>
    <row r="105" spans="1:18" ht="15.75" thickBot="1" x14ac:dyDescent="0.3">
      <c r="A105" s="64" t="s">
        <v>98</v>
      </c>
      <c r="B105" s="102"/>
      <c r="C105" s="97" t="s">
        <v>134</v>
      </c>
      <c r="D105" s="11" t="s">
        <v>20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77">
        <f t="shared" si="9"/>
        <v>0</v>
      </c>
      <c r="R105" s="10"/>
    </row>
    <row r="106" spans="1:18" ht="15.75" thickBot="1" x14ac:dyDescent="0.3">
      <c r="A106" s="16" t="s">
        <v>98</v>
      </c>
      <c r="B106" s="106"/>
      <c r="C106" s="97" t="s">
        <v>134</v>
      </c>
      <c r="D106" s="28" t="s">
        <v>21</v>
      </c>
      <c r="E106" s="83">
        <v>0</v>
      </c>
      <c r="F106" s="83">
        <v>0</v>
      </c>
      <c r="G106" s="83">
        <v>0</v>
      </c>
      <c r="H106" s="83">
        <v>0</v>
      </c>
      <c r="I106" s="83">
        <v>0</v>
      </c>
      <c r="J106" s="28"/>
      <c r="K106" s="28"/>
      <c r="L106" s="28"/>
      <c r="M106" s="28"/>
      <c r="N106" s="28"/>
      <c r="O106" s="28"/>
      <c r="P106" s="28"/>
      <c r="Q106" s="77">
        <f t="shared" si="9"/>
        <v>0</v>
      </c>
      <c r="R106" s="10"/>
    </row>
    <row r="107" spans="1:18" ht="15.75" thickBot="1" x14ac:dyDescent="0.3">
      <c r="A107" s="6" t="s">
        <v>100</v>
      </c>
      <c r="B107" s="105" t="s">
        <v>99</v>
      </c>
      <c r="C107" s="97" t="s">
        <v>133</v>
      </c>
      <c r="D107" s="23" t="s">
        <v>18</v>
      </c>
      <c r="E107" s="8">
        <v>0</v>
      </c>
      <c r="F107" s="8">
        <v>0</v>
      </c>
      <c r="G107" s="8">
        <v>0</v>
      </c>
      <c r="H107" s="24">
        <v>13377</v>
      </c>
      <c r="I107" s="24">
        <v>10417</v>
      </c>
      <c r="J107" s="24">
        <v>80024</v>
      </c>
      <c r="K107" s="24">
        <v>97544</v>
      </c>
      <c r="L107" s="24">
        <v>121219</v>
      </c>
      <c r="M107" s="24">
        <v>167861</v>
      </c>
      <c r="N107" s="24">
        <v>163599</v>
      </c>
      <c r="O107" s="24">
        <v>175910</v>
      </c>
      <c r="P107" s="24">
        <v>46049</v>
      </c>
      <c r="Q107" s="44">
        <f>SUM(E107:P107)</f>
        <v>876000</v>
      </c>
      <c r="R107" s="10"/>
    </row>
    <row r="108" spans="1:18" ht="15.75" thickBot="1" x14ac:dyDescent="0.3">
      <c r="A108" s="64" t="s">
        <v>100</v>
      </c>
      <c r="B108" s="102"/>
      <c r="C108" s="97" t="s">
        <v>133</v>
      </c>
      <c r="D108" s="11" t="s">
        <v>20</v>
      </c>
      <c r="E108" s="11"/>
      <c r="F108" s="11"/>
      <c r="G108" s="72"/>
      <c r="H108" s="11"/>
      <c r="I108" s="11"/>
      <c r="J108" s="11"/>
      <c r="K108" s="11"/>
      <c r="L108" s="11"/>
      <c r="M108" s="11"/>
      <c r="N108" s="11"/>
      <c r="O108" s="11"/>
      <c r="P108" s="11"/>
      <c r="Q108" s="77">
        <f t="shared" si="9"/>
        <v>0</v>
      </c>
      <c r="R108" s="10"/>
    </row>
    <row r="109" spans="1:18" ht="15.75" thickBot="1" x14ac:dyDescent="0.3">
      <c r="A109" s="16" t="s">
        <v>100</v>
      </c>
      <c r="B109" s="106"/>
      <c r="C109" s="97" t="s">
        <v>133</v>
      </c>
      <c r="D109" s="28" t="s">
        <v>21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28"/>
      <c r="K109" s="28"/>
      <c r="L109" s="28"/>
      <c r="M109" s="28"/>
      <c r="N109" s="28"/>
      <c r="O109" s="28"/>
      <c r="P109" s="28"/>
      <c r="Q109" s="84">
        <f t="shared" si="9"/>
        <v>0</v>
      </c>
      <c r="R109" s="10"/>
    </row>
    <row r="110" spans="1:18" ht="15.75" thickBot="1" x14ac:dyDescent="0.3">
      <c r="A110" s="6" t="s">
        <v>102</v>
      </c>
      <c r="B110" s="105" t="s">
        <v>101</v>
      </c>
      <c r="C110" s="97" t="s">
        <v>134</v>
      </c>
      <c r="D110" s="23" t="s">
        <v>18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4582</v>
      </c>
      <c r="M110" s="8">
        <v>17455</v>
      </c>
      <c r="N110" s="8">
        <v>65455</v>
      </c>
      <c r="O110" s="8">
        <v>77345</v>
      </c>
      <c r="P110" s="8">
        <v>99600</v>
      </c>
      <c r="Q110" s="44">
        <f t="shared" si="9"/>
        <v>264437</v>
      </c>
      <c r="R110" s="10"/>
    </row>
    <row r="111" spans="1:18" ht="15.75" thickBot="1" x14ac:dyDescent="0.3">
      <c r="A111" s="64" t="s">
        <v>102</v>
      </c>
      <c r="B111" s="102"/>
      <c r="C111" s="97" t="s">
        <v>134</v>
      </c>
      <c r="D111" s="11" t="s">
        <v>20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77">
        <f t="shared" si="9"/>
        <v>0</v>
      </c>
      <c r="R111" s="10"/>
    </row>
    <row r="112" spans="1:18" ht="15.75" thickBot="1" x14ac:dyDescent="0.3">
      <c r="A112" s="16" t="s">
        <v>102</v>
      </c>
      <c r="B112" s="106"/>
      <c r="C112" s="97" t="s">
        <v>134</v>
      </c>
      <c r="D112" s="28" t="s">
        <v>21</v>
      </c>
      <c r="E112" s="83">
        <v>0</v>
      </c>
      <c r="F112" s="83">
        <v>0</v>
      </c>
      <c r="G112" s="83">
        <v>0</v>
      </c>
      <c r="H112" s="83">
        <v>0</v>
      </c>
      <c r="I112" s="83">
        <v>0</v>
      </c>
      <c r="J112" s="28"/>
      <c r="K112" s="28"/>
      <c r="L112" s="28"/>
      <c r="M112" s="28"/>
      <c r="N112" s="28"/>
      <c r="O112" s="28"/>
      <c r="P112" s="28"/>
      <c r="Q112" s="84">
        <f t="shared" si="9"/>
        <v>0</v>
      </c>
      <c r="R112" s="10"/>
    </row>
    <row r="113" spans="1:18" ht="15.75" thickBot="1" x14ac:dyDescent="0.3">
      <c r="A113" s="6" t="s">
        <v>103</v>
      </c>
      <c r="B113" s="117" t="s">
        <v>104</v>
      </c>
      <c r="C113" s="98" t="s">
        <v>131</v>
      </c>
      <c r="D113" s="23" t="s">
        <v>18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80"/>
      <c r="R113" s="10"/>
    </row>
    <row r="114" spans="1:18" ht="15.75" thickBot="1" x14ac:dyDescent="0.3">
      <c r="A114" s="64" t="s">
        <v>103</v>
      </c>
      <c r="B114" s="118"/>
      <c r="C114" s="98" t="s">
        <v>131</v>
      </c>
      <c r="D114" s="28" t="s">
        <v>21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1"/>
      <c r="R114" s="10"/>
    </row>
    <row r="115" spans="1:18" ht="15.75" thickBot="1" x14ac:dyDescent="0.3">
      <c r="A115" s="6" t="s">
        <v>106</v>
      </c>
      <c r="B115" s="117" t="s">
        <v>105</v>
      </c>
      <c r="C115" s="97" t="s">
        <v>133</v>
      </c>
      <c r="D115" s="23" t="s">
        <v>18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3871</v>
      </c>
      <c r="N115" s="8">
        <v>2439</v>
      </c>
      <c r="O115" s="8">
        <v>2122</v>
      </c>
      <c r="P115" s="8">
        <v>8379</v>
      </c>
      <c r="Q115" s="44">
        <f t="shared" ref="Q115:Q129" si="10">SUM(E115:P115)</f>
        <v>16811</v>
      </c>
      <c r="R115" s="10"/>
    </row>
    <row r="116" spans="1:18" ht="15.75" thickBot="1" x14ac:dyDescent="0.3">
      <c r="A116" s="64" t="s">
        <v>106</v>
      </c>
      <c r="B116" s="113"/>
      <c r="C116" s="97" t="s">
        <v>133</v>
      </c>
      <c r="D116" s="11" t="s">
        <v>20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77">
        <f t="shared" si="10"/>
        <v>0</v>
      </c>
      <c r="R116" s="10"/>
    </row>
    <row r="117" spans="1:18" ht="15.75" thickBot="1" x14ac:dyDescent="0.3">
      <c r="A117" s="16" t="s">
        <v>106</v>
      </c>
      <c r="B117" s="118"/>
      <c r="C117" s="97" t="s">
        <v>133</v>
      </c>
      <c r="D117" s="28" t="s">
        <v>21</v>
      </c>
      <c r="E117" s="83">
        <v>0</v>
      </c>
      <c r="F117" s="83">
        <v>0</v>
      </c>
      <c r="G117" s="83">
        <v>0</v>
      </c>
      <c r="H117" s="83">
        <v>0</v>
      </c>
      <c r="I117" s="83">
        <v>0</v>
      </c>
      <c r="J117" s="28"/>
      <c r="K117" s="28"/>
      <c r="L117" s="28"/>
      <c r="M117" s="28"/>
      <c r="N117" s="28"/>
      <c r="O117" s="28"/>
      <c r="P117" s="28"/>
      <c r="Q117" s="84">
        <f t="shared" si="10"/>
        <v>0</v>
      </c>
      <c r="R117" s="10"/>
    </row>
    <row r="118" spans="1:18" ht="15.75" thickBot="1" x14ac:dyDescent="0.3">
      <c r="A118" s="6" t="s">
        <v>108</v>
      </c>
      <c r="B118" s="117" t="s">
        <v>107</v>
      </c>
      <c r="C118" s="97" t="s">
        <v>132</v>
      </c>
      <c r="D118" s="23" t="s">
        <v>18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24">
        <v>7331</v>
      </c>
      <c r="P118" s="24">
        <v>48618</v>
      </c>
      <c r="Q118" s="44">
        <f t="shared" si="10"/>
        <v>55949</v>
      </c>
      <c r="R118" s="10"/>
    </row>
    <row r="119" spans="1:18" ht="15.75" thickBot="1" x14ac:dyDescent="0.3">
      <c r="A119" s="64" t="s">
        <v>108</v>
      </c>
      <c r="B119" s="113"/>
      <c r="C119" s="97" t="s">
        <v>132</v>
      </c>
      <c r="D119" s="11" t="s">
        <v>20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77">
        <f t="shared" si="10"/>
        <v>0</v>
      </c>
      <c r="R119" s="10"/>
    </row>
    <row r="120" spans="1:18" ht="15.75" thickBot="1" x14ac:dyDescent="0.3">
      <c r="A120" s="16" t="s">
        <v>108</v>
      </c>
      <c r="B120" s="118"/>
      <c r="C120" s="97" t="s">
        <v>132</v>
      </c>
      <c r="D120" s="28" t="s">
        <v>21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28"/>
      <c r="K120" s="28"/>
      <c r="L120" s="28"/>
      <c r="M120" s="28"/>
      <c r="N120" s="28"/>
      <c r="O120" s="28"/>
      <c r="P120" s="28"/>
      <c r="Q120" s="84">
        <f t="shared" si="10"/>
        <v>0</v>
      </c>
      <c r="R120" s="10"/>
    </row>
    <row r="121" spans="1:18" ht="15.75" thickBot="1" x14ac:dyDescent="0.3">
      <c r="A121" s="6" t="s">
        <v>110</v>
      </c>
      <c r="B121" s="117" t="s">
        <v>109</v>
      </c>
      <c r="C121" s="97" t="s">
        <v>133</v>
      </c>
      <c r="D121" s="23" t="s">
        <v>18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3818</v>
      </c>
      <c r="M121" s="8">
        <v>14545</v>
      </c>
      <c r="N121" s="8">
        <v>54545</v>
      </c>
      <c r="O121" s="8">
        <v>64456</v>
      </c>
      <c r="P121" s="8">
        <v>83000</v>
      </c>
      <c r="Q121" s="44">
        <f t="shared" si="10"/>
        <v>220364</v>
      </c>
      <c r="R121" s="10"/>
    </row>
    <row r="122" spans="1:18" ht="15.75" thickBot="1" x14ac:dyDescent="0.3">
      <c r="A122" s="64" t="s">
        <v>110</v>
      </c>
      <c r="B122" s="113"/>
      <c r="C122" s="97" t="s">
        <v>133</v>
      </c>
      <c r="D122" s="11" t="s">
        <v>20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77">
        <f t="shared" si="10"/>
        <v>0</v>
      </c>
      <c r="R122" s="10"/>
    </row>
    <row r="123" spans="1:18" ht="15.75" thickBot="1" x14ac:dyDescent="0.3">
      <c r="A123" s="16" t="s">
        <v>110</v>
      </c>
      <c r="B123" s="118"/>
      <c r="C123" s="97" t="s">
        <v>133</v>
      </c>
      <c r="D123" s="28" t="s">
        <v>21</v>
      </c>
      <c r="E123" s="83">
        <v>0</v>
      </c>
      <c r="F123" s="83">
        <v>0</v>
      </c>
      <c r="G123" s="83">
        <v>0</v>
      </c>
      <c r="H123" s="83">
        <v>0</v>
      </c>
      <c r="I123" s="83">
        <v>0</v>
      </c>
      <c r="J123" s="28"/>
      <c r="K123" s="28"/>
      <c r="L123" s="28"/>
      <c r="M123" s="28"/>
      <c r="N123" s="28"/>
      <c r="O123" s="28"/>
      <c r="P123" s="28"/>
      <c r="Q123" s="84">
        <f t="shared" si="10"/>
        <v>0</v>
      </c>
      <c r="R123" s="10"/>
    </row>
    <row r="124" spans="1:18" ht="15.75" thickBot="1" x14ac:dyDescent="0.3">
      <c r="A124" s="6" t="s">
        <v>112</v>
      </c>
      <c r="B124" s="117" t="s">
        <v>111</v>
      </c>
      <c r="C124" s="97" t="s">
        <v>133</v>
      </c>
      <c r="D124" s="23" t="s">
        <v>18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3055</v>
      </c>
      <c r="M124" s="24">
        <v>11636</v>
      </c>
      <c r="N124" s="24">
        <v>43636</v>
      </c>
      <c r="O124" s="24">
        <v>51564</v>
      </c>
      <c r="P124" s="24">
        <v>66400</v>
      </c>
      <c r="Q124" s="44">
        <f t="shared" si="10"/>
        <v>176291</v>
      </c>
      <c r="R124" s="10"/>
    </row>
    <row r="125" spans="1:18" ht="15.75" thickBot="1" x14ac:dyDescent="0.3">
      <c r="A125" s="64" t="s">
        <v>112</v>
      </c>
      <c r="B125" s="113"/>
      <c r="C125" s="97" t="s">
        <v>133</v>
      </c>
      <c r="D125" s="11" t="s">
        <v>20</v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77">
        <f t="shared" si="10"/>
        <v>0</v>
      </c>
      <c r="R125" s="10"/>
    </row>
    <row r="126" spans="1:18" ht="15.75" thickBot="1" x14ac:dyDescent="0.3">
      <c r="A126" s="16" t="s">
        <v>112</v>
      </c>
      <c r="B126" s="118"/>
      <c r="C126" s="97" t="s">
        <v>133</v>
      </c>
      <c r="D126" s="28" t="s">
        <v>21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28"/>
      <c r="K126" s="28"/>
      <c r="L126" s="28"/>
      <c r="M126" s="28"/>
      <c r="N126" s="28"/>
      <c r="O126" s="28"/>
      <c r="P126" s="28"/>
      <c r="Q126" s="84">
        <f t="shared" si="10"/>
        <v>0</v>
      </c>
      <c r="R126" s="10"/>
    </row>
    <row r="127" spans="1:18" ht="15.75" thickBot="1" x14ac:dyDescent="0.3">
      <c r="A127" s="6" t="s">
        <v>114</v>
      </c>
      <c r="B127" s="107" t="s">
        <v>113</v>
      </c>
      <c r="C127" s="97" t="s">
        <v>129</v>
      </c>
      <c r="D127" s="23" t="s">
        <v>18</v>
      </c>
      <c r="E127" s="85">
        <v>160.26599999999999</v>
      </c>
      <c r="F127" s="8">
        <v>145.696</v>
      </c>
      <c r="G127" s="8">
        <v>228.488</v>
      </c>
      <c r="H127" s="8">
        <v>272.08800000000002</v>
      </c>
      <c r="I127" s="8">
        <v>211.87899999999999</v>
      </c>
      <c r="J127" s="8">
        <v>219.75899999999999</v>
      </c>
      <c r="K127" s="8">
        <v>256.06099999999998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39">
        <f>SUM(E127:P127)</f>
        <v>1494.2369999999999</v>
      </c>
      <c r="R127" s="10"/>
    </row>
    <row r="128" spans="1:18" ht="15.75" thickBot="1" x14ac:dyDescent="0.3">
      <c r="A128" s="64" t="s">
        <v>114</v>
      </c>
      <c r="B128" s="108"/>
      <c r="C128" s="97" t="s">
        <v>129</v>
      </c>
      <c r="D128" s="11" t="s">
        <v>20</v>
      </c>
      <c r="E128" s="11"/>
      <c r="F128" s="11"/>
      <c r="G128" s="11"/>
      <c r="H128" s="11"/>
      <c r="I128" s="11"/>
      <c r="J128" s="11"/>
      <c r="K128" s="24">
        <v>36774</v>
      </c>
      <c r="L128" s="24">
        <v>326018</v>
      </c>
      <c r="M128" s="24">
        <v>310979</v>
      </c>
      <c r="N128" s="24">
        <v>158697</v>
      </c>
      <c r="O128" s="24">
        <v>137997</v>
      </c>
      <c r="P128" s="24">
        <v>131496</v>
      </c>
      <c r="Q128" s="77">
        <f t="shared" si="10"/>
        <v>1101961</v>
      </c>
      <c r="R128" s="10"/>
    </row>
    <row r="129" spans="1:18" ht="15.75" thickBot="1" x14ac:dyDescent="0.3">
      <c r="A129" s="16" t="s">
        <v>114</v>
      </c>
      <c r="B129" s="109"/>
      <c r="C129" s="97" t="s">
        <v>129</v>
      </c>
      <c r="D129" s="28" t="s">
        <v>21</v>
      </c>
      <c r="E129" s="86">
        <v>0</v>
      </c>
      <c r="F129" s="83">
        <v>0</v>
      </c>
      <c r="G129" s="83">
        <v>0</v>
      </c>
      <c r="H129" s="83">
        <v>0</v>
      </c>
      <c r="I129" s="87">
        <v>1610</v>
      </c>
      <c r="J129" s="87">
        <v>3524</v>
      </c>
      <c r="K129" s="28"/>
      <c r="L129" s="28"/>
      <c r="M129" s="28"/>
      <c r="N129" s="28"/>
      <c r="O129" s="28"/>
      <c r="P129" s="28"/>
      <c r="Q129" s="77">
        <f t="shared" si="10"/>
        <v>5134</v>
      </c>
      <c r="R129" s="10"/>
    </row>
    <row r="130" spans="1:18" ht="15.75" thickBot="1" x14ac:dyDescent="0.3">
      <c r="A130" s="6" t="s">
        <v>116</v>
      </c>
      <c r="B130" s="119" t="s">
        <v>115</v>
      </c>
      <c r="C130" s="97" t="s">
        <v>133</v>
      </c>
      <c r="D130" s="23" t="s">
        <v>18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80"/>
      <c r="R130" s="10"/>
    </row>
    <row r="131" spans="1:18" ht="15.75" thickBot="1" x14ac:dyDescent="0.3">
      <c r="A131" s="64" t="s">
        <v>116</v>
      </c>
      <c r="B131" s="120"/>
      <c r="C131" s="97" t="s">
        <v>133</v>
      </c>
      <c r="D131" s="11" t="s">
        <v>20</v>
      </c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45"/>
      <c r="R131" s="10"/>
    </row>
    <row r="132" spans="1:18" ht="15.75" thickBot="1" x14ac:dyDescent="0.3">
      <c r="A132" s="16" t="s">
        <v>116</v>
      </c>
      <c r="B132" s="121"/>
      <c r="C132" s="97" t="s">
        <v>133</v>
      </c>
      <c r="D132" s="28" t="s">
        <v>21</v>
      </c>
      <c r="E132" s="83">
        <v>0</v>
      </c>
      <c r="F132" s="83">
        <v>0</v>
      </c>
      <c r="G132" s="83">
        <v>0</v>
      </c>
      <c r="H132" s="83">
        <v>0</v>
      </c>
      <c r="I132" s="83">
        <v>0</v>
      </c>
      <c r="J132" s="28"/>
      <c r="K132" s="28"/>
      <c r="L132" s="28"/>
      <c r="M132" s="28"/>
      <c r="N132" s="28"/>
      <c r="O132" s="28"/>
      <c r="P132" s="28"/>
      <c r="Q132" s="81"/>
      <c r="R132" s="10"/>
    </row>
    <row r="133" spans="1:18" ht="15.75" thickBot="1" x14ac:dyDescent="0.3">
      <c r="A133" s="6" t="s">
        <v>118</v>
      </c>
      <c r="B133" s="117" t="s">
        <v>117</v>
      </c>
      <c r="C133" s="97" t="s">
        <v>133</v>
      </c>
      <c r="D133" s="23" t="s">
        <v>18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24">
        <v>9316</v>
      </c>
      <c r="O133" s="24">
        <v>37484</v>
      </c>
      <c r="P133" s="24">
        <v>53200</v>
      </c>
      <c r="Q133" s="44">
        <f>SUM(E133:P133)</f>
        <v>100000</v>
      </c>
      <c r="R133" s="10"/>
    </row>
    <row r="134" spans="1:18" ht="15.75" thickBot="1" x14ac:dyDescent="0.3">
      <c r="A134" s="64" t="s">
        <v>118</v>
      </c>
      <c r="B134" s="113"/>
      <c r="C134" s="97" t="s">
        <v>133</v>
      </c>
      <c r="D134" s="11" t="s">
        <v>20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77">
        <f t="shared" ref="Q134:Q141" si="11">SUM(E134:P134)</f>
        <v>0</v>
      </c>
      <c r="R134" s="10"/>
    </row>
    <row r="135" spans="1:18" ht="15.75" thickBot="1" x14ac:dyDescent="0.3">
      <c r="A135" s="16" t="s">
        <v>118</v>
      </c>
      <c r="B135" s="118"/>
      <c r="C135" s="97" t="s">
        <v>133</v>
      </c>
      <c r="D135" s="28" t="s">
        <v>21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28"/>
      <c r="K135" s="28"/>
      <c r="L135" s="28"/>
      <c r="M135" s="28"/>
      <c r="N135" s="28"/>
      <c r="O135" s="28"/>
      <c r="P135" s="28"/>
      <c r="Q135" s="84">
        <f t="shared" si="11"/>
        <v>0</v>
      </c>
      <c r="R135" s="10"/>
    </row>
    <row r="136" spans="1:18" ht="15.75" thickBot="1" x14ac:dyDescent="0.3">
      <c r="A136" s="6" t="s">
        <v>120</v>
      </c>
      <c r="B136" s="117" t="s">
        <v>119</v>
      </c>
      <c r="C136" s="97" t="s">
        <v>132</v>
      </c>
      <c r="D136" s="23" t="s">
        <v>18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22273</v>
      </c>
      <c r="O136" s="24">
        <v>25455</v>
      </c>
      <c r="P136" s="24">
        <v>29272</v>
      </c>
      <c r="Q136" s="39">
        <f>SUM(E136:P136)</f>
        <v>77000</v>
      </c>
      <c r="R136" s="10"/>
    </row>
    <row r="137" spans="1:18" ht="15.75" thickBot="1" x14ac:dyDescent="0.3">
      <c r="A137" s="64" t="s">
        <v>120</v>
      </c>
      <c r="B137" s="113"/>
      <c r="C137" s="97" t="s">
        <v>132</v>
      </c>
      <c r="D137" s="11" t="s">
        <v>20</v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77">
        <f t="shared" si="11"/>
        <v>0</v>
      </c>
      <c r="R137" s="10"/>
    </row>
    <row r="138" spans="1:18" ht="15.75" thickBot="1" x14ac:dyDescent="0.3">
      <c r="A138" s="16" t="s">
        <v>120</v>
      </c>
      <c r="B138" s="118"/>
      <c r="C138" s="97" t="s">
        <v>132</v>
      </c>
      <c r="D138" s="28" t="s">
        <v>21</v>
      </c>
      <c r="E138" s="83">
        <v>0</v>
      </c>
      <c r="F138" s="83">
        <v>0</v>
      </c>
      <c r="G138" s="83">
        <v>0</v>
      </c>
      <c r="H138" s="83">
        <v>0</v>
      </c>
      <c r="I138" s="83">
        <v>0</v>
      </c>
      <c r="J138" s="28"/>
      <c r="K138" s="28"/>
      <c r="L138" s="28"/>
      <c r="M138" s="28"/>
      <c r="N138" s="28"/>
      <c r="O138" s="28"/>
      <c r="P138" s="28"/>
      <c r="Q138" s="77">
        <f t="shared" si="11"/>
        <v>0</v>
      </c>
      <c r="R138" s="10"/>
    </row>
    <row r="139" spans="1:18" ht="15.75" thickBot="1" x14ac:dyDescent="0.3">
      <c r="A139" s="6" t="s">
        <v>122</v>
      </c>
      <c r="B139" s="107" t="s">
        <v>121</v>
      </c>
      <c r="C139" s="97" t="s">
        <v>129</v>
      </c>
      <c r="D139" s="23" t="s">
        <v>18</v>
      </c>
      <c r="E139" s="8">
        <v>0</v>
      </c>
      <c r="F139" s="24">
        <v>0</v>
      </c>
      <c r="G139" s="24">
        <v>66288</v>
      </c>
      <c r="H139" s="24">
        <v>128995</v>
      </c>
      <c r="I139" s="24">
        <v>179937</v>
      </c>
      <c r="J139" s="24">
        <v>187304</v>
      </c>
      <c r="K139" s="24">
        <v>27454</v>
      </c>
      <c r="L139" s="24">
        <v>1055</v>
      </c>
      <c r="M139" s="24">
        <v>11372</v>
      </c>
      <c r="N139" s="24">
        <v>14856</v>
      </c>
      <c r="O139" s="24">
        <v>6779</v>
      </c>
      <c r="P139" s="24">
        <v>63509</v>
      </c>
      <c r="Q139" s="44">
        <f>SUM(E139:P139)</f>
        <v>687549</v>
      </c>
      <c r="R139" s="10"/>
    </row>
    <row r="140" spans="1:18" ht="15.75" thickBot="1" x14ac:dyDescent="0.3">
      <c r="A140" s="64" t="s">
        <v>122</v>
      </c>
      <c r="B140" s="108"/>
      <c r="C140" s="97" t="s">
        <v>129</v>
      </c>
      <c r="D140" s="11" t="s">
        <v>20</v>
      </c>
      <c r="E140" s="11"/>
      <c r="F140" s="11"/>
      <c r="G140" s="11"/>
      <c r="H140" s="11"/>
      <c r="I140" s="11"/>
      <c r="J140" s="24">
        <v>8645</v>
      </c>
      <c r="K140" s="24">
        <v>14102</v>
      </c>
      <c r="L140" s="24">
        <v>97930</v>
      </c>
      <c r="M140" s="24">
        <v>90759</v>
      </c>
      <c r="N140" s="24">
        <v>133235</v>
      </c>
      <c r="O140" s="24">
        <v>185216</v>
      </c>
      <c r="P140" s="24">
        <v>61651</v>
      </c>
      <c r="Q140" s="77">
        <f t="shared" si="11"/>
        <v>591538</v>
      </c>
      <c r="R140" s="10"/>
    </row>
    <row r="141" spans="1:18" ht="15.75" thickBot="1" x14ac:dyDescent="0.3">
      <c r="A141" s="16" t="s">
        <v>122</v>
      </c>
      <c r="B141" s="109"/>
      <c r="C141" s="97" t="s">
        <v>129</v>
      </c>
      <c r="D141" s="28" t="s">
        <v>21</v>
      </c>
      <c r="E141" s="83">
        <v>0</v>
      </c>
      <c r="F141" s="83">
        <v>0</v>
      </c>
      <c r="G141" s="83">
        <v>0</v>
      </c>
      <c r="H141" s="83">
        <v>0</v>
      </c>
      <c r="I141" s="87">
        <v>3304</v>
      </c>
      <c r="J141" s="87">
        <v>3357</v>
      </c>
      <c r="K141" s="88"/>
      <c r="L141" s="28"/>
      <c r="M141" s="28"/>
      <c r="N141" s="28"/>
      <c r="O141" s="28"/>
      <c r="P141" s="28"/>
      <c r="Q141" s="84">
        <f t="shared" si="11"/>
        <v>6661</v>
      </c>
      <c r="R141" s="10"/>
    </row>
    <row r="142" spans="1:18" x14ac:dyDescent="0.25">
      <c r="A142" s="6" t="s">
        <v>124</v>
      </c>
      <c r="B142" s="113" t="s">
        <v>123</v>
      </c>
      <c r="C142" s="95" t="s">
        <v>135</v>
      </c>
      <c r="D142" s="31" t="s">
        <v>18</v>
      </c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45"/>
      <c r="R142" s="10"/>
    </row>
    <row r="143" spans="1:18" x14ac:dyDescent="0.25">
      <c r="A143" s="64" t="s">
        <v>124</v>
      </c>
      <c r="B143" s="113"/>
      <c r="C143" s="95" t="s">
        <v>135</v>
      </c>
      <c r="D143" s="11" t="s">
        <v>20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45"/>
      <c r="R143" s="10"/>
    </row>
    <row r="144" spans="1:18" ht="15.75" thickBot="1" x14ac:dyDescent="0.3">
      <c r="A144" s="16" t="s">
        <v>124</v>
      </c>
      <c r="B144" s="122"/>
      <c r="C144" s="95" t="s">
        <v>135</v>
      </c>
      <c r="D144" s="11" t="s">
        <v>21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89"/>
      <c r="R144" s="10"/>
    </row>
    <row r="145" spans="1:18" ht="15.75" thickBot="1" x14ac:dyDescent="0.3">
      <c r="A145" s="6" t="s">
        <v>126</v>
      </c>
      <c r="B145" s="123" t="s">
        <v>125</v>
      </c>
      <c r="C145" s="96" t="s">
        <v>129</v>
      </c>
      <c r="D145" s="7" t="s">
        <v>18</v>
      </c>
      <c r="E145" s="24">
        <v>0</v>
      </c>
      <c r="F145" s="24">
        <v>0</v>
      </c>
      <c r="G145" s="24">
        <v>0</v>
      </c>
      <c r="H145" s="24">
        <v>495000</v>
      </c>
      <c r="I145" s="24">
        <v>150000</v>
      </c>
      <c r="J145" s="24">
        <v>150000</v>
      </c>
      <c r="K145" s="24">
        <v>150000</v>
      </c>
      <c r="L145" s="24">
        <v>150000</v>
      </c>
      <c r="M145" s="24">
        <v>150000</v>
      </c>
      <c r="N145" s="24">
        <v>150000</v>
      </c>
      <c r="O145" s="24">
        <v>150000</v>
      </c>
      <c r="P145" s="24">
        <v>321273</v>
      </c>
      <c r="Q145" s="44">
        <f>SUM(E145:P145)</f>
        <v>1866273</v>
      </c>
      <c r="R145" s="10"/>
    </row>
    <row r="146" spans="1:18" ht="15.75" thickBot="1" x14ac:dyDescent="0.3">
      <c r="A146" s="64" t="s">
        <v>126</v>
      </c>
      <c r="B146" s="111"/>
      <c r="C146" s="96" t="s">
        <v>129</v>
      </c>
      <c r="D146" s="11" t="s">
        <v>20</v>
      </c>
      <c r="E146" s="90"/>
      <c r="F146" s="90"/>
      <c r="G146" s="90"/>
      <c r="H146" s="90"/>
      <c r="I146" s="91">
        <v>1186.04</v>
      </c>
      <c r="J146" s="91">
        <v>2432.77</v>
      </c>
      <c r="K146" s="90">
        <v>2055.5300000000002</v>
      </c>
      <c r="L146" s="90">
        <v>5917.9</v>
      </c>
      <c r="M146" s="90">
        <v>16038.73</v>
      </c>
      <c r="N146" s="90">
        <v>22523.11</v>
      </c>
      <c r="O146" s="90">
        <v>59830.41</v>
      </c>
      <c r="P146" s="90">
        <v>320911.78999999998</v>
      </c>
      <c r="Q146" s="15">
        <f>SUM(E146:P146)</f>
        <v>430896.27999999997</v>
      </c>
      <c r="R146" s="10"/>
    </row>
    <row r="147" spans="1:18" ht="15.75" thickBot="1" x14ac:dyDescent="0.3">
      <c r="A147" s="16" t="s">
        <v>126</v>
      </c>
      <c r="B147" s="124"/>
      <c r="C147" s="96" t="s">
        <v>129</v>
      </c>
      <c r="D147" s="92" t="s">
        <v>21</v>
      </c>
      <c r="E147" s="83">
        <v>0</v>
      </c>
      <c r="F147" s="83">
        <v>0</v>
      </c>
      <c r="G147" s="83">
        <v>0</v>
      </c>
      <c r="H147" s="83">
        <v>0</v>
      </c>
      <c r="I147" s="87">
        <v>1186</v>
      </c>
      <c r="J147" s="93">
        <v>2433</v>
      </c>
      <c r="K147" s="83">
        <v>0</v>
      </c>
      <c r="L147" s="83">
        <v>0</v>
      </c>
      <c r="M147" s="83">
        <v>0</v>
      </c>
      <c r="N147" s="83">
        <v>0</v>
      </c>
      <c r="O147" s="83">
        <v>0</v>
      </c>
      <c r="P147" s="83">
        <v>0</v>
      </c>
      <c r="Q147" s="84">
        <f t="shared" ref="Q147" si="12">SUM(E147:P147)</f>
        <v>3619</v>
      </c>
      <c r="R147" s="10"/>
    </row>
    <row r="148" spans="1:18" ht="15.75" thickBot="1" x14ac:dyDescent="0.3">
      <c r="A148" s="6" t="s">
        <v>128</v>
      </c>
      <c r="B148" s="6" t="s">
        <v>127</v>
      </c>
      <c r="C148" s="96" t="s">
        <v>133</v>
      </c>
      <c r="D148" s="11" t="s">
        <v>18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89"/>
      <c r="R148" s="10"/>
    </row>
    <row r="149" spans="1:18" ht="15.75" thickBot="1" x14ac:dyDescent="0.3">
      <c r="A149" s="64" t="s">
        <v>128</v>
      </c>
      <c r="B149" s="64"/>
      <c r="C149" s="96" t="s">
        <v>133</v>
      </c>
      <c r="D149" s="11" t="s">
        <v>20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89"/>
      <c r="R149" s="10"/>
    </row>
    <row r="150" spans="1:18" ht="15.75" thickBot="1" x14ac:dyDescent="0.3">
      <c r="A150" s="16" t="s">
        <v>128</v>
      </c>
      <c r="B150" s="16"/>
      <c r="C150" s="96" t="s">
        <v>133</v>
      </c>
      <c r="D150" s="11" t="s">
        <v>21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89"/>
      <c r="R150" s="10"/>
    </row>
    <row r="152" spans="1:18" x14ac:dyDescent="0.25">
      <c r="G152" s="94"/>
    </row>
  </sheetData>
  <autoFilter ref="A1:Q150" xr:uid="{3A746F94-F49B-45F4-9F58-5E86D583D731}"/>
  <mergeCells count="50">
    <mergeCell ref="B142:B144"/>
    <mergeCell ref="B145:B147"/>
    <mergeCell ref="B133:B135"/>
    <mergeCell ref="B136:B138"/>
    <mergeCell ref="B139:B141"/>
    <mergeCell ref="B124:B126"/>
    <mergeCell ref="B127:B129"/>
    <mergeCell ref="B130:B132"/>
    <mergeCell ref="B115:B117"/>
    <mergeCell ref="B118:B120"/>
    <mergeCell ref="B121:B123"/>
    <mergeCell ref="B107:B109"/>
    <mergeCell ref="B110:B112"/>
    <mergeCell ref="B113:B114"/>
    <mergeCell ref="B98:B100"/>
    <mergeCell ref="B101:B103"/>
    <mergeCell ref="B104:B106"/>
    <mergeCell ref="B90:B92"/>
    <mergeCell ref="B93:B94"/>
    <mergeCell ref="B95:B97"/>
    <mergeCell ref="B81:B83"/>
    <mergeCell ref="B84:B86"/>
    <mergeCell ref="B87:B89"/>
    <mergeCell ref="B72:B74"/>
    <mergeCell ref="B75:B77"/>
    <mergeCell ref="B78:B80"/>
    <mergeCell ref="B63:B65"/>
    <mergeCell ref="B66:B68"/>
    <mergeCell ref="B69:B71"/>
    <mergeCell ref="B55:B57"/>
    <mergeCell ref="B58:B59"/>
    <mergeCell ref="B60:B62"/>
    <mergeCell ref="B46:B48"/>
    <mergeCell ref="B49:B51"/>
    <mergeCell ref="B52:B54"/>
    <mergeCell ref="B40:B42"/>
    <mergeCell ref="B43:B45"/>
    <mergeCell ref="B28:B30"/>
    <mergeCell ref="B31:B33"/>
    <mergeCell ref="B34:B36"/>
    <mergeCell ref="B25:B27"/>
    <mergeCell ref="B11:B13"/>
    <mergeCell ref="B14:B16"/>
    <mergeCell ref="B17:B18"/>
    <mergeCell ref="B37:B39"/>
    <mergeCell ref="B2:B4"/>
    <mergeCell ref="B5:B7"/>
    <mergeCell ref="B8:B10"/>
    <mergeCell ref="B19:B21"/>
    <mergeCell ref="B22:B2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 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Tiapa C. Pedro</dc:creator>
  <cp:lastModifiedBy>Tiapa C. Pedro</cp:lastModifiedBy>
  <dcterms:created xsi:type="dcterms:W3CDTF">2025-07-23T14:01:49Z</dcterms:created>
  <dcterms:modified xsi:type="dcterms:W3CDTF">2025-07-24T14:05:10Z</dcterms:modified>
</cp:coreProperties>
</file>