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45/2021/Grades/"/>
    </mc:Choice>
  </mc:AlternateContent>
  <xr:revisionPtr revIDLastSave="0" documentId="13_ncr:1_{BEB448B3-2537-B146-8536-1496F9DD3F48}" xr6:coauthVersionLast="47" xr6:coauthVersionMax="47" xr10:uidLastSave="{00000000-0000-0000-0000-000000000000}"/>
  <bookViews>
    <workbookView xWindow="10960" yWindow="520" windowWidth="20280" windowHeight="17860" tabRatio="334" activeTab="1" xr2:uid="{00000000-000D-0000-FFFF-FFFF00000000}"/>
  </bookViews>
  <sheets>
    <sheet name="Quizzes" sheetId="1" r:id="rId1"/>
    <sheet name="Homework" sheetId="5" r:id="rId2"/>
    <sheet name="Exams" sheetId="3" r:id="rId3"/>
    <sheet name="Grades" sheetId="2" r:id="rId4"/>
  </sheets>
  <calcPr calcId="191029" iterateDelta="1E-4"/>
</workbook>
</file>

<file path=xl/calcChain.xml><?xml version="1.0" encoding="utf-8"?>
<calcChain xmlns="http://schemas.openxmlformats.org/spreadsheetml/2006/main">
  <c r="H8" i="5" l="1"/>
  <c r="J33" i="1"/>
  <c r="I33" i="1"/>
  <c r="K12" i="1" s="1"/>
  <c r="H33" i="1"/>
  <c r="G33" i="1"/>
  <c r="F33" i="1"/>
  <c r="E33" i="1"/>
  <c r="D33" i="1"/>
  <c r="C33" i="1"/>
  <c r="K24" i="1" s="1"/>
  <c r="B33" i="1"/>
  <c r="K23" i="1"/>
  <c r="K13" i="1"/>
  <c r="K11" i="1"/>
  <c r="I5" i="5"/>
  <c r="K2" i="1" l="1"/>
  <c r="K15" i="1"/>
  <c r="K16" i="1"/>
  <c r="K5" i="1"/>
  <c r="K6" i="1"/>
  <c r="K18" i="1"/>
  <c r="K7" i="1"/>
  <c r="K19" i="1"/>
  <c r="K26" i="1"/>
  <c r="K20" i="1"/>
  <c r="K25" i="1"/>
  <c r="K27" i="1"/>
  <c r="K17" i="1"/>
  <c r="K14" i="1"/>
  <c r="K3" i="1"/>
  <c r="K4" i="1"/>
  <c r="K8" i="1"/>
  <c r="K9" i="1"/>
  <c r="K21" i="1"/>
  <c r="K10" i="1"/>
  <c r="K22" i="1"/>
  <c r="J27" i="5"/>
  <c r="I27" i="5"/>
  <c r="H27" i="5"/>
  <c r="G27" i="5"/>
  <c r="J26" i="5"/>
  <c r="I26" i="5"/>
  <c r="H26" i="5"/>
  <c r="G26" i="5"/>
  <c r="J25" i="5"/>
  <c r="I25" i="5"/>
  <c r="H25" i="5"/>
  <c r="G25" i="5"/>
  <c r="H24" i="5"/>
  <c r="G24" i="5"/>
  <c r="J22" i="5"/>
  <c r="I22" i="5"/>
  <c r="H22" i="5"/>
  <c r="G22" i="5"/>
  <c r="J21" i="5"/>
  <c r="I21" i="5"/>
  <c r="H21" i="5"/>
  <c r="G21" i="5"/>
  <c r="I18" i="5"/>
  <c r="H18" i="5"/>
  <c r="J17" i="5"/>
  <c r="I17" i="5"/>
  <c r="H17" i="5"/>
  <c r="G17" i="5"/>
  <c r="J16" i="5"/>
  <c r="I16" i="5"/>
  <c r="H16" i="5"/>
  <c r="G16" i="5"/>
  <c r="J15" i="5"/>
  <c r="I15" i="5"/>
  <c r="H15" i="5"/>
  <c r="G13" i="5"/>
  <c r="J11" i="5"/>
  <c r="I11" i="5"/>
  <c r="H11" i="5"/>
  <c r="G11" i="5"/>
  <c r="J10" i="5"/>
  <c r="I10" i="5"/>
  <c r="H10" i="5"/>
  <c r="G10" i="5"/>
  <c r="J8" i="5"/>
  <c r="I8" i="5"/>
  <c r="G8" i="5"/>
  <c r="J7" i="5"/>
  <c r="I7" i="5"/>
  <c r="H7" i="5"/>
  <c r="G7" i="5"/>
  <c r="J5" i="5"/>
  <c r="H5" i="5"/>
  <c r="H3" i="5"/>
  <c r="G3" i="5"/>
  <c r="J2" i="5"/>
  <c r="I2" i="5"/>
  <c r="H2" i="5"/>
  <c r="G2" i="5"/>
  <c r="F27" i="5"/>
  <c r="F26" i="5"/>
  <c r="F25" i="5"/>
  <c r="F24" i="5"/>
  <c r="F22" i="5"/>
  <c r="F21" i="5"/>
  <c r="F18" i="5"/>
  <c r="F17" i="5"/>
  <c r="F16" i="5"/>
  <c r="F15" i="5"/>
  <c r="F11" i="5"/>
  <c r="F10" i="5"/>
  <c r="F8" i="5"/>
  <c r="F7" i="5"/>
  <c r="F5" i="5"/>
  <c r="F3" i="5"/>
  <c r="F2" i="5"/>
  <c r="C31" i="3"/>
  <c r="C32" i="3"/>
  <c r="C30" i="3"/>
  <c r="B32" i="3"/>
  <c r="B30" i="3"/>
  <c r="B31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4" i="5"/>
  <c r="E27" i="5"/>
  <c r="D27" i="5"/>
  <c r="C27" i="5"/>
  <c r="B27" i="5"/>
  <c r="E26" i="5"/>
  <c r="D26" i="5"/>
  <c r="C26" i="5"/>
  <c r="B26" i="5"/>
  <c r="E25" i="5"/>
  <c r="D25" i="5"/>
  <c r="C25" i="5"/>
  <c r="B25" i="5"/>
  <c r="D24" i="5"/>
  <c r="C24" i="5"/>
  <c r="E22" i="5"/>
  <c r="D22" i="5"/>
  <c r="C22" i="5"/>
  <c r="B22" i="5"/>
  <c r="E21" i="5"/>
  <c r="D21" i="5"/>
  <c r="C21" i="5"/>
  <c r="B21" i="5"/>
  <c r="B20" i="5"/>
  <c r="B19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C14" i="5"/>
  <c r="B14" i="5"/>
  <c r="E11" i="5"/>
  <c r="D11" i="5"/>
  <c r="C11" i="5"/>
  <c r="B11" i="5"/>
  <c r="E10" i="5"/>
  <c r="D10" i="5"/>
  <c r="C10" i="5"/>
  <c r="B10" i="5"/>
  <c r="C9" i="5"/>
  <c r="B9" i="5"/>
  <c r="E8" i="5"/>
  <c r="D8" i="5"/>
  <c r="C8" i="5"/>
  <c r="B8" i="5"/>
  <c r="E7" i="5"/>
  <c r="D7" i="5"/>
  <c r="C7" i="5"/>
  <c r="B7" i="5"/>
  <c r="C6" i="5"/>
  <c r="B6" i="5"/>
  <c r="E5" i="5"/>
  <c r="D5" i="5"/>
  <c r="C5" i="5"/>
  <c r="B5" i="5"/>
  <c r="C4" i="5"/>
  <c r="B4" i="5"/>
  <c r="C3" i="5"/>
  <c r="B3" i="5"/>
  <c r="E2" i="5"/>
  <c r="D2" i="5"/>
  <c r="C2" i="5"/>
  <c r="B2" i="5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1" i="2" l="1"/>
  <c r="D16" i="2"/>
  <c r="D13" i="2"/>
  <c r="D27" i="2"/>
  <c r="D22" i="2"/>
  <c r="D5" i="2"/>
  <c r="D14" i="2"/>
  <c r="D19" i="2"/>
  <c r="D15" i="2"/>
  <c r="D17" i="2"/>
  <c r="D25" i="2"/>
  <c r="D9" i="2"/>
  <c r="D26" i="2"/>
  <c r="D24" i="2"/>
  <c r="D23" i="2"/>
  <c r="D21" i="2"/>
  <c r="D20" i="2"/>
  <c r="D18" i="2"/>
  <c r="D12" i="2"/>
  <c r="D10" i="2"/>
  <c r="D8" i="2"/>
  <c r="D7" i="2"/>
  <c r="D6" i="2"/>
  <c r="D4" i="2"/>
  <c r="D3" i="2"/>
  <c r="J32" i="5"/>
  <c r="J33" i="5"/>
  <c r="I33" i="5"/>
  <c r="H32" i="5"/>
  <c r="H30" i="5"/>
  <c r="H33" i="5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B32" i="1"/>
  <c r="B31" i="1"/>
  <c r="B30" i="1"/>
  <c r="J30" i="5" l="1"/>
  <c r="J31" i="5"/>
  <c r="I30" i="5"/>
  <c r="I32" i="5"/>
  <c r="I31" i="5"/>
  <c r="H31" i="5"/>
  <c r="B29" i="2" l="1"/>
  <c r="C29" i="2"/>
  <c r="E29" i="2"/>
  <c r="D29" i="2"/>
  <c r="B33" i="5"/>
  <c r="C33" i="5"/>
  <c r="D33" i="5"/>
  <c r="F33" i="5"/>
  <c r="G33" i="5"/>
  <c r="D2" i="2"/>
  <c r="G31" i="5"/>
  <c r="G30" i="5"/>
  <c r="B32" i="5"/>
  <c r="G32" i="5"/>
  <c r="F32" i="5"/>
  <c r="D32" i="5"/>
  <c r="C32" i="5"/>
  <c r="F31" i="5"/>
  <c r="D31" i="5"/>
  <c r="C31" i="5"/>
  <c r="F30" i="5"/>
  <c r="D30" i="5"/>
  <c r="C30" i="5"/>
  <c r="B31" i="5"/>
  <c r="B30" i="5"/>
  <c r="K27" i="5" l="1"/>
  <c r="K15" i="5"/>
  <c r="K3" i="5"/>
  <c r="K14" i="5"/>
  <c r="K2" i="5"/>
  <c r="K25" i="5"/>
  <c r="K13" i="5"/>
  <c r="K24" i="5"/>
  <c r="K12" i="5"/>
  <c r="K23" i="5"/>
  <c r="K22" i="5"/>
  <c r="K21" i="5"/>
  <c r="K8" i="5"/>
  <c r="K18" i="5"/>
  <c r="K17" i="5"/>
  <c r="K4" i="5"/>
  <c r="K26" i="5"/>
  <c r="K19" i="5"/>
  <c r="K11" i="5"/>
  <c r="K10" i="5"/>
  <c r="K9" i="5"/>
  <c r="K20" i="5"/>
  <c r="K5" i="5"/>
  <c r="K6" i="5"/>
  <c r="K16" i="5"/>
  <c r="K7" i="5"/>
  <c r="B3" i="2"/>
  <c r="B26" i="2"/>
  <c r="B25" i="2"/>
  <c r="B24" i="2"/>
  <c r="B27" i="2"/>
  <c r="B14" i="2"/>
  <c r="B7" i="2"/>
  <c r="B23" i="2"/>
  <c r="B6" i="2"/>
  <c r="B13" i="2"/>
  <c r="B11" i="2"/>
  <c r="B9" i="2"/>
  <c r="B8" i="2"/>
  <c r="B4" i="2"/>
  <c r="B19" i="2"/>
  <c r="B22" i="2"/>
  <c r="B12" i="2"/>
  <c r="B21" i="2"/>
  <c r="B18" i="2"/>
  <c r="B16" i="2"/>
  <c r="B20" i="2"/>
  <c r="B10" i="2"/>
  <c r="B17" i="2"/>
  <c r="B15" i="2"/>
  <c r="E32" i="2"/>
  <c r="D31" i="2"/>
  <c r="E30" i="2"/>
  <c r="D32" i="2"/>
  <c r="E31" i="2"/>
  <c r="D30" i="2"/>
  <c r="B5" i="2" l="1"/>
  <c r="B2" i="2"/>
  <c r="K32" i="1"/>
  <c r="K31" i="1"/>
  <c r="K30" i="1"/>
  <c r="B31" i="2" l="1"/>
  <c r="B32" i="2"/>
  <c r="B30" i="2"/>
  <c r="E33" i="5"/>
  <c r="E30" i="5"/>
  <c r="E31" i="5"/>
  <c r="E32" i="5"/>
  <c r="C27" i="2" l="1"/>
  <c r="F27" i="2" s="1"/>
  <c r="C4" i="2"/>
  <c r="F4" i="2" s="1"/>
  <c r="C10" i="2"/>
  <c r="F10" i="2" s="1"/>
  <c r="C2" i="2"/>
  <c r="F2" i="2" s="1"/>
  <c r="C21" i="2"/>
  <c r="F21" i="2" s="1"/>
  <c r="C26" i="2"/>
  <c r="F26" i="2" s="1"/>
  <c r="G26" i="2" s="1"/>
  <c r="H26" i="2" s="1"/>
  <c r="C16" i="2"/>
  <c r="F16" i="2" s="1"/>
  <c r="C24" i="2"/>
  <c r="F24" i="2" s="1"/>
  <c r="G24" i="2" s="1"/>
  <c r="H24" i="2" s="1"/>
  <c r="C18" i="2"/>
  <c r="F18" i="2" s="1"/>
  <c r="C7" i="2"/>
  <c r="F7" i="2" s="1"/>
  <c r="C11" i="2"/>
  <c r="F11" i="2" s="1"/>
  <c r="C3" i="2"/>
  <c r="F3" i="2" s="1"/>
  <c r="C6" i="2"/>
  <c r="F6" i="2" s="1"/>
  <c r="C15" i="2"/>
  <c r="F15" i="2" s="1"/>
  <c r="C22" i="2"/>
  <c r="F22" i="2" s="1"/>
  <c r="C19" i="2"/>
  <c r="F19" i="2" s="1"/>
  <c r="C12" i="2"/>
  <c r="F12" i="2" s="1"/>
  <c r="C20" i="2"/>
  <c r="F20" i="2" s="1"/>
  <c r="C8" i="2"/>
  <c r="F8" i="2" s="1"/>
  <c r="C14" i="2"/>
  <c r="F14" i="2" s="1"/>
  <c r="C23" i="2"/>
  <c r="F23" i="2" s="1"/>
  <c r="C25" i="2"/>
  <c r="F25" i="2" s="1"/>
  <c r="G25" i="2" s="1"/>
  <c r="H25" i="2" s="1"/>
  <c r="C13" i="2"/>
  <c r="F13" i="2" s="1"/>
  <c r="C9" i="2"/>
  <c r="F9" i="2" s="1"/>
  <c r="C17" i="2" l="1"/>
  <c r="F17" i="2" s="1"/>
  <c r="G17" i="2" s="1"/>
  <c r="H17" i="2" s="1"/>
  <c r="C5" i="2"/>
  <c r="F5" i="2" s="1"/>
  <c r="G5" i="2" s="1"/>
  <c r="H5" i="2" s="1"/>
  <c r="G7" i="2"/>
  <c r="H7" i="2" s="1"/>
  <c r="G19" i="2"/>
  <c r="H19" i="2" s="1"/>
  <c r="G21" i="2"/>
  <c r="H21" i="2" s="1"/>
  <c r="G14" i="2"/>
  <c r="H14" i="2" s="1"/>
  <c r="G12" i="2"/>
  <c r="H12" i="2" s="1"/>
  <c r="G6" i="2"/>
  <c r="H6" i="2" s="1"/>
  <c r="G22" i="2"/>
  <c r="H22" i="2" s="1"/>
  <c r="G16" i="2"/>
  <c r="H16" i="2" s="1"/>
  <c r="G11" i="2"/>
  <c r="H11" i="2" s="1"/>
  <c r="G20" i="2"/>
  <c r="H20" i="2" s="1"/>
  <c r="G9" i="2"/>
  <c r="H9" i="2" s="1"/>
  <c r="G15" i="2"/>
  <c r="H15" i="2" s="1"/>
  <c r="G4" i="2"/>
  <c r="H4" i="2" s="1"/>
  <c r="G18" i="2"/>
  <c r="H18" i="2" s="1"/>
  <c r="G13" i="2"/>
  <c r="H13" i="2" s="1"/>
  <c r="G10" i="2"/>
  <c r="H10" i="2" s="1"/>
  <c r="G8" i="2"/>
  <c r="H8" i="2" s="1"/>
  <c r="G23" i="2"/>
  <c r="H23" i="2" s="1"/>
  <c r="G3" i="2"/>
  <c r="H3" i="2" s="1"/>
  <c r="G27" i="2"/>
  <c r="H27" i="2" s="1"/>
  <c r="K30" i="5"/>
  <c r="K32" i="5"/>
  <c r="K31" i="5"/>
  <c r="C31" i="2" l="1"/>
  <c r="C32" i="2"/>
  <c r="C30" i="2"/>
  <c r="F30" i="2"/>
  <c r="F32" i="2"/>
  <c r="G2" i="2"/>
  <c r="F31" i="2"/>
  <c r="H2" i="2" l="1"/>
  <c r="G31" i="2"/>
  <c r="G32" i="2"/>
  <c r="G30" i="2"/>
  <c r="H32" i="2" l="1"/>
  <c r="H31" i="2"/>
  <c r="H29" i="2"/>
  <c r="H30" i="2"/>
</calcChain>
</file>

<file path=xl/sharedStrings.xml><?xml version="1.0" encoding="utf-8"?>
<sst xmlns="http://schemas.openxmlformats.org/spreadsheetml/2006/main" count="52" uniqueCount="34">
  <si>
    <t>Τελική Εξέταση</t>
    <phoneticPr fontId="5"/>
  </si>
  <si>
    <t>Βαθμός</t>
    <phoneticPr fontId="5"/>
  </si>
  <si>
    <t>Passed</t>
    <phoneticPr fontId="5"/>
  </si>
  <si>
    <t>Τελικός Βαθμός</t>
    <phoneticPr fontId="5"/>
  </si>
  <si>
    <t>Αρ. Ταυτότητας</t>
  </si>
  <si>
    <t>Quiz Total</t>
    <phoneticPr fontId="5"/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</si>
  <si>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</si>
  <si>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</si>
  <si>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</si>
  <si>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</si>
  <si>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</si>
  <si>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</si>
  <si>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</si>
  <si>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Total</t>
  </si>
  <si>
    <t xml:space="preserve">Max Score </t>
  </si>
  <si>
    <t>Average</t>
  </si>
  <si>
    <t>Std. Dev.</t>
  </si>
  <si>
    <t>Median</t>
    <phoneticPr fontId="5"/>
  </si>
  <si>
    <t>Valid</t>
  </si>
  <si>
    <t>Quizzes  not counted</t>
  </si>
  <si>
    <t>Πρόοδος</t>
  </si>
  <si>
    <t>Quiz01</t>
  </si>
  <si>
    <t>Quiz02</t>
  </si>
  <si>
    <t>Quiz03</t>
  </si>
  <si>
    <t>Quiz04</t>
  </si>
  <si>
    <t>Quiz05</t>
  </si>
  <si>
    <t>Quiz06</t>
  </si>
  <si>
    <t>Quiz07</t>
  </si>
  <si>
    <t>Quiz08</t>
  </si>
  <si>
    <t>Quiz09</t>
  </si>
  <si>
    <t>Hm 7</t>
  </si>
  <si>
    <t>Hm 8</t>
  </si>
  <si>
    <t>Hm 9</t>
  </si>
  <si>
    <t>Quiz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</si>
</sst>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1"/>
      <name val="Verdana"/>
      <family val="2"/>
    </font>
    <font>
      <b/>
      <sz val="12"/>
      <color indexed="10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b/>
      <sz val="12"/>
      <color indexed="17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3"/>
      <color theme="1"/>
      <name val="Verdana"/>
      <family val="2"/>
    </font>
    <font>
      <sz val="13"/>
      <name val="Verdana"/>
      <family val="2"/>
      <charset val="1"/>
    </font>
    <font>
      <sz val="13"/>
      <color rgb="FF000000"/>
      <name val="Verdana"/>
      <family val="2"/>
      <charset val="1"/>
    </font>
    <font>
      <sz val="14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0" fontId="7" fillId="0" borderId="0" xfId="0" applyFont="1"/>
    <xf numFmtId="1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3" xfId="0" applyBorder="1"/>
    <xf numFmtId="2" fontId="3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" fontId="10" fillId="6" borderId="3" xfId="0" applyNumberFormat="1" applyFont="1" applyFill="1" applyBorder="1" applyAlignment="1">
      <alignment horizontal="center" vertical="center"/>
    </xf>
    <xf numFmtId="164" fontId="10" fillId="7" borderId="4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zoomScaleNormal="100" workbookViewId="0">
      <selection activeCell="L1" sqref="L1"/>
    </sheetView>
  </sheetViews>
  <sheetFormatPr baseColWidth="10" defaultRowHeight="16" x14ac:dyDescent="0.15"/>
  <cols>
    <col min="1" max="1" width="20.83203125" customWidth="1"/>
    <col min="2" max="2" width="10.83203125" style="11" customWidth="1"/>
    <col min="3" max="10" width="10.83203125" style="12" customWidth="1"/>
    <col min="11" max="11" width="12" style="12" customWidth="1"/>
    <col min="12" max="12" width="12.83203125" style="13" customWidth="1"/>
  </cols>
  <sheetData>
    <row r="1" spans="1:12" ht="29" customHeight="1" x14ac:dyDescent="0.15">
      <c r="A1" s="17" t="s">
        <v>4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4" t="s">
        <v>5</v>
      </c>
      <c r="L1"/>
    </row>
    <row r="2" spans="1:12" ht="30" customHeight="1" x14ac:dyDescent="0.15">
      <c r="A2" s="24">
        <v>11372</v>
      </c>
      <c r="B2" s="32">
        <v>10.5</v>
      </c>
      <c r="C2" s="32">
        <v>4</v>
      </c>
      <c r="D2" s="32">
        <v>11</v>
      </c>
      <c r="E2" s="32">
        <v>13.75</v>
      </c>
      <c r="F2" s="33">
        <v>6</v>
      </c>
      <c r="G2" s="33">
        <v>6</v>
      </c>
      <c r="H2" s="33">
        <v>11</v>
      </c>
      <c r="I2" s="33">
        <v>7</v>
      </c>
      <c r="J2" s="33">
        <v>10</v>
      </c>
      <c r="K2" s="36">
        <f>IF(SUM($B$33:$J$33)&gt;0,$K$29*(B2/$B$29+C2/$C$29+D2/$D$29+E2/$E$29+F2/$F$29+G2/$G$29+H2/$H$29+I2/$I$29+J2/$J$29)/SUM($B$33:$J$33),0)</f>
        <v>0.88055555555555554</v>
      </c>
      <c r="L2"/>
    </row>
    <row r="3" spans="1:12" ht="30" customHeight="1" x14ac:dyDescent="0.15">
      <c r="A3" s="24">
        <v>26082</v>
      </c>
      <c r="B3" s="32">
        <v>7.5</v>
      </c>
      <c r="C3" s="32">
        <v>2</v>
      </c>
      <c r="D3" s="32">
        <v>4</v>
      </c>
      <c r="E3" s="32">
        <v>6.25</v>
      </c>
      <c r="F3" s="33">
        <v>3</v>
      </c>
      <c r="G3" s="33">
        <v>7</v>
      </c>
      <c r="H3" s="33">
        <v>1</v>
      </c>
      <c r="I3" s="33">
        <v>11</v>
      </c>
      <c r="J3" s="33">
        <v>6</v>
      </c>
      <c r="K3" s="36">
        <f t="shared" ref="K3:K27" si="0">IF(SUM($B$33:$J$33)&gt;0,$K$29*(B3/$B$29+C3/$C$29+D3/$D$29+E3/$E$29+F3/$F$29+G3/$G$29+H3/$H$29+I3/$I$29+J3/$J$29)/SUM($B$33:$J$33),0)</f>
        <v>0.53055555555555556</v>
      </c>
      <c r="L3"/>
    </row>
    <row r="4" spans="1:12" ht="30" customHeight="1" x14ac:dyDescent="0.15">
      <c r="A4" s="24">
        <v>28431</v>
      </c>
      <c r="B4" s="32">
        <v>7</v>
      </c>
      <c r="C4" s="32">
        <v>1.5</v>
      </c>
      <c r="D4" s="32">
        <v>11.5</v>
      </c>
      <c r="E4" s="32">
        <v>14.25</v>
      </c>
      <c r="F4" s="33">
        <v>6</v>
      </c>
      <c r="G4" s="33">
        <v>0</v>
      </c>
      <c r="H4" s="33">
        <v>0</v>
      </c>
      <c r="I4" s="33">
        <v>0</v>
      </c>
      <c r="J4" s="33">
        <v>0</v>
      </c>
      <c r="K4" s="36">
        <f t="shared" si="0"/>
        <v>0.44722222222222219</v>
      </c>
      <c r="L4"/>
    </row>
    <row r="5" spans="1:12" ht="30" customHeight="1" x14ac:dyDescent="0.15">
      <c r="A5" s="24">
        <v>28745</v>
      </c>
      <c r="B5" s="32">
        <v>3</v>
      </c>
      <c r="C5" s="32">
        <v>8.5</v>
      </c>
      <c r="D5" s="32">
        <v>6</v>
      </c>
      <c r="E5" s="32">
        <v>9.25</v>
      </c>
      <c r="F5" s="33">
        <v>1</v>
      </c>
      <c r="G5" s="33">
        <v>7</v>
      </c>
      <c r="H5" s="33">
        <v>3</v>
      </c>
      <c r="I5" s="33">
        <v>4</v>
      </c>
      <c r="J5" s="33">
        <v>5</v>
      </c>
      <c r="K5" s="36">
        <f t="shared" si="0"/>
        <v>0.51944444444444438</v>
      </c>
      <c r="L5"/>
    </row>
    <row r="6" spans="1:12" ht="30" customHeight="1" x14ac:dyDescent="0.15">
      <c r="A6" s="24">
        <v>30063</v>
      </c>
      <c r="B6" s="32">
        <v>9</v>
      </c>
      <c r="C6" s="32">
        <v>3.5</v>
      </c>
      <c r="D6" s="32">
        <v>2</v>
      </c>
      <c r="E6" s="32">
        <v>5.25</v>
      </c>
      <c r="F6" s="33">
        <v>3</v>
      </c>
      <c r="G6" s="33">
        <v>6</v>
      </c>
      <c r="H6" s="33">
        <v>2</v>
      </c>
      <c r="I6" s="33">
        <v>5</v>
      </c>
      <c r="J6" s="33">
        <v>0</v>
      </c>
      <c r="K6" s="36">
        <f t="shared" si="0"/>
        <v>0.39722222222222225</v>
      </c>
      <c r="L6"/>
    </row>
    <row r="7" spans="1:12" ht="30" customHeight="1" x14ac:dyDescent="0.15">
      <c r="A7" s="24">
        <v>32418</v>
      </c>
      <c r="B7" s="32">
        <v>12</v>
      </c>
      <c r="C7" s="32">
        <v>9</v>
      </c>
      <c r="D7" s="32">
        <v>11</v>
      </c>
      <c r="E7" s="32">
        <v>14.75</v>
      </c>
      <c r="F7" s="33">
        <v>12.5</v>
      </c>
      <c r="G7" s="33">
        <v>9</v>
      </c>
      <c r="H7" s="33">
        <v>15</v>
      </c>
      <c r="I7" s="33">
        <v>11</v>
      </c>
      <c r="J7" s="33">
        <v>12</v>
      </c>
      <c r="K7" s="36">
        <f t="shared" si="0"/>
        <v>1.1805555555555556</v>
      </c>
      <c r="L7"/>
    </row>
    <row r="8" spans="1:12" ht="30" customHeight="1" x14ac:dyDescent="0.15">
      <c r="A8" s="24">
        <v>39304</v>
      </c>
      <c r="B8" s="32">
        <v>8.5</v>
      </c>
      <c r="C8" s="32">
        <v>4</v>
      </c>
      <c r="D8" s="32">
        <v>6</v>
      </c>
      <c r="E8" s="32">
        <v>9.25</v>
      </c>
      <c r="F8" s="33">
        <v>6</v>
      </c>
      <c r="G8" s="33">
        <v>13</v>
      </c>
      <c r="H8" s="33">
        <v>8</v>
      </c>
      <c r="I8" s="33">
        <v>8</v>
      </c>
      <c r="J8" s="33">
        <v>9</v>
      </c>
      <c r="K8" s="36">
        <f t="shared" si="0"/>
        <v>0.79722222222222217</v>
      </c>
      <c r="L8"/>
    </row>
    <row r="9" spans="1:12" ht="30" customHeight="1" x14ac:dyDescent="0.15">
      <c r="A9" s="24">
        <v>41772</v>
      </c>
      <c r="B9" s="32">
        <v>5.5</v>
      </c>
      <c r="C9" s="32">
        <v>0</v>
      </c>
      <c r="D9" s="32">
        <v>0</v>
      </c>
      <c r="E9" s="32">
        <v>1.25</v>
      </c>
      <c r="F9" s="33">
        <v>0</v>
      </c>
      <c r="G9" s="33">
        <v>5</v>
      </c>
      <c r="H9" s="33">
        <v>0</v>
      </c>
      <c r="I9" s="33">
        <v>0</v>
      </c>
      <c r="J9" s="33">
        <v>0</v>
      </c>
      <c r="K9" s="36">
        <f t="shared" si="0"/>
        <v>0.13055555555555554</v>
      </c>
      <c r="L9"/>
    </row>
    <row r="10" spans="1:12" s="7" customFormat="1" ht="30" customHeight="1" x14ac:dyDescent="0.15">
      <c r="A10" s="24">
        <v>41850</v>
      </c>
      <c r="B10" s="32">
        <v>8</v>
      </c>
      <c r="C10" s="32">
        <v>8</v>
      </c>
      <c r="D10" s="32">
        <v>6</v>
      </c>
      <c r="E10" s="32">
        <v>14.25</v>
      </c>
      <c r="F10" s="33">
        <v>9</v>
      </c>
      <c r="G10" s="33">
        <v>11</v>
      </c>
      <c r="H10" s="33">
        <v>6</v>
      </c>
      <c r="I10" s="33">
        <v>6</v>
      </c>
      <c r="J10" s="33">
        <v>12</v>
      </c>
      <c r="K10" s="36">
        <f t="shared" si="0"/>
        <v>0.89166666666666672</v>
      </c>
    </row>
    <row r="11" spans="1:12" ht="30" customHeight="1" x14ac:dyDescent="0.15">
      <c r="A11" s="24">
        <v>42057</v>
      </c>
      <c r="B11" s="32">
        <v>7.5</v>
      </c>
      <c r="C11" s="32">
        <v>6</v>
      </c>
      <c r="D11" s="32">
        <v>12</v>
      </c>
      <c r="E11" s="32">
        <v>2.25</v>
      </c>
      <c r="F11" s="33">
        <v>3.5</v>
      </c>
      <c r="G11" s="33">
        <v>6</v>
      </c>
      <c r="H11" s="33">
        <v>4</v>
      </c>
      <c r="I11" s="33">
        <v>10</v>
      </c>
      <c r="J11" s="33">
        <v>0</v>
      </c>
      <c r="K11" s="36">
        <f t="shared" si="0"/>
        <v>0.56944444444444442</v>
      </c>
      <c r="L11"/>
    </row>
    <row r="12" spans="1:12" ht="30" customHeight="1" x14ac:dyDescent="0.15">
      <c r="A12" s="24">
        <v>43868</v>
      </c>
      <c r="B12" s="32">
        <v>5</v>
      </c>
      <c r="C12" s="32">
        <v>0</v>
      </c>
      <c r="D12" s="32">
        <v>0</v>
      </c>
      <c r="E12" s="32">
        <v>6.25</v>
      </c>
      <c r="F12" s="33">
        <v>2</v>
      </c>
      <c r="G12" s="33">
        <v>0</v>
      </c>
      <c r="H12" s="33">
        <v>0</v>
      </c>
      <c r="I12" s="33">
        <v>0</v>
      </c>
      <c r="J12" s="33">
        <v>0</v>
      </c>
      <c r="K12" s="36">
        <f t="shared" si="0"/>
        <v>0.14722222222222223</v>
      </c>
      <c r="L12"/>
    </row>
    <row r="13" spans="1:12" ht="30" customHeight="1" x14ac:dyDescent="0.15">
      <c r="A13" s="24">
        <v>44967</v>
      </c>
      <c r="B13" s="32">
        <v>0</v>
      </c>
      <c r="C13" s="32">
        <v>0</v>
      </c>
      <c r="D13" s="32">
        <v>0</v>
      </c>
      <c r="E13" s="32">
        <v>5.25</v>
      </c>
      <c r="F13" s="33">
        <v>0</v>
      </c>
      <c r="G13" s="33">
        <v>8</v>
      </c>
      <c r="H13" s="33">
        <v>4</v>
      </c>
      <c r="I13" s="33">
        <v>0</v>
      </c>
      <c r="J13" s="33">
        <v>2</v>
      </c>
      <c r="K13" s="36">
        <f t="shared" si="0"/>
        <v>0.21388888888888888</v>
      </c>
      <c r="L13"/>
    </row>
    <row r="14" spans="1:12" ht="30" customHeight="1" x14ac:dyDescent="0.15">
      <c r="A14" s="24">
        <v>46234</v>
      </c>
      <c r="B14" s="32">
        <v>0</v>
      </c>
      <c r="C14" s="32">
        <v>0</v>
      </c>
      <c r="D14" s="32">
        <v>4</v>
      </c>
      <c r="E14" s="32">
        <v>4.25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6">
        <f t="shared" si="0"/>
        <v>9.1666666666666674E-2</v>
      </c>
      <c r="L14"/>
    </row>
    <row r="15" spans="1:12" ht="30" customHeight="1" x14ac:dyDescent="0.15">
      <c r="A15" s="24">
        <v>48461</v>
      </c>
      <c r="B15" s="32">
        <v>5</v>
      </c>
      <c r="C15" s="32">
        <v>6</v>
      </c>
      <c r="D15" s="32">
        <v>10</v>
      </c>
      <c r="E15" s="32">
        <v>12.25</v>
      </c>
      <c r="F15" s="33">
        <v>13</v>
      </c>
      <c r="G15" s="33">
        <v>5</v>
      </c>
      <c r="H15" s="33">
        <v>3</v>
      </c>
      <c r="I15" s="33">
        <v>6</v>
      </c>
      <c r="J15" s="33">
        <v>10</v>
      </c>
      <c r="K15" s="36">
        <f t="shared" si="0"/>
        <v>0.78055555555555578</v>
      </c>
      <c r="L15"/>
    </row>
    <row r="16" spans="1:12" ht="30" customHeight="1" x14ac:dyDescent="0.15">
      <c r="A16" s="24">
        <v>48462</v>
      </c>
      <c r="B16" s="32">
        <v>12</v>
      </c>
      <c r="C16" s="32">
        <v>11</v>
      </c>
      <c r="D16" s="32">
        <v>12</v>
      </c>
      <c r="E16" s="32">
        <v>13.25</v>
      </c>
      <c r="F16" s="33">
        <v>13</v>
      </c>
      <c r="G16" s="33">
        <v>13</v>
      </c>
      <c r="H16" s="33">
        <v>8</v>
      </c>
      <c r="I16" s="33">
        <v>6</v>
      </c>
      <c r="J16" s="33">
        <v>11</v>
      </c>
      <c r="K16" s="36">
        <f t="shared" si="0"/>
        <v>1.1027777777777776</v>
      </c>
      <c r="L16"/>
    </row>
    <row r="17" spans="1:12" ht="30" customHeight="1" x14ac:dyDescent="0.15">
      <c r="A17" s="24">
        <v>48666</v>
      </c>
      <c r="B17" s="32">
        <v>0.5</v>
      </c>
      <c r="C17" s="32">
        <v>6.5</v>
      </c>
      <c r="D17" s="32">
        <v>7.5</v>
      </c>
      <c r="E17" s="32">
        <v>8.25</v>
      </c>
      <c r="F17" s="33">
        <v>4.5</v>
      </c>
      <c r="G17" s="33">
        <v>7</v>
      </c>
      <c r="H17" s="33">
        <v>3</v>
      </c>
      <c r="I17" s="33">
        <v>4</v>
      </c>
      <c r="J17" s="33">
        <v>6</v>
      </c>
      <c r="K17" s="36">
        <f t="shared" si="0"/>
        <v>0.52499999999999991</v>
      </c>
      <c r="L17"/>
    </row>
    <row r="18" spans="1:12" ht="30" customHeight="1" x14ac:dyDescent="0.15">
      <c r="A18" s="24">
        <v>48786</v>
      </c>
      <c r="B18" s="32">
        <v>0</v>
      </c>
      <c r="C18" s="32">
        <v>4</v>
      </c>
      <c r="D18" s="32">
        <v>2</v>
      </c>
      <c r="E18" s="32">
        <v>7.75</v>
      </c>
      <c r="F18" s="33">
        <v>0</v>
      </c>
      <c r="G18" s="33">
        <v>0</v>
      </c>
      <c r="H18" s="33">
        <v>6</v>
      </c>
      <c r="I18" s="33">
        <v>6</v>
      </c>
      <c r="J18" s="33">
        <v>0</v>
      </c>
      <c r="K18" s="36">
        <f t="shared" si="0"/>
        <v>0.28611111111111115</v>
      </c>
      <c r="L18"/>
    </row>
    <row r="19" spans="1:12" ht="30" customHeight="1" x14ac:dyDescent="0.15">
      <c r="A19" s="24">
        <v>50925</v>
      </c>
      <c r="B19" s="32">
        <v>5</v>
      </c>
      <c r="C19" s="32">
        <v>0</v>
      </c>
      <c r="D19" s="32">
        <v>4.5</v>
      </c>
      <c r="E19" s="32">
        <v>6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6">
        <f t="shared" si="0"/>
        <v>0.17222222222222219</v>
      </c>
      <c r="L19"/>
    </row>
    <row r="20" spans="1:12" ht="30" customHeight="1" x14ac:dyDescent="0.15">
      <c r="A20" s="24">
        <v>52252</v>
      </c>
      <c r="B20" s="32">
        <v>1.5</v>
      </c>
      <c r="C20" s="32">
        <v>3</v>
      </c>
      <c r="D20" s="32">
        <v>5</v>
      </c>
      <c r="E20" s="32">
        <v>4.5</v>
      </c>
      <c r="F20" s="33">
        <v>0</v>
      </c>
      <c r="G20" s="33">
        <v>7</v>
      </c>
      <c r="H20" s="33">
        <v>0</v>
      </c>
      <c r="I20" s="33">
        <v>0</v>
      </c>
      <c r="J20" s="33">
        <v>0</v>
      </c>
      <c r="K20" s="36">
        <f t="shared" si="0"/>
        <v>0.23333333333333328</v>
      </c>
      <c r="L20"/>
    </row>
    <row r="21" spans="1:12" ht="30" customHeight="1" x14ac:dyDescent="0.15">
      <c r="A21" s="24">
        <v>53915</v>
      </c>
      <c r="B21" s="32">
        <v>11.5</v>
      </c>
      <c r="C21" s="32">
        <v>7.5</v>
      </c>
      <c r="D21" s="32">
        <v>15</v>
      </c>
      <c r="E21" s="32">
        <v>14.25</v>
      </c>
      <c r="F21" s="33">
        <v>12</v>
      </c>
      <c r="G21" s="33">
        <v>9</v>
      </c>
      <c r="H21" s="33">
        <v>10</v>
      </c>
      <c r="I21" s="33">
        <v>7</v>
      </c>
      <c r="J21" s="33">
        <v>11</v>
      </c>
      <c r="K21" s="36">
        <f t="shared" si="0"/>
        <v>1.0805555555555555</v>
      </c>
      <c r="L21"/>
    </row>
    <row r="22" spans="1:12" ht="30" customHeight="1" x14ac:dyDescent="0.15">
      <c r="A22" s="24">
        <v>56433</v>
      </c>
      <c r="B22" s="32">
        <v>8.5</v>
      </c>
      <c r="C22" s="32">
        <v>9.5</v>
      </c>
      <c r="D22" s="32">
        <v>6</v>
      </c>
      <c r="E22" s="32">
        <v>10.25</v>
      </c>
      <c r="F22" s="33">
        <v>6</v>
      </c>
      <c r="G22" s="33">
        <v>11</v>
      </c>
      <c r="H22" s="33">
        <v>7</v>
      </c>
      <c r="I22" s="33">
        <v>7</v>
      </c>
      <c r="J22" s="33">
        <v>10</v>
      </c>
      <c r="K22" s="36">
        <f t="shared" si="0"/>
        <v>0.83611111111111114</v>
      </c>
      <c r="L22"/>
    </row>
    <row r="23" spans="1:12" ht="30" customHeight="1" x14ac:dyDescent="0.15">
      <c r="A23" s="37">
        <v>58506</v>
      </c>
      <c r="B23" s="32">
        <v>0</v>
      </c>
      <c r="C23" s="32">
        <v>0</v>
      </c>
      <c r="D23" s="32">
        <v>4</v>
      </c>
      <c r="E23" s="32">
        <v>4.25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6">
        <f t="shared" si="0"/>
        <v>9.1666666666666674E-2</v>
      </c>
      <c r="L23"/>
    </row>
    <row r="24" spans="1:12" ht="30" customHeight="1" x14ac:dyDescent="0.15">
      <c r="A24" s="24">
        <v>62166</v>
      </c>
      <c r="B24" s="32">
        <v>3.5</v>
      </c>
      <c r="C24" s="32">
        <v>2</v>
      </c>
      <c r="D24" s="32">
        <v>1</v>
      </c>
      <c r="E24" s="32">
        <v>11.25</v>
      </c>
      <c r="F24" s="33">
        <v>8.5</v>
      </c>
      <c r="G24" s="33">
        <v>3</v>
      </c>
      <c r="H24" s="33">
        <v>4</v>
      </c>
      <c r="I24" s="33">
        <v>5</v>
      </c>
      <c r="J24" s="33">
        <v>0</v>
      </c>
      <c r="K24" s="36">
        <f t="shared" si="0"/>
        <v>0.42500000000000004</v>
      </c>
      <c r="L24"/>
    </row>
    <row r="25" spans="1:12" ht="30" customHeight="1" x14ac:dyDescent="0.15">
      <c r="A25" s="24">
        <v>65878</v>
      </c>
      <c r="B25" s="32">
        <v>0.5</v>
      </c>
      <c r="C25" s="32">
        <v>6.5</v>
      </c>
      <c r="D25" s="32">
        <v>11</v>
      </c>
      <c r="E25" s="32">
        <v>8.25</v>
      </c>
      <c r="F25" s="33">
        <v>5</v>
      </c>
      <c r="G25" s="33">
        <v>7</v>
      </c>
      <c r="H25" s="33">
        <v>2</v>
      </c>
      <c r="I25" s="33">
        <v>5</v>
      </c>
      <c r="J25" s="33">
        <v>6</v>
      </c>
      <c r="K25" s="36">
        <f t="shared" si="0"/>
        <v>0.56944444444444442</v>
      </c>
      <c r="L25"/>
    </row>
    <row r="26" spans="1:12" ht="30" customHeight="1" x14ac:dyDescent="0.15">
      <c r="A26" s="24">
        <v>65882</v>
      </c>
      <c r="B26" s="32">
        <v>11</v>
      </c>
      <c r="C26" s="32">
        <v>11</v>
      </c>
      <c r="D26" s="32">
        <v>13</v>
      </c>
      <c r="E26" s="32">
        <v>14.25</v>
      </c>
      <c r="F26" s="33">
        <v>11</v>
      </c>
      <c r="G26" s="33">
        <v>10</v>
      </c>
      <c r="H26" s="33">
        <v>11</v>
      </c>
      <c r="I26" s="33">
        <v>12</v>
      </c>
      <c r="J26" s="33">
        <v>13</v>
      </c>
      <c r="K26" s="36">
        <f t="shared" si="0"/>
        <v>1.1805555555555556</v>
      </c>
      <c r="L26"/>
    </row>
    <row r="27" spans="1:12" ht="30" customHeight="1" x14ac:dyDescent="0.15">
      <c r="A27" s="24">
        <v>98422</v>
      </c>
      <c r="B27" s="32">
        <v>13.5</v>
      </c>
      <c r="C27" s="32">
        <v>12.5</v>
      </c>
      <c r="D27" s="32">
        <v>11</v>
      </c>
      <c r="E27" s="32">
        <v>14.75</v>
      </c>
      <c r="F27" s="33">
        <v>13.5</v>
      </c>
      <c r="G27" s="33">
        <v>15</v>
      </c>
      <c r="H27" s="33">
        <v>15</v>
      </c>
      <c r="I27" s="33">
        <v>11</v>
      </c>
      <c r="J27" s="33">
        <v>12</v>
      </c>
      <c r="K27" s="36">
        <f t="shared" si="0"/>
        <v>1.3138888888888891</v>
      </c>
      <c r="L27"/>
    </row>
    <row r="28" spans="1:12" ht="30" customHeight="1" x14ac:dyDescent="0.15">
      <c r="A28" s="26"/>
      <c r="B28" s="25"/>
      <c r="C28" s="2"/>
      <c r="D28" s="2"/>
      <c r="E28" s="2"/>
      <c r="F28" s="2"/>
      <c r="G28" s="2"/>
      <c r="H28" s="2"/>
      <c r="I28" s="2"/>
      <c r="J28" s="2"/>
      <c r="K28" s="5"/>
      <c r="L28"/>
    </row>
    <row r="29" spans="1:12" ht="30" customHeight="1" x14ac:dyDescent="0.15">
      <c r="A29" s="18" t="s">
        <v>14</v>
      </c>
      <c r="B29" s="38">
        <v>15</v>
      </c>
      <c r="C29" s="39">
        <v>15</v>
      </c>
      <c r="D29" s="39">
        <v>15</v>
      </c>
      <c r="E29" s="39">
        <v>15</v>
      </c>
      <c r="F29" s="39">
        <v>15</v>
      </c>
      <c r="G29" s="39">
        <v>15</v>
      </c>
      <c r="H29" s="39">
        <v>15</v>
      </c>
      <c r="I29" s="39">
        <v>15</v>
      </c>
      <c r="J29" s="39">
        <v>15</v>
      </c>
      <c r="K29" s="40">
        <v>1.5</v>
      </c>
      <c r="L29"/>
    </row>
    <row r="30" spans="1:12" ht="30" customHeight="1" x14ac:dyDescent="0.15">
      <c r="A30" s="19" t="s">
        <v>15</v>
      </c>
      <c r="B30" s="41">
        <f t="shared" ref="B30:K30" si="1">AVERAGE(B$2:B$27)</f>
        <v>6</v>
      </c>
      <c r="C30" s="41">
        <f t="shared" si="1"/>
        <v>4.8461538461538458</v>
      </c>
      <c r="D30" s="41">
        <f t="shared" si="1"/>
        <v>6.75</v>
      </c>
      <c r="E30" s="41">
        <f t="shared" si="1"/>
        <v>9.0576923076923084</v>
      </c>
      <c r="F30" s="41">
        <f t="shared" si="1"/>
        <v>5.3269230769230766</v>
      </c>
      <c r="G30" s="41">
        <f t="shared" si="1"/>
        <v>6.3461538461538458</v>
      </c>
      <c r="H30" s="41">
        <f t="shared" si="1"/>
        <v>4.7307692307692308</v>
      </c>
      <c r="I30" s="41">
        <f t="shared" si="1"/>
        <v>5.0384615384615383</v>
      </c>
      <c r="J30" s="41">
        <f t="shared" si="1"/>
        <v>5.1923076923076925</v>
      </c>
      <c r="K30" s="41">
        <f t="shared" si="1"/>
        <v>0.5920940170940171</v>
      </c>
      <c r="L30"/>
    </row>
    <row r="31" spans="1:12" ht="30" customHeight="1" x14ac:dyDescent="0.15">
      <c r="A31" s="20" t="s">
        <v>16</v>
      </c>
      <c r="B31" s="41">
        <f t="shared" ref="B31:K31" si="2">STDEV(B$2:B$27)</f>
        <v>4.3726422218150898</v>
      </c>
      <c r="C31" s="41">
        <f t="shared" si="2"/>
        <v>3.9364177389327741</v>
      </c>
      <c r="D31" s="41">
        <f t="shared" si="2"/>
        <v>4.5436769251345321</v>
      </c>
      <c r="E31" s="41">
        <f t="shared" si="2"/>
        <v>4.2902841935632257</v>
      </c>
      <c r="F31" s="41">
        <f t="shared" si="2"/>
        <v>4.8227425966814934</v>
      </c>
      <c r="G31" s="41">
        <f t="shared" si="2"/>
        <v>4.4536933679121447</v>
      </c>
      <c r="H31" s="41">
        <f t="shared" si="2"/>
        <v>4.6609672155696815</v>
      </c>
      <c r="I31" s="41">
        <f t="shared" si="2"/>
        <v>4.0445594986922293</v>
      </c>
      <c r="J31" s="41">
        <f t="shared" si="2"/>
        <v>5.1382427406204219</v>
      </c>
      <c r="K31" s="41">
        <f t="shared" si="2"/>
        <v>0.37831064731110298</v>
      </c>
      <c r="L31"/>
    </row>
    <row r="32" spans="1:12" ht="30" customHeight="1" x14ac:dyDescent="0.15">
      <c r="A32" s="20" t="s">
        <v>17</v>
      </c>
      <c r="B32" s="41">
        <f t="shared" ref="B32:K32" si="3">MEDIAN(B$2:B$27)</f>
        <v>6.25</v>
      </c>
      <c r="C32" s="41">
        <f t="shared" si="3"/>
        <v>4</v>
      </c>
      <c r="D32" s="41">
        <f t="shared" si="3"/>
        <v>6</v>
      </c>
      <c r="E32" s="41">
        <f t="shared" si="3"/>
        <v>8.75</v>
      </c>
      <c r="F32" s="41">
        <f t="shared" si="3"/>
        <v>4.75</v>
      </c>
      <c r="G32" s="41">
        <f t="shared" si="3"/>
        <v>7</v>
      </c>
      <c r="H32" s="41">
        <f t="shared" si="3"/>
        <v>3.5</v>
      </c>
      <c r="I32" s="41">
        <f t="shared" si="3"/>
        <v>5.5</v>
      </c>
      <c r="J32" s="41">
        <f t="shared" si="3"/>
        <v>5.5</v>
      </c>
      <c r="K32" s="41">
        <f t="shared" si="3"/>
        <v>0.52777777777777768</v>
      </c>
      <c r="L32"/>
    </row>
    <row r="33" spans="1:12" ht="30" customHeight="1" x14ac:dyDescent="0.15">
      <c r="A33" s="21" t="s">
        <v>18</v>
      </c>
      <c r="B33" s="42">
        <f>IF(SUM(B2:B27)&gt;0,1,0)</f>
        <v>1</v>
      </c>
      <c r="C33" s="42">
        <f t="shared" ref="C33:J33" si="4">IF(SUM(C2:C27)&gt;0,1,0)</f>
        <v>1</v>
      </c>
      <c r="D33" s="42">
        <f t="shared" si="4"/>
        <v>1</v>
      </c>
      <c r="E33" s="42">
        <f t="shared" si="4"/>
        <v>1</v>
      </c>
      <c r="F33" s="42">
        <f t="shared" si="4"/>
        <v>1</v>
      </c>
      <c r="G33" s="42">
        <f t="shared" si="4"/>
        <v>1</v>
      </c>
      <c r="H33" s="42">
        <f t="shared" si="4"/>
        <v>1</v>
      </c>
      <c r="I33" s="42">
        <f t="shared" si="4"/>
        <v>1</v>
      </c>
      <c r="J33" s="42">
        <f t="shared" si="4"/>
        <v>1</v>
      </c>
      <c r="K33" s="39"/>
      <c r="L33"/>
    </row>
    <row r="34" spans="1:12" ht="35" customHeight="1" x14ac:dyDescent="0.15">
      <c r="A34" s="22" t="s">
        <v>19</v>
      </c>
      <c r="B34" s="23">
        <v>0</v>
      </c>
      <c r="K34" s="13"/>
      <c r="L34"/>
    </row>
    <row r="35" spans="1:12" ht="14" x14ac:dyDescent="0.15">
      <c r="B35"/>
    </row>
    <row r="38" spans="1:12" ht="14" x14ac:dyDescent="0.15">
      <c r="B38"/>
    </row>
    <row r="39" spans="1:12" ht="14" x14ac:dyDescent="0.15">
      <c r="B39"/>
    </row>
    <row r="40" spans="1:12" ht="14" x14ac:dyDescent="0.15">
      <c r="B40"/>
    </row>
    <row r="41" spans="1:12" ht="14" x14ac:dyDescent="0.15">
      <c r="B41"/>
    </row>
    <row r="42" spans="1:12" ht="14" x14ac:dyDescent="0.15">
      <c r="B42"/>
    </row>
    <row r="43" spans="1:12" ht="14" x14ac:dyDescent="0.15">
      <c r="B43"/>
    </row>
    <row r="44" spans="1:12" ht="14" x14ac:dyDescent="0.15">
      <c r="B44"/>
    </row>
    <row r="45" spans="1:12" ht="14" x14ac:dyDescent="0.15">
      <c r="B45"/>
    </row>
    <row r="46" spans="1:12" ht="14" x14ac:dyDescent="0.15">
      <c r="B46"/>
    </row>
    <row r="47" spans="1:12" ht="14" x14ac:dyDescent="0.15">
      <c r="B47"/>
    </row>
    <row r="48" spans="1:12" ht="14" x14ac:dyDescent="0.15">
      <c r="B48"/>
    </row>
    <row r="49" spans="2:2" ht="14" x14ac:dyDescent="0.15">
      <c r="B49"/>
    </row>
    <row r="50" spans="2:2" ht="14" x14ac:dyDescent="0.15">
      <c r="B50"/>
    </row>
    <row r="51" spans="2:2" ht="14" x14ac:dyDescent="0.15">
      <c r="B51"/>
    </row>
    <row r="52" spans="2:2" ht="14" x14ac:dyDescent="0.15">
      <c r="B52"/>
    </row>
    <row r="53" spans="2:2" ht="14" x14ac:dyDescent="0.15">
      <c r="B53"/>
    </row>
    <row r="54" spans="2:2" ht="14" x14ac:dyDescent="0.15">
      <c r="B54"/>
    </row>
    <row r="55" spans="2:2" ht="14" x14ac:dyDescent="0.15">
      <c r="B55"/>
    </row>
    <row r="56" spans="2:2" ht="14" x14ac:dyDescent="0.15">
      <c r="B56"/>
    </row>
    <row r="57" spans="2:2" ht="14" x14ac:dyDescent="0.15">
      <c r="B57"/>
    </row>
    <row r="58" spans="2:2" ht="14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</sheetData>
  <phoneticPr fontId="5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3"/>
  <sheetViews>
    <sheetView tabSelected="1" topLeftCell="A11" zoomScaleNormal="100" workbookViewId="0">
      <selection activeCell="H27" sqref="H27"/>
    </sheetView>
  </sheetViews>
  <sheetFormatPr baseColWidth="10" defaultRowHeight="13" x14ac:dyDescent="0.15"/>
  <cols>
    <col min="1" max="1" width="20.83203125" customWidth="1"/>
    <col min="2" max="2" width="10.83203125" customWidth="1"/>
  </cols>
  <sheetData>
    <row r="1" spans="1:11" ht="24" customHeight="1" x14ac:dyDescent="0.15">
      <c r="A1" s="1" t="s">
        <v>4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30</v>
      </c>
      <c r="I1" s="3" t="s">
        <v>31</v>
      </c>
      <c r="J1" s="3" t="s">
        <v>32</v>
      </c>
      <c r="K1" s="4" t="s">
        <v>13</v>
      </c>
    </row>
    <row r="2" spans="1:11" ht="30" customHeight="1" x14ac:dyDescent="0.15">
      <c r="A2" s="24">
        <v>11372</v>
      </c>
      <c r="B2" s="49">
        <f>9.5+9+9+7.5</f>
        <v>35</v>
      </c>
      <c r="C2" s="46">
        <f>(9+9+9+9+9)</f>
        <v>45</v>
      </c>
      <c r="D2" s="49">
        <f>9+9+9+9</f>
        <v>36</v>
      </c>
      <c r="E2" s="48">
        <f>(9+7.5+10+8)</f>
        <v>34.5</v>
      </c>
      <c r="F2" s="59">
        <f>10+10+10+9</f>
        <v>39</v>
      </c>
      <c r="G2" s="46">
        <f>(8+8.5+8.5+8.5+8.5)</f>
        <v>42</v>
      </c>
      <c r="H2" s="46">
        <f>8+8.5+7+7.5</f>
        <v>31</v>
      </c>
      <c r="I2" s="46">
        <f>(9+9.5+8+8.5)</f>
        <v>35</v>
      </c>
      <c r="J2" s="60">
        <f>10+10+10+10</f>
        <v>40</v>
      </c>
      <c r="K2" s="36">
        <f>IF(SUM($B$33:$J$33)&gt;0,$K$29*($B2/$B$29+C2/$C$29+D2/$D$29+E2/$E$29+F2/$F$29+G2/$G$29+H2/$H$29+I2/$I$29+J2/$J$29)/SUM($B$33:$J$33),0)</f>
        <v>1.33375</v>
      </c>
    </row>
    <row r="3" spans="1:11" ht="30" customHeight="1" x14ac:dyDescent="0.15">
      <c r="A3" s="24">
        <v>26082</v>
      </c>
      <c r="B3" s="49">
        <f>10+9</f>
        <v>19</v>
      </c>
      <c r="C3" s="46">
        <f>(9+9+9+9+0)</f>
        <v>36</v>
      </c>
      <c r="D3" s="49">
        <v>0</v>
      </c>
      <c r="E3" s="48">
        <v>0</v>
      </c>
      <c r="F3" s="60">
        <f>7.5+9+0+8</f>
        <v>24.5</v>
      </c>
      <c r="G3" s="46">
        <f>(5+7+7.5+0+0)</f>
        <v>19.5</v>
      </c>
      <c r="H3" s="46">
        <f>4+0+0+0</f>
        <v>4</v>
      </c>
      <c r="I3" s="46">
        <v>0</v>
      </c>
      <c r="J3" s="46">
        <v>0</v>
      </c>
      <c r="K3" s="36">
        <f t="shared" ref="K3:K26" si="0">IF(SUM($B$33:$J$33)&gt;0,$K$29*($B3/$B$29+C3/$C$29+D3/$D$29+E3/$E$29+F3/$F$29+G3/$G$29+H3/$H$29+I3/$I$29+J3/$J$29)/SUM($B$33:$J$33),0)</f>
        <v>0.38291666666666668</v>
      </c>
    </row>
    <row r="4" spans="1:11" ht="30" customHeight="1" x14ac:dyDescent="0.15">
      <c r="A4" s="24">
        <v>28431</v>
      </c>
      <c r="B4" s="49">
        <f>6+9+6+0</f>
        <v>21</v>
      </c>
      <c r="C4" s="46">
        <f>(7.5+6+0+0+0)</f>
        <v>13.5</v>
      </c>
      <c r="D4" s="49">
        <v>0</v>
      </c>
      <c r="E4" s="48">
        <v>0</v>
      </c>
      <c r="F4" s="60">
        <v>0</v>
      </c>
      <c r="G4" s="46">
        <v>0</v>
      </c>
      <c r="H4" s="46">
        <v>0</v>
      </c>
      <c r="I4" s="46">
        <v>0</v>
      </c>
      <c r="J4" s="46">
        <v>0</v>
      </c>
      <c r="K4" s="36">
        <f t="shared" si="0"/>
        <v>0.13250000000000001</v>
      </c>
    </row>
    <row r="5" spans="1:11" ht="30" customHeight="1" x14ac:dyDescent="0.15">
      <c r="A5" s="24">
        <v>28745</v>
      </c>
      <c r="B5" s="49">
        <f>9+7+9+4+2</f>
        <v>31</v>
      </c>
      <c r="C5" s="46">
        <f>(9+9+9+5+7.5)</f>
        <v>39.5</v>
      </c>
      <c r="D5" s="49">
        <f>4+3+3+2</f>
        <v>12</v>
      </c>
      <c r="E5" s="48">
        <f>(9+6+0+5)</f>
        <v>20</v>
      </c>
      <c r="F5" s="60">
        <f>4+1+1+0</f>
        <v>6</v>
      </c>
      <c r="G5" s="46">
        <v>25.5</v>
      </c>
      <c r="H5" s="46">
        <f>6+0+0+0</f>
        <v>6</v>
      </c>
      <c r="I5" s="46">
        <f>(5+0+0+0)</f>
        <v>5</v>
      </c>
      <c r="J5" s="60">
        <f>5+0+0+0</f>
        <v>5</v>
      </c>
      <c r="K5" s="36">
        <f t="shared" si="0"/>
        <v>0.5708333333333333</v>
      </c>
    </row>
    <row r="6" spans="1:11" ht="30" customHeight="1" x14ac:dyDescent="0.15">
      <c r="A6" s="24">
        <v>30063</v>
      </c>
      <c r="B6" s="56">
        <f>5+7+4+0</f>
        <v>16</v>
      </c>
      <c r="C6" s="57">
        <f>(8.5+7+0+6+0)</f>
        <v>21.5</v>
      </c>
      <c r="D6" s="56">
        <v>0</v>
      </c>
      <c r="E6" s="32">
        <v>0</v>
      </c>
      <c r="F6" s="60">
        <v>0</v>
      </c>
      <c r="G6" s="46">
        <v>0</v>
      </c>
      <c r="H6" s="46">
        <v>0</v>
      </c>
      <c r="I6" s="46">
        <v>0</v>
      </c>
      <c r="J6" s="46">
        <v>0</v>
      </c>
      <c r="K6" s="36">
        <f t="shared" si="0"/>
        <v>0.13833333333333334</v>
      </c>
    </row>
    <row r="7" spans="1:11" ht="30" customHeight="1" x14ac:dyDescent="0.15">
      <c r="A7" s="24">
        <v>32418</v>
      </c>
      <c r="B7" s="49">
        <f>9.5+9+9+8</f>
        <v>35.5</v>
      </c>
      <c r="C7" s="46">
        <f>(9+9+9+9+9)</f>
        <v>45</v>
      </c>
      <c r="D7" s="49">
        <f>9+9+9+9</f>
        <v>36</v>
      </c>
      <c r="E7" s="48">
        <f>(9+7+10+8)</f>
        <v>34</v>
      </c>
      <c r="F7" s="51">
        <f>10+10+9+10</f>
        <v>39</v>
      </c>
      <c r="G7" s="46">
        <f>(9.5+9.5+10+9.5+9.5)</f>
        <v>48</v>
      </c>
      <c r="H7" s="46">
        <f>10+9.5+10+9</f>
        <v>38.5</v>
      </c>
      <c r="I7" s="46">
        <f>(10+10+10+10)</f>
        <v>40</v>
      </c>
      <c r="J7" s="60">
        <f>10+10+10+9</f>
        <v>39</v>
      </c>
      <c r="K7" s="36">
        <f t="shared" si="0"/>
        <v>1.4016666666666666</v>
      </c>
    </row>
    <row r="8" spans="1:11" ht="30" customHeight="1" x14ac:dyDescent="0.15">
      <c r="A8" s="24">
        <v>39304</v>
      </c>
      <c r="B8" s="49">
        <f>9.5+9+9+8</f>
        <v>35.5</v>
      </c>
      <c r="C8" s="46">
        <f>(9.5+9+9.5+9+9)</f>
        <v>46</v>
      </c>
      <c r="D8" s="49">
        <f>9+9+7+9</f>
        <v>34</v>
      </c>
      <c r="E8" s="48">
        <f>(9+8+10+8.5)</f>
        <v>35.5</v>
      </c>
      <c r="F8" s="60">
        <f>10+10+8.5+10</f>
        <v>38.5</v>
      </c>
      <c r="G8" s="46">
        <f>(9.5+10+10+9+10)</f>
        <v>48.5</v>
      </c>
      <c r="H8" s="46">
        <f>10+9+9+9.5</f>
        <v>37.5</v>
      </c>
      <c r="I8" s="46">
        <f>(10+10+10+10)</f>
        <v>40</v>
      </c>
      <c r="J8" s="60">
        <f>10+10+8+10</f>
        <v>38</v>
      </c>
      <c r="K8" s="36">
        <f t="shared" si="0"/>
        <v>1.3941666666666666</v>
      </c>
    </row>
    <row r="9" spans="1:11" ht="30" customHeight="1" x14ac:dyDescent="0.15">
      <c r="A9" s="24">
        <v>41772</v>
      </c>
      <c r="B9" s="49">
        <f>5.5+5</f>
        <v>10.5</v>
      </c>
      <c r="C9" s="46">
        <f>(8.5+7+8+9+0)</f>
        <v>32.5</v>
      </c>
      <c r="D9" s="49">
        <v>0</v>
      </c>
      <c r="E9" s="48">
        <v>0</v>
      </c>
      <c r="F9" s="60">
        <v>0</v>
      </c>
      <c r="G9" s="46">
        <v>0</v>
      </c>
      <c r="H9" s="46">
        <v>0</v>
      </c>
      <c r="I9" s="46">
        <v>0</v>
      </c>
      <c r="J9" s="46">
        <v>0</v>
      </c>
      <c r="K9" s="36">
        <f t="shared" si="0"/>
        <v>0.15208333333333335</v>
      </c>
    </row>
    <row r="10" spans="1:11" ht="30" customHeight="1" x14ac:dyDescent="0.15">
      <c r="A10" s="24">
        <v>41850</v>
      </c>
      <c r="B10" s="49">
        <f>9+9+9+7</f>
        <v>34</v>
      </c>
      <c r="C10" s="46">
        <f>(8.5+7+9+9+8.5)</f>
        <v>42</v>
      </c>
      <c r="D10" s="49">
        <f>5+6+9+9</f>
        <v>29</v>
      </c>
      <c r="E10" s="48">
        <f>(9+9+9.5+7.5)</f>
        <v>35</v>
      </c>
      <c r="F10" s="60">
        <f>10+10+10+9</f>
        <v>39</v>
      </c>
      <c r="G10" s="46">
        <f>(10+10+10+9+10)</f>
        <v>49</v>
      </c>
      <c r="H10" s="46">
        <f>8+9.5+9+9.5</f>
        <v>36</v>
      </c>
      <c r="I10" s="46">
        <f>(10+10+10+0)</f>
        <v>30</v>
      </c>
      <c r="J10" s="60">
        <f>10+10+0+0</f>
        <v>20</v>
      </c>
      <c r="K10" s="36">
        <f t="shared" si="0"/>
        <v>1.2324999999999999</v>
      </c>
    </row>
    <row r="11" spans="1:11" ht="30" customHeight="1" x14ac:dyDescent="0.15">
      <c r="A11" s="24">
        <v>42057</v>
      </c>
      <c r="B11" s="49">
        <f>9.5+7.5+9+7.5</f>
        <v>33.5</v>
      </c>
      <c r="C11" s="46">
        <f>(9+9+9+8+9)</f>
        <v>44</v>
      </c>
      <c r="D11" s="49">
        <f>9+9+9+8</f>
        <v>35</v>
      </c>
      <c r="E11" s="48">
        <f>(9+9+9+7.5)</f>
        <v>34.5</v>
      </c>
      <c r="F11" s="60">
        <f>10+10+9+9.5</f>
        <v>38.5</v>
      </c>
      <c r="G11" s="46">
        <f>(9.5+10+9+9+7)</f>
        <v>44.5</v>
      </c>
      <c r="H11" s="46">
        <f>9.5+9+8+7</f>
        <v>33.5</v>
      </c>
      <c r="I11" s="46">
        <f>(10+9.5+9+9)</f>
        <v>37.5</v>
      </c>
      <c r="J11" s="60">
        <f>10+9.5+8+7.5</f>
        <v>35</v>
      </c>
      <c r="K11" s="36">
        <f t="shared" si="0"/>
        <v>1.3262500000000002</v>
      </c>
    </row>
    <row r="12" spans="1:11" ht="30" customHeight="1" x14ac:dyDescent="0.15">
      <c r="A12" s="24">
        <v>43868</v>
      </c>
      <c r="B12" s="47">
        <v>0</v>
      </c>
      <c r="C12" s="46">
        <v>0</v>
      </c>
      <c r="D12" s="49">
        <v>0</v>
      </c>
      <c r="E12" s="33">
        <v>0</v>
      </c>
      <c r="F12" s="60">
        <v>0</v>
      </c>
      <c r="G12" s="46">
        <v>0</v>
      </c>
      <c r="H12" s="46">
        <v>0</v>
      </c>
      <c r="I12" s="46">
        <v>0</v>
      </c>
      <c r="J12" s="46">
        <v>0</v>
      </c>
      <c r="K12" s="36">
        <f t="shared" si="0"/>
        <v>0</v>
      </c>
    </row>
    <row r="13" spans="1:11" ht="30" customHeight="1" x14ac:dyDescent="0.15">
      <c r="A13" s="24">
        <v>44967</v>
      </c>
      <c r="B13" s="47">
        <v>0</v>
      </c>
      <c r="C13" s="46">
        <v>0</v>
      </c>
      <c r="D13" s="49">
        <v>0</v>
      </c>
      <c r="E13" s="48">
        <v>0</v>
      </c>
      <c r="F13" s="60">
        <v>0</v>
      </c>
      <c r="G13" s="46">
        <f>(6+6+0+0+0)</f>
        <v>12</v>
      </c>
      <c r="H13" s="46">
        <v>0</v>
      </c>
      <c r="I13" s="46">
        <v>0</v>
      </c>
      <c r="J13" s="46">
        <v>0</v>
      </c>
      <c r="K13" s="36">
        <f t="shared" si="0"/>
        <v>0.04</v>
      </c>
    </row>
    <row r="14" spans="1:11" ht="30" customHeight="1" x14ac:dyDescent="0.15">
      <c r="A14" s="24">
        <v>46234</v>
      </c>
      <c r="B14" s="49">
        <f>3+1+2.5+0</f>
        <v>6.5</v>
      </c>
      <c r="C14" s="46">
        <f>(1+1+0+0+0)</f>
        <v>2</v>
      </c>
      <c r="D14" s="49">
        <v>0</v>
      </c>
      <c r="E14" s="48">
        <v>0</v>
      </c>
      <c r="F14" s="60">
        <v>0</v>
      </c>
      <c r="G14" s="46">
        <v>0</v>
      </c>
      <c r="H14" s="46">
        <v>0</v>
      </c>
      <c r="I14" s="46">
        <v>0</v>
      </c>
      <c r="J14" s="46">
        <v>0</v>
      </c>
      <c r="K14" s="36">
        <f t="shared" si="0"/>
        <v>3.3750000000000002E-2</v>
      </c>
    </row>
    <row r="15" spans="1:11" ht="30" customHeight="1" x14ac:dyDescent="0.15">
      <c r="A15" s="24">
        <v>48461</v>
      </c>
      <c r="B15" s="49">
        <f>9.5+7.5+8+4.5</f>
        <v>29.5</v>
      </c>
      <c r="C15" s="46">
        <f>(8.5+6.5+7.5+6.5+9)</f>
        <v>38</v>
      </c>
      <c r="D15" s="49">
        <f>9+8+10+3</f>
        <v>30</v>
      </c>
      <c r="E15" s="48">
        <f>(9+7+7.5+7.5)</f>
        <v>31</v>
      </c>
      <c r="F15" s="60">
        <f>9.5+9+0+7.5</f>
        <v>26</v>
      </c>
      <c r="G15" s="46">
        <v>0</v>
      </c>
      <c r="H15" s="46">
        <f>5+5+6+4</f>
        <v>20</v>
      </c>
      <c r="I15" s="46">
        <f>(8+9.5+10+7)</f>
        <v>34.5</v>
      </c>
      <c r="J15" s="60">
        <f>8+10+9+9</f>
        <v>36</v>
      </c>
      <c r="K15" s="36">
        <f t="shared" si="0"/>
        <v>0.98916666666666664</v>
      </c>
    </row>
    <row r="16" spans="1:11" ht="30" customHeight="1" x14ac:dyDescent="0.15">
      <c r="A16" s="24">
        <v>48462</v>
      </c>
      <c r="B16" s="49">
        <f>9.5+9+9+9</f>
        <v>36.5</v>
      </c>
      <c r="C16" s="46">
        <f>(8+9+9+7+9)</f>
        <v>42</v>
      </c>
      <c r="D16" s="49">
        <f>9+7+9+9</f>
        <v>34</v>
      </c>
      <c r="E16" s="48">
        <f>(9+9+8+8)</f>
        <v>34</v>
      </c>
      <c r="F16" s="60">
        <f>10+10+10+10</f>
        <v>40</v>
      </c>
      <c r="G16" s="33">
        <f>(9.5+10+10+9+10)</f>
        <v>48.5</v>
      </c>
      <c r="H16" s="33">
        <f>8+8+6+7</f>
        <v>29</v>
      </c>
      <c r="I16" s="33">
        <f>(9+10+10+9.5)</f>
        <v>38.5</v>
      </c>
      <c r="J16" s="51">
        <f>8+10+10+10</f>
        <v>38</v>
      </c>
      <c r="K16" s="36">
        <f t="shared" si="0"/>
        <v>1.3433333333333333</v>
      </c>
    </row>
    <row r="17" spans="1:23" ht="30" customHeight="1" x14ac:dyDescent="0.15">
      <c r="A17" s="24">
        <v>48666</v>
      </c>
      <c r="B17" s="49">
        <f>9+5+8+4</f>
        <v>26</v>
      </c>
      <c r="C17" s="46">
        <f>(8+7+6+6.5+6)</f>
        <v>33.5</v>
      </c>
      <c r="D17" s="49">
        <f>6+6+3+3</f>
        <v>18</v>
      </c>
      <c r="E17" s="48">
        <f>(8+5+1+0)</f>
        <v>14</v>
      </c>
      <c r="F17" s="60">
        <f>7.5+8+0+8.5</f>
        <v>24</v>
      </c>
      <c r="G17" s="46">
        <f>(5.5+7+8.5+0+0)</f>
        <v>21</v>
      </c>
      <c r="H17" s="46">
        <f>8+7+8+0</f>
        <v>23</v>
      </c>
      <c r="I17" s="46">
        <f>(5+10+7.5+0)</f>
        <v>22.5</v>
      </c>
      <c r="J17" s="60">
        <f>7+8+5+0</f>
        <v>20</v>
      </c>
      <c r="K17" s="36">
        <f t="shared" si="0"/>
        <v>0.79625000000000001</v>
      </c>
    </row>
    <row r="18" spans="1:23" ht="30" customHeight="1" x14ac:dyDescent="0.15">
      <c r="A18" s="24">
        <v>48786</v>
      </c>
      <c r="B18" s="50">
        <f>5+6+0+0</f>
        <v>11</v>
      </c>
      <c r="C18" s="32">
        <f>(9+6+5+5+0)</f>
        <v>25</v>
      </c>
      <c r="D18" s="50">
        <f>9+8+9+9</f>
        <v>35</v>
      </c>
      <c r="E18" s="32">
        <v>0</v>
      </c>
      <c r="F18" s="61">
        <f>10+7+0+0</f>
        <v>17</v>
      </c>
      <c r="G18" s="33">
        <v>0</v>
      </c>
      <c r="H18" s="33">
        <f>7+5.5+5.5+0</f>
        <v>18</v>
      </c>
      <c r="I18" s="33">
        <f>(10+6+8.5+0)</f>
        <v>24.5</v>
      </c>
      <c r="J18" s="33">
        <v>0</v>
      </c>
      <c r="K18" s="36">
        <f t="shared" si="0"/>
        <v>0.5229166666666667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1"/>
    </row>
    <row r="19" spans="1:23" ht="30" customHeight="1" x14ac:dyDescent="0.15">
      <c r="A19" s="24">
        <v>50925</v>
      </c>
      <c r="B19" s="56">
        <f>2+2+4+0</f>
        <v>8</v>
      </c>
      <c r="C19" s="57">
        <v>0</v>
      </c>
      <c r="D19" s="56">
        <v>0</v>
      </c>
      <c r="E19" s="32">
        <v>0</v>
      </c>
      <c r="F19" s="60">
        <v>0</v>
      </c>
      <c r="G19" s="46">
        <v>0</v>
      </c>
      <c r="H19" s="46">
        <v>0</v>
      </c>
      <c r="I19" s="46">
        <v>0</v>
      </c>
      <c r="J19" s="46">
        <v>0</v>
      </c>
      <c r="K19" s="36">
        <f t="shared" si="0"/>
        <v>3.333333333333334E-2</v>
      </c>
    </row>
    <row r="20" spans="1:23" ht="30" customHeight="1" x14ac:dyDescent="0.15">
      <c r="A20" s="24">
        <v>52252</v>
      </c>
      <c r="B20" s="49">
        <f>4+3</f>
        <v>7</v>
      </c>
      <c r="C20" s="46">
        <v>0</v>
      </c>
      <c r="D20" s="49">
        <v>0</v>
      </c>
      <c r="E20" s="48">
        <v>0</v>
      </c>
      <c r="F20" s="60">
        <v>0</v>
      </c>
      <c r="G20" s="33">
        <v>0</v>
      </c>
      <c r="H20" s="33">
        <v>0</v>
      </c>
      <c r="I20" s="33">
        <v>0</v>
      </c>
      <c r="J20" s="33">
        <v>0</v>
      </c>
      <c r="K20" s="36">
        <f t="shared" si="0"/>
        <v>2.916666666666666E-2</v>
      </c>
    </row>
    <row r="21" spans="1:23" ht="30" customHeight="1" x14ac:dyDescent="0.15">
      <c r="A21" s="24">
        <v>53915</v>
      </c>
      <c r="B21" s="51">
        <f>9+9.5+9+7</f>
        <v>34.5</v>
      </c>
      <c r="C21" s="33">
        <f>(9+7.5+7.5+9+7)</f>
        <v>40</v>
      </c>
      <c r="D21" s="51">
        <f>9+9.5+7.5+4</f>
        <v>30</v>
      </c>
      <c r="E21" s="48">
        <f>(9+7.5+0+7.5)</f>
        <v>24</v>
      </c>
      <c r="F21" s="61">
        <f>9.5+8.5+0+9</f>
        <v>27</v>
      </c>
      <c r="G21" s="62">
        <f>(8.5+8.5+8+5.5+9)</f>
        <v>39.5</v>
      </c>
      <c r="H21" s="62">
        <f>8+5.5+7+5</f>
        <v>25.5</v>
      </c>
      <c r="I21" s="62">
        <f>(9+9+8+0)</f>
        <v>26</v>
      </c>
      <c r="J21" s="63">
        <f>6+7+8+0</f>
        <v>21</v>
      </c>
      <c r="K21" s="36">
        <f t="shared" si="0"/>
        <v>1.0483333333333336</v>
      </c>
    </row>
    <row r="22" spans="1:23" ht="30" customHeight="1" x14ac:dyDescent="0.15">
      <c r="A22" s="24">
        <v>56433</v>
      </c>
      <c r="B22" s="51">
        <f>5.5+9+9+7</f>
        <v>30.5</v>
      </c>
      <c r="C22" s="33">
        <f>(9+8+7.5+9+7)</f>
        <v>40.5</v>
      </c>
      <c r="D22" s="51">
        <f>8.5+8+9+7</f>
        <v>32.5</v>
      </c>
      <c r="E22" s="48">
        <f>(9+8+7.5+7)</f>
        <v>31.5</v>
      </c>
      <c r="F22" s="61">
        <f>8.5+9+7+9</f>
        <v>33.5</v>
      </c>
      <c r="G22" s="33">
        <f>(6.5+9+8+0+0)</f>
        <v>23.5</v>
      </c>
      <c r="H22" s="33">
        <f>7+6+5+0</f>
        <v>18</v>
      </c>
      <c r="I22" s="33">
        <f>(10+10+7.5+0)</f>
        <v>27.5</v>
      </c>
      <c r="J22" s="51">
        <f>8+8+7+0</f>
        <v>23</v>
      </c>
      <c r="K22" s="36">
        <f t="shared" si="0"/>
        <v>1.0320833333333335</v>
      </c>
    </row>
    <row r="23" spans="1:23" ht="30" customHeight="1" x14ac:dyDescent="0.15">
      <c r="A23" s="37">
        <v>58506</v>
      </c>
      <c r="B23" s="33">
        <v>0</v>
      </c>
      <c r="C23" s="33">
        <v>0</v>
      </c>
      <c r="D23" s="51">
        <v>0</v>
      </c>
      <c r="E23" s="48">
        <v>0</v>
      </c>
      <c r="F23" s="61">
        <v>0</v>
      </c>
      <c r="G23" s="33">
        <v>0</v>
      </c>
      <c r="H23" s="33">
        <v>0</v>
      </c>
      <c r="I23" s="33">
        <v>0</v>
      </c>
      <c r="J23" s="33">
        <v>0</v>
      </c>
      <c r="K23" s="36">
        <f t="shared" si="0"/>
        <v>0</v>
      </c>
    </row>
    <row r="24" spans="1:23" ht="30" customHeight="1" x14ac:dyDescent="0.15">
      <c r="A24" s="24">
        <v>62166</v>
      </c>
      <c r="B24" s="33">
        <f>(6+7+6+0)</f>
        <v>19</v>
      </c>
      <c r="C24" s="33">
        <f>(9+0+0+0+0)</f>
        <v>9</v>
      </c>
      <c r="D24" s="51">
        <f>3+6+0+0</f>
        <v>9</v>
      </c>
      <c r="E24" s="48">
        <v>0</v>
      </c>
      <c r="F24" s="51">
        <f>4.5+0+0+0</f>
        <v>4.5</v>
      </c>
      <c r="G24" s="33">
        <f>(6.5+8+1+0+0)</f>
        <v>15.5</v>
      </c>
      <c r="H24" s="33">
        <f>7+6</f>
        <v>13</v>
      </c>
      <c r="I24" s="33">
        <v>0</v>
      </c>
      <c r="J24" s="33">
        <v>0</v>
      </c>
      <c r="K24" s="36">
        <f t="shared" si="0"/>
        <v>0.27124999999999999</v>
      </c>
    </row>
    <row r="25" spans="1:23" ht="30" customHeight="1" x14ac:dyDescent="0.15">
      <c r="A25" s="24">
        <v>65878</v>
      </c>
      <c r="B25" s="50">
        <f>10+3+7.5+3</f>
        <v>23.5</v>
      </c>
      <c r="C25" s="32">
        <f>(8+6.5+6+7.5+7)</f>
        <v>35</v>
      </c>
      <c r="D25" s="50">
        <f>6+7+3+3</f>
        <v>19</v>
      </c>
      <c r="E25" s="48">
        <f>(8+7+0+0)</f>
        <v>15</v>
      </c>
      <c r="F25" s="51">
        <f>7.5+8.5+5+8.5</f>
        <v>29.5</v>
      </c>
      <c r="G25" s="33">
        <f>(6.5+7+8.5+8.5+0)</f>
        <v>30.5</v>
      </c>
      <c r="H25" s="33">
        <f>9+8+8+8.5</f>
        <v>33.5</v>
      </c>
      <c r="I25" s="33">
        <f>(8+10+7.5+0)</f>
        <v>25.5</v>
      </c>
      <c r="J25" s="51">
        <f>7+8+5+8.5</f>
        <v>28.5</v>
      </c>
      <c r="K25" s="36">
        <f t="shared" si="0"/>
        <v>0.94541666666666679</v>
      </c>
    </row>
    <row r="26" spans="1:23" ht="30" customHeight="1" x14ac:dyDescent="0.15">
      <c r="A26" s="24">
        <v>65882</v>
      </c>
      <c r="B26" s="51">
        <f>10+9.5+9+9.5</f>
        <v>38</v>
      </c>
      <c r="C26" s="33">
        <f>(9+9+9+9+9)</f>
        <v>45</v>
      </c>
      <c r="D26" s="51">
        <f>9+8+9.5+9</f>
        <v>35.5</v>
      </c>
      <c r="E26" s="48">
        <f>(9+9.5+10+9)</f>
        <v>37.5</v>
      </c>
      <c r="F26" s="51">
        <f>10+10+8.5+10</f>
        <v>38.5</v>
      </c>
      <c r="G26" s="33">
        <f>(1+10+10+9+9)</f>
        <v>39</v>
      </c>
      <c r="H26" s="33">
        <f>9.5+7</f>
        <v>16.5</v>
      </c>
      <c r="I26" s="33">
        <f>(10+10+10+0)</f>
        <v>30</v>
      </c>
      <c r="J26" s="51">
        <f>10+10+4+10</f>
        <v>34</v>
      </c>
      <c r="K26" s="36">
        <f t="shared" si="0"/>
        <v>1.2383333333333333</v>
      </c>
    </row>
    <row r="27" spans="1:23" ht="30" customHeight="1" x14ac:dyDescent="0.15">
      <c r="A27" s="24">
        <v>98422</v>
      </c>
      <c r="B27" s="51">
        <f>10+9+9+9.5</f>
        <v>37.5</v>
      </c>
      <c r="C27" s="33">
        <f>(9+10+9+9+9.5)</f>
        <v>46.5</v>
      </c>
      <c r="D27" s="51">
        <f>8+9+10+10</f>
        <v>37</v>
      </c>
      <c r="E27" s="33">
        <f>(9+9+9+8.5)</f>
        <v>35.5</v>
      </c>
      <c r="F27" s="61">
        <f>9.5+10+10+9</f>
        <v>38.5</v>
      </c>
      <c r="G27" s="33">
        <f>(10+10+10+10+10)</f>
        <v>50</v>
      </c>
      <c r="H27" s="33">
        <f>10+9.5+10+10</f>
        <v>39.5</v>
      </c>
      <c r="I27" s="33">
        <f>(10+10+10+10)</f>
        <v>40</v>
      </c>
      <c r="J27" s="51">
        <f>10+10+10+10</f>
        <v>40</v>
      </c>
      <c r="K27" s="36">
        <f>IF(SUM($B$33:$J$33)&gt;0,$K$29*($B27/$B$29+C27/$C$29+D27/$D$29+E27/$E$29+F27/$F$29+G27/$G$29+H27/$H$29+I27/$I$29+J27/$J$29)/SUM($B$33:$J$33),0)</f>
        <v>1.4383333333333335</v>
      </c>
    </row>
    <row r="28" spans="1:23" ht="30" customHeight="1" x14ac:dyDescent="0.15">
      <c r="A28" s="26"/>
      <c r="B28" s="2"/>
      <c r="C28" s="2"/>
      <c r="D28" s="2"/>
      <c r="E28" s="2"/>
      <c r="F28" s="2"/>
      <c r="K28" s="2"/>
    </row>
    <row r="29" spans="1:23" ht="30" customHeight="1" x14ac:dyDescent="0.15">
      <c r="A29" s="18" t="s">
        <v>14</v>
      </c>
      <c r="B29" s="39">
        <v>40</v>
      </c>
      <c r="C29" s="39">
        <v>50</v>
      </c>
      <c r="D29" s="39">
        <v>40</v>
      </c>
      <c r="E29" s="39">
        <v>40</v>
      </c>
      <c r="F29" s="39">
        <v>40</v>
      </c>
      <c r="G29" s="39">
        <v>50</v>
      </c>
      <c r="H29" s="39">
        <v>40</v>
      </c>
      <c r="I29" s="39">
        <v>40</v>
      </c>
      <c r="J29" s="39">
        <v>40</v>
      </c>
      <c r="K29" s="40">
        <v>1.5</v>
      </c>
    </row>
    <row r="30" spans="1:23" ht="30" customHeight="1" x14ac:dyDescent="0.15">
      <c r="A30" s="19" t="s">
        <v>15</v>
      </c>
      <c r="B30" s="41">
        <f t="shared" ref="B30:K30" si="1">AVERAGE(B$2:B$27)</f>
        <v>22.25</v>
      </c>
      <c r="C30" s="41">
        <f t="shared" si="1"/>
        <v>27.75</v>
      </c>
      <c r="D30" s="41">
        <f t="shared" si="1"/>
        <v>17.76923076923077</v>
      </c>
      <c r="E30" s="41">
        <f t="shared" si="1"/>
        <v>16</v>
      </c>
      <c r="F30" s="41">
        <f t="shared" si="1"/>
        <v>19.346153846153847</v>
      </c>
      <c r="G30" s="41">
        <f t="shared" si="1"/>
        <v>21.403846153846153</v>
      </c>
      <c r="H30" s="41">
        <f t="shared" si="1"/>
        <v>16.25</v>
      </c>
      <c r="I30" s="41">
        <f t="shared" si="1"/>
        <v>17.557692307692307</v>
      </c>
      <c r="J30" s="41">
        <f t="shared" si="1"/>
        <v>16.057692307692307</v>
      </c>
      <c r="K30" s="41">
        <f t="shared" si="1"/>
        <v>0.68564102564102569</v>
      </c>
    </row>
    <row r="31" spans="1:23" ht="30" customHeight="1" x14ac:dyDescent="0.15">
      <c r="A31" s="20" t="s">
        <v>16</v>
      </c>
      <c r="B31" s="41">
        <f t="shared" ref="B31:K31" si="2">STDEV(B$2:B$27)</f>
        <v>13.145531560191852</v>
      </c>
      <c r="C31" s="41">
        <f t="shared" si="2"/>
        <v>17.993471038129357</v>
      </c>
      <c r="D31" s="41">
        <f t="shared" si="2"/>
        <v>15.976376791519892</v>
      </c>
      <c r="E31" s="41">
        <f t="shared" si="2"/>
        <v>16.172198366332267</v>
      </c>
      <c r="F31" s="41">
        <f t="shared" si="2"/>
        <v>17.064447972770306</v>
      </c>
      <c r="G31" s="41">
        <f t="shared" si="2"/>
        <v>20.161358699635912</v>
      </c>
      <c r="H31" s="41">
        <f t="shared" si="2"/>
        <v>15.028140270838572</v>
      </c>
      <c r="I31" s="41">
        <f t="shared" si="2"/>
        <v>16.855460197263628</v>
      </c>
      <c r="J31" s="41">
        <f t="shared" si="2"/>
        <v>16.957786956485169</v>
      </c>
      <c r="K31" s="41">
        <f t="shared" si="2"/>
        <v>0.55511693251123562</v>
      </c>
    </row>
    <row r="32" spans="1:23" ht="30" customHeight="1" x14ac:dyDescent="0.15">
      <c r="A32" s="20" t="s">
        <v>17</v>
      </c>
      <c r="B32" s="41">
        <f t="shared" ref="B32:K32" si="3">MEDIAN(B$2:B$27)</f>
        <v>24.75</v>
      </c>
      <c r="C32" s="41">
        <f t="shared" si="3"/>
        <v>35.5</v>
      </c>
      <c r="D32" s="41">
        <f t="shared" si="3"/>
        <v>18.5</v>
      </c>
      <c r="E32" s="41">
        <f t="shared" si="3"/>
        <v>14.5</v>
      </c>
      <c r="F32" s="41">
        <f t="shared" si="3"/>
        <v>24.25</v>
      </c>
      <c r="G32" s="41">
        <f t="shared" si="3"/>
        <v>20.25</v>
      </c>
      <c r="H32" s="41">
        <f t="shared" si="3"/>
        <v>17.25</v>
      </c>
      <c r="I32" s="41">
        <f t="shared" si="3"/>
        <v>23.5</v>
      </c>
      <c r="J32" s="41">
        <f t="shared" si="3"/>
        <v>12.5</v>
      </c>
      <c r="K32" s="41">
        <f t="shared" si="3"/>
        <v>0.68354166666666671</v>
      </c>
    </row>
    <row r="33" spans="1:11" ht="30" customHeight="1" x14ac:dyDescent="0.15">
      <c r="A33" s="21" t="s">
        <v>18</v>
      </c>
      <c r="B33" s="42">
        <f t="shared" ref="B33:I33" si="4">IF(SUM(B2:B27)&gt;0,1,0)</f>
        <v>1</v>
      </c>
      <c r="C33" s="42">
        <f t="shared" si="4"/>
        <v>1</v>
      </c>
      <c r="D33" s="42">
        <f t="shared" si="4"/>
        <v>1</v>
      </c>
      <c r="E33" s="42">
        <f t="shared" si="4"/>
        <v>1</v>
      </c>
      <c r="F33" s="42">
        <f t="shared" si="4"/>
        <v>1</v>
      </c>
      <c r="G33" s="42">
        <f t="shared" si="4"/>
        <v>1</v>
      </c>
      <c r="H33" s="42">
        <f t="shared" si="4"/>
        <v>1</v>
      </c>
      <c r="I33" s="42">
        <f t="shared" si="4"/>
        <v>1</v>
      </c>
      <c r="J33" s="42">
        <f t="shared" ref="J33" si="5">IF(SUM(J2:J27)&gt;0,1,0)</f>
        <v>1</v>
      </c>
      <c r="K33" s="39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workbookViewId="0">
      <selection activeCell="D1" sqref="D1"/>
    </sheetView>
  </sheetViews>
  <sheetFormatPr baseColWidth="10" defaultRowHeight="13" x14ac:dyDescent="0.15"/>
  <cols>
    <col min="1" max="1" width="20.83203125" customWidth="1"/>
    <col min="2" max="2" width="14.83203125" customWidth="1"/>
    <col min="3" max="3" width="18.83203125" customWidth="1"/>
  </cols>
  <sheetData>
    <row r="1" spans="1:3" ht="25" customHeight="1" x14ac:dyDescent="0.15">
      <c r="A1" s="1" t="s">
        <v>4</v>
      </c>
      <c r="B1" s="3" t="s">
        <v>20</v>
      </c>
      <c r="C1" s="6" t="s">
        <v>0</v>
      </c>
    </row>
    <row r="2" spans="1:3" ht="30" customHeight="1" x14ac:dyDescent="0.15">
      <c r="A2" s="24">
        <v>11372</v>
      </c>
      <c r="B2" s="52">
        <f>(5+5.5+6+4.5+4)+(17+16+23)</f>
        <v>81</v>
      </c>
      <c r="C2" s="52"/>
    </row>
    <row r="3" spans="1:3" ht="30" customHeight="1" x14ac:dyDescent="0.15">
      <c r="A3" s="24">
        <v>26082</v>
      </c>
      <c r="B3" s="52">
        <f>(4+0+2+1.5+2.5)+(1+12+2)</f>
        <v>25</v>
      </c>
      <c r="C3" s="52"/>
    </row>
    <row r="4" spans="1:3" ht="30" customHeight="1" x14ac:dyDescent="0.15">
      <c r="A4" s="24">
        <v>28431</v>
      </c>
      <c r="B4" s="52">
        <f>(0+0+0+0+1)+(0+0+1)</f>
        <v>2</v>
      </c>
      <c r="C4" s="52"/>
    </row>
    <row r="5" spans="1:3" ht="30" customHeight="1" x14ac:dyDescent="0.15">
      <c r="A5" s="24">
        <v>28745</v>
      </c>
      <c r="B5" s="52">
        <f>(0+0+4+2+2)+(9+7+3)</f>
        <v>27</v>
      </c>
      <c r="C5" s="52"/>
    </row>
    <row r="6" spans="1:3" ht="30" customHeight="1" x14ac:dyDescent="0.15">
      <c r="A6" s="24">
        <v>30063</v>
      </c>
      <c r="B6" s="55">
        <f>(0+0+4+0+0) + (2+5+0)</f>
        <v>11</v>
      </c>
      <c r="C6" s="52"/>
    </row>
    <row r="7" spans="1:3" ht="30" customHeight="1" x14ac:dyDescent="0.15">
      <c r="A7" s="24">
        <v>32418</v>
      </c>
      <c r="B7" s="52">
        <f>(4+5.5+6+4.5+6)+(15+24+24)</f>
        <v>89</v>
      </c>
      <c r="C7" s="52"/>
    </row>
    <row r="8" spans="1:3" ht="30" customHeight="1" x14ac:dyDescent="0.15">
      <c r="A8" s="24">
        <v>39304</v>
      </c>
      <c r="B8" s="52">
        <f>(5+4+5.5+2+3)+(15+12+17)</f>
        <v>63.5</v>
      </c>
      <c r="C8" s="52"/>
    </row>
    <row r="9" spans="1:3" ht="30" customHeight="1" x14ac:dyDescent="0.15">
      <c r="A9" s="24">
        <v>41772</v>
      </c>
      <c r="B9" s="52">
        <f>(1+0+6+0+0)+(8+7+0)</f>
        <v>22</v>
      </c>
      <c r="C9" s="53"/>
    </row>
    <row r="10" spans="1:3" ht="30" customHeight="1" x14ac:dyDescent="0.15">
      <c r="A10" s="24">
        <v>41850</v>
      </c>
      <c r="B10" s="52">
        <f>(2+5.5+6+4.5+6)+11+16+13</f>
        <v>64</v>
      </c>
      <c r="C10" s="52"/>
    </row>
    <row r="11" spans="1:3" ht="30" customHeight="1" x14ac:dyDescent="0.15">
      <c r="A11" s="24">
        <v>42057</v>
      </c>
      <c r="B11" s="52">
        <f>(4+0+6+2+2.5)+(10+18+0)</f>
        <v>42.5</v>
      </c>
      <c r="C11" s="52"/>
    </row>
    <row r="12" spans="1:3" ht="30" customHeight="1" x14ac:dyDescent="0.15">
      <c r="A12" s="24">
        <v>43868</v>
      </c>
      <c r="B12" s="52">
        <f>(3+0+2+0+0)+(1+7+1)</f>
        <v>14</v>
      </c>
      <c r="C12" s="52"/>
    </row>
    <row r="13" spans="1:3" ht="30" customHeight="1" x14ac:dyDescent="0.15">
      <c r="A13" s="24">
        <v>44967</v>
      </c>
      <c r="B13" s="52">
        <f>(2+0+1+0+0)+(1+7+0)</f>
        <v>11</v>
      </c>
      <c r="C13" s="52"/>
    </row>
    <row r="14" spans="1:3" ht="30" customHeight="1" x14ac:dyDescent="0.15">
      <c r="A14" s="24">
        <v>46234</v>
      </c>
      <c r="B14" s="52">
        <f>(2+4.5+0+0+0)+(0+5+2)</f>
        <v>13.5</v>
      </c>
      <c r="C14" s="52"/>
    </row>
    <row r="15" spans="1:3" ht="30" customHeight="1" x14ac:dyDescent="0.15">
      <c r="A15" s="24">
        <v>48461</v>
      </c>
      <c r="B15" s="52">
        <f>(4+0+5+4+5.5)+(10+15+18)</f>
        <v>61.5</v>
      </c>
      <c r="C15" s="52"/>
    </row>
    <row r="16" spans="1:3" ht="30" customHeight="1" x14ac:dyDescent="0.15">
      <c r="A16" s="24">
        <v>48462</v>
      </c>
      <c r="B16" s="52">
        <f>(6+2.5+6+4.5+5)+(12+18+24)</f>
        <v>78</v>
      </c>
      <c r="C16" s="52"/>
    </row>
    <row r="17" spans="1:3" ht="30" customHeight="1" x14ac:dyDescent="0.15">
      <c r="A17" s="24">
        <v>48666</v>
      </c>
      <c r="B17" s="52">
        <f>(0+3+1+0+0)+(0+10+8)</f>
        <v>22</v>
      </c>
      <c r="C17" s="52"/>
    </row>
    <row r="18" spans="1:3" ht="30" customHeight="1" x14ac:dyDescent="0.15">
      <c r="A18" s="24">
        <v>48786</v>
      </c>
      <c r="B18" s="53">
        <f>(3+0+6+2+1)+(3+3+0)</f>
        <v>18</v>
      </c>
      <c r="C18" s="54"/>
    </row>
    <row r="19" spans="1:3" ht="30" customHeight="1" x14ac:dyDescent="0.15">
      <c r="A19" s="24">
        <v>50925</v>
      </c>
      <c r="B19" s="55">
        <f>(1+0+0.5+0+0)+(0+1+0)</f>
        <v>2.5</v>
      </c>
      <c r="C19" s="52"/>
    </row>
    <row r="20" spans="1:3" ht="30" customHeight="1" x14ac:dyDescent="0.15">
      <c r="A20" s="24">
        <v>52252</v>
      </c>
      <c r="B20" s="55">
        <f>(4+3+3+2+1)+(4+5+0)</f>
        <v>22</v>
      </c>
      <c r="C20" s="52"/>
    </row>
    <row r="21" spans="1:3" ht="30" customHeight="1" x14ac:dyDescent="0.15">
      <c r="A21" s="24">
        <v>53915</v>
      </c>
      <c r="B21" s="53">
        <f>(5+4.5+6+2.5+6)+(15+19+15)</f>
        <v>73</v>
      </c>
      <c r="C21" s="53"/>
    </row>
    <row r="22" spans="1:3" ht="30" customHeight="1" x14ac:dyDescent="0.15">
      <c r="A22" s="24">
        <v>56433</v>
      </c>
      <c r="B22" s="52">
        <f>(6+0+5.5+2.5+5)+(16+14+5)</f>
        <v>54</v>
      </c>
      <c r="C22" s="52"/>
    </row>
    <row r="23" spans="1:3" ht="30" customHeight="1" x14ac:dyDescent="0.15">
      <c r="A23" s="37">
        <v>58506</v>
      </c>
      <c r="B23" s="52">
        <f>(4+0+1+0+0)+(0+3+0)</f>
        <v>8</v>
      </c>
      <c r="C23" s="52"/>
    </row>
    <row r="24" spans="1:3" ht="30" customHeight="1" x14ac:dyDescent="0.15">
      <c r="A24" s="24">
        <v>62166</v>
      </c>
      <c r="B24" s="52">
        <f>(2+3.5+5+2+0)+(9+12+0)</f>
        <v>33.5</v>
      </c>
      <c r="C24" s="52"/>
    </row>
    <row r="25" spans="1:3" ht="30" customHeight="1" x14ac:dyDescent="0.15">
      <c r="A25" s="24">
        <v>65878</v>
      </c>
      <c r="B25" s="58">
        <f>(6+0+6+1+4)+(4+5+2)</f>
        <v>28</v>
      </c>
      <c r="C25" s="55"/>
    </row>
    <row r="26" spans="1:3" ht="30" customHeight="1" x14ac:dyDescent="0.15">
      <c r="A26" s="24">
        <v>65882</v>
      </c>
      <c r="B26" s="52">
        <f>(5+5.5+6+6+5.5)+(11+22+24)</f>
        <v>85</v>
      </c>
      <c r="C26" s="55"/>
    </row>
    <row r="27" spans="1:3" ht="30" customHeight="1" x14ac:dyDescent="0.15">
      <c r="A27" s="24">
        <v>98422</v>
      </c>
      <c r="B27" s="52">
        <f>(6+5.5+6+6+6)+(19+24+23)</f>
        <v>95.5</v>
      </c>
      <c r="C27" s="55"/>
    </row>
    <row r="28" spans="1:3" ht="20" customHeight="1" x14ac:dyDescent="0.15">
      <c r="A28" s="26"/>
      <c r="B28" s="24"/>
      <c r="C28" s="27"/>
    </row>
    <row r="29" spans="1:3" ht="30" customHeight="1" x14ac:dyDescent="0.15">
      <c r="A29" s="18" t="s">
        <v>14</v>
      </c>
      <c r="B29" s="43">
        <v>100</v>
      </c>
      <c r="C29" s="43">
        <v>100</v>
      </c>
    </row>
    <row r="30" spans="1:3" ht="30" customHeight="1" x14ac:dyDescent="0.15">
      <c r="A30" s="19" t="s">
        <v>15</v>
      </c>
      <c r="B30" s="44">
        <f>AVERAGE(B2:B27)</f>
        <v>40.25</v>
      </c>
      <c r="C30" s="44" t="e">
        <f>AVERAGE(C2:C27)</f>
        <v>#DIV/0!</v>
      </c>
    </row>
    <row r="31" spans="1:3" ht="30" customHeight="1" x14ac:dyDescent="0.15">
      <c r="A31" s="20" t="s">
        <v>16</v>
      </c>
      <c r="B31" s="44">
        <f>STDEV(B2:B27)</f>
        <v>29.988080965610319</v>
      </c>
      <c r="C31" s="44" t="e">
        <f>STDEV(C2:C27)</f>
        <v>#DIV/0!</v>
      </c>
    </row>
    <row r="32" spans="1:3" ht="30" customHeight="1" x14ac:dyDescent="0.15">
      <c r="A32" s="20" t="s">
        <v>17</v>
      </c>
      <c r="B32" s="44">
        <f>MEDIAN(B2:B27)</f>
        <v>27.5</v>
      </c>
      <c r="C32" s="44" t="e">
        <f>MEDIAN(C2:C27)</f>
        <v>#NUM!</v>
      </c>
    </row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8"/>
  <sheetViews>
    <sheetView topLeftCell="A8" zoomScaleNormal="100" workbookViewId="0">
      <selection activeCell="I1" sqref="I1"/>
    </sheetView>
  </sheetViews>
  <sheetFormatPr baseColWidth="10" defaultRowHeight="13" x14ac:dyDescent="0.15"/>
  <cols>
    <col min="1" max="1" width="20.83203125" customWidth="1"/>
    <col min="2" max="2" width="17.6640625" style="15" customWidth="1"/>
    <col min="3" max="3" width="14.83203125" customWidth="1"/>
    <col min="4" max="4" width="15" customWidth="1"/>
    <col min="5" max="5" width="17.83203125" customWidth="1"/>
    <col min="6" max="6" width="18.83203125" customWidth="1"/>
    <col min="7" max="7" width="17.83203125" customWidth="1"/>
    <col min="8" max="8" width="13.5" customWidth="1"/>
    <col min="9" max="9" width="11.6640625" customWidth="1"/>
  </cols>
  <sheetData>
    <row r="1" spans="1:8" ht="24" customHeight="1" x14ac:dyDescent="0.15">
      <c r="A1" s="14" t="s">
        <v>4</v>
      </c>
      <c r="B1" s="10" t="s">
        <v>33</v>
      </c>
      <c r="C1" s="10" t="s">
        <v>6</v>
      </c>
      <c r="D1" s="10" t="s">
        <v>20</v>
      </c>
      <c r="E1" s="6" t="s">
        <v>0</v>
      </c>
      <c r="F1" s="6" t="s">
        <v>3</v>
      </c>
      <c r="G1" s="6" t="s">
        <v>1</v>
      </c>
      <c r="H1" s="6" t="s">
        <v>2</v>
      </c>
    </row>
    <row r="2" spans="1:8" ht="30" customHeight="1" x14ac:dyDescent="0.15">
      <c r="A2" s="24">
        <v>11372</v>
      </c>
      <c r="B2" s="36">
        <f>Quizzes!K2</f>
        <v>0.88055555555555554</v>
      </c>
      <c r="C2" s="35">
        <f>Homework!K2</f>
        <v>1.33375</v>
      </c>
      <c r="D2" s="46">
        <f>Exams!B2</f>
        <v>81</v>
      </c>
      <c r="E2" s="33">
        <f>Exams!C2</f>
        <v>0</v>
      </c>
      <c r="F2" s="36">
        <f t="shared" ref="F2:F27" si="0">$B2+$C2+IF(($E2&gt;$D2),($E2/$E$29)*7, ($D2/$D$29)*3+($E2/$E$29)*4)</f>
        <v>4.6443055555555564</v>
      </c>
      <c r="G2" s="36">
        <f>0.5*INT(F2/0.5)+INT( ((F2-INT(F2/0.5)*0.5)/0.25))*0.5</f>
        <v>4.5</v>
      </c>
      <c r="H2" s="34">
        <f>IF(G2&gt;4.75,1,0)</f>
        <v>0</v>
      </c>
    </row>
    <row r="3" spans="1:8" ht="30" customHeight="1" x14ac:dyDescent="0.15">
      <c r="A3" s="24">
        <v>26082</v>
      </c>
      <c r="B3" s="36">
        <f>Quizzes!K3</f>
        <v>0.53055555555555556</v>
      </c>
      <c r="C3" s="35">
        <f>Homework!K3</f>
        <v>0.38291666666666668</v>
      </c>
      <c r="D3" s="46">
        <f>Exams!B3</f>
        <v>25</v>
      </c>
      <c r="E3" s="33">
        <f>Exams!C3</f>
        <v>0</v>
      </c>
      <c r="F3" s="36">
        <f t="shared" si="0"/>
        <v>1.6634722222222222</v>
      </c>
      <c r="G3" s="36">
        <f t="shared" ref="G3:G27" si="1">0.5*INT(F3/0.5)+INT( ((F3-INT(F3/0.5)*0.5)/0.25))*0.5</f>
        <v>1.5</v>
      </c>
      <c r="H3" s="34">
        <f t="shared" ref="H3:H27" si="2">IF(G3&gt;4.75,1,0)</f>
        <v>0</v>
      </c>
    </row>
    <row r="4" spans="1:8" ht="30" customHeight="1" x14ac:dyDescent="0.15">
      <c r="A4" s="24">
        <v>28431</v>
      </c>
      <c r="B4" s="36">
        <f>Quizzes!K4</f>
        <v>0.44722222222222219</v>
      </c>
      <c r="C4" s="35">
        <f>Homework!K4</f>
        <v>0.13250000000000001</v>
      </c>
      <c r="D4" s="46">
        <f>Exams!B4</f>
        <v>2</v>
      </c>
      <c r="E4" s="33">
        <f>Exams!C4</f>
        <v>0</v>
      </c>
      <c r="F4" s="36">
        <f t="shared" si="0"/>
        <v>0.6397222222222223</v>
      </c>
      <c r="G4" s="36">
        <f t="shared" si="1"/>
        <v>0.5</v>
      </c>
      <c r="H4" s="34">
        <f t="shared" si="2"/>
        <v>0</v>
      </c>
    </row>
    <row r="5" spans="1:8" ht="30" customHeight="1" x14ac:dyDescent="0.15">
      <c r="A5" s="24">
        <v>28745</v>
      </c>
      <c r="B5" s="36">
        <f>Quizzes!K5</f>
        <v>0.51944444444444438</v>
      </c>
      <c r="C5" s="35">
        <f>Homework!K5</f>
        <v>0.5708333333333333</v>
      </c>
      <c r="D5" s="46">
        <f>Exams!B5</f>
        <v>27</v>
      </c>
      <c r="E5" s="33">
        <f>Exams!C5</f>
        <v>0</v>
      </c>
      <c r="F5" s="36">
        <f t="shared" si="0"/>
        <v>1.9002777777777777</v>
      </c>
      <c r="G5" s="36">
        <f t="shared" si="1"/>
        <v>2</v>
      </c>
      <c r="H5" s="34">
        <f t="shared" si="2"/>
        <v>0</v>
      </c>
    </row>
    <row r="6" spans="1:8" ht="30" customHeight="1" x14ac:dyDescent="0.15">
      <c r="A6" s="24">
        <v>30063</v>
      </c>
      <c r="B6" s="36">
        <f>Quizzes!K6</f>
        <v>0.39722222222222225</v>
      </c>
      <c r="C6" s="35">
        <f>Homework!K6</f>
        <v>0.13833333333333334</v>
      </c>
      <c r="D6" s="46">
        <f>Exams!B6</f>
        <v>11</v>
      </c>
      <c r="E6" s="33">
        <f>Exams!C6</f>
        <v>0</v>
      </c>
      <c r="F6" s="36">
        <f t="shared" si="0"/>
        <v>0.86555555555555563</v>
      </c>
      <c r="G6" s="36">
        <f t="shared" si="1"/>
        <v>1</v>
      </c>
      <c r="H6" s="34">
        <f t="shared" si="2"/>
        <v>0</v>
      </c>
    </row>
    <row r="7" spans="1:8" ht="30" customHeight="1" x14ac:dyDescent="0.15">
      <c r="A7" s="24">
        <v>32418</v>
      </c>
      <c r="B7" s="36">
        <f>Quizzes!K7</f>
        <v>1.1805555555555556</v>
      </c>
      <c r="C7" s="35">
        <f>Homework!K7</f>
        <v>1.4016666666666666</v>
      </c>
      <c r="D7" s="46">
        <f>Exams!B7</f>
        <v>89</v>
      </c>
      <c r="E7" s="33">
        <f>Exams!C7</f>
        <v>0</v>
      </c>
      <c r="F7" s="36">
        <f t="shared" si="0"/>
        <v>5.2522222222222226</v>
      </c>
      <c r="G7" s="36">
        <f t="shared" si="1"/>
        <v>5.5</v>
      </c>
      <c r="H7" s="34">
        <f t="shared" si="2"/>
        <v>1</v>
      </c>
    </row>
    <row r="8" spans="1:8" ht="30" customHeight="1" x14ac:dyDescent="0.15">
      <c r="A8" s="24">
        <v>39304</v>
      </c>
      <c r="B8" s="36">
        <f>Quizzes!K8</f>
        <v>0.79722222222222217</v>
      </c>
      <c r="C8" s="35">
        <f>Homework!K8</f>
        <v>1.3941666666666666</v>
      </c>
      <c r="D8" s="46">
        <f>Exams!B8</f>
        <v>63.5</v>
      </c>
      <c r="E8" s="33">
        <f>Exams!C8</f>
        <v>0</v>
      </c>
      <c r="F8" s="36">
        <f t="shared" si="0"/>
        <v>4.0963888888888889</v>
      </c>
      <c r="G8" s="36">
        <f t="shared" si="1"/>
        <v>4</v>
      </c>
      <c r="H8" s="34">
        <f t="shared" si="2"/>
        <v>0</v>
      </c>
    </row>
    <row r="9" spans="1:8" ht="30" customHeight="1" x14ac:dyDescent="0.15">
      <c r="A9" s="24">
        <v>41772</v>
      </c>
      <c r="B9" s="36">
        <f>Quizzes!K9</f>
        <v>0.13055555555555554</v>
      </c>
      <c r="C9" s="35">
        <f>Homework!K9</f>
        <v>0.15208333333333335</v>
      </c>
      <c r="D9" s="46">
        <f>Exams!B9</f>
        <v>22</v>
      </c>
      <c r="E9" s="33">
        <f>Exams!C9</f>
        <v>0</v>
      </c>
      <c r="F9" s="36">
        <f t="shared" si="0"/>
        <v>0.94263888888888892</v>
      </c>
      <c r="G9" s="36">
        <f t="shared" si="1"/>
        <v>1</v>
      </c>
      <c r="H9" s="34">
        <f t="shared" si="2"/>
        <v>0</v>
      </c>
    </row>
    <row r="10" spans="1:8" ht="30" customHeight="1" x14ac:dyDescent="0.15">
      <c r="A10" s="24">
        <v>41850</v>
      </c>
      <c r="B10" s="36">
        <f>Quizzes!K10</f>
        <v>0.89166666666666672</v>
      </c>
      <c r="C10" s="35">
        <f>Homework!K10</f>
        <v>1.2324999999999999</v>
      </c>
      <c r="D10" s="46">
        <f>Exams!B10</f>
        <v>64</v>
      </c>
      <c r="E10" s="33">
        <f>Exams!C10</f>
        <v>0</v>
      </c>
      <c r="F10" s="36">
        <f t="shared" si="0"/>
        <v>4.0441666666666665</v>
      </c>
      <c r="G10" s="36">
        <f t="shared" si="1"/>
        <v>4</v>
      </c>
      <c r="H10" s="34">
        <f t="shared" si="2"/>
        <v>0</v>
      </c>
    </row>
    <row r="11" spans="1:8" ht="30" customHeight="1" x14ac:dyDescent="0.15">
      <c r="A11" s="24">
        <v>42057</v>
      </c>
      <c r="B11" s="36">
        <f>Quizzes!K11</f>
        <v>0.56944444444444442</v>
      </c>
      <c r="C11" s="35">
        <f>Homework!K11</f>
        <v>1.3262500000000002</v>
      </c>
      <c r="D11" s="46">
        <f>Exams!B11</f>
        <v>42.5</v>
      </c>
      <c r="E11" s="33">
        <f>Exams!C11</f>
        <v>0</v>
      </c>
      <c r="F11" s="36">
        <f t="shared" si="0"/>
        <v>3.1706944444444445</v>
      </c>
      <c r="G11" s="36">
        <f t="shared" si="1"/>
        <v>3</v>
      </c>
      <c r="H11" s="34">
        <f t="shared" si="2"/>
        <v>0</v>
      </c>
    </row>
    <row r="12" spans="1:8" ht="30" customHeight="1" x14ac:dyDescent="0.15">
      <c r="A12" s="24">
        <v>43868</v>
      </c>
      <c r="B12" s="36">
        <f>Quizzes!K12</f>
        <v>0.14722222222222223</v>
      </c>
      <c r="C12" s="35">
        <f>Homework!K12</f>
        <v>0</v>
      </c>
      <c r="D12" s="46">
        <f>Exams!B12</f>
        <v>14</v>
      </c>
      <c r="E12" s="33">
        <f>Exams!C12</f>
        <v>0</v>
      </c>
      <c r="F12" s="36">
        <f t="shared" si="0"/>
        <v>0.56722222222222229</v>
      </c>
      <c r="G12" s="36">
        <f t="shared" si="1"/>
        <v>0.5</v>
      </c>
      <c r="H12" s="34">
        <f t="shared" si="2"/>
        <v>0</v>
      </c>
    </row>
    <row r="13" spans="1:8" ht="30" customHeight="1" x14ac:dyDescent="0.15">
      <c r="A13" s="24">
        <v>44967</v>
      </c>
      <c r="B13" s="36">
        <f>Quizzes!K13</f>
        <v>0.21388888888888888</v>
      </c>
      <c r="C13" s="35">
        <f>Homework!K13</f>
        <v>0.04</v>
      </c>
      <c r="D13" s="46">
        <f>Exams!B13</f>
        <v>11</v>
      </c>
      <c r="E13" s="33">
        <f>Exams!C13</f>
        <v>0</v>
      </c>
      <c r="F13" s="36">
        <f t="shared" si="0"/>
        <v>0.5838888888888889</v>
      </c>
      <c r="G13" s="36">
        <f t="shared" si="1"/>
        <v>0.5</v>
      </c>
      <c r="H13" s="34">
        <f t="shared" si="2"/>
        <v>0</v>
      </c>
    </row>
    <row r="14" spans="1:8" ht="30" customHeight="1" x14ac:dyDescent="0.15">
      <c r="A14" s="24">
        <v>46234</v>
      </c>
      <c r="B14" s="36">
        <f>Quizzes!K14</f>
        <v>9.1666666666666674E-2</v>
      </c>
      <c r="C14" s="35">
        <f>Homework!K14</f>
        <v>3.3750000000000002E-2</v>
      </c>
      <c r="D14" s="46">
        <f>Exams!B14</f>
        <v>13.5</v>
      </c>
      <c r="E14" s="33">
        <f>Exams!C14</f>
        <v>0</v>
      </c>
      <c r="F14" s="36">
        <f t="shared" si="0"/>
        <v>0.53041666666666676</v>
      </c>
      <c r="G14" s="36">
        <f t="shared" si="1"/>
        <v>0.5</v>
      </c>
      <c r="H14" s="34">
        <f t="shared" si="2"/>
        <v>0</v>
      </c>
    </row>
    <row r="15" spans="1:8" ht="30" customHeight="1" x14ac:dyDescent="0.15">
      <c r="A15" s="24">
        <v>48461</v>
      </c>
      <c r="B15" s="36">
        <f>Quizzes!K15</f>
        <v>0.78055555555555578</v>
      </c>
      <c r="C15" s="35">
        <f>Homework!K15</f>
        <v>0.98916666666666664</v>
      </c>
      <c r="D15" s="46">
        <f>Exams!B15</f>
        <v>61.5</v>
      </c>
      <c r="E15" s="33">
        <f>Exams!C15</f>
        <v>0</v>
      </c>
      <c r="F15" s="36">
        <f t="shared" si="0"/>
        <v>3.6147222222222224</v>
      </c>
      <c r="G15" s="36">
        <f t="shared" si="1"/>
        <v>3.5</v>
      </c>
      <c r="H15" s="34">
        <f t="shared" si="2"/>
        <v>0</v>
      </c>
    </row>
    <row r="16" spans="1:8" ht="30" customHeight="1" x14ac:dyDescent="0.15">
      <c r="A16" s="24">
        <v>48462</v>
      </c>
      <c r="B16" s="36">
        <f>Quizzes!K16</f>
        <v>1.1027777777777776</v>
      </c>
      <c r="C16" s="35">
        <f>Homework!K16</f>
        <v>1.3433333333333333</v>
      </c>
      <c r="D16" s="46">
        <f>Exams!B16</f>
        <v>78</v>
      </c>
      <c r="E16" s="33">
        <f>Exams!C16</f>
        <v>0</v>
      </c>
      <c r="F16" s="36">
        <f t="shared" si="0"/>
        <v>4.7861111111111105</v>
      </c>
      <c r="G16" s="36">
        <f t="shared" si="1"/>
        <v>5</v>
      </c>
      <c r="H16" s="34">
        <f t="shared" si="2"/>
        <v>1</v>
      </c>
    </row>
    <row r="17" spans="1:8" ht="30" customHeight="1" x14ac:dyDescent="0.15">
      <c r="A17" s="24">
        <v>48666</v>
      </c>
      <c r="B17" s="36">
        <f>Quizzes!K17</f>
        <v>0.52499999999999991</v>
      </c>
      <c r="C17" s="35">
        <f>Homework!K17</f>
        <v>0.79625000000000001</v>
      </c>
      <c r="D17" s="46">
        <f>Exams!B17</f>
        <v>22</v>
      </c>
      <c r="E17" s="33">
        <f>Exams!C17</f>
        <v>0</v>
      </c>
      <c r="F17" s="36">
        <f t="shared" si="0"/>
        <v>1.9812500000000002</v>
      </c>
      <c r="G17" s="36">
        <f t="shared" si="1"/>
        <v>2</v>
      </c>
      <c r="H17" s="34">
        <f t="shared" si="2"/>
        <v>0</v>
      </c>
    </row>
    <row r="18" spans="1:8" ht="30" customHeight="1" x14ac:dyDescent="0.15">
      <c r="A18" s="24">
        <v>48786</v>
      </c>
      <c r="B18" s="36">
        <f>Quizzes!K18</f>
        <v>0.28611111111111115</v>
      </c>
      <c r="C18" s="35">
        <f>Homework!K18</f>
        <v>0.5229166666666667</v>
      </c>
      <c r="D18" s="46">
        <f>Exams!B18</f>
        <v>18</v>
      </c>
      <c r="E18" s="33">
        <f>Exams!C18</f>
        <v>0</v>
      </c>
      <c r="F18" s="36">
        <f t="shared" si="0"/>
        <v>1.3490277777777779</v>
      </c>
      <c r="G18" s="36">
        <f t="shared" si="1"/>
        <v>1.5</v>
      </c>
      <c r="H18" s="34">
        <f t="shared" si="2"/>
        <v>0</v>
      </c>
    </row>
    <row r="19" spans="1:8" ht="30" customHeight="1" x14ac:dyDescent="0.15">
      <c r="A19" s="24">
        <v>50925</v>
      </c>
      <c r="B19" s="36">
        <f>Quizzes!K19</f>
        <v>0.17222222222222219</v>
      </c>
      <c r="C19" s="35">
        <f>Homework!K19</f>
        <v>3.333333333333334E-2</v>
      </c>
      <c r="D19" s="46">
        <f>Exams!B19</f>
        <v>2.5</v>
      </c>
      <c r="E19" s="33">
        <f>Exams!C19</f>
        <v>0</v>
      </c>
      <c r="F19" s="36">
        <f t="shared" si="0"/>
        <v>0.28055555555555556</v>
      </c>
      <c r="G19" s="36">
        <f t="shared" si="1"/>
        <v>0.5</v>
      </c>
      <c r="H19" s="34">
        <f t="shared" si="2"/>
        <v>0</v>
      </c>
    </row>
    <row r="20" spans="1:8" ht="30" customHeight="1" x14ac:dyDescent="0.15">
      <c r="A20" s="24">
        <v>52252</v>
      </c>
      <c r="B20" s="36">
        <f>Quizzes!K20</f>
        <v>0.23333333333333328</v>
      </c>
      <c r="C20" s="35">
        <f>Homework!K20</f>
        <v>2.916666666666666E-2</v>
      </c>
      <c r="D20" s="46">
        <f>Exams!B20</f>
        <v>22</v>
      </c>
      <c r="E20" s="33">
        <f>Exams!C20</f>
        <v>0</v>
      </c>
      <c r="F20" s="36">
        <f t="shared" si="0"/>
        <v>0.92249999999999999</v>
      </c>
      <c r="G20" s="36">
        <f t="shared" si="1"/>
        <v>1</v>
      </c>
      <c r="H20" s="34">
        <f t="shared" si="2"/>
        <v>0</v>
      </c>
    </row>
    <row r="21" spans="1:8" ht="30" customHeight="1" x14ac:dyDescent="0.15">
      <c r="A21" s="24">
        <v>53915</v>
      </c>
      <c r="B21" s="36">
        <f>Quizzes!K21</f>
        <v>1.0805555555555555</v>
      </c>
      <c r="C21" s="35">
        <f>Homework!K21</f>
        <v>1.0483333333333336</v>
      </c>
      <c r="D21" s="46">
        <f>Exams!B21</f>
        <v>73</v>
      </c>
      <c r="E21" s="33">
        <f>Exams!C21</f>
        <v>0</v>
      </c>
      <c r="F21" s="36">
        <f t="shared" si="0"/>
        <v>4.318888888888889</v>
      </c>
      <c r="G21" s="36">
        <f t="shared" si="1"/>
        <v>4.5</v>
      </c>
      <c r="H21" s="34">
        <f t="shared" si="2"/>
        <v>0</v>
      </c>
    </row>
    <row r="22" spans="1:8" ht="30" customHeight="1" x14ac:dyDescent="0.15">
      <c r="A22" s="24">
        <v>56433</v>
      </c>
      <c r="B22" s="36">
        <f>Quizzes!K22</f>
        <v>0.83611111111111114</v>
      </c>
      <c r="C22" s="35">
        <f>Homework!K22</f>
        <v>1.0320833333333335</v>
      </c>
      <c r="D22" s="46">
        <f>Exams!B22</f>
        <v>54</v>
      </c>
      <c r="E22" s="33">
        <f>Exams!C22</f>
        <v>0</v>
      </c>
      <c r="F22" s="36">
        <f t="shared" si="0"/>
        <v>3.4881944444444448</v>
      </c>
      <c r="G22" s="36">
        <f t="shared" si="1"/>
        <v>3.5</v>
      </c>
      <c r="H22" s="34">
        <f t="shared" si="2"/>
        <v>0</v>
      </c>
    </row>
    <row r="23" spans="1:8" ht="30" customHeight="1" x14ac:dyDescent="0.15">
      <c r="A23" s="37">
        <v>58506</v>
      </c>
      <c r="B23" s="36">
        <f>Quizzes!K23</f>
        <v>9.1666666666666674E-2</v>
      </c>
      <c r="C23" s="35">
        <f>Homework!K23</f>
        <v>0</v>
      </c>
      <c r="D23" s="46">
        <f>Exams!B23</f>
        <v>8</v>
      </c>
      <c r="E23" s="33">
        <f>Exams!C23</f>
        <v>0</v>
      </c>
      <c r="F23" s="36">
        <f t="shared" si="0"/>
        <v>0.33166666666666667</v>
      </c>
      <c r="G23" s="36">
        <f t="shared" si="1"/>
        <v>0.5</v>
      </c>
      <c r="H23" s="34">
        <f t="shared" si="2"/>
        <v>0</v>
      </c>
    </row>
    <row r="24" spans="1:8" ht="30" customHeight="1" x14ac:dyDescent="0.15">
      <c r="A24" s="24">
        <v>62166</v>
      </c>
      <c r="B24" s="36">
        <f>Quizzes!K24</f>
        <v>0.42500000000000004</v>
      </c>
      <c r="C24" s="35">
        <f>Homework!K24</f>
        <v>0.27124999999999999</v>
      </c>
      <c r="D24" s="46">
        <f>Exams!B24</f>
        <v>33.5</v>
      </c>
      <c r="E24" s="33">
        <f>Exams!C24</f>
        <v>0</v>
      </c>
      <c r="F24" s="36">
        <f t="shared" si="0"/>
        <v>1.7012500000000002</v>
      </c>
      <c r="G24" s="36">
        <f t="shared" ref="G24:G26" si="3">0.5*INT(F24/0.5)+INT( ((F24-INT(F24/0.5)*0.5)/0.25))*0.5</f>
        <v>1.5</v>
      </c>
      <c r="H24" s="34">
        <f t="shared" ref="H24:H26" si="4">IF(G24&gt;4.75,1,0)</f>
        <v>0</v>
      </c>
    </row>
    <row r="25" spans="1:8" ht="30" customHeight="1" x14ac:dyDescent="0.15">
      <c r="A25" s="24">
        <v>65878</v>
      </c>
      <c r="B25" s="36">
        <f>Quizzes!K25</f>
        <v>0.56944444444444442</v>
      </c>
      <c r="C25" s="35">
        <f>Homework!K25</f>
        <v>0.94541666666666679</v>
      </c>
      <c r="D25" s="46">
        <f>Exams!B25</f>
        <v>28</v>
      </c>
      <c r="E25" s="33">
        <f>Exams!C25</f>
        <v>0</v>
      </c>
      <c r="F25" s="36">
        <f t="shared" si="0"/>
        <v>2.3548611111111111</v>
      </c>
      <c r="G25" s="36">
        <f t="shared" si="3"/>
        <v>2.5</v>
      </c>
      <c r="H25" s="34">
        <f t="shared" si="4"/>
        <v>0</v>
      </c>
    </row>
    <row r="26" spans="1:8" ht="30" customHeight="1" x14ac:dyDescent="0.15">
      <c r="A26" s="24">
        <v>65882</v>
      </c>
      <c r="B26" s="36">
        <f>Quizzes!K26</f>
        <v>1.1805555555555556</v>
      </c>
      <c r="C26" s="35">
        <f>Homework!K26</f>
        <v>1.2383333333333333</v>
      </c>
      <c r="D26" s="46">
        <f>Exams!B26</f>
        <v>85</v>
      </c>
      <c r="E26" s="33">
        <f>Exams!C26</f>
        <v>0</v>
      </c>
      <c r="F26" s="36">
        <f t="shared" si="0"/>
        <v>4.9688888888888885</v>
      </c>
      <c r="G26" s="36">
        <f t="shared" si="3"/>
        <v>5</v>
      </c>
      <c r="H26" s="34">
        <f t="shared" si="4"/>
        <v>1</v>
      </c>
    </row>
    <row r="27" spans="1:8" ht="30" customHeight="1" x14ac:dyDescent="0.15">
      <c r="A27" s="24">
        <v>98422</v>
      </c>
      <c r="B27" s="36">
        <f>Quizzes!K27</f>
        <v>1.3138888888888891</v>
      </c>
      <c r="C27" s="35">
        <f>Homework!K27</f>
        <v>1.4383333333333335</v>
      </c>
      <c r="D27" s="46">
        <f>Exams!B27</f>
        <v>95.5</v>
      </c>
      <c r="E27" s="33">
        <f>Exams!C27</f>
        <v>0</v>
      </c>
      <c r="F27" s="36">
        <f t="shared" si="0"/>
        <v>5.6172222222222228</v>
      </c>
      <c r="G27" s="36">
        <f t="shared" si="1"/>
        <v>5.5</v>
      </c>
      <c r="H27" s="34">
        <f t="shared" si="2"/>
        <v>1</v>
      </c>
    </row>
    <row r="28" spans="1:8" ht="30" customHeight="1" x14ac:dyDescent="0.15">
      <c r="A28" s="24"/>
      <c r="B28" s="28"/>
      <c r="C28" s="29"/>
      <c r="D28" s="29"/>
      <c r="E28" s="16"/>
      <c r="F28" s="9"/>
      <c r="G28" s="9"/>
      <c r="H28" s="8"/>
    </row>
    <row r="29" spans="1:8" ht="30" customHeight="1" x14ac:dyDescent="0.15">
      <c r="A29" s="18" t="s">
        <v>14</v>
      </c>
      <c r="B29" s="45">
        <f>Quizzes!K29</f>
        <v>1.5</v>
      </c>
      <c r="C29" s="45">
        <f>Homework!K29</f>
        <v>1.5</v>
      </c>
      <c r="D29" s="38">
        <f>Exams!B29</f>
        <v>100</v>
      </c>
      <c r="E29" s="39">
        <f>Exams!C29</f>
        <v>100</v>
      </c>
      <c r="F29" s="39">
        <v>10</v>
      </c>
      <c r="G29" s="39">
        <v>10</v>
      </c>
      <c r="H29" s="39">
        <f>SUM(H2:H27)</f>
        <v>4</v>
      </c>
    </row>
    <row r="30" spans="1:8" ht="30" customHeight="1" x14ac:dyDescent="0.15">
      <c r="A30" s="19" t="s">
        <v>15</v>
      </c>
      <c r="B30" s="41">
        <f t="shared" ref="B30:H30" si="5">AVERAGE(B$2:B$27)</f>
        <v>0.5920940170940171</v>
      </c>
      <c r="C30" s="41">
        <f t="shared" si="5"/>
        <v>0.68564102564102569</v>
      </c>
      <c r="D30" s="41">
        <f t="shared" si="5"/>
        <v>40.25</v>
      </c>
      <c r="E30" s="41">
        <f t="shared" si="5"/>
        <v>0</v>
      </c>
      <c r="F30" s="41">
        <f t="shared" si="5"/>
        <v>2.4852350427350434</v>
      </c>
      <c r="G30" s="41">
        <f t="shared" si="5"/>
        <v>2.5</v>
      </c>
      <c r="H30" s="41">
        <f t="shared" si="5"/>
        <v>0.15384615384615385</v>
      </c>
    </row>
    <row r="31" spans="1:8" ht="30" customHeight="1" x14ac:dyDescent="0.15">
      <c r="A31" s="20" t="s">
        <v>16</v>
      </c>
      <c r="B31" s="41">
        <f t="shared" ref="B31:H31" si="6">STDEV(B$2:B$27)</f>
        <v>0.37831064731110298</v>
      </c>
      <c r="C31" s="41">
        <f t="shared" si="6"/>
        <v>0.55511693251123562</v>
      </c>
      <c r="D31" s="41">
        <f t="shared" si="6"/>
        <v>29.988080965610319</v>
      </c>
      <c r="E31" s="41">
        <f t="shared" si="6"/>
        <v>0</v>
      </c>
      <c r="F31" s="41">
        <f t="shared" si="6"/>
        <v>1.7820030551412527</v>
      </c>
      <c r="G31" s="41">
        <f t="shared" si="6"/>
        <v>1.7832554500127009</v>
      </c>
      <c r="H31" s="41">
        <f t="shared" si="6"/>
        <v>0.36794648440311994</v>
      </c>
    </row>
    <row r="32" spans="1:8" ht="30" customHeight="1" x14ac:dyDescent="0.15">
      <c r="A32" s="20" t="s">
        <v>17</v>
      </c>
      <c r="B32" s="41">
        <f t="shared" ref="B32:H32" si="7">MEDIAN(B$2:B$27)</f>
        <v>0.52777777777777768</v>
      </c>
      <c r="C32" s="41">
        <f t="shared" si="7"/>
        <v>0.68354166666666671</v>
      </c>
      <c r="D32" s="41">
        <f t="shared" si="7"/>
        <v>27.5</v>
      </c>
      <c r="E32" s="41">
        <f t="shared" si="7"/>
        <v>0</v>
      </c>
      <c r="F32" s="41">
        <f t="shared" si="7"/>
        <v>1.940763888888889</v>
      </c>
      <c r="G32" s="41">
        <f t="shared" si="7"/>
        <v>2</v>
      </c>
      <c r="H32" s="41">
        <f t="shared" si="7"/>
        <v>0</v>
      </c>
    </row>
    <row r="33" spans="2:2" x14ac:dyDescent="0.15">
      <c r="B33"/>
    </row>
    <row r="34" spans="2:2" x14ac:dyDescent="0.15">
      <c r="B34"/>
    </row>
    <row r="35" spans="2:2" x14ac:dyDescent="0.15">
      <c r="B35"/>
    </row>
    <row r="36" spans="2:2" x14ac:dyDescent="0.15">
      <c r="B36"/>
    </row>
    <row r="37" spans="2:2" x14ac:dyDescent="0.15">
      <c r="B37"/>
    </row>
    <row r="38" spans="2:2" x14ac:dyDescent="0.15">
      <c r="B38"/>
    </row>
    <row r="39" spans="2:2" x14ac:dyDescent="0.15">
      <c r="B39"/>
    </row>
    <row r="40" spans="2:2" x14ac:dyDescent="0.15">
      <c r="B40"/>
    </row>
    <row r="41" spans="2:2" x14ac:dyDescent="0.15">
      <c r="B41"/>
    </row>
    <row r="42" spans="2:2" x14ac:dyDescent="0.15">
      <c r="B42"/>
    </row>
    <row r="43" spans="2:2" x14ac:dyDescent="0.15">
      <c r="B43"/>
    </row>
    <row r="44" spans="2:2" x14ac:dyDescent="0.15">
      <c r="B44"/>
    </row>
    <row r="45" spans="2:2" x14ac:dyDescent="0.15">
      <c r="B45"/>
    </row>
    <row r="46" spans="2:2" x14ac:dyDescent="0.15">
      <c r="B46"/>
    </row>
    <row r="47" spans="2:2" x14ac:dyDescent="0.15">
      <c r="B47"/>
    </row>
    <row r="48" spans="2:2" x14ac:dyDescent="0.15">
      <c r="B48"/>
    </row>
    <row r="49" spans="2:2" x14ac:dyDescent="0.15">
      <c r="B49"/>
    </row>
    <row r="50" spans="2:2" x14ac:dyDescent="0.15">
      <c r="B50"/>
    </row>
    <row r="51" spans="2:2" x14ac:dyDescent="0.15">
      <c r="B51"/>
    </row>
    <row r="52" spans="2:2" x14ac:dyDescent="0.15">
      <c r="B52"/>
    </row>
    <row r="53" spans="2:2" x14ac:dyDescent="0.15">
      <c r="B53"/>
    </row>
    <row r="54" spans="2:2" x14ac:dyDescent="0.15">
      <c r="B54"/>
    </row>
    <row r="55" spans="2:2" x14ac:dyDescent="0.15">
      <c r="B55"/>
    </row>
    <row r="56" spans="2:2" x14ac:dyDescent="0.15">
      <c r="B56"/>
    </row>
    <row r="57" spans="2:2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</sheetData>
  <phoneticPr fontId="5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2020-09-07T14:38:33Z</cp:lastPrinted>
  <dcterms:created xsi:type="dcterms:W3CDTF">2008-09-16T13:43:39Z</dcterms:created>
  <dcterms:modified xsi:type="dcterms:W3CDTF">2021-05-21T08:15:34Z</dcterms:modified>
</cp:coreProperties>
</file>