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160" yWindow="0" windowWidth="28800" windowHeight="17920" tabRatio="601"/>
  </bookViews>
  <sheets>
    <sheet name="pendulum" sheetId="8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8" l="1"/>
  <c r="E9" i="8"/>
  <c r="E8" i="8"/>
  <c r="E7" i="8"/>
  <c r="E6" i="8"/>
  <c r="E5" i="8"/>
  <c r="E4" i="8"/>
  <c r="E3" i="8"/>
  <c r="E2" i="8"/>
  <c r="F2" i="8"/>
  <c r="F3" i="8"/>
  <c r="F4" i="8"/>
  <c r="F5" i="8"/>
  <c r="F6" i="8"/>
  <c r="F7" i="8"/>
  <c r="F8" i="8"/>
  <c r="F9" i="8"/>
  <c r="F10" i="8"/>
  <c r="F13" i="8"/>
  <c r="G2" i="8"/>
  <c r="G3" i="8"/>
  <c r="G4" i="8"/>
  <c r="G5" i="8"/>
  <c r="G6" i="8"/>
  <c r="G7" i="8"/>
  <c r="G8" i="8"/>
  <c r="G9" i="8"/>
  <c r="G10" i="8"/>
  <c r="G13" i="8"/>
  <c r="H2" i="8"/>
  <c r="H3" i="8"/>
  <c r="H4" i="8"/>
  <c r="H5" i="8"/>
  <c r="H6" i="8"/>
  <c r="H7" i="8"/>
  <c r="H8" i="8"/>
  <c r="H9" i="8"/>
  <c r="H10" i="8"/>
  <c r="H13" i="8"/>
  <c r="E13" i="8"/>
  <c r="C21" i="8"/>
  <c r="F22" i="8"/>
  <c r="B24" i="8"/>
  <c r="D22" i="8"/>
  <c r="I2" i="8"/>
  <c r="I3" i="8"/>
  <c r="I4" i="8"/>
  <c r="I5" i="8"/>
  <c r="I6" i="8"/>
  <c r="I7" i="8"/>
  <c r="I8" i="8"/>
  <c r="I9" i="8"/>
  <c r="I10" i="8"/>
  <c r="I13" i="8"/>
  <c r="I14" i="8"/>
  <c r="F23" i="8"/>
  <c r="B25" i="8"/>
  <c r="K2" i="8"/>
  <c r="J2" i="8"/>
  <c r="L2" i="8"/>
  <c r="F37" i="8"/>
  <c r="C37" i="8"/>
  <c r="H37" i="8"/>
  <c r="K3" i="8"/>
  <c r="J3" i="8"/>
  <c r="L3" i="8"/>
  <c r="F38" i="8"/>
  <c r="C38" i="8"/>
  <c r="H38" i="8"/>
  <c r="K4" i="8"/>
  <c r="J4" i="8"/>
  <c r="L4" i="8"/>
  <c r="F39" i="8"/>
  <c r="C39" i="8"/>
  <c r="H39" i="8"/>
  <c r="K5" i="8"/>
  <c r="J5" i="8"/>
  <c r="L5" i="8"/>
  <c r="F40" i="8"/>
  <c r="C40" i="8"/>
  <c r="H40" i="8"/>
  <c r="K6" i="8"/>
  <c r="J6" i="8"/>
  <c r="L6" i="8"/>
  <c r="F41" i="8"/>
  <c r="C41" i="8"/>
  <c r="H41" i="8"/>
  <c r="K7" i="8"/>
  <c r="J7" i="8"/>
  <c r="L7" i="8"/>
  <c r="F42" i="8"/>
  <c r="C42" i="8"/>
  <c r="H42" i="8"/>
  <c r="K8" i="8"/>
  <c r="J8" i="8"/>
  <c r="L8" i="8"/>
  <c r="F43" i="8"/>
  <c r="C43" i="8"/>
  <c r="H43" i="8"/>
  <c r="K9" i="8"/>
  <c r="J9" i="8"/>
  <c r="L9" i="8"/>
  <c r="F44" i="8"/>
  <c r="C44" i="8"/>
  <c r="H44" i="8"/>
  <c r="K10" i="8"/>
  <c r="J10" i="8"/>
  <c r="L10" i="8"/>
  <c r="F45" i="8"/>
  <c r="C45" i="8"/>
  <c r="H45" i="8"/>
  <c r="H48" i="8"/>
  <c r="D37" i="8"/>
  <c r="I37" i="8"/>
  <c r="D38" i="8"/>
  <c r="I38" i="8"/>
  <c r="D39" i="8"/>
  <c r="I39" i="8"/>
  <c r="D40" i="8"/>
  <c r="I40" i="8"/>
  <c r="D41" i="8"/>
  <c r="I41" i="8"/>
  <c r="D42" i="8"/>
  <c r="I42" i="8"/>
  <c r="D43" i="8"/>
  <c r="I43" i="8"/>
  <c r="D44" i="8"/>
  <c r="I44" i="8"/>
  <c r="D45" i="8"/>
  <c r="I45" i="8"/>
  <c r="I48" i="8"/>
  <c r="G37" i="8"/>
  <c r="G38" i="8"/>
  <c r="G39" i="8"/>
  <c r="G40" i="8"/>
  <c r="G41" i="8"/>
  <c r="G42" i="8"/>
  <c r="G43" i="8"/>
  <c r="G44" i="8"/>
  <c r="G45" i="8"/>
  <c r="G48" i="8"/>
  <c r="J37" i="8"/>
  <c r="J38" i="8"/>
  <c r="J39" i="8"/>
  <c r="J40" i="8"/>
  <c r="J41" i="8"/>
  <c r="J42" i="8"/>
  <c r="J43" i="8"/>
  <c r="J44" i="8"/>
  <c r="J45" i="8"/>
  <c r="J48" i="8"/>
  <c r="F48" i="8"/>
  <c r="D50" i="8"/>
  <c r="D52" i="8"/>
  <c r="B55" i="8"/>
  <c r="F52" i="8"/>
  <c r="B56" i="8"/>
  <c r="O2" i="8"/>
  <c r="O3" i="8"/>
  <c r="O4" i="8"/>
  <c r="O5" i="8"/>
  <c r="O6" i="8"/>
  <c r="O7" i="8"/>
  <c r="O8" i="8"/>
  <c r="O9" i="8"/>
  <c r="O10" i="8"/>
  <c r="O13" i="8"/>
  <c r="M2" i="8"/>
  <c r="Q2" i="8"/>
  <c r="M3" i="8"/>
  <c r="Q3" i="8"/>
  <c r="M4" i="8"/>
  <c r="Q4" i="8"/>
  <c r="M5" i="8"/>
  <c r="Q5" i="8"/>
  <c r="M6" i="8"/>
  <c r="Q6" i="8"/>
  <c r="M7" i="8"/>
  <c r="Q7" i="8"/>
  <c r="M8" i="8"/>
  <c r="Q8" i="8"/>
  <c r="M9" i="8"/>
  <c r="Q9" i="8"/>
  <c r="M10" i="8"/>
  <c r="Q10" i="8"/>
  <c r="Q13" i="8"/>
  <c r="R2" i="8"/>
  <c r="R3" i="8"/>
  <c r="R4" i="8"/>
  <c r="R5" i="8"/>
  <c r="R6" i="8"/>
  <c r="R7" i="8"/>
  <c r="R8" i="8"/>
  <c r="R9" i="8"/>
  <c r="R10" i="8"/>
  <c r="R13" i="8"/>
  <c r="M13" i="8"/>
  <c r="C29" i="8"/>
  <c r="F30" i="8"/>
  <c r="D30" i="8"/>
  <c r="S2" i="8"/>
  <c r="S3" i="8"/>
  <c r="S4" i="8"/>
  <c r="S5" i="8"/>
  <c r="S6" i="8"/>
  <c r="S7" i="8"/>
  <c r="S8" i="8"/>
  <c r="S9" i="8"/>
  <c r="S10" i="8"/>
  <c r="S13" i="8"/>
  <c r="S14" i="8"/>
  <c r="D31" i="8"/>
  <c r="B33" i="8"/>
  <c r="D68" i="8"/>
  <c r="N2" i="8"/>
  <c r="P2" i="8"/>
  <c r="T2" i="8"/>
  <c r="F60" i="8"/>
  <c r="N3" i="8"/>
  <c r="P3" i="8"/>
  <c r="T3" i="8"/>
  <c r="F61" i="8"/>
  <c r="N4" i="8"/>
  <c r="P4" i="8"/>
  <c r="T4" i="8"/>
  <c r="F62" i="8"/>
  <c r="N5" i="8"/>
  <c r="P5" i="8"/>
  <c r="T5" i="8"/>
  <c r="F63" i="8"/>
  <c r="N6" i="8"/>
  <c r="P6" i="8"/>
  <c r="T6" i="8"/>
  <c r="F64" i="8"/>
  <c r="N7" i="8"/>
  <c r="P7" i="8"/>
  <c r="T7" i="8"/>
  <c r="F65" i="8"/>
  <c r="N8" i="8"/>
  <c r="P8" i="8"/>
  <c r="T8" i="8"/>
  <c r="F66" i="8"/>
  <c r="N9" i="8"/>
  <c r="P9" i="8"/>
  <c r="T9" i="8"/>
  <c r="F67" i="8"/>
  <c r="N10" i="8"/>
  <c r="P10" i="8"/>
  <c r="T10" i="8"/>
  <c r="F68" i="8"/>
  <c r="F71" i="8"/>
  <c r="C60" i="8"/>
  <c r="H60" i="8"/>
  <c r="C61" i="8"/>
  <c r="H61" i="8"/>
  <c r="C62" i="8"/>
  <c r="H62" i="8"/>
  <c r="C63" i="8"/>
  <c r="H63" i="8"/>
  <c r="C64" i="8"/>
  <c r="H64" i="8"/>
  <c r="C65" i="8"/>
  <c r="H65" i="8"/>
  <c r="C66" i="8"/>
  <c r="H66" i="8"/>
  <c r="C67" i="8"/>
  <c r="H67" i="8"/>
  <c r="C68" i="8"/>
  <c r="H68" i="8"/>
  <c r="H71" i="8"/>
  <c r="G60" i="8"/>
  <c r="G61" i="8"/>
  <c r="G62" i="8"/>
  <c r="G63" i="8"/>
  <c r="G64" i="8"/>
  <c r="G65" i="8"/>
  <c r="G66" i="8"/>
  <c r="G67" i="8"/>
  <c r="G68" i="8"/>
  <c r="G71" i="8"/>
  <c r="D73" i="8"/>
  <c r="D60" i="8"/>
  <c r="J60" i="8"/>
  <c r="D61" i="8"/>
  <c r="J61" i="8"/>
  <c r="D62" i="8"/>
  <c r="J62" i="8"/>
  <c r="D63" i="8"/>
  <c r="J63" i="8"/>
  <c r="D64" i="8"/>
  <c r="J64" i="8"/>
  <c r="D65" i="8"/>
  <c r="J65" i="8"/>
  <c r="D66" i="8"/>
  <c r="J66" i="8"/>
  <c r="D67" i="8"/>
  <c r="J67" i="8"/>
  <c r="J68" i="8"/>
  <c r="J71" i="8"/>
  <c r="I60" i="8"/>
  <c r="I61" i="8"/>
  <c r="I62" i="8"/>
  <c r="I63" i="8"/>
  <c r="I64" i="8"/>
  <c r="I65" i="8"/>
  <c r="I66" i="8"/>
  <c r="I67" i="8"/>
  <c r="I68" i="8"/>
  <c r="I71" i="8"/>
  <c r="E68" i="8"/>
  <c r="E67" i="8"/>
  <c r="F77" i="8"/>
  <c r="D77" i="8"/>
  <c r="B80" i="8"/>
  <c r="B32" i="8"/>
  <c r="E45" i="8"/>
  <c r="F31" i="8"/>
  <c r="B79" i="8"/>
  <c r="F75" i="8"/>
  <c r="D75" i="8"/>
  <c r="E66" i="8"/>
  <c r="E65" i="8"/>
  <c r="E64" i="8"/>
  <c r="E63" i="8"/>
  <c r="E62" i="8"/>
  <c r="E61" i="8"/>
  <c r="E60" i="8"/>
  <c r="E44" i="8"/>
  <c r="E43" i="8"/>
  <c r="E42" i="8"/>
  <c r="E41" i="8"/>
  <c r="E40" i="8"/>
  <c r="E39" i="8"/>
  <c r="E38" i="8"/>
  <c r="E37" i="8"/>
  <c r="D23" i="8"/>
  <c r="F54" i="8"/>
  <c r="D54" i="8"/>
</calcChain>
</file>

<file path=xl/sharedStrings.xml><?xml version="1.0" encoding="utf-8"?>
<sst xmlns="http://schemas.openxmlformats.org/spreadsheetml/2006/main" count="93" uniqueCount="68">
  <si>
    <t>y</t>
    <phoneticPr fontId="3" type="noConversion"/>
  </si>
  <si>
    <t>w</t>
    <phoneticPr fontId="3" type="noConversion"/>
  </si>
  <si>
    <t>w*x^2</t>
    <phoneticPr fontId="3" type="noConversion"/>
  </si>
  <si>
    <t>B(κλίση)=[N*Σ(x*y)-Σ(x)*Σ(y)]/Δ</t>
    <phoneticPr fontId="3" type="noConversion"/>
  </si>
  <si>
    <r>
      <t>A(τετ)=[Σ(x</t>
    </r>
    <r>
      <rPr>
        <b/>
        <vertAlign val="superscript"/>
        <sz val="10"/>
        <rFont val="Verdana"/>
      </rPr>
      <t>2</t>
    </r>
    <r>
      <rPr>
        <b/>
        <sz val="10"/>
        <rFont val="Verdana"/>
      </rPr>
      <t>)*Σ(y)-Σx*Σ(x*y)]/Δ</t>
    </r>
    <phoneticPr fontId="3" type="noConversion"/>
  </si>
  <si>
    <r>
      <t>Δ=N*Σ(x</t>
    </r>
    <r>
      <rPr>
        <b/>
        <vertAlign val="superscript"/>
        <sz val="10"/>
        <rFont val="Verdana"/>
      </rPr>
      <t>2</t>
    </r>
    <r>
      <rPr>
        <b/>
        <sz val="10"/>
        <rFont val="Verdana"/>
      </rPr>
      <t>) - (Σx)</t>
    </r>
    <r>
      <rPr>
        <b/>
        <vertAlign val="superscript"/>
        <sz val="10"/>
        <rFont val="Verdana"/>
      </rPr>
      <t>2</t>
    </r>
    <phoneticPr fontId="3" type="noConversion"/>
  </si>
  <si>
    <t>SUM</t>
    <phoneticPr fontId="3" type="noConversion"/>
  </si>
  <si>
    <t>σy</t>
    <phoneticPr fontId="3" type="noConversion"/>
  </si>
  <si>
    <r>
      <t>σ</t>
    </r>
    <r>
      <rPr>
        <b/>
        <vertAlign val="subscript"/>
        <sz val="10"/>
        <rFont val="Verdana"/>
      </rPr>
      <t>Α</t>
    </r>
    <phoneticPr fontId="3" type="noConversion"/>
  </si>
  <si>
    <t>Σ(x)</t>
    <phoneticPr fontId="3" type="noConversion"/>
  </si>
  <si>
    <t>Σ(y)</t>
    <phoneticPr fontId="3" type="noConversion"/>
  </si>
  <si>
    <t>Σ(x*y)</t>
    <phoneticPr fontId="3" type="noConversion"/>
  </si>
  <si>
    <r>
      <t>Σ(x</t>
    </r>
    <r>
      <rPr>
        <b/>
        <vertAlign val="superscript"/>
        <sz val="10"/>
        <rFont val="Verdana"/>
      </rPr>
      <t>2</t>
    </r>
    <r>
      <rPr>
        <b/>
        <sz val="10"/>
        <rFont val="Verdana"/>
      </rPr>
      <t>)</t>
    </r>
    <phoneticPr fontId="3" type="noConversion"/>
  </si>
  <si>
    <r>
      <t>σ</t>
    </r>
    <r>
      <rPr>
        <b/>
        <vertAlign val="subscript"/>
        <sz val="10"/>
        <rFont val="Verdana"/>
      </rPr>
      <t>Β</t>
    </r>
    <phoneticPr fontId="3" type="noConversion"/>
  </si>
  <si>
    <t>x</t>
    <phoneticPr fontId="3" type="noConversion"/>
  </si>
  <si>
    <t>w*x</t>
    <phoneticPr fontId="3" type="noConversion"/>
  </si>
  <si>
    <t>2x10^bxln10xσβ</t>
  </si>
  <si>
    <t>d(log_10(1/x))=-1/(x*ln(10))</t>
  </si>
  <si>
    <t>w*y</t>
  </si>
  <si>
    <t>w*x*y</t>
  </si>
  <si>
    <t>g=</t>
  </si>
  <si>
    <t>σg=</t>
  </si>
  <si>
    <t>x</t>
  </si>
  <si>
    <t>y</t>
  </si>
  <si>
    <t>σy</t>
  </si>
  <si>
    <t>Σ(w)</t>
  </si>
  <si>
    <t>Σ(w*x)</t>
  </si>
  <si>
    <t>Σ(w*x^2)</t>
  </si>
  <si>
    <t>Σ(w*y)</t>
  </si>
  <si>
    <t>Σ(w*x*y)</t>
  </si>
  <si>
    <t>A=Σwx^2*Σwz-Σwx*Σwxy</t>
  </si>
  <si>
    <t>klisi:   B=Σw*Σwxz-Σwx*Σwy</t>
  </si>
  <si>
    <t>σB=sqrt(Σw/Δ)</t>
  </si>
  <si>
    <t>σA=sqrt(Σwx^2/Δ)</t>
  </si>
  <si>
    <t>Δ=Σw*Σwx^2-(Σwx)^2</t>
  </si>
  <si>
    <t>SUM</t>
  </si>
  <si>
    <t>σ(log(L))=[σL/(L*ln(10))]</t>
  </si>
  <si>
    <t>σ(log(T))=[σT/(T*ln(10))]</t>
  </si>
  <si>
    <t>log(L)*log(T)</t>
  </si>
  <si>
    <t>log(T)</t>
  </si>
  <si>
    <t>log(L)</t>
  </si>
  <si>
    <t>σT</t>
  </si>
  <si>
    <t>T</t>
  </si>
  <si>
    <t>σL</t>
  </si>
  <si>
    <t>L</t>
  </si>
  <si>
    <t>Σ(T^2)</t>
  </si>
  <si>
    <t>Σ(L)</t>
  </si>
  <si>
    <t>σ(L)</t>
  </si>
  <si>
    <t>Σ(L*T^2)</t>
  </si>
  <si>
    <t>Σ(L^2)</t>
  </si>
  <si>
    <t>Απλή Μέθοδος log(L)-Log(T) με ίσες αβεβαιότητες</t>
  </si>
  <si>
    <t>Απλή Μέθοδος L - T^2 με ίσες αβεβαιότητες</t>
  </si>
  <si>
    <t>sima(y)</t>
  </si>
  <si>
    <t>w</t>
  </si>
  <si>
    <t>w*x</t>
  </si>
  <si>
    <t>w*x^2</t>
  </si>
  <si>
    <t>Αριθμός πειραματικών μετρήσεων (Ν)</t>
  </si>
  <si>
    <t>Μέθοδος log(L)-Log(T) με άνισες αβεβαιότητες</t>
  </si>
  <si>
    <t>Μέθοδος L-T^2 με άνισες αβεβαιότητες</t>
  </si>
  <si>
    <t>sigma(y)</t>
  </si>
  <si>
    <r>
      <t>[log(L)]</t>
    </r>
    <r>
      <rPr>
        <b/>
        <vertAlign val="superscript"/>
        <sz val="10"/>
        <rFont val="Verdana"/>
      </rPr>
      <t>2</t>
    </r>
  </si>
  <si>
    <r>
      <t>(Y-A-BX)</t>
    </r>
    <r>
      <rPr>
        <b/>
        <vertAlign val="superscript"/>
        <sz val="10"/>
        <rFont val="Verdana"/>
      </rPr>
      <t>2</t>
    </r>
  </si>
  <si>
    <r>
      <t>σtot</t>
    </r>
    <r>
      <rPr>
        <b/>
        <vertAlign val="superscript"/>
        <sz val="10"/>
        <rFont val="Verdana"/>
      </rPr>
      <t>2</t>
    </r>
  </si>
  <si>
    <r>
      <t>T</t>
    </r>
    <r>
      <rPr>
        <b/>
        <vertAlign val="superscript"/>
        <sz val="10"/>
        <rFont val="Verdana"/>
      </rPr>
      <t>2</t>
    </r>
  </si>
  <si>
    <r>
      <t>L</t>
    </r>
    <r>
      <rPr>
        <b/>
        <vertAlign val="superscript"/>
        <sz val="10"/>
        <rFont val="Verdana"/>
      </rPr>
      <t>2</t>
    </r>
  </si>
  <si>
    <r>
      <t>σ(T</t>
    </r>
    <r>
      <rPr>
        <b/>
        <vertAlign val="superscript"/>
        <sz val="10"/>
        <rFont val="Verdana"/>
      </rPr>
      <t>2</t>
    </r>
    <r>
      <rPr>
        <b/>
        <sz val="10"/>
        <rFont val="Verdana"/>
      </rPr>
      <t>)=2 * T * σ(T)</t>
    </r>
  </si>
  <si>
    <r>
      <t>L * T</t>
    </r>
    <r>
      <rPr>
        <b/>
        <vertAlign val="superscript"/>
        <sz val="10"/>
        <rFont val="Verdana"/>
      </rPr>
      <t>2</t>
    </r>
  </si>
  <si>
    <r>
      <t>Y - A - B * T</t>
    </r>
    <r>
      <rPr>
        <b/>
        <vertAlign val="superscript"/>
        <sz val="10"/>
        <rFont val="Verdana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</si>
</sst>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9" formatCode="_(&quot;€&quot;* #,##0.00_);_(&quot;€&quot;* \(#,##0.00\);_(&quot;€&quot;* &quot;-&quot;??_);_(@_)"/>
    <numFmt numFmtId="172" formatCode="0.000"/>
    <numFmt numFmtId="173" formatCode="0.00000"/>
    <numFmt numFmtId="174" formatCode="0.0000"/>
    <numFmt numFmtId="175" formatCode="0.00000000"/>
    <numFmt numFmtId="176" formatCode="0.0000000"/>
    <numFmt numFmtId="177" formatCode="0.000000"/>
    <numFmt numFmtId="178" formatCode="0.0000000000"/>
    <numFmt numFmtId="188" formatCode="0.000000000"/>
    <numFmt numFmtId="189" formatCode="0.000E+00"/>
    <numFmt numFmtId="196" formatCode="0.00000E+00;\_x0000_"/>
  </numFmts>
  <fonts count="7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vertAlign val="superscript"/>
      <sz val="10"/>
      <name val="Verdana"/>
    </font>
    <font>
      <b/>
      <vertAlign val="subscript"/>
      <sz val="10"/>
      <name val="Verdana"/>
    </font>
    <font>
      <b/>
      <sz val="10"/>
      <color rgb="FFFF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9" fontId="2" fillId="0" borderId="0" applyFont="0" applyFill="0" applyBorder="0" applyAlignment="0" applyProtection="0"/>
  </cellStyleXfs>
  <cellXfs count="20">
    <xf numFmtId="0" fontId="0" fillId="0" borderId="0" xfId="0"/>
    <xf numFmtId="172" fontId="0" fillId="0" borderId="0" xfId="0" applyNumberFormat="1"/>
    <xf numFmtId="17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174" fontId="0" fillId="0" borderId="0" xfId="0" applyNumberFormat="1"/>
    <xf numFmtId="173" fontId="1" fillId="0" borderId="0" xfId="0" applyNumberFormat="1" applyFont="1"/>
    <xf numFmtId="178" fontId="0" fillId="0" borderId="0" xfId="0" applyNumberFormat="1"/>
    <xf numFmtId="175" fontId="0" fillId="0" borderId="0" xfId="0" applyNumberFormat="1"/>
    <xf numFmtId="176" fontId="0" fillId="0" borderId="0" xfId="0" applyNumberFormat="1"/>
    <xf numFmtId="189" fontId="0" fillId="0" borderId="0" xfId="0" applyNumberFormat="1"/>
    <xf numFmtId="0" fontId="1" fillId="0" borderId="0" xfId="0" applyFont="1" applyAlignment="1">
      <alignment horizontal="center"/>
    </xf>
    <xf numFmtId="173" fontId="0" fillId="0" borderId="0" xfId="1" applyNumberFormat="1" applyFont="1"/>
    <xf numFmtId="177" fontId="0" fillId="0" borderId="0" xfId="0" applyNumberFormat="1"/>
    <xf numFmtId="0" fontId="6" fillId="0" borderId="0" xfId="0" applyFont="1"/>
    <xf numFmtId="188" fontId="0" fillId="0" borderId="0" xfId="0" applyNumberFormat="1"/>
    <xf numFmtId="0" fontId="6" fillId="0" borderId="0" xfId="0" applyFont="1" applyAlignment="1">
      <alignment horizontal="left" vertical="center"/>
    </xf>
    <xf numFmtId="172" fontId="1" fillId="0" borderId="0" xfId="0" applyNumberFormat="1" applyFont="1"/>
    <xf numFmtId="2" fontId="0" fillId="0" borderId="0" xfId="0" applyNumberFormat="1"/>
    <xf numFmtId="19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abSelected="1" topLeftCell="H1" workbookViewId="0">
      <selection activeCell="T2" sqref="T2"/>
    </sheetView>
  </sheetViews>
  <sheetFormatPr baseColWidth="10" defaultRowHeight="13" x14ac:dyDescent="0"/>
  <cols>
    <col min="1" max="1" width="14.7109375" customWidth="1"/>
    <col min="3" max="3" width="34" customWidth="1"/>
    <col min="4" max="4" width="12.28515625" bestFit="1" customWidth="1"/>
    <col min="5" max="5" width="29.140625" customWidth="1"/>
    <col min="6" max="6" width="11.28515625" bestFit="1" customWidth="1"/>
    <col min="7" max="7" width="19.85546875" bestFit="1" customWidth="1"/>
    <col min="8" max="8" width="19.85546875" customWidth="1"/>
    <col min="9" max="9" width="19.85546875" bestFit="1" customWidth="1"/>
    <col min="10" max="10" width="22.42578125" customWidth="1"/>
    <col min="11" max="11" width="23.7109375" customWidth="1"/>
    <col min="16" max="16" width="16.7109375" customWidth="1"/>
    <col min="19" max="19" width="12.5703125" customWidth="1"/>
    <col min="20" max="20" width="11.5703125" customWidth="1"/>
  </cols>
  <sheetData>
    <row r="1" spans="1:20" ht="14" customHeight="1">
      <c r="A1" s="11" t="s">
        <v>44</v>
      </c>
      <c r="B1" s="4" t="s">
        <v>43</v>
      </c>
      <c r="C1" s="11" t="s">
        <v>42</v>
      </c>
      <c r="D1" s="4" t="s">
        <v>41</v>
      </c>
      <c r="E1" s="4" t="s">
        <v>40</v>
      </c>
      <c r="F1" s="4" t="s">
        <v>39</v>
      </c>
      <c r="G1" s="4" t="s">
        <v>38</v>
      </c>
      <c r="H1" s="4" t="s">
        <v>60</v>
      </c>
      <c r="I1" s="4" t="s">
        <v>61</v>
      </c>
      <c r="J1" s="4" t="s">
        <v>36</v>
      </c>
      <c r="K1" s="4" t="s">
        <v>37</v>
      </c>
      <c r="L1" s="4" t="s">
        <v>62</v>
      </c>
      <c r="M1" s="4" t="s">
        <v>44</v>
      </c>
      <c r="N1" s="4" t="s">
        <v>47</v>
      </c>
      <c r="O1" s="4" t="s">
        <v>63</v>
      </c>
      <c r="P1" s="4" t="s">
        <v>65</v>
      </c>
      <c r="Q1" s="4" t="s">
        <v>66</v>
      </c>
      <c r="R1" s="4" t="s">
        <v>64</v>
      </c>
      <c r="S1" s="4" t="s">
        <v>67</v>
      </c>
      <c r="T1" s="4" t="s">
        <v>62</v>
      </c>
    </row>
    <row r="2" spans="1:20" ht="14" customHeight="1">
      <c r="A2" s="18">
        <v>0.3</v>
      </c>
      <c r="B2">
        <v>5.0000000000000001E-4</v>
      </c>
      <c r="C2" s="5">
        <v>1.1472</v>
      </c>
      <c r="D2" s="5">
        <v>3.7000000000000002E-3</v>
      </c>
      <c r="E2" s="8">
        <f>LOG(A2)</f>
        <v>-0.52287874528033762</v>
      </c>
      <c r="F2">
        <f>LOG(C2)</f>
        <v>5.9639138323724902E-2</v>
      </c>
      <c r="G2" s="5">
        <f t="shared" ref="G2:G9" si="0">E2*F2</f>
        <v>-3.1184037816309775E-2</v>
      </c>
      <c r="H2" s="1">
        <f t="shared" ref="H2:H9" si="1">E2^2</f>
        <v>0.27340218226594021</v>
      </c>
      <c r="I2" s="10">
        <f t="shared" ref="I2:I10" si="2">(F2-$F$22-$D$22*$E2)^2</f>
        <v>3.3472663404955619E-7</v>
      </c>
      <c r="J2" s="9">
        <f>B2/(A2*LN(10))</f>
        <v>7.2382413650541968E-4</v>
      </c>
      <c r="K2" s="9">
        <f>D2/(C2*LN(10))</f>
        <v>1.4007057034885213E-3</v>
      </c>
      <c r="L2" s="12">
        <f t="shared" ref="L2:L10" si="3">($D$22*$J2)^2+$K2^2</f>
        <v>2.0780568994408545E-6</v>
      </c>
      <c r="M2" s="12">
        <f t="shared" ref="M2:M9" si="4">A2</f>
        <v>0.3</v>
      </c>
      <c r="N2" s="12">
        <f t="shared" ref="N2:N9" si="5">B2</f>
        <v>5.0000000000000001E-4</v>
      </c>
      <c r="O2" s="13">
        <f t="shared" ref="O2:O9" si="6">C2^2</f>
        <v>1.3160678400000001</v>
      </c>
      <c r="P2" s="13">
        <f t="shared" ref="P2:P9" si="7">2*C2*D2</f>
        <v>8.4892800000000001E-3</v>
      </c>
      <c r="Q2" s="5">
        <f t="shared" ref="Q2:Q9" si="8">M2*O2</f>
        <v>0.39482035200000004</v>
      </c>
      <c r="R2" s="5">
        <f t="shared" ref="R2:R9" si="9">M2^2</f>
        <v>0.09</v>
      </c>
      <c r="S2" s="19">
        <f t="shared" ref="S2:S10" si="10">(O2-$F$30-$D$30*M2)^2</f>
        <v>1.023606366727217E-5</v>
      </c>
      <c r="T2" s="15">
        <f>P2^2+($D$30*N2)^2</f>
        <v>7.606621573049224E-5</v>
      </c>
    </row>
    <row r="3" spans="1:20" ht="14" customHeight="1">
      <c r="A3" s="18">
        <v>0.35</v>
      </c>
      <c r="B3">
        <v>5.0000000000000001E-4</v>
      </c>
      <c r="C3" s="5">
        <v>1.2294</v>
      </c>
      <c r="D3" s="5">
        <v>3.13E-3</v>
      </c>
      <c r="E3" s="8">
        <f t="shared" ref="E3:E10" si="11">LOG(A3)</f>
        <v>-0.45593195564972439</v>
      </c>
      <c r="F3">
        <f t="shared" ref="F3:F9" si="12">LOG(C3)</f>
        <v>8.9693208784838649E-2</v>
      </c>
      <c r="G3" s="5">
        <f t="shared" si="0"/>
        <v>-4.0894000089770524E-2</v>
      </c>
      <c r="H3" s="1">
        <f t="shared" si="1"/>
        <v>0.20787394818258223</v>
      </c>
      <c r="I3" s="10">
        <f t="shared" si="2"/>
        <v>7.7332832663548818E-7</v>
      </c>
      <c r="J3" s="9">
        <f t="shared" ref="J3:J9" si="13">B3/(A3*LN(10))</f>
        <v>6.204206884332169E-4</v>
      </c>
      <c r="K3" s="9">
        <f t="shared" ref="K3:K9" si="14">D3/(C3*LN(10))</f>
        <v>1.1056952402449798E-3</v>
      </c>
      <c r="L3" s="12">
        <f t="shared" si="3"/>
        <v>1.307845546741239E-6</v>
      </c>
      <c r="M3" s="12">
        <f t="shared" si="4"/>
        <v>0.35</v>
      </c>
      <c r="N3" s="12">
        <f t="shared" si="5"/>
        <v>5.0000000000000001E-4</v>
      </c>
      <c r="O3" s="13">
        <f t="shared" si="6"/>
        <v>1.5114243600000001</v>
      </c>
      <c r="P3" s="13">
        <f t="shared" si="7"/>
        <v>7.696044E-3</v>
      </c>
      <c r="Q3" s="5">
        <f t="shared" si="8"/>
        <v>0.52899852599999997</v>
      </c>
      <c r="R3" s="5">
        <f t="shared" si="9"/>
        <v>0.12249999999999998</v>
      </c>
      <c r="S3" s="19">
        <f t="shared" si="10"/>
        <v>6.0861543773575151E-5</v>
      </c>
      <c r="T3" s="15">
        <f t="shared" ref="T3:T10" si="15">P3^2+($D$30*N3)^2</f>
        <v>6.3227434062028233E-5</v>
      </c>
    </row>
    <row r="4" spans="1:20" ht="14" customHeight="1">
      <c r="A4" s="18">
        <v>0.4</v>
      </c>
      <c r="B4">
        <v>5.0000000000000001E-4</v>
      </c>
      <c r="C4" s="5">
        <v>1.3120000000000001</v>
      </c>
      <c r="D4" s="5">
        <v>4.0000000000000001E-3</v>
      </c>
      <c r="E4" s="8">
        <f t="shared" si="11"/>
        <v>-0.3979400086720376</v>
      </c>
      <c r="F4">
        <f t="shared" si="12"/>
        <v>0.11793383503964149</v>
      </c>
      <c r="G4" s="5">
        <f t="shared" si="0"/>
        <v>-4.6930591338401585E-2</v>
      </c>
      <c r="H4" s="1">
        <f t="shared" si="1"/>
        <v>0.15835625050190136</v>
      </c>
      <c r="I4" s="10">
        <f t="shared" si="2"/>
        <v>4.1325143894678207E-9</v>
      </c>
      <c r="J4" s="9">
        <f t="shared" si="13"/>
        <v>5.4286810237906471E-4</v>
      </c>
      <c r="K4" s="9">
        <f t="shared" si="14"/>
        <v>1.3240685423879627E-3</v>
      </c>
      <c r="L4" s="12">
        <f t="shared" si="3"/>
        <v>1.8184527477476489E-6</v>
      </c>
      <c r="M4" s="12">
        <f t="shared" si="4"/>
        <v>0.4</v>
      </c>
      <c r="N4" s="12">
        <f t="shared" si="5"/>
        <v>5.0000000000000001E-4</v>
      </c>
      <c r="O4" s="13">
        <f t="shared" si="6"/>
        <v>1.7213440000000002</v>
      </c>
      <c r="P4" s="13">
        <f t="shared" si="7"/>
        <v>1.0496E-2</v>
      </c>
      <c r="Q4" s="5">
        <f t="shared" si="8"/>
        <v>0.68853760000000008</v>
      </c>
      <c r="R4" s="5">
        <f t="shared" si="9"/>
        <v>0.16000000000000003</v>
      </c>
      <c r="S4" s="19">
        <f t="shared" si="10"/>
        <v>4.6644903059746409E-6</v>
      </c>
      <c r="T4" s="15">
        <f t="shared" si="15"/>
        <v>1.1416435681209224E-4</v>
      </c>
    </row>
    <row r="5" spans="1:20" ht="14" customHeight="1">
      <c r="A5" s="18">
        <v>0.45</v>
      </c>
      <c r="B5">
        <v>5.0000000000000001E-4</v>
      </c>
      <c r="C5" s="5">
        <v>1.3852</v>
      </c>
      <c r="D5" s="5">
        <v>2.5899999999999999E-3</v>
      </c>
      <c r="E5" s="8">
        <f t="shared" si="11"/>
        <v>-0.34678748622465633</v>
      </c>
      <c r="F5">
        <f t="shared" si="12"/>
        <v>0.14151248287742321</v>
      </c>
      <c r="G5" s="5">
        <f t="shared" si="0"/>
        <v>-4.9074758206471315E-2</v>
      </c>
      <c r="H5" s="1">
        <f t="shared" si="1"/>
        <v>0.1202615606020162</v>
      </c>
      <c r="I5" s="10">
        <f t="shared" si="2"/>
        <v>1.8895058983142213E-7</v>
      </c>
      <c r="J5" s="9">
        <f t="shared" si="13"/>
        <v>4.8254942433694642E-4</v>
      </c>
      <c r="K5" s="9">
        <f t="shared" si="14"/>
        <v>8.1202909914050107E-4</v>
      </c>
      <c r="L5" s="12">
        <f t="shared" si="3"/>
        <v>7.1098256080896993E-7</v>
      </c>
      <c r="M5" s="12">
        <f t="shared" si="4"/>
        <v>0.45</v>
      </c>
      <c r="N5" s="12">
        <f t="shared" si="5"/>
        <v>5.0000000000000001E-4</v>
      </c>
      <c r="O5" s="13">
        <f t="shared" si="6"/>
        <v>1.91877904</v>
      </c>
      <c r="P5" s="13">
        <f t="shared" si="7"/>
        <v>7.1753359999999992E-3</v>
      </c>
      <c r="Q5" s="5">
        <f t="shared" si="8"/>
        <v>0.86345056799999997</v>
      </c>
      <c r="R5" s="5">
        <f t="shared" si="9"/>
        <v>0.20250000000000001</v>
      </c>
      <c r="S5" s="19">
        <f t="shared" si="10"/>
        <v>1.3230161446262374E-7</v>
      </c>
      <c r="T5" s="15">
        <f t="shared" si="15"/>
        <v>5.5483787524988226E-5</v>
      </c>
    </row>
    <row r="6" spans="1:20" ht="14" customHeight="1">
      <c r="A6" s="18">
        <v>0.5</v>
      </c>
      <c r="B6">
        <v>5.0000000000000001E-4</v>
      </c>
      <c r="C6" s="5">
        <v>1.4576</v>
      </c>
      <c r="D6" s="5">
        <v>1.82E-3</v>
      </c>
      <c r="E6" s="8">
        <f t="shared" si="11"/>
        <v>-0.3010299956639812</v>
      </c>
      <c r="F6">
        <f t="shared" si="12"/>
        <v>0.16363835962892304</v>
      </c>
      <c r="G6" s="5">
        <f t="shared" si="0"/>
        <v>-4.9260054689555695E-2</v>
      </c>
      <c r="H6" s="1">
        <f t="shared" si="1"/>
        <v>9.0619058289456544E-2</v>
      </c>
      <c r="I6" s="10">
        <f t="shared" si="2"/>
        <v>2.3418177376021154E-8</v>
      </c>
      <c r="J6" s="9">
        <f t="shared" si="13"/>
        <v>4.3429448190325179E-4</v>
      </c>
      <c r="K6" s="9">
        <f t="shared" si="14"/>
        <v>5.422721988638297E-4</v>
      </c>
      <c r="L6" s="12">
        <f t="shared" si="3"/>
        <v>3.3584809305662224E-7</v>
      </c>
      <c r="M6" s="12">
        <f t="shared" si="4"/>
        <v>0.5</v>
      </c>
      <c r="N6" s="12">
        <f t="shared" si="5"/>
        <v>5.0000000000000001E-4</v>
      </c>
      <c r="O6" s="13">
        <f t="shared" si="6"/>
        <v>2.1245977599999999</v>
      </c>
      <c r="P6" s="13">
        <f t="shared" si="7"/>
        <v>5.3056639999999999E-3</v>
      </c>
      <c r="Q6" s="5">
        <f t="shared" si="8"/>
        <v>1.0622988799999999</v>
      </c>
      <c r="R6" s="5">
        <f t="shared" si="9"/>
        <v>0.25</v>
      </c>
      <c r="S6" s="19">
        <f t="shared" si="10"/>
        <v>3.0211194675223613E-5</v>
      </c>
      <c r="T6" s="15">
        <f t="shared" si="15"/>
        <v>3.2148411292988238E-5</v>
      </c>
    </row>
    <row r="7" spans="1:20" ht="14" customHeight="1">
      <c r="A7" s="18">
        <v>0.55000000000000004</v>
      </c>
      <c r="B7">
        <v>5.0000000000000001E-4</v>
      </c>
      <c r="C7" s="5">
        <v>1.5242</v>
      </c>
      <c r="D7" s="5">
        <v>3.2699999999999999E-3</v>
      </c>
      <c r="E7" s="8">
        <f t="shared" si="11"/>
        <v>-0.25963731050575611</v>
      </c>
      <c r="F7">
        <f t="shared" si="12"/>
        <v>0.18304195729063982</v>
      </c>
      <c r="G7" s="5">
        <f t="shared" si="0"/>
        <v>-4.7524521500651201E-2</v>
      </c>
      <c r="H7" s="1">
        <f t="shared" si="1"/>
        <v>6.7411533006662416E-2</v>
      </c>
      <c r="I7" s="10">
        <f t="shared" si="2"/>
        <v>5.3275249480989509E-9</v>
      </c>
      <c r="J7" s="9">
        <f t="shared" si="13"/>
        <v>3.9481316536659248E-4</v>
      </c>
      <c r="K7" s="9">
        <f t="shared" si="14"/>
        <v>9.3173005893165814E-4</v>
      </c>
      <c r="L7" s="12">
        <f t="shared" si="3"/>
        <v>9.0265722949035258E-7</v>
      </c>
      <c r="M7" s="12">
        <f t="shared" si="4"/>
        <v>0.55000000000000004</v>
      </c>
      <c r="N7" s="12">
        <f t="shared" si="5"/>
        <v>5.0000000000000001E-4</v>
      </c>
      <c r="O7" s="13">
        <f t="shared" si="6"/>
        <v>2.3231856400000002</v>
      </c>
      <c r="P7" s="13">
        <f t="shared" si="7"/>
        <v>9.9682679999999989E-3</v>
      </c>
      <c r="Q7" s="5">
        <f t="shared" si="8"/>
        <v>1.2777521020000002</v>
      </c>
      <c r="R7" s="5">
        <f t="shared" si="9"/>
        <v>0.30250000000000005</v>
      </c>
      <c r="S7" s="19">
        <f t="shared" si="10"/>
        <v>1.7022515364033063E-5</v>
      </c>
      <c r="T7" s="15">
        <f t="shared" si="15"/>
        <v>1.0336470773191621E-4</v>
      </c>
    </row>
    <row r="8" spans="1:20" ht="14" customHeight="1">
      <c r="A8" s="18">
        <v>0.6</v>
      </c>
      <c r="B8">
        <v>5.0000000000000001E-4</v>
      </c>
      <c r="C8" s="5">
        <v>1.5908</v>
      </c>
      <c r="D8" s="5">
        <v>5.6699999999999997E-3</v>
      </c>
      <c r="E8" s="8">
        <f t="shared" si="11"/>
        <v>-0.22184874961635639</v>
      </c>
      <c r="F8">
        <f t="shared" si="12"/>
        <v>0.20161558231394275</v>
      </c>
      <c r="G8" s="5">
        <f t="shared" si="0"/>
        <v>-4.4728164839521779E-2</v>
      </c>
      <c r="H8" s="1">
        <f t="shared" si="1"/>
        <v>4.9216867706340789E-2</v>
      </c>
      <c r="I8" s="10">
        <f t="shared" si="2"/>
        <v>7.3864955836523881E-7</v>
      </c>
      <c r="J8" s="9">
        <f t="shared" si="13"/>
        <v>3.6191206825270984E-4</v>
      </c>
      <c r="K8" s="9">
        <f t="shared" si="14"/>
        <v>1.5479316773896387E-3</v>
      </c>
      <c r="L8" s="12">
        <f t="shared" si="3"/>
        <v>2.4251125857801962E-6</v>
      </c>
      <c r="M8" s="12">
        <f t="shared" si="4"/>
        <v>0.6</v>
      </c>
      <c r="N8" s="12">
        <f t="shared" si="5"/>
        <v>5.0000000000000001E-4</v>
      </c>
      <c r="O8" s="13">
        <f t="shared" si="6"/>
        <v>2.5306446399999998</v>
      </c>
      <c r="P8" s="13">
        <f t="shared" si="7"/>
        <v>1.8039672E-2</v>
      </c>
      <c r="Q8" s="5">
        <f t="shared" si="8"/>
        <v>1.5183867839999998</v>
      </c>
      <c r="R8" s="5">
        <f t="shared" si="9"/>
        <v>0.36</v>
      </c>
      <c r="S8" s="19">
        <f t="shared" si="10"/>
        <v>1.3517129607325075E-4</v>
      </c>
      <c r="T8" s="15">
        <f t="shared" si="15"/>
        <v>3.2942810667967626E-4</v>
      </c>
    </row>
    <row r="9" spans="1:20" ht="14" customHeight="1">
      <c r="A9" s="18">
        <v>0.65</v>
      </c>
      <c r="B9">
        <v>5.0000000000000001E-4</v>
      </c>
      <c r="C9" s="5">
        <v>1.6524000000000001</v>
      </c>
      <c r="D9" s="5">
        <v>4.9800000000000001E-3</v>
      </c>
      <c r="E9" s="8">
        <f t="shared" si="11"/>
        <v>-0.18708664335714442</v>
      </c>
      <c r="F9">
        <f t="shared" si="12"/>
        <v>0.21811518630454854</v>
      </c>
      <c r="G9" s="5">
        <f t="shared" si="0"/>
        <v>-4.0806438070936188E-2</v>
      </c>
      <c r="H9" s="1">
        <f t="shared" si="1"/>
        <v>3.5001412122643349E-2</v>
      </c>
      <c r="I9" s="10">
        <f t="shared" si="2"/>
        <v>9.9289888994140507E-7</v>
      </c>
      <c r="J9" s="9">
        <f t="shared" si="13"/>
        <v>3.3407267838711675E-4</v>
      </c>
      <c r="K9" s="9">
        <f t="shared" si="14"/>
        <v>1.3088758895413906E-3</v>
      </c>
      <c r="L9" s="12">
        <f t="shared" si="3"/>
        <v>1.7378832867647838E-6</v>
      </c>
      <c r="M9" s="12">
        <f t="shared" si="4"/>
        <v>0.65</v>
      </c>
      <c r="N9" s="12">
        <f t="shared" si="5"/>
        <v>5.0000000000000001E-4</v>
      </c>
      <c r="O9" s="13">
        <f t="shared" si="6"/>
        <v>2.7304257600000001</v>
      </c>
      <c r="P9" s="13">
        <f t="shared" si="7"/>
        <v>1.6457904000000002E-2</v>
      </c>
      <c r="Q9" s="5">
        <f t="shared" si="8"/>
        <v>1.7747767440000002</v>
      </c>
      <c r="R9" s="5">
        <f t="shared" si="9"/>
        <v>0.42250000000000004</v>
      </c>
      <c r="S9" s="19">
        <f t="shared" si="10"/>
        <v>1.3107784040400467E-4</v>
      </c>
      <c r="T9" s="15">
        <f t="shared" si="15"/>
        <v>2.7486094488530832E-4</v>
      </c>
    </row>
    <row r="10" spans="1:20" ht="14" customHeight="1">
      <c r="A10" s="18">
        <v>0.7</v>
      </c>
      <c r="B10">
        <v>5.0000000000000001E-4</v>
      </c>
      <c r="C10" s="5">
        <v>1.7016</v>
      </c>
      <c r="D10" s="5">
        <v>3.0100000000000001E-3</v>
      </c>
      <c r="E10" s="8">
        <f t="shared" si="11"/>
        <v>-0.15490195998574319</v>
      </c>
      <c r="F10">
        <f>LOG(C10)</f>
        <v>0.23085747689467256</v>
      </c>
      <c r="G10" s="5">
        <f>E10*F10</f>
        <v>-3.5760275648348203E-2</v>
      </c>
      <c r="H10" s="1">
        <f>E10^2</f>
        <v>2.3994617207424785E-2</v>
      </c>
      <c r="I10" s="10">
        <f t="shared" si="2"/>
        <v>1.9900044323566957E-6</v>
      </c>
      <c r="J10" s="9">
        <f>B10/(A10*LN(10))</f>
        <v>3.1021034421660845E-4</v>
      </c>
      <c r="K10" s="9">
        <f>D10/(C10*LN(10))</f>
        <v>7.6823365686929236E-4</v>
      </c>
      <c r="L10" s="12">
        <f t="shared" si="3"/>
        <v>6.1150384715697455E-7</v>
      </c>
      <c r="M10" s="12">
        <f>A10</f>
        <v>0.7</v>
      </c>
      <c r="N10" s="12">
        <f>B10</f>
        <v>5.0000000000000001E-4</v>
      </c>
      <c r="O10" s="13">
        <f>C10^2</f>
        <v>2.8954425600000002</v>
      </c>
      <c r="P10" s="13">
        <f>2*C10*D10</f>
        <v>1.0243632000000001E-2</v>
      </c>
      <c r="Q10" s="5">
        <f>M10*O10</f>
        <v>2.0268097919999999</v>
      </c>
      <c r="R10" s="5">
        <f>M10^2</f>
        <v>0.48999999999999994</v>
      </c>
      <c r="S10" s="19">
        <f t="shared" si="10"/>
        <v>5.5191131772049714E-4</v>
      </c>
      <c r="T10" s="15">
        <f t="shared" si="15"/>
        <v>1.0893033736351625E-4</v>
      </c>
    </row>
    <row r="11" spans="1:20" ht="14" customHeight="1"/>
    <row r="12" spans="1:20" ht="14" customHeight="1">
      <c r="E12" s="4" t="s">
        <v>9</v>
      </c>
      <c r="F12" s="4" t="s">
        <v>10</v>
      </c>
      <c r="G12" s="4" t="s">
        <v>11</v>
      </c>
      <c r="H12" s="4" t="s">
        <v>12</v>
      </c>
      <c r="I12" s="4" t="s">
        <v>6</v>
      </c>
      <c r="M12" s="11" t="s">
        <v>46</v>
      </c>
      <c r="N12" s="11"/>
      <c r="O12" s="11" t="s">
        <v>45</v>
      </c>
      <c r="Q12" s="11" t="s">
        <v>48</v>
      </c>
      <c r="R12" s="11" t="s">
        <v>49</v>
      </c>
      <c r="S12" s="11" t="s">
        <v>35</v>
      </c>
    </row>
    <row r="13" spans="1:20" ht="14" customHeight="1">
      <c r="D13" s="1"/>
      <c r="E13" s="1">
        <f>SUM(E2:E10)</f>
        <v>-2.8480428549557373</v>
      </c>
      <c r="F13" s="1">
        <f>SUM(F2:F10)</f>
        <v>1.4060472274583549</v>
      </c>
      <c r="G13" s="1">
        <f>SUM(G2:G10)</f>
        <v>-0.38616284219996627</v>
      </c>
      <c r="H13" s="1">
        <f>SUM(H2:H10)</f>
        <v>1.0261374298849679</v>
      </c>
      <c r="I13" s="2">
        <f>SUM(I2:I10)</f>
        <v>5.0514366478933945E-6</v>
      </c>
      <c r="M13" s="2">
        <f>SUM(M2:M10)</f>
        <v>4.5</v>
      </c>
      <c r="N13" s="2"/>
      <c r="O13" s="13">
        <f>SUM(O2:O10)</f>
        <v>19.0719116</v>
      </c>
      <c r="Q13" s="5">
        <f>SUM(Q2:Q10)</f>
        <v>10.135831348</v>
      </c>
      <c r="R13" s="5">
        <f>SUM(R2:R10)</f>
        <v>2.4</v>
      </c>
      <c r="S13">
        <f>SUM(S2:S10)</f>
        <v>9.4128856359829377E-4</v>
      </c>
    </row>
    <row r="14" spans="1:20" ht="14" customHeight="1">
      <c r="F14" s="4"/>
      <c r="G14" s="2"/>
      <c r="H14" s="4" t="s">
        <v>7</v>
      </c>
      <c r="I14" s="2">
        <f>SQRT($I$13/($C$18-2))</f>
        <v>8.4949032180591292E-4</v>
      </c>
      <c r="R14" s="11" t="s">
        <v>24</v>
      </c>
      <c r="S14">
        <f>SQRT(S13/($C$18-2))</f>
        <v>1.1596111192971385E-2</v>
      </c>
    </row>
    <row r="15" spans="1:20" ht="14" customHeight="1">
      <c r="A15" t="s">
        <v>17</v>
      </c>
      <c r="G15" s="9"/>
    </row>
    <row r="16" spans="1:20" ht="14" customHeight="1">
      <c r="A16" t="s">
        <v>16</v>
      </c>
      <c r="C16" s="8"/>
    </row>
    <row r="17" spans="1:7" ht="14" customHeight="1">
      <c r="C17" s="3" t="s">
        <v>56</v>
      </c>
    </row>
    <row r="18" spans="1:7" ht="14" customHeight="1">
      <c r="C18">
        <v>9</v>
      </c>
    </row>
    <row r="19" spans="1:7" ht="14" customHeight="1">
      <c r="A19" s="16" t="s">
        <v>50</v>
      </c>
    </row>
    <row r="20" spans="1:7" ht="14" customHeight="1">
      <c r="C20" s="3" t="s">
        <v>5</v>
      </c>
    </row>
    <row r="21" spans="1:7" ht="14" customHeight="1">
      <c r="C21">
        <f>$C$18*$H$13-$E$13^2</f>
        <v>1.1238887653002863</v>
      </c>
    </row>
    <row r="22" spans="1:7" ht="14" customHeight="1">
      <c r="C22" s="4" t="s">
        <v>3</v>
      </c>
      <c r="D22" s="2">
        <f>($C$18*$G$13-$E$13*$F$13)/$C$21</f>
        <v>0.47070243642132137</v>
      </c>
      <c r="E22" s="4" t="s">
        <v>4</v>
      </c>
      <c r="F22" s="2">
        <f>($H$13*$F$13-$E$13*$G$13)/$C$21</f>
        <v>0.3051808820353728</v>
      </c>
      <c r="G22" s="7"/>
    </row>
    <row r="23" spans="1:7" ht="14" customHeight="1">
      <c r="C23" s="4" t="s">
        <v>13</v>
      </c>
      <c r="D23" s="2">
        <f>$I$14*SQRT($C$18/$C$21)</f>
        <v>2.403909009332985E-3</v>
      </c>
      <c r="E23" s="4" t="s">
        <v>8</v>
      </c>
      <c r="F23" s="2">
        <f>$I$14*SQRT($H$13/$C$21)</f>
        <v>8.1170745576320793E-4</v>
      </c>
    </row>
    <row r="24" spans="1:7">
      <c r="A24" s="3" t="s">
        <v>20</v>
      </c>
      <c r="B24" s="17">
        <f>4*PI()^2/10^(2*$F$22)</f>
        <v>9.6827333619943818</v>
      </c>
      <c r="D24" s="6"/>
    </row>
    <row r="25" spans="1:7">
      <c r="A25" s="3" t="s">
        <v>21</v>
      </c>
      <c r="B25" s="17">
        <f>B24*2*$F$23*LN(10)</f>
        <v>3.6194550884709936E-2</v>
      </c>
    </row>
    <row r="27" spans="1:7">
      <c r="A27" s="14" t="s">
        <v>51</v>
      </c>
    </row>
    <row r="28" spans="1:7" ht="14" customHeight="1">
      <c r="C28" s="3" t="s">
        <v>5</v>
      </c>
    </row>
    <row r="29" spans="1:7" ht="14" customHeight="1">
      <c r="C29" s="5">
        <f>$C$18*$R$13-$M$13^2</f>
        <v>1.3499999999999979</v>
      </c>
    </row>
    <row r="30" spans="1:7" ht="14" customHeight="1">
      <c r="C30" s="4" t="s">
        <v>3</v>
      </c>
      <c r="D30" s="2">
        <f>($C$18*$Q$13-$M$13*$O$13)/$C$29</f>
        <v>3.9991703200000064</v>
      </c>
      <c r="E30" s="4" t="s">
        <v>4</v>
      </c>
      <c r="F30" s="2">
        <f>($R$13*$O$13-$M$13*$Q$13)/$C$29</f>
        <v>0.11951612888889046</v>
      </c>
      <c r="G30" s="7"/>
    </row>
    <row r="31" spans="1:7" ht="14" customHeight="1">
      <c r="C31" s="4" t="s">
        <v>13</v>
      </c>
      <c r="D31" s="2">
        <f>$S$14*SQRT($C$18/$C$29)</f>
        <v>2.9941030354098421E-2</v>
      </c>
      <c r="E31" s="4" t="s">
        <v>8</v>
      </c>
      <c r="F31" s="2">
        <f>$S$14*SQRT($R$13/$C$29)</f>
        <v>1.5461481590628524E-2</v>
      </c>
    </row>
    <row r="32" spans="1:7">
      <c r="A32" s="3" t="s">
        <v>20</v>
      </c>
      <c r="B32" s="17">
        <f>4*PI()^2/$D$30</f>
        <v>9.8716519791428556</v>
      </c>
      <c r="D32" s="6"/>
    </row>
    <row r="33" spans="1:10">
      <c r="A33" s="3" t="s">
        <v>21</v>
      </c>
      <c r="B33" s="17">
        <f>4*PI()^2*$D$31/$D$30^2</f>
        <v>7.3907187717029144E-2</v>
      </c>
    </row>
    <row r="35" spans="1:10" ht="14" customHeight="1">
      <c r="A35" s="16" t="s">
        <v>57</v>
      </c>
    </row>
    <row r="36" spans="1:10">
      <c r="C36" s="11" t="s">
        <v>14</v>
      </c>
      <c r="D36" s="11" t="s">
        <v>0</v>
      </c>
      <c r="E36" s="11" t="s">
        <v>59</v>
      </c>
      <c r="F36" s="11" t="s">
        <v>1</v>
      </c>
      <c r="G36" s="11" t="s">
        <v>15</v>
      </c>
      <c r="H36" s="11" t="s">
        <v>2</v>
      </c>
      <c r="I36" s="11" t="s">
        <v>18</v>
      </c>
      <c r="J36" s="11" t="s">
        <v>19</v>
      </c>
    </row>
    <row r="37" spans="1:10">
      <c r="C37">
        <f t="shared" ref="C37:C45" si="16">E2</f>
        <v>-0.52287874528033762</v>
      </c>
      <c r="D37">
        <f t="shared" ref="D37:D45" si="17">F2</f>
        <v>5.9639138323724902E-2</v>
      </c>
      <c r="E37" s="5">
        <f t="shared" ref="E37:E45" si="18">SQRT($L2)</f>
        <v>1.44154670387083E-3</v>
      </c>
      <c r="F37">
        <f t="shared" ref="F37:F45" si="19">1/$L2</f>
        <v>481218.77715142031</v>
      </c>
      <c r="G37">
        <f t="shared" ref="G37:G44" si="20">F37*C37</f>
        <v>-251619.07040227306</v>
      </c>
      <c r="H37">
        <f t="shared" ref="H37:H44" si="21">F37*C37^2</f>
        <v>131566.26382054549</v>
      </c>
      <c r="I37">
        <f t="shared" ref="I37:I44" si="22">F37*D37</f>
        <v>28699.473214507303</v>
      </c>
      <c r="J37">
        <f t="shared" ref="J37:J44" si="23">F37*D37*C37</f>
        <v>-15006.344544608237</v>
      </c>
    </row>
    <row r="38" spans="1:10">
      <c r="C38">
        <f t="shared" si="16"/>
        <v>-0.45593195564972439</v>
      </c>
      <c r="D38">
        <f t="shared" si="17"/>
        <v>8.9693208784838649E-2</v>
      </c>
      <c r="E38" s="5">
        <f t="shared" si="18"/>
        <v>1.1436107496614568E-3</v>
      </c>
      <c r="F38">
        <f t="shared" si="19"/>
        <v>764616.28247441119</v>
      </c>
      <c r="G38">
        <f t="shared" si="20"/>
        <v>-348612.9969901804</v>
      </c>
      <c r="H38">
        <f t="shared" si="21"/>
        <v>158943.80548264441</v>
      </c>
      <c r="I38">
        <f t="shared" si="22"/>
        <v>68580.887864264529</v>
      </c>
      <c r="J38">
        <f t="shared" si="23"/>
        <v>-31268.218324148576</v>
      </c>
    </row>
    <row r="39" spans="1:10">
      <c r="C39">
        <f t="shared" si="16"/>
        <v>-0.3979400086720376</v>
      </c>
      <c r="D39">
        <f t="shared" si="17"/>
        <v>0.11793383503964149</v>
      </c>
      <c r="E39" s="5">
        <f t="shared" si="18"/>
        <v>1.3485001845560307E-3</v>
      </c>
      <c r="F39">
        <f t="shared" si="19"/>
        <v>549918.05601691245</v>
      </c>
      <c r="G39">
        <f t="shared" si="20"/>
        <v>-218834.39598028021</v>
      </c>
      <c r="H39">
        <f t="shared" si="21"/>
        <v>87082.961434132812</v>
      </c>
      <c r="I39">
        <f t="shared" si="22"/>
        <v>64853.945303618879</v>
      </c>
      <c r="J39">
        <f t="shared" si="23"/>
        <v>-25807.97955653795</v>
      </c>
    </row>
    <row r="40" spans="1:10">
      <c r="C40">
        <f t="shared" si="16"/>
        <v>-0.34678748622465633</v>
      </c>
      <c r="D40">
        <f t="shared" si="17"/>
        <v>0.14151248287742321</v>
      </c>
      <c r="E40" s="5">
        <f t="shared" si="18"/>
        <v>8.4319781831369205E-4</v>
      </c>
      <c r="F40">
        <f t="shared" si="19"/>
        <v>1406504.2592073993</v>
      </c>
      <c r="G40">
        <f t="shared" si="20"/>
        <v>-487758.07641480642</v>
      </c>
      <c r="H40">
        <f t="shared" si="21"/>
        <v>169148.39720566457</v>
      </c>
      <c r="I40">
        <f t="shared" si="22"/>
        <v>199037.90989810991</v>
      </c>
      <c r="J40">
        <f t="shared" si="23"/>
        <v>-69023.856436975184</v>
      </c>
    </row>
    <row r="41" spans="1:10">
      <c r="C41">
        <f t="shared" si="16"/>
        <v>-0.3010299956639812</v>
      </c>
      <c r="D41">
        <f t="shared" si="17"/>
        <v>0.16363835962892304</v>
      </c>
      <c r="E41" s="5">
        <f t="shared" si="18"/>
        <v>5.7952402284687239E-4</v>
      </c>
      <c r="F41">
        <f t="shared" si="19"/>
        <v>2977536.6324066194</v>
      </c>
      <c r="G41">
        <f t="shared" si="20"/>
        <v>-896327.83954270976</v>
      </c>
      <c r="H41">
        <f t="shared" si="21"/>
        <v>269821.56565104757</v>
      </c>
      <c r="I41">
        <f t="shared" si="22"/>
        <v>487239.21026204678</v>
      </c>
      <c r="J41">
        <f t="shared" si="23"/>
        <v>-146673.61735250556</v>
      </c>
    </row>
    <row r="42" spans="1:10">
      <c r="C42">
        <f t="shared" si="16"/>
        <v>-0.25963731050575611</v>
      </c>
      <c r="D42">
        <f t="shared" si="17"/>
        <v>0.18304195729063982</v>
      </c>
      <c r="E42" s="5">
        <f t="shared" si="18"/>
        <v>9.500827487594713E-4</v>
      </c>
      <c r="F42">
        <f t="shared" si="19"/>
        <v>1107840.2380542699</v>
      </c>
      <c r="G42">
        <f t="shared" si="20"/>
        <v>-287636.65987846727</v>
      </c>
      <c r="H42">
        <f t="shared" si="21"/>
        <v>74681.208773704173</v>
      </c>
      <c r="I42">
        <f t="shared" si="22"/>
        <v>202781.24553878192</v>
      </c>
      <c r="J42">
        <f t="shared" si="23"/>
        <v>-52649.577212696691</v>
      </c>
    </row>
    <row r="43" spans="1:10">
      <c r="C43">
        <f t="shared" si="16"/>
        <v>-0.22184874961635639</v>
      </c>
      <c r="D43">
        <f t="shared" si="17"/>
        <v>0.20161558231394275</v>
      </c>
      <c r="E43" s="5">
        <f t="shared" si="18"/>
        <v>1.5572772989356123E-3</v>
      </c>
      <c r="F43">
        <f t="shared" si="19"/>
        <v>412351.98970289645</v>
      </c>
      <c r="G43">
        <f t="shared" si="20"/>
        <v>-91479.773317404251</v>
      </c>
      <c r="H43">
        <f t="shared" si="21"/>
        <v>20294.673325653854</v>
      </c>
      <c r="I43">
        <f t="shared" si="22"/>
        <v>83136.586522262398</v>
      </c>
      <c r="J43">
        <f t="shared" si="23"/>
        <v>-18443.747767335939</v>
      </c>
    </row>
    <row r="44" spans="1:10">
      <c r="C44">
        <f t="shared" si="16"/>
        <v>-0.18708664335714442</v>
      </c>
      <c r="D44">
        <f t="shared" si="17"/>
        <v>0.21811518630454854</v>
      </c>
      <c r="E44" s="5">
        <f t="shared" si="18"/>
        <v>1.3182880135860994E-3</v>
      </c>
      <c r="F44">
        <f t="shared" si="19"/>
        <v>575412.63421756262</v>
      </c>
      <c r="G44">
        <f t="shared" si="20"/>
        <v>-107652.01828105614</v>
      </c>
      <c r="H44">
        <f t="shared" si="21"/>
        <v>20140.254750824741</v>
      </c>
      <c r="I44">
        <f t="shared" si="22"/>
        <v>125506.23391435471</v>
      </c>
      <c r="J44">
        <f t="shared" si="23"/>
        <v>-23480.540023433223</v>
      </c>
    </row>
    <row r="45" spans="1:10">
      <c r="C45">
        <f t="shared" si="16"/>
        <v>-0.15490195998574319</v>
      </c>
      <c r="D45">
        <f t="shared" si="17"/>
        <v>0.23085747689467256</v>
      </c>
      <c r="E45" s="5">
        <f t="shared" si="18"/>
        <v>7.8198711444433307E-4</v>
      </c>
      <c r="F45">
        <f t="shared" si="19"/>
        <v>1635312.6879728322</v>
      </c>
      <c r="G45">
        <f>F45*C45</f>
        <v>-253313.14055654578</v>
      </c>
      <c r="H45">
        <f>F45*C45^2</f>
        <v>39238.701962353</v>
      </c>
      <c r="I45">
        <f>F45*D45</f>
        <v>377524.16107925301</v>
      </c>
      <c r="J45">
        <f>F45*D45*C45</f>
        <v>-58479.232493149713</v>
      </c>
    </row>
    <row r="47" spans="1:10">
      <c r="F47" s="4" t="s">
        <v>25</v>
      </c>
      <c r="G47" s="4" t="s">
        <v>26</v>
      </c>
      <c r="H47" s="4" t="s">
        <v>27</v>
      </c>
      <c r="I47" s="4" t="s">
        <v>28</v>
      </c>
      <c r="J47" s="4" t="s">
        <v>29</v>
      </c>
    </row>
    <row r="48" spans="1:10">
      <c r="F48">
        <f>SUM(F37:F45)</f>
        <v>9910711.5572043248</v>
      </c>
      <c r="G48">
        <f>SUM(G37:G45)</f>
        <v>-2943233.9713637233</v>
      </c>
      <c r="H48">
        <f>SUM(H37:H45)</f>
        <v>970917.83240657055</v>
      </c>
      <c r="I48">
        <f>SUM(I37:I45)</f>
        <v>1637359.6535971996</v>
      </c>
      <c r="J48">
        <f>SUM(J37:J45)</f>
        <v>-440833.11371139105</v>
      </c>
    </row>
    <row r="50" spans="1:10">
      <c r="C50" s="3" t="s">
        <v>34</v>
      </c>
      <c r="D50">
        <f>F48*H48-(G48)^2</f>
        <v>959860372538.0957</v>
      </c>
    </row>
    <row r="52" spans="1:10">
      <c r="C52" s="3" t="s">
        <v>30</v>
      </c>
      <c r="D52">
        <f>(H48*I48-G48*J48)/D50</f>
        <v>0.30448875495331806</v>
      </c>
      <c r="E52" s="3" t="s">
        <v>33</v>
      </c>
      <c r="F52">
        <f>SQRT(H48/D50)</f>
        <v>1.0057434378968589E-3</v>
      </c>
    </row>
    <row r="54" spans="1:10">
      <c r="C54" s="3" t="s">
        <v>31</v>
      </c>
      <c r="D54">
        <f>(F48*J48-G48*I48)/D50</f>
        <v>0.46898771303520836</v>
      </c>
      <c r="E54" s="3" t="s">
        <v>32</v>
      </c>
      <c r="F54">
        <f>SQRT(F48/D50)</f>
        <v>3.2132786399167628E-3</v>
      </c>
    </row>
    <row r="55" spans="1:10">
      <c r="A55" s="3" t="s">
        <v>20</v>
      </c>
      <c r="B55" s="17">
        <f>4*PI()^2/10^(2*$D$52)</f>
        <v>9.7136449851942768</v>
      </c>
    </row>
    <row r="56" spans="1:10">
      <c r="A56" s="3" t="s">
        <v>21</v>
      </c>
      <c r="B56" s="17">
        <f>B55*2*$F$52*LN(10)</f>
        <v>4.4989909423234262E-2</v>
      </c>
    </row>
    <row r="58" spans="1:10" ht="14" customHeight="1">
      <c r="A58" s="16" t="s">
        <v>58</v>
      </c>
    </row>
    <row r="59" spans="1:10">
      <c r="C59" s="11" t="s">
        <v>22</v>
      </c>
      <c r="D59" s="11" t="s">
        <v>23</v>
      </c>
      <c r="E59" s="11" t="s">
        <v>52</v>
      </c>
      <c r="F59" s="11" t="s">
        <v>53</v>
      </c>
      <c r="G59" s="11" t="s">
        <v>54</v>
      </c>
      <c r="H59" s="11" t="s">
        <v>55</v>
      </c>
      <c r="I59" s="11" t="s">
        <v>18</v>
      </c>
      <c r="J59" s="11" t="s">
        <v>19</v>
      </c>
    </row>
    <row r="60" spans="1:10">
      <c r="C60" s="2">
        <f t="shared" ref="C60:C68" si="24">M2</f>
        <v>0.3</v>
      </c>
      <c r="D60" s="13">
        <f t="shared" ref="D60:D67" si="25">O2</f>
        <v>1.3160678400000001</v>
      </c>
      <c r="E60" s="5">
        <f t="shared" ref="E60:E68" si="26">SQRT(T2)</f>
        <v>8.721594792839911E-3</v>
      </c>
      <c r="F60">
        <f t="shared" ref="F60:F68" si="27">1/T2</f>
        <v>13146.440773957624</v>
      </c>
      <c r="G60">
        <f t="shared" ref="G60:G68" si="28">F60*C60</f>
        <v>3943.9322321872869</v>
      </c>
      <c r="H60">
        <f t="shared" ref="H60:H68" si="29">F60*C60^2</f>
        <v>1183.179669656186</v>
      </c>
      <c r="I60">
        <f t="shared" ref="I60:I68" si="30">F60*D60</f>
        <v>17301.60791307034</v>
      </c>
      <c r="J60">
        <f t="shared" ref="J60:J68" si="31">F60*D60*C60</f>
        <v>5190.4823739211015</v>
      </c>
    </row>
    <row r="61" spans="1:10">
      <c r="C61" s="2">
        <f t="shared" si="24"/>
        <v>0.35</v>
      </c>
      <c r="D61" s="13">
        <f t="shared" si="25"/>
        <v>1.5114243600000001</v>
      </c>
      <c r="E61" s="5">
        <f t="shared" si="26"/>
        <v>7.9515680253663314E-3</v>
      </c>
      <c r="F61">
        <f t="shared" si="27"/>
        <v>15815.919384281298</v>
      </c>
      <c r="G61">
        <f t="shared" si="28"/>
        <v>5535.5717844984538</v>
      </c>
      <c r="H61">
        <f t="shared" si="29"/>
        <v>1937.4501245744589</v>
      </c>
      <c r="I61">
        <f t="shared" si="30"/>
        <v>23904.565833198958</v>
      </c>
      <c r="J61">
        <f t="shared" si="31"/>
        <v>8366.5980416196344</v>
      </c>
    </row>
    <row r="62" spans="1:10">
      <c r="C62" s="2">
        <f t="shared" si="24"/>
        <v>0.4</v>
      </c>
      <c r="D62" s="13">
        <f t="shared" si="25"/>
        <v>1.7213440000000002</v>
      </c>
      <c r="E62" s="5">
        <f t="shared" si="26"/>
        <v>1.0684772192802814E-2</v>
      </c>
      <c r="F62">
        <f t="shared" si="27"/>
        <v>8759.3013084279937</v>
      </c>
      <c r="G62">
        <f t="shared" si="28"/>
        <v>3503.7205233711975</v>
      </c>
      <c r="H62">
        <f t="shared" si="29"/>
        <v>1401.4882093484794</v>
      </c>
      <c r="I62">
        <f t="shared" si="30"/>
        <v>15077.770751454678</v>
      </c>
      <c r="J62">
        <f t="shared" si="31"/>
        <v>6031.1083005818718</v>
      </c>
    </row>
    <row r="63" spans="1:10">
      <c r="C63" s="2">
        <f t="shared" si="24"/>
        <v>0.45</v>
      </c>
      <c r="D63" s="13">
        <f t="shared" si="25"/>
        <v>1.91877904</v>
      </c>
      <c r="E63" s="5">
        <f t="shared" si="26"/>
        <v>7.4487440233228733E-3</v>
      </c>
      <c r="F63">
        <f t="shared" si="27"/>
        <v>18023.282919350633</v>
      </c>
      <c r="G63">
        <f t="shared" si="28"/>
        <v>8110.4773137077855</v>
      </c>
      <c r="H63">
        <f t="shared" si="29"/>
        <v>3649.7147911685033</v>
      </c>
      <c r="I63">
        <f t="shared" si="30"/>
        <v>34582.697497640009</v>
      </c>
      <c r="J63">
        <f t="shared" si="31"/>
        <v>15562.213873938004</v>
      </c>
    </row>
    <row r="64" spans="1:10">
      <c r="C64" s="2">
        <f t="shared" si="24"/>
        <v>0.5</v>
      </c>
      <c r="D64" s="13">
        <f t="shared" si="25"/>
        <v>2.1245977599999999</v>
      </c>
      <c r="E64" s="5">
        <f t="shared" si="26"/>
        <v>5.6699569039798036E-3</v>
      </c>
      <c r="F64">
        <f t="shared" si="27"/>
        <v>31105.736171109209</v>
      </c>
      <c r="G64">
        <f t="shared" si="28"/>
        <v>15552.868085554604</v>
      </c>
      <c r="H64">
        <f t="shared" si="29"/>
        <v>7776.4340427773022</v>
      </c>
      <c r="I64">
        <f t="shared" si="30"/>
        <v>66087.177392289595</v>
      </c>
      <c r="J64">
        <f t="shared" si="31"/>
        <v>33043.588696144798</v>
      </c>
    </row>
    <row r="65" spans="1:10">
      <c r="C65" s="2">
        <f t="shared" si="24"/>
        <v>0.55000000000000004</v>
      </c>
      <c r="D65" s="13">
        <f t="shared" si="25"/>
        <v>2.3231856400000002</v>
      </c>
      <c r="E65" s="5">
        <f t="shared" si="26"/>
        <v>1.0166843548118374E-2</v>
      </c>
      <c r="F65">
        <f t="shared" si="27"/>
        <v>9674.4819575514284</v>
      </c>
      <c r="G65">
        <f t="shared" si="28"/>
        <v>5320.9650766532859</v>
      </c>
      <c r="H65">
        <f t="shared" si="29"/>
        <v>2926.5307921593076</v>
      </c>
      <c r="I65">
        <f t="shared" si="30"/>
        <v>22475.61755822257</v>
      </c>
      <c r="J65">
        <f t="shared" si="31"/>
        <v>12361.589657022414</v>
      </c>
    </row>
    <row r="66" spans="1:10">
      <c r="C66" s="2">
        <f t="shared" si="24"/>
        <v>0.6</v>
      </c>
      <c r="D66" s="13">
        <f t="shared" si="25"/>
        <v>2.5306446399999998</v>
      </c>
      <c r="E66" s="5">
        <f t="shared" si="26"/>
        <v>1.8150154453328387E-2</v>
      </c>
      <c r="F66">
        <f t="shared" si="27"/>
        <v>3035.5636927251112</v>
      </c>
      <c r="G66">
        <f t="shared" si="28"/>
        <v>1821.3382156350667</v>
      </c>
      <c r="H66">
        <f t="shared" si="29"/>
        <v>1092.80292938104</v>
      </c>
      <c r="I66">
        <f t="shared" si="30"/>
        <v>7681.932988373409</v>
      </c>
      <c r="J66">
        <f t="shared" si="31"/>
        <v>4609.159793024045</v>
      </c>
    </row>
    <row r="67" spans="1:10">
      <c r="C67" s="2">
        <f t="shared" si="24"/>
        <v>0.65</v>
      </c>
      <c r="D67" s="13">
        <f t="shared" si="25"/>
        <v>2.7304257600000001</v>
      </c>
      <c r="E67" s="5">
        <f t="shared" si="26"/>
        <v>1.6578930752171817E-2</v>
      </c>
      <c r="F67">
        <f t="shared" si="27"/>
        <v>3638.2033119229495</v>
      </c>
      <c r="G67">
        <f t="shared" si="28"/>
        <v>2364.8321527499174</v>
      </c>
      <c r="H67">
        <f t="shared" si="29"/>
        <v>1537.1408992874462</v>
      </c>
      <c r="I67">
        <f t="shared" si="30"/>
        <v>9933.8440429917373</v>
      </c>
      <c r="J67">
        <f t="shared" si="31"/>
        <v>6456.9986279446293</v>
      </c>
    </row>
    <row r="68" spans="1:10">
      <c r="C68" s="2">
        <f t="shared" si="24"/>
        <v>0.7</v>
      </c>
      <c r="D68" s="13">
        <f>O10</f>
        <v>2.8954425600000002</v>
      </c>
      <c r="E68" s="5">
        <f t="shared" si="26"/>
        <v>1.043696974047143E-2</v>
      </c>
      <c r="F68">
        <f t="shared" si="27"/>
        <v>9180.1790410586509</v>
      </c>
      <c r="G68">
        <f t="shared" si="28"/>
        <v>6426.1253287410555</v>
      </c>
      <c r="H68">
        <f t="shared" si="29"/>
        <v>4498.2877301187382</v>
      </c>
      <c r="I68">
        <f t="shared" si="30"/>
        <v>26580.681103901206</v>
      </c>
      <c r="J68">
        <f t="shared" si="31"/>
        <v>18606.476772730843</v>
      </c>
    </row>
    <row r="70" spans="1:10">
      <c r="F70" s="4" t="s">
        <v>25</v>
      </c>
      <c r="G70" s="4" t="s">
        <v>26</v>
      </c>
      <c r="H70" s="4" t="s">
        <v>27</v>
      </c>
      <c r="I70" s="4" t="s">
        <v>28</v>
      </c>
      <c r="J70" s="4" t="s">
        <v>29</v>
      </c>
    </row>
    <row r="71" spans="1:10">
      <c r="F71">
        <f>SUM(F60:F68)</f>
        <v>112379.10856038491</v>
      </c>
      <c r="G71">
        <f>SUM(G60:G68)</f>
        <v>52579.830713098658</v>
      </c>
      <c r="H71">
        <f>SUM(H60:H68)</f>
        <v>26003.029188471461</v>
      </c>
      <c r="I71">
        <f>SUM(I60:I68)</f>
        <v>223625.89508114252</v>
      </c>
      <c r="J71">
        <f>SUM(J60:J68)</f>
        <v>110228.21613692734</v>
      </c>
    </row>
    <row r="73" spans="1:10">
      <c r="C73" s="3" t="s">
        <v>34</v>
      </c>
      <c r="D73">
        <f>$F$71*$H$71-$G$71^2</f>
        <v>157558642.25197887</v>
      </c>
    </row>
    <row r="75" spans="1:10">
      <c r="C75" s="3" t="s">
        <v>30</v>
      </c>
      <c r="D75">
        <f>($H$71*$I$71-$G$71*$J$71)/$D$73</f>
        <v>0.12166728865217122</v>
      </c>
      <c r="E75" s="3" t="s">
        <v>33</v>
      </c>
      <c r="F75">
        <f>SQRT($H$71/$D$73)</f>
        <v>1.2846678537659166E-2</v>
      </c>
    </row>
    <row r="77" spans="1:10">
      <c r="C77" s="3" t="s">
        <v>31</v>
      </c>
      <c r="D77">
        <f>($F$71*$J$71-$G$71*$I$71)/$D$73</f>
        <v>3.9930336555676438</v>
      </c>
      <c r="E77" s="3" t="s">
        <v>32</v>
      </c>
      <c r="F77">
        <f>SQRT($F$71/$D$73)</f>
        <v>2.6706789080703685E-2</v>
      </c>
    </row>
    <row r="79" spans="1:10">
      <c r="A79" s="3" t="s">
        <v>20</v>
      </c>
      <c r="B79" s="17">
        <f>4*PI()^2/$D$77</f>
        <v>9.8868231549491501</v>
      </c>
    </row>
    <row r="80" spans="1:10">
      <c r="A80" s="3" t="s">
        <v>21</v>
      </c>
      <c r="B80" s="17">
        <f>4*PI()^2*$F$77/$D$77^2</f>
        <v>6.6126490145976005E-2</v>
      </c>
    </row>
  </sheetData>
  <pageMargins left="0.75" right="0.75" top="1" bottom="1" header="0.5" footer="0.5"/>
  <pageSetup paperSize="10" scale="70" orientation="portrait" horizontalDpi="4294967292" verticalDpi="4294967292"/>
  <colBreaks count="1" manualBreakCount="1">
    <brk id="1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pendulum</vt:lpstr>
    </vt:vector>
  </TitlesOfParts>
  <Company>University of Cyprus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SuperCollider</cp:lastModifiedBy>
  <cp:lastPrinted>2012-12-14T18:45:46Z</cp:lastPrinted>
  <dcterms:created xsi:type="dcterms:W3CDTF">2008-12-23T18:00:59Z</dcterms:created>
  <dcterms:modified xsi:type="dcterms:W3CDTF">2019-09-19T05:45:42Z</dcterms:modified>
</cp:coreProperties>
</file>