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tohos/Documents/MyCourses/FYS140/2023/Grades/"/>
    </mc:Choice>
  </mc:AlternateContent>
  <xr:revisionPtr revIDLastSave="0" documentId="13_ncr:1_{32A33B83-3774-144A-B7B4-354A9263EF3A}" xr6:coauthVersionLast="47" xr6:coauthVersionMax="47" xr10:uidLastSave="{00000000-0000-0000-0000-000000000000}"/>
  <bookViews>
    <workbookView xWindow="3840" yWindow="500" windowWidth="30320" windowHeight="20720" activeTab="3" xr2:uid="{00000000-000D-0000-FFFF-FFFF00000000}"/>
  </bookViews>
  <sheets>
    <sheet name="Quizzes" sheetId="5" r:id="rId1"/>
    <sheet name="Homeworks" sheetId="6" r:id="rId2"/>
    <sheet name="Exams" sheetId="8" r:id="rId3"/>
    <sheet name="Grad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5" l="1"/>
  <c r="F47" i="5"/>
  <c r="F44" i="5"/>
  <c r="F43" i="5"/>
  <c r="F42" i="5"/>
  <c r="F41" i="5"/>
  <c r="F40" i="5"/>
  <c r="F39" i="5"/>
  <c r="F38" i="5"/>
  <c r="F35" i="5"/>
  <c r="F34" i="5"/>
  <c r="F31" i="5"/>
  <c r="F30" i="5"/>
  <c r="F29" i="5"/>
  <c r="F28" i="5"/>
  <c r="F26" i="5"/>
  <c r="F25" i="5"/>
  <c r="F24" i="5"/>
  <c r="F22" i="5"/>
  <c r="F21" i="5"/>
  <c r="F20" i="5"/>
  <c r="F19" i="5"/>
  <c r="F17" i="5"/>
  <c r="F16" i="5"/>
  <c r="F54" i="5" s="1"/>
  <c r="F15" i="5"/>
  <c r="F14" i="5"/>
  <c r="F13" i="5"/>
  <c r="F12" i="5"/>
  <c r="F11" i="5"/>
  <c r="F10" i="5"/>
  <c r="F9" i="5"/>
  <c r="F8" i="5"/>
  <c r="F7" i="5"/>
  <c r="F6" i="5"/>
  <c r="F4" i="5"/>
  <c r="F3" i="5"/>
  <c r="F51" i="5" s="1"/>
  <c r="B48" i="8"/>
  <c r="B47" i="8"/>
  <c r="B46" i="8"/>
  <c r="B44" i="8"/>
  <c r="B43" i="8"/>
  <c r="B42" i="8"/>
  <c r="B41" i="8"/>
  <c r="B40" i="8"/>
  <c r="B39" i="8"/>
  <c r="B38" i="8"/>
  <c r="D38" i="4" s="1"/>
  <c r="B35" i="8"/>
  <c r="D35" i="4" s="1"/>
  <c r="B34" i="8"/>
  <c r="D34" i="4" s="1"/>
  <c r="B33" i="8"/>
  <c r="B32" i="8"/>
  <c r="B31" i="8"/>
  <c r="B30" i="8"/>
  <c r="B29" i="8"/>
  <c r="B28" i="8"/>
  <c r="B27" i="8"/>
  <c r="B26" i="8"/>
  <c r="B25" i="8"/>
  <c r="D25" i="4" s="1"/>
  <c r="B24" i="8"/>
  <c r="D24" i="4" s="1"/>
  <c r="B23" i="8"/>
  <c r="D23" i="4" s="1"/>
  <c r="B22" i="8"/>
  <c r="D22" i="4" s="1"/>
  <c r="B21" i="8"/>
  <c r="B20" i="8"/>
  <c r="B19" i="8"/>
  <c r="B18" i="8"/>
  <c r="B17" i="8"/>
  <c r="B16" i="8"/>
  <c r="B15" i="8"/>
  <c r="B14" i="8"/>
  <c r="B13" i="8"/>
  <c r="D13" i="4" s="1"/>
  <c r="B12" i="8"/>
  <c r="D12" i="4" s="1"/>
  <c r="B11" i="8"/>
  <c r="D11" i="4" s="1"/>
  <c r="B10" i="8"/>
  <c r="B51" i="8" s="1"/>
  <c r="B9" i="8"/>
  <c r="B8" i="8"/>
  <c r="B7" i="8"/>
  <c r="B6" i="8"/>
  <c r="B4" i="8"/>
  <c r="B3" i="8"/>
  <c r="B2" i="8"/>
  <c r="E33" i="4"/>
  <c r="D33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48" i="4"/>
  <c r="D47" i="4"/>
  <c r="D46" i="4"/>
  <c r="D45" i="4"/>
  <c r="D44" i="4"/>
  <c r="D43" i="4"/>
  <c r="D42" i="4"/>
  <c r="D41" i="4"/>
  <c r="D40" i="4"/>
  <c r="D39" i="4"/>
  <c r="D37" i="4"/>
  <c r="D36" i="4"/>
  <c r="D32" i="4"/>
  <c r="D31" i="4"/>
  <c r="D30" i="4"/>
  <c r="D29" i="4"/>
  <c r="D28" i="4"/>
  <c r="D27" i="4"/>
  <c r="D26" i="4"/>
  <c r="D21" i="4"/>
  <c r="D20" i="4"/>
  <c r="D19" i="4"/>
  <c r="D18" i="4"/>
  <c r="D17" i="4"/>
  <c r="D16" i="4"/>
  <c r="D15" i="4"/>
  <c r="D14" i="4"/>
  <c r="D9" i="4"/>
  <c r="D8" i="4"/>
  <c r="D7" i="4"/>
  <c r="D6" i="4"/>
  <c r="D5" i="4"/>
  <c r="D4" i="4"/>
  <c r="D3" i="4"/>
  <c r="D2" i="4"/>
  <c r="E50" i="4"/>
  <c r="D50" i="4"/>
  <c r="C50" i="4"/>
  <c r="B50" i="4"/>
  <c r="C53" i="8"/>
  <c r="C52" i="8"/>
  <c r="C51" i="8"/>
  <c r="I53" i="6"/>
  <c r="H53" i="6"/>
  <c r="G53" i="6"/>
  <c r="F53" i="6"/>
  <c r="E53" i="6"/>
  <c r="D53" i="6"/>
  <c r="C53" i="6"/>
  <c r="I52" i="6"/>
  <c r="H52" i="6"/>
  <c r="G52" i="6"/>
  <c r="F52" i="6"/>
  <c r="E52" i="6"/>
  <c r="D52" i="6"/>
  <c r="C52" i="6"/>
  <c r="I51" i="6"/>
  <c r="H51" i="6"/>
  <c r="G51" i="6"/>
  <c r="F51" i="6"/>
  <c r="E51" i="6"/>
  <c r="D51" i="6"/>
  <c r="C51" i="6"/>
  <c r="B53" i="6"/>
  <c r="B52" i="6"/>
  <c r="B51" i="6"/>
  <c r="I54" i="6"/>
  <c r="H54" i="6"/>
  <c r="G54" i="6"/>
  <c r="F54" i="6"/>
  <c r="E54" i="6"/>
  <c r="D54" i="6"/>
  <c r="C54" i="6"/>
  <c r="B54" i="6"/>
  <c r="J53" i="5"/>
  <c r="I53" i="5"/>
  <c r="H53" i="5"/>
  <c r="G53" i="5"/>
  <c r="E53" i="5"/>
  <c r="D53" i="5"/>
  <c r="C53" i="5"/>
  <c r="J52" i="5"/>
  <c r="I52" i="5"/>
  <c r="H52" i="5"/>
  <c r="G52" i="5"/>
  <c r="E52" i="5"/>
  <c r="D52" i="5"/>
  <c r="C52" i="5"/>
  <c r="J51" i="5"/>
  <c r="I51" i="5"/>
  <c r="H51" i="5"/>
  <c r="G51" i="5"/>
  <c r="E51" i="5"/>
  <c r="D51" i="5"/>
  <c r="C51" i="5"/>
  <c r="B53" i="5"/>
  <c r="B52" i="5"/>
  <c r="B51" i="5"/>
  <c r="J54" i="5"/>
  <c r="I54" i="5"/>
  <c r="K38" i="5" s="1"/>
  <c r="H54" i="5"/>
  <c r="G54" i="5"/>
  <c r="E54" i="5"/>
  <c r="D54" i="5"/>
  <c r="C54" i="5"/>
  <c r="B54" i="5"/>
  <c r="K13" i="5" l="1"/>
  <c r="K25" i="5"/>
  <c r="K37" i="5"/>
  <c r="K48" i="5"/>
  <c r="K3" i="5"/>
  <c r="K15" i="5"/>
  <c r="K27" i="5"/>
  <c r="K39" i="5"/>
  <c r="B39" i="4" s="1"/>
  <c r="K4" i="5"/>
  <c r="B4" i="4" s="1"/>
  <c r="K16" i="5"/>
  <c r="B16" i="4" s="1"/>
  <c r="K28" i="5"/>
  <c r="B28" i="4" s="1"/>
  <c r="K40" i="5"/>
  <c r="K41" i="5"/>
  <c r="K42" i="5"/>
  <c r="K2" i="5"/>
  <c r="K43" i="5"/>
  <c r="B43" i="4" s="1"/>
  <c r="K14" i="5"/>
  <c r="K5" i="5"/>
  <c r="K6" i="5"/>
  <c r="K44" i="5"/>
  <c r="K26" i="5"/>
  <c r="B26" i="4" s="1"/>
  <c r="K17" i="5"/>
  <c r="B17" i="4" s="1"/>
  <c r="K18" i="5"/>
  <c r="K19" i="5"/>
  <c r="B19" i="4" s="1"/>
  <c r="K9" i="5"/>
  <c r="K21" i="5"/>
  <c r="B21" i="4" s="1"/>
  <c r="K33" i="5"/>
  <c r="B33" i="4" s="1"/>
  <c r="K45" i="5"/>
  <c r="K46" i="5"/>
  <c r="K29" i="5"/>
  <c r="K30" i="5"/>
  <c r="K7" i="5"/>
  <c r="K31" i="5"/>
  <c r="K8" i="5"/>
  <c r="B8" i="4" s="1"/>
  <c r="K20" i="5"/>
  <c r="B20" i="4" s="1"/>
  <c r="K32" i="5"/>
  <c r="B32" i="4" s="1"/>
  <c r="K10" i="5"/>
  <c r="B10" i="4" s="1"/>
  <c r="K22" i="5"/>
  <c r="B22" i="4" s="1"/>
  <c r="K34" i="5"/>
  <c r="K11" i="5"/>
  <c r="K23" i="5"/>
  <c r="K35" i="5"/>
  <c r="K47" i="5"/>
  <c r="B47" i="4" s="1"/>
  <c r="K12" i="5"/>
  <c r="K24" i="5"/>
  <c r="B24" i="4" s="1"/>
  <c r="K36" i="5"/>
  <c r="B36" i="4" s="1"/>
  <c r="F52" i="5"/>
  <c r="J27" i="6"/>
  <c r="C27" i="4" s="1"/>
  <c r="F53" i="5"/>
  <c r="B53" i="8"/>
  <c r="B52" i="8"/>
  <c r="D10" i="4"/>
  <c r="J40" i="6"/>
  <c r="C40" i="4" s="1"/>
  <c r="D52" i="4"/>
  <c r="J42" i="6"/>
  <c r="C42" i="4" s="1"/>
  <c r="J41" i="6"/>
  <c r="C41" i="4" s="1"/>
  <c r="J33" i="6"/>
  <c r="C33" i="4" s="1"/>
  <c r="D51" i="4"/>
  <c r="E51" i="4"/>
  <c r="J6" i="6"/>
  <c r="C6" i="4" s="1"/>
  <c r="J18" i="6"/>
  <c r="C18" i="4" s="1"/>
  <c r="J30" i="6"/>
  <c r="C30" i="4" s="1"/>
  <c r="J43" i="6"/>
  <c r="C43" i="4" s="1"/>
  <c r="J19" i="6"/>
  <c r="C19" i="4" s="1"/>
  <c r="J8" i="6"/>
  <c r="C8" i="4" s="1"/>
  <c r="J20" i="6"/>
  <c r="C20" i="4" s="1"/>
  <c r="J32" i="6"/>
  <c r="C32" i="4" s="1"/>
  <c r="J45" i="6"/>
  <c r="C45" i="4" s="1"/>
  <c r="J7" i="6"/>
  <c r="C7" i="4" s="1"/>
  <c r="J44" i="6"/>
  <c r="C44" i="4" s="1"/>
  <c r="J9" i="6"/>
  <c r="C9" i="4" s="1"/>
  <c r="J21" i="6"/>
  <c r="C21" i="4" s="1"/>
  <c r="J34" i="6"/>
  <c r="C34" i="4" s="1"/>
  <c r="J46" i="6"/>
  <c r="C46" i="4" s="1"/>
  <c r="J31" i="6"/>
  <c r="C31" i="4" s="1"/>
  <c r="J10" i="6"/>
  <c r="C10" i="4" s="1"/>
  <c r="J22" i="6"/>
  <c r="C22" i="4" s="1"/>
  <c r="J35" i="6"/>
  <c r="C35" i="4" s="1"/>
  <c r="J47" i="6"/>
  <c r="C47" i="4" s="1"/>
  <c r="J15" i="6"/>
  <c r="C15" i="4" s="1"/>
  <c r="J36" i="6"/>
  <c r="C36" i="4" s="1"/>
  <c r="J24" i="6"/>
  <c r="C24" i="4" s="1"/>
  <c r="J3" i="6"/>
  <c r="J11" i="6"/>
  <c r="C11" i="4" s="1"/>
  <c r="J23" i="6"/>
  <c r="C23" i="4" s="1"/>
  <c r="J48" i="6"/>
  <c r="C48" i="4" s="1"/>
  <c r="J12" i="6"/>
  <c r="C12" i="4" s="1"/>
  <c r="J37" i="6"/>
  <c r="C37" i="4" s="1"/>
  <c r="J13" i="6"/>
  <c r="C13" i="4" s="1"/>
  <c r="J25" i="6"/>
  <c r="C25" i="4" s="1"/>
  <c r="J38" i="6"/>
  <c r="C38" i="4" s="1"/>
  <c r="J2" i="6"/>
  <c r="C2" i="4" s="1"/>
  <c r="J14" i="6"/>
  <c r="C14" i="4" s="1"/>
  <c r="J26" i="6"/>
  <c r="C26" i="4" s="1"/>
  <c r="J39" i="6"/>
  <c r="C39" i="4" s="1"/>
  <c r="J28" i="6"/>
  <c r="C28" i="4" s="1"/>
  <c r="J4" i="6"/>
  <c r="C4" i="4" s="1"/>
  <c r="J16" i="6"/>
  <c r="C16" i="4" s="1"/>
  <c r="J5" i="6"/>
  <c r="C5" i="4" s="1"/>
  <c r="J17" i="6"/>
  <c r="C17" i="4" s="1"/>
  <c r="J29" i="6"/>
  <c r="C29" i="4" s="1"/>
  <c r="B3" i="4"/>
  <c r="B15" i="4"/>
  <c r="B27" i="4"/>
  <c r="B41" i="4"/>
  <c r="B29" i="4"/>
  <c r="B7" i="4"/>
  <c r="B42" i="4"/>
  <c r="B6" i="4"/>
  <c r="B30" i="4"/>
  <c r="B44" i="4"/>
  <c r="B40" i="4"/>
  <c r="B5" i="4"/>
  <c r="B18" i="4"/>
  <c r="B31" i="4"/>
  <c r="B45" i="4"/>
  <c r="B9" i="4"/>
  <c r="B46" i="4"/>
  <c r="B35" i="4"/>
  <c r="B23" i="4"/>
  <c r="B12" i="4"/>
  <c r="B37" i="4"/>
  <c r="B13" i="4"/>
  <c r="B38" i="4"/>
  <c r="B34" i="4"/>
  <c r="B11" i="4"/>
  <c r="B48" i="4"/>
  <c r="B25" i="4"/>
  <c r="B2" i="4"/>
  <c r="B14" i="4"/>
  <c r="D53" i="4"/>
  <c r="E53" i="4"/>
  <c r="E52" i="4"/>
  <c r="F27" i="4" l="1"/>
  <c r="G27" i="4" s="1"/>
  <c r="H27" i="4" s="1"/>
  <c r="F33" i="4"/>
  <c r="G33" i="4" s="1"/>
  <c r="H33" i="4" s="1"/>
  <c r="F40" i="4"/>
  <c r="G40" i="4" s="1"/>
  <c r="H40" i="4" s="1"/>
  <c r="F28" i="4"/>
  <c r="G28" i="4" s="1"/>
  <c r="H28" i="4" s="1"/>
  <c r="F11" i="4"/>
  <c r="G11" i="4" s="1"/>
  <c r="H11" i="4" s="1"/>
  <c r="F9" i="4"/>
  <c r="G9" i="4" s="1"/>
  <c r="H9" i="4" s="1"/>
  <c r="F24" i="4"/>
  <c r="G24" i="4" s="1"/>
  <c r="H24" i="4" s="1"/>
  <c r="F41" i="4"/>
  <c r="G41" i="4" s="1"/>
  <c r="H41" i="4" s="1"/>
  <c r="F46" i="4"/>
  <c r="G46" i="4" s="1"/>
  <c r="H46" i="4" s="1"/>
  <c r="F19" i="4"/>
  <c r="G19" i="4" s="1"/>
  <c r="H19" i="4" s="1"/>
  <c r="F10" i="4"/>
  <c r="G10" i="4" s="1"/>
  <c r="H10" i="4" s="1"/>
  <c r="F34" i="4"/>
  <c r="G34" i="4" s="1"/>
  <c r="H34" i="4" s="1"/>
  <c r="F42" i="4"/>
  <c r="G42" i="4" s="1"/>
  <c r="H42" i="4" s="1"/>
  <c r="F23" i="4"/>
  <c r="G23" i="4" s="1"/>
  <c r="H23" i="4" s="1"/>
  <c r="F30" i="4"/>
  <c r="G30" i="4" s="1"/>
  <c r="H30" i="4" s="1"/>
  <c r="F6" i="4"/>
  <c r="G6" i="4" s="1"/>
  <c r="H6" i="4" s="1"/>
  <c r="F14" i="4"/>
  <c r="G14" i="4" s="1"/>
  <c r="H14" i="4" s="1"/>
  <c r="F7" i="4"/>
  <c r="G7" i="4" s="1"/>
  <c r="H7" i="4" s="1"/>
  <c r="F45" i="4"/>
  <c r="G45" i="4" s="1"/>
  <c r="H45" i="4" s="1"/>
  <c r="F29" i="4"/>
  <c r="G29" i="4" s="1"/>
  <c r="H29" i="4" s="1"/>
  <c r="B51" i="4"/>
  <c r="B52" i="4"/>
  <c r="F31" i="4"/>
  <c r="G31" i="4" s="1"/>
  <c r="H31" i="4" s="1"/>
  <c r="F39" i="4"/>
  <c r="G39" i="4" s="1"/>
  <c r="H39" i="4" s="1"/>
  <c r="F43" i="4"/>
  <c r="G43" i="4" s="1"/>
  <c r="H43" i="4" s="1"/>
  <c r="B53" i="4"/>
  <c r="F26" i="4"/>
  <c r="G26" i="4" s="1"/>
  <c r="H26" i="4" s="1"/>
  <c r="F36" i="4"/>
  <c r="G36" i="4" s="1"/>
  <c r="H36" i="4" s="1"/>
  <c r="F18" i="4"/>
  <c r="G18" i="4" s="1"/>
  <c r="H18" i="4" s="1"/>
  <c r="F2" i="4"/>
  <c r="G2" i="4" s="1"/>
  <c r="H2" i="4" s="1"/>
  <c r="F15" i="4"/>
  <c r="G15" i="4" s="1"/>
  <c r="H15" i="4" s="1"/>
  <c r="F44" i="4"/>
  <c r="G44" i="4" s="1"/>
  <c r="H44" i="4" s="1"/>
  <c r="F38" i="4"/>
  <c r="G38" i="4" s="1"/>
  <c r="H38" i="4" s="1"/>
  <c r="F25" i="4"/>
  <c r="G25" i="4" s="1"/>
  <c r="H25" i="4" s="1"/>
  <c r="F13" i="4"/>
  <c r="G13" i="4" s="1"/>
  <c r="H13" i="4" s="1"/>
  <c r="F47" i="4"/>
  <c r="G47" i="4" s="1"/>
  <c r="H47" i="4" s="1"/>
  <c r="F32" i="4"/>
  <c r="G32" i="4" s="1"/>
  <c r="H32" i="4" s="1"/>
  <c r="F21" i="4"/>
  <c r="G21" i="4" s="1"/>
  <c r="H21" i="4" s="1"/>
  <c r="F17" i="4"/>
  <c r="G17" i="4" s="1"/>
  <c r="H17" i="4" s="1"/>
  <c r="F37" i="4"/>
  <c r="G37" i="4" s="1"/>
  <c r="H37" i="4" s="1"/>
  <c r="F35" i="4"/>
  <c r="G35" i="4" s="1"/>
  <c r="H35" i="4" s="1"/>
  <c r="F20" i="4"/>
  <c r="G20" i="4" s="1"/>
  <c r="H20" i="4" s="1"/>
  <c r="F5" i="4"/>
  <c r="G5" i="4" s="1"/>
  <c r="H5" i="4" s="1"/>
  <c r="F12" i="4"/>
  <c r="G12" i="4" s="1"/>
  <c r="H12" i="4" s="1"/>
  <c r="F22" i="4"/>
  <c r="G22" i="4" s="1"/>
  <c r="H22" i="4" s="1"/>
  <c r="F8" i="4"/>
  <c r="G8" i="4" s="1"/>
  <c r="H8" i="4" s="1"/>
  <c r="F16" i="4"/>
  <c r="G16" i="4" s="1"/>
  <c r="H16" i="4" s="1"/>
  <c r="F48" i="4"/>
  <c r="G48" i="4" s="1"/>
  <c r="H48" i="4" s="1"/>
  <c r="J53" i="6"/>
  <c r="J52" i="6"/>
  <c r="J51" i="6"/>
  <c r="C3" i="4"/>
  <c r="F3" i="4" s="1"/>
  <c r="G3" i="4" s="1"/>
  <c r="F4" i="4"/>
  <c r="G4" i="4" s="1"/>
  <c r="H4" i="4" s="1"/>
  <c r="K51" i="5"/>
  <c r="K52" i="5"/>
  <c r="K53" i="5"/>
  <c r="C51" i="4" l="1"/>
  <c r="F51" i="4"/>
  <c r="F53" i="4"/>
  <c r="F52" i="4"/>
  <c r="C52" i="4"/>
  <c r="C53" i="4"/>
  <c r="H3" i="4"/>
  <c r="G51" i="4"/>
  <c r="G52" i="4"/>
  <c r="G53" i="4"/>
  <c r="H52" i="4" l="1"/>
  <c r="H50" i="4"/>
  <c r="H51" i="4"/>
  <c r="H53" i="4"/>
</calcChain>
</file>

<file path=xl/sharedStrings.xml><?xml version="1.0" encoding="utf-8"?>
<sst xmlns="http://schemas.openxmlformats.org/spreadsheetml/2006/main" count="66" uniqueCount="38">
  <si>
    <t>Αρ. Ταυτότητας</t>
  </si>
  <si>
    <t>0831</t>
  </si>
  <si>
    <t>0685</t>
  </si>
  <si>
    <t>0395</t>
  </si>
  <si>
    <t>0447</t>
  </si>
  <si>
    <t>Quiz Total</t>
  </si>
  <si>
    <t xml:space="preserve">Max Score </t>
  </si>
  <si>
    <t>Average</t>
  </si>
  <si>
    <t>Std. Dev.</t>
  </si>
  <si>
    <t>Median</t>
    <phoneticPr fontId="0"/>
  </si>
  <si>
    <t>Valid</t>
  </si>
  <si>
    <t>Hm01</t>
  </si>
  <si>
    <t>Hm02</t>
  </si>
  <si>
    <t>Hm03</t>
  </si>
  <si>
    <t>Hm04</t>
  </si>
  <si>
    <t>Hm05</t>
  </si>
  <si>
    <t>Hm06</t>
  </si>
  <si>
    <t>Hm07</t>
  </si>
  <si>
    <t>Hm08</t>
  </si>
  <si>
    <t>Hm Total</t>
  </si>
  <si>
    <t xml:space="preserve">Πρόοδος </t>
  </si>
  <si>
    <t>Τελική</t>
  </si>
  <si>
    <t>Quizzes</t>
  </si>
  <si>
    <t>Homeworks</t>
  </si>
  <si>
    <t>Πρόοδος</t>
  </si>
  <si>
    <t>Τελική Εξέταση</t>
  </si>
  <si>
    <t>Βαθμός</t>
  </si>
  <si>
    <t>Τελικός Βαθμός</t>
  </si>
  <si>
    <t>Passed</t>
  </si>
  <si>
    <t>LAB03-Quiz</t>
  </si>
  <si>
    <t>LAB04-Quiz</t>
  </si>
  <si>
    <t>LAB05-Quiz</t>
  </si>
  <si>
    <t>LAB06-Quiz</t>
  </si>
  <si>
    <t>LAB08-Quiz</t>
  </si>
  <si>
    <t>LAB09-Quiz</t>
  </si>
  <si>
    <t>LAB10-Quiz</t>
  </si>
  <si>
    <t>LAB11-Quiz</t>
  </si>
  <si>
    <t>LAB12-Quiz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</si>
</sst>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indexed="8"/>
      <name val="Calibri"/>
      <family val="2"/>
      <scheme val="minor"/>
    </font>
    <font>
      <sz val="14"/>
      <color indexed="8"/>
      <name val="Verdana"/>
      <family val="2"/>
    </font>
    <font>
      <b/>
      <sz val="14"/>
      <name val="Verdana"/>
      <family val="2"/>
    </font>
    <font>
      <b/>
      <sz val="14"/>
      <color rgb="FFFF0000"/>
      <name val="Verdana"/>
      <family val="2"/>
    </font>
    <font>
      <b/>
      <sz val="14"/>
      <color rgb="FF002060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b/>
      <sz val="14"/>
      <color rgb="FFC00000"/>
      <name val="Verdana"/>
      <family val="2"/>
    </font>
    <font>
      <sz val="14"/>
      <color theme="1"/>
      <name val="Verdana"/>
      <family val="2"/>
    </font>
    <font>
      <b/>
      <sz val="14"/>
      <color rgb="FF00B050"/>
      <name val="Verdana"/>
      <family val="2"/>
    </font>
    <font>
      <b/>
      <sz val="14"/>
      <color rgb="FF00B0F0"/>
      <name val="Verdana"/>
      <family val="2"/>
    </font>
    <font>
      <b/>
      <sz val="14"/>
      <color rgb="FFFFC000"/>
      <name val="Verdana"/>
      <family val="2"/>
    </font>
    <font>
      <b/>
      <sz val="14"/>
      <color rgb="FF92D050"/>
      <name val="Verdana"/>
      <family val="2"/>
    </font>
    <font>
      <sz val="14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6" borderId="3" xfId="0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A0582-B44F-2E45-BD0F-3C600431256F}">
  <dimension ref="A1:K54"/>
  <sheetViews>
    <sheetView workbookViewId="0">
      <selection activeCell="L1" sqref="L1"/>
    </sheetView>
  </sheetViews>
  <sheetFormatPr baseColWidth="10" defaultRowHeight="15" x14ac:dyDescent="0.2"/>
  <cols>
    <col min="1" max="1" width="25.83203125" customWidth="1"/>
    <col min="2" max="2" width="16.83203125" style="3" customWidth="1"/>
    <col min="3" max="10" width="16.83203125" customWidth="1"/>
    <col min="11" max="11" width="15.83203125" customWidth="1"/>
    <col min="12" max="12" width="15.5" customWidth="1"/>
  </cols>
  <sheetData>
    <row r="1" spans="1:11" s="5" customFormat="1" ht="30" customHeight="1" x14ac:dyDescent="0.2">
      <c r="A1" s="1" t="s">
        <v>0</v>
      </c>
      <c r="B1" s="6" t="s">
        <v>29</v>
      </c>
      <c r="C1" s="6" t="s">
        <v>30</v>
      </c>
      <c r="D1" s="6" t="s">
        <v>31</v>
      </c>
      <c r="E1" s="6" t="s">
        <v>32</v>
      </c>
      <c r="F1" s="6" t="s">
        <v>33</v>
      </c>
      <c r="G1" s="6" t="s">
        <v>34</v>
      </c>
      <c r="H1" s="6" t="s">
        <v>35</v>
      </c>
      <c r="I1" s="6" t="s">
        <v>36</v>
      </c>
      <c r="J1" s="6" t="s">
        <v>37</v>
      </c>
      <c r="K1" s="7" t="s">
        <v>5</v>
      </c>
    </row>
    <row r="2" spans="1:11" ht="30" customHeight="1" x14ac:dyDescent="0.2">
      <c r="A2" s="4" t="s">
        <v>3</v>
      </c>
      <c r="B2" s="31">
        <v>5</v>
      </c>
      <c r="C2" s="30">
        <v>2.5</v>
      </c>
      <c r="D2" s="30">
        <v>6</v>
      </c>
      <c r="E2" s="30">
        <v>2</v>
      </c>
      <c r="F2" s="30">
        <v>0</v>
      </c>
      <c r="G2" s="30">
        <v>5</v>
      </c>
      <c r="H2" s="30">
        <v>9</v>
      </c>
      <c r="I2" s="30">
        <v>5</v>
      </c>
      <c r="J2" s="30">
        <v>0</v>
      </c>
      <c r="K2" s="27">
        <f>IF(SUM($B$54:$J$54)&gt;0,$K$50*(B2/$B$50+C2/$C$50+D2/$D$50+E2/$E$50+F2/$F$50+G2/$G$50+H2/$H$50+I2/$I$50+J2/$J$50)/SUM(B$54:$J$54),0)</f>
        <v>0.25555555555555559</v>
      </c>
    </row>
    <row r="3" spans="1:11" ht="30" customHeight="1" x14ac:dyDescent="0.2">
      <c r="A3" s="4" t="s">
        <v>4</v>
      </c>
      <c r="B3" s="31">
        <v>7</v>
      </c>
      <c r="C3" s="30">
        <v>14.5</v>
      </c>
      <c r="D3" s="30">
        <v>13</v>
      </c>
      <c r="E3" s="30">
        <v>11</v>
      </c>
      <c r="F3" s="30">
        <f>4+2</f>
        <v>6</v>
      </c>
      <c r="G3" s="30">
        <v>7</v>
      </c>
      <c r="H3" s="30">
        <v>12</v>
      </c>
      <c r="I3" s="30">
        <v>2</v>
      </c>
      <c r="J3" s="30">
        <v>15</v>
      </c>
      <c r="K3" s="27">
        <f>IF(SUM($B$54:$J$54)&gt;0,$K$50*(B3/$B$50+C3/$C$50+D3/$D$50+E3/$E$50+F3/$F$50+G3/$G$50+H3/$H$50+I3/$I$50+J3/$J$50)/SUM(B$54:$J$54),0)</f>
        <v>0.64814814814814825</v>
      </c>
    </row>
    <row r="4" spans="1:11" ht="30" customHeight="1" x14ac:dyDescent="0.2">
      <c r="A4" s="4" t="s">
        <v>2</v>
      </c>
      <c r="B4" s="32">
        <v>11</v>
      </c>
      <c r="C4" s="30">
        <v>11.5</v>
      </c>
      <c r="D4" s="30">
        <v>6</v>
      </c>
      <c r="E4" s="30">
        <v>15</v>
      </c>
      <c r="F4" s="30">
        <f>2+4</f>
        <v>6</v>
      </c>
      <c r="G4" s="30">
        <v>10</v>
      </c>
      <c r="H4" s="30">
        <v>15</v>
      </c>
      <c r="I4" s="30">
        <v>13</v>
      </c>
      <c r="J4" s="30">
        <v>20</v>
      </c>
      <c r="K4" s="27">
        <f>IF(SUM($B$54:$J$54)&gt;0,$K$50*(B4/$B$50+C4/$C$50+D4/$D$50+E4/$E$50+F4/$F$50+G4/$G$50+H4/$H$50+I4/$I$50+J4/$J$50)/SUM(B$54:$J$54),0)</f>
        <v>0.79629629629629628</v>
      </c>
    </row>
    <row r="5" spans="1:11" ht="30" customHeight="1" x14ac:dyDescent="0.2">
      <c r="A5" s="4" t="s">
        <v>1</v>
      </c>
      <c r="B5" s="32">
        <v>2</v>
      </c>
      <c r="C5" s="30">
        <v>1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27">
        <f>IF(SUM($B$54:$J$54)&gt;0,$K$50*(B5/$B$50+C5/$C$50+D5/$D$50+E5/$E$50+F5/$F$50+G5/$G$50+H5/$H$50+I5/$I$50+J5/$J$50)/SUM(B$54:$J$54),0)</f>
        <v>2.2222222222222223E-2</v>
      </c>
    </row>
    <row r="6" spans="1:11" ht="30" customHeight="1" x14ac:dyDescent="0.2">
      <c r="A6" s="2">
        <v>1670</v>
      </c>
      <c r="B6" s="32">
        <v>11</v>
      </c>
      <c r="C6" s="30">
        <v>13.5</v>
      </c>
      <c r="D6" s="30">
        <v>11</v>
      </c>
      <c r="E6" s="30">
        <v>14</v>
      </c>
      <c r="F6" s="30">
        <f>8+1</f>
        <v>9</v>
      </c>
      <c r="G6" s="30">
        <v>2</v>
      </c>
      <c r="H6" s="30">
        <v>3</v>
      </c>
      <c r="I6" s="30">
        <v>8</v>
      </c>
      <c r="J6" s="30">
        <v>20</v>
      </c>
      <c r="K6" s="27">
        <f>IF(SUM($B$54:$J$54)&gt;0,$K$50*(B6/$B$50+C6/$C$50+D6/$D$50+E6/$E$50+F6/$F$50+G6/$G$50+H6/$H$50+I6/$I$50+J6/$J$50)/SUM(B$54:$J$54),0)</f>
        <v>0.6777777777777777</v>
      </c>
    </row>
    <row r="7" spans="1:11" ht="30" customHeight="1" x14ac:dyDescent="0.2">
      <c r="A7" s="2">
        <v>1691</v>
      </c>
      <c r="B7" s="32">
        <v>3</v>
      </c>
      <c r="C7" s="30">
        <v>0</v>
      </c>
      <c r="D7" s="30">
        <v>4</v>
      </c>
      <c r="E7" s="30">
        <v>7</v>
      </c>
      <c r="F7" s="30">
        <f>2+4</f>
        <v>6</v>
      </c>
      <c r="G7" s="30">
        <v>7</v>
      </c>
      <c r="H7" s="30">
        <v>3</v>
      </c>
      <c r="I7" s="30">
        <v>3</v>
      </c>
      <c r="J7" s="30">
        <v>15</v>
      </c>
      <c r="K7" s="27">
        <f>IF(SUM($B$54:$J$54)&gt;0,$K$50*(B7/$B$50+C7/$C$50+D7/$D$50+E7/$E$50+F7/$F$50+G7/$G$50+H7/$H$50+I7/$I$50+J7/$J$50)/SUM(B$54:$J$54),0)</f>
        <v>0.35555555555555562</v>
      </c>
    </row>
    <row r="8" spans="1:11" ht="30" customHeight="1" x14ac:dyDescent="0.2">
      <c r="A8" s="2">
        <v>1889</v>
      </c>
      <c r="B8" s="32">
        <v>2</v>
      </c>
      <c r="C8" s="30">
        <v>0</v>
      </c>
      <c r="D8" s="30">
        <v>5</v>
      </c>
      <c r="E8" s="30">
        <v>5</v>
      </c>
      <c r="F8" s="30">
        <f>0+0</f>
        <v>0</v>
      </c>
      <c r="G8" s="30">
        <v>2</v>
      </c>
      <c r="H8" s="30">
        <v>4</v>
      </c>
      <c r="I8" s="30">
        <v>1</v>
      </c>
      <c r="J8" s="30">
        <v>15</v>
      </c>
      <c r="K8" s="27">
        <f>IF(SUM($B$54:$J$54)&gt;0,$K$50*(B8/$B$50+C8/$C$50+D8/$D$50+E8/$E$50+F8/$F$50+G8/$G$50+H8/$H$50+I8/$I$50+J8/$J$50)/SUM(B$54:$J$54),0)</f>
        <v>0.25185185185185183</v>
      </c>
    </row>
    <row r="9" spans="1:11" ht="30" customHeight="1" x14ac:dyDescent="0.2">
      <c r="A9" s="2">
        <v>2085</v>
      </c>
      <c r="B9" s="32">
        <v>3</v>
      </c>
      <c r="C9" s="30">
        <v>3.5</v>
      </c>
      <c r="D9" s="30">
        <v>6</v>
      </c>
      <c r="E9" s="30">
        <v>3.5</v>
      </c>
      <c r="F9" s="30">
        <f>2+4</f>
        <v>6</v>
      </c>
      <c r="G9" s="30">
        <v>5</v>
      </c>
      <c r="H9" s="30">
        <v>4</v>
      </c>
      <c r="I9" s="30">
        <v>7</v>
      </c>
      <c r="J9" s="30">
        <v>15</v>
      </c>
      <c r="K9" s="27">
        <f>IF(SUM($B$54:$J$54)&gt;0,$K$50*(B9/$B$50+C9/$C$50+D9/$D$50+E9/$E$50+F9/$F$50+G9/$G$50+H9/$H$50+I9/$I$50+J9/$J$50)/SUM(B$54:$J$54),0)</f>
        <v>0.3925925925925926</v>
      </c>
    </row>
    <row r="10" spans="1:11" ht="30" customHeight="1" x14ac:dyDescent="0.2">
      <c r="A10" s="2">
        <v>2163</v>
      </c>
      <c r="B10" s="32">
        <v>4</v>
      </c>
      <c r="C10" s="30">
        <v>12</v>
      </c>
      <c r="D10" s="30">
        <v>12</v>
      </c>
      <c r="E10" s="30">
        <v>9.5</v>
      </c>
      <c r="F10" s="30">
        <f>6+4</f>
        <v>10</v>
      </c>
      <c r="G10" s="30">
        <v>6</v>
      </c>
      <c r="H10" s="30">
        <v>7.5</v>
      </c>
      <c r="I10" s="30">
        <v>7</v>
      </c>
      <c r="J10" s="30">
        <v>15</v>
      </c>
      <c r="K10" s="27">
        <f>IF(SUM($B$54:$J$54)&gt;0,$K$50*(B10/$B$50+C10/$C$50+D10/$D$50+E10/$E$50+F10/$F$50+G10/$G$50+H10/$H$50+I10/$I$50+J10/$J$50)/SUM(B$54:$J$54),0)</f>
        <v>0.61481481481481481</v>
      </c>
    </row>
    <row r="11" spans="1:11" ht="30" customHeight="1" x14ac:dyDescent="0.2">
      <c r="A11" s="2">
        <v>2393</v>
      </c>
      <c r="B11" s="32">
        <v>8</v>
      </c>
      <c r="C11" s="30">
        <v>10</v>
      </c>
      <c r="D11" s="30">
        <v>7</v>
      </c>
      <c r="E11" s="30">
        <v>8</v>
      </c>
      <c r="F11" s="30">
        <f>4+3</f>
        <v>7</v>
      </c>
      <c r="G11" s="30">
        <v>5</v>
      </c>
      <c r="H11" s="30">
        <v>3</v>
      </c>
      <c r="I11" s="30">
        <v>6</v>
      </c>
      <c r="J11" s="30">
        <v>15</v>
      </c>
      <c r="K11" s="27">
        <f>IF(SUM($B$54:$J$54)&gt;0,$K$50*(B11/$B$50+C11/$C$50+D11/$D$50+E11/$E$50+F11/$F$50+G11/$G$50+H11/$H$50+I11/$I$50+J11/$J$50)/SUM(B$54:$J$54),0)</f>
        <v>0.51111111111111107</v>
      </c>
    </row>
    <row r="12" spans="1:11" ht="30" customHeight="1" x14ac:dyDescent="0.2">
      <c r="A12" s="2">
        <v>2441</v>
      </c>
      <c r="B12" s="32">
        <v>10</v>
      </c>
      <c r="C12" s="30">
        <v>15</v>
      </c>
      <c r="D12" s="30">
        <v>4</v>
      </c>
      <c r="E12" s="30">
        <v>0</v>
      </c>
      <c r="F12" s="30">
        <f>4+2</f>
        <v>6</v>
      </c>
      <c r="G12" s="30">
        <v>11</v>
      </c>
      <c r="H12" s="30">
        <v>0</v>
      </c>
      <c r="I12" s="30">
        <v>0</v>
      </c>
      <c r="J12" s="30">
        <v>0</v>
      </c>
      <c r="K12" s="27">
        <f>IF(SUM($B$54:$J$54)&gt;0,$K$50*(B12/$B$50+C12/$C$50+D12/$D$50+E12/$E$50+F12/$F$50+G12/$G$50+H12/$H$50+I12/$I$50+J12/$J$50)/SUM(B$54:$J$54),0)</f>
        <v>0.34074074074074073</v>
      </c>
    </row>
    <row r="13" spans="1:11" ht="30" customHeight="1" x14ac:dyDescent="0.2">
      <c r="A13" s="2">
        <v>2903</v>
      </c>
      <c r="B13" s="32">
        <v>3</v>
      </c>
      <c r="C13" s="30">
        <v>9</v>
      </c>
      <c r="D13" s="30">
        <v>9</v>
      </c>
      <c r="E13" s="30">
        <v>8</v>
      </c>
      <c r="F13" s="30">
        <f>2+3</f>
        <v>5</v>
      </c>
      <c r="G13" s="30">
        <v>6</v>
      </c>
      <c r="H13" s="30">
        <v>4</v>
      </c>
      <c r="I13" s="30">
        <v>6</v>
      </c>
      <c r="J13" s="30">
        <v>20</v>
      </c>
      <c r="K13" s="27">
        <f>IF(SUM($B$54:$J$54)&gt;0,$K$50*(B13/$B$50+C13/$C$50+D13/$D$50+E13/$E$50+F13/$F$50+G13/$G$50+H13/$H$50+I13/$I$50+J13/$J$50)/SUM(B$54:$J$54),0)</f>
        <v>0.51851851851851849</v>
      </c>
    </row>
    <row r="14" spans="1:11" ht="30" customHeight="1" x14ac:dyDescent="0.2">
      <c r="A14" s="2">
        <v>2994</v>
      </c>
      <c r="B14" s="32">
        <v>7</v>
      </c>
      <c r="C14" s="30">
        <v>8</v>
      </c>
      <c r="D14" s="30">
        <v>5</v>
      </c>
      <c r="E14" s="30">
        <v>9</v>
      </c>
      <c r="F14" s="30">
        <f>5+0</f>
        <v>5</v>
      </c>
      <c r="G14" s="30">
        <v>5</v>
      </c>
      <c r="H14" s="30">
        <v>4</v>
      </c>
      <c r="I14" s="30">
        <v>2</v>
      </c>
      <c r="J14" s="30">
        <v>15</v>
      </c>
      <c r="K14" s="27">
        <f>IF(SUM($B$54:$J$54)&gt;0,$K$50*(B14/$B$50+C14/$C$50+D14/$D$50+E14/$E$50+F14/$F$50+G14/$G$50+H14/$H$50+I14/$I$50+J14/$J$50)/SUM(B$54:$J$54),0)</f>
        <v>0.44444444444444442</v>
      </c>
    </row>
    <row r="15" spans="1:11" ht="30" customHeight="1" x14ac:dyDescent="0.2">
      <c r="A15" s="2">
        <v>3377</v>
      </c>
      <c r="B15" s="32">
        <v>6</v>
      </c>
      <c r="C15" s="30">
        <v>10</v>
      </c>
      <c r="D15" s="30">
        <v>10</v>
      </c>
      <c r="E15" s="30">
        <v>10.5</v>
      </c>
      <c r="F15" s="30">
        <f>4+4</f>
        <v>8</v>
      </c>
      <c r="G15" s="30">
        <v>12</v>
      </c>
      <c r="H15" s="30">
        <v>7</v>
      </c>
      <c r="I15" s="30">
        <v>2</v>
      </c>
      <c r="J15" s="30">
        <v>30</v>
      </c>
      <c r="K15" s="27">
        <f>IF(SUM($B$54:$J$54)&gt;0,$K$50*(B15/$B$50+C15/$C$50+D15/$D$50+E15/$E$50+F15/$F$50+G15/$G$50+H15/$H$50+I15/$I$50+J15/$J$50)/SUM(B$54:$J$54),0)</f>
        <v>0.70740740740740748</v>
      </c>
    </row>
    <row r="16" spans="1:11" ht="30" customHeight="1" x14ac:dyDescent="0.2">
      <c r="A16" s="2">
        <v>3517</v>
      </c>
      <c r="B16" s="32">
        <v>8</v>
      </c>
      <c r="C16" s="30">
        <v>5.5</v>
      </c>
      <c r="D16" s="30">
        <v>4</v>
      </c>
      <c r="E16" s="30">
        <v>10</v>
      </c>
      <c r="F16" s="30">
        <f>4+4</f>
        <v>8</v>
      </c>
      <c r="G16" s="30">
        <v>3</v>
      </c>
      <c r="H16" s="30">
        <v>3</v>
      </c>
      <c r="I16" s="30">
        <v>13</v>
      </c>
      <c r="J16" s="30">
        <v>0</v>
      </c>
      <c r="K16" s="27">
        <f>IF(SUM($B$54:$J$54)&gt;0,$K$50*(B16/$B$50+C16/$C$50+D16/$D$50+E16/$E$50+F16/$F$50+G16/$G$50+H16/$H$50+I16/$I$50+J16/$J$50)/SUM(B$54:$J$54),0)</f>
        <v>0.40370370370370368</v>
      </c>
    </row>
    <row r="17" spans="1:11" ht="30" customHeight="1" x14ac:dyDescent="0.2">
      <c r="A17" s="2">
        <v>3560</v>
      </c>
      <c r="B17" s="32">
        <v>7</v>
      </c>
      <c r="C17" s="30">
        <v>8.5</v>
      </c>
      <c r="D17" s="30">
        <v>1</v>
      </c>
      <c r="E17" s="30">
        <v>12</v>
      </c>
      <c r="F17" s="30">
        <f>0+1</f>
        <v>1</v>
      </c>
      <c r="G17" s="30">
        <v>5</v>
      </c>
      <c r="H17" s="30">
        <v>6</v>
      </c>
      <c r="I17" s="30">
        <v>1</v>
      </c>
      <c r="J17" s="30">
        <v>15</v>
      </c>
      <c r="K17" s="27">
        <f>IF(SUM($B$54:$J$54)&gt;0,$K$50*(B17/$B$50+C17/$C$50+D17/$D$50+E17/$E$50+F17/$F$50+G17/$G$50+H17/$H$50+I17/$I$50+J17/$J$50)/SUM(B$54:$J$54),0)</f>
        <v>0.41851851851851851</v>
      </c>
    </row>
    <row r="18" spans="1:11" ht="30" customHeight="1" x14ac:dyDescent="0.2">
      <c r="A18" s="2">
        <v>3601</v>
      </c>
      <c r="B18" s="32">
        <v>0</v>
      </c>
      <c r="C18" s="30">
        <v>4.5</v>
      </c>
      <c r="D18" s="30">
        <v>3</v>
      </c>
      <c r="E18" s="30">
        <v>3.5</v>
      </c>
      <c r="F18" s="30">
        <v>0</v>
      </c>
      <c r="G18" s="30">
        <v>5</v>
      </c>
      <c r="H18" s="30">
        <v>0</v>
      </c>
      <c r="I18" s="30">
        <v>0</v>
      </c>
      <c r="J18" s="30">
        <v>0</v>
      </c>
      <c r="K18" s="27">
        <f>IF(SUM($B$54:$J$54)&gt;0,$K$50*(B18/$B$50+C18/$C$50+D18/$D$50+E18/$E$50+F18/$F$50+G18/$G$50+H18/$H$50+I18/$I$50+J18/$J$50)/SUM(B$54:$J$54),0)</f>
        <v>0.11851851851851852</v>
      </c>
    </row>
    <row r="19" spans="1:11" ht="30" customHeight="1" x14ac:dyDescent="0.2">
      <c r="A19" s="2">
        <v>3642</v>
      </c>
      <c r="B19" s="32">
        <v>5</v>
      </c>
      <c r="C19" s="30">
        <v>4.5</v>
      </c>
      <c r="D19" s="30">
        <v>4</v>
      </c>
      <c r="E19" s="30">
        <v>9</v>
      </c>
      <c r="F19" s="30">
        <f>5+2</f>
        <v>7</v>
      </c>
      <c r="G19" s="30">
        <v>6</v>
      </c>
      <c r="H19" s="30">
        <v>3</v>
      </c>
      <c r="I19" s="30">
        <v>6</v>
      </c>
      <c r="J19" s="30">
        <v>18</v>
      </c>
      <c r="K19" s="27">
        <f>IF(SUM($B$54:$J$54)&gt;0,$K$50*(B19/$B$50+C19/$C$50+D19/$D$50+E19/$E$50+F19/$F$50+G19/$G$50+H19/$H$50+I19/$I$50+J19/$J$50)/SUM(B$54:$J$54),0)</f>
        <v>0.46296296296296302</v>
      </c>
    </row>
    <row r="20" spans="1:11" ht="30" customHeight="1" x14ac:dyDescent="0.2">
      <c r="A20" s="2">
        <v>3672</v>
      </c>
      <c r="B20" s="32">
        <v>12</v>
      </c>
      <c r="C20" s="30">
        <v>15</v>
      </c>
      <c r="D20" s="30">
        <v>10</v>
      </c>
      <c r="E20" s="30">
        <v>14</v>
      </c>
      <c r="F20" s="30">
        <f>0+4</f>
        <v>4</v>
      </c>
      <c r="G20" s="30">
        <v>6</v>
      </c>
      <c r="H20" s="30">
        <v>18</v>
      </c>
      <c r="I20" s="30">
        <v>13</v>
      </c>
      <c r="J20" s="30">
        <v>15</v>
      </c>
      <c r="K20" s="27">
        <f>IF(SUM($B$54:$J$54)&gt;0,$K$50*(B20/$B$50+C20/$C$50+D20/$D$50+E20/$E$50+F20/$F$50+G20/$G$50+H20/$H$50+I20/$I$50+J20/$J$50)/SUM(B$54:$J$54),0)</f>
        <v>0.79259259259259274</v>
      </c>
    </row>
    <row r="21" spans="1:11" ht="30" customHeight="1" x14ac:dyDescent="0.2">
      <c r="A21" s="2">
        <v>3797</v>
      </c>
      <c r="B21" s="32">
        <v>10</v>
      </c>
      <c r="C21" s="30">
        <v>6.5</v>
      </c>
      <c r="D21" s="30">
        <v>12</v>
      </c>
      <c r="E21" s="30">
        <v>13</v>
      </c>
      <c r="F21" s="30">
        <f>0+4</f>
        <v>4</v>
      </c>
      <c r="G21" s="30">
        <v>7</v>
      </c>
      <c r="H21" s="30">
        <v>5</v>
      </c>
      <c r="I21" s="30">
        <v>5</v>
      </c>
      <c r="J21" s="30">
        <v>15</v>
      </c>
      <c r="K21" s="27">
        <f>IF(SUM($B$54:$J$54)&gt;0,$K$50*(B21/$B$50+C21/$C$50+D21/$D$50+E21/$E$50+F21/$F$50+G21/$G$50+H21/$H$50+I21/$I$50+J21/$J$50)/SUM(B$54:$J$54),0)</f>
        <v>0.57407407407407407</v>
      </c>
    </row>
    <row r="22" spans="1:11" ht="30" customHeight="1" x14ac:dyDescent="0.2">
      <c r="A22" s="2">
        <v>4091</v>
      </c>
      <c r="B22" s="32">
        <v>10</v>
      </c>
      <c r="C22" s="30">
        <v>13.5</v>
      </c>
      <c r="D22" s="30">
        <v>14</v>
      </c>
      <c r="E22" s="30">
        <v>14.5</v>
      </c>
      <c r="F22" s="30">
        <f>8+5</f>
        <v>13</v>
      </c>
      <c r="G22" s="30">
        <v>12</v>
      </c>
      <c r="H22" s="30">
        <v>17.5</v>
      </c>
      <c r="I22" s="30">
        <v>15</v>
      </c>
      <c r="J22" s="30">
        <v>20</v>
      </c>
      <c r="K22" s="27">
        <f>IF(SUM($B$54:$J$54)&gt;0,$K$50*(B22/$B$50+C22/$C$50+D22/$D$50+E22/$E$50+F22/$F$50+G22/$G$50+H22/$H$50+I22/$I$50+J22/$J$50)/SUM(B$54:$J$54),0)</f>
        <v>0.95925925925925937</v>
      </c>
    </row>
    <row r="23" spans="1:11" ht="30" customHeight="1" x14ac:dyDescent="0.2">
      <c r="A23" s="2">
        <v>4582</v>
      </c>
      <c r="B23" s="32">
        <v>0</v>
      </c>
      <c r="C23" s="30">
        <v>10</v>
      </c>
      <c r="D23" s="30">
        <v>5</v>
      </c>
      <c r="E23" s="30">
        <v>12</v>
      </c>
      <c r="F23" s="30">
        <v>0</v>
      </c>
      <c r="G23" s="30">
        <v>2</v>
      </c>
      <c r="H23" s="30">
        <v>4</v>
      </c>
      <c r="I23" s="30">
        <v>6</v>
      </c>
      <c r="J23" s="30">
        <v>0</v>
      </c>
      <c r="K23" s="27">
        <f>IF(SUM($B$54:$J$54)&gt;0,$K$50*(B23/$B$50+C23/$C$50+D23/$D$50+E23/$E$50+F23/$F$50+G23/$G$50+H23/$H$50+I23/$I$50+J23/$J$50)/SUM(B$54:$J$54),0)</f>
        <v>0.28888888888888892</v>
      </c>
    </row>
    <row r="24" spans="1:11" ht="30" customHeight="1" x14ac:dyDescent="0.2">
      <c r="A24" s="2">
        <v>4622</v>
      </c>
      <c r="B24" s="32">
        <v>4</v>
      </c>
      <c r="C24" s="30">
        <v>12.5</v>
      </c>
      <c r="D24" s="30">
        <v>7</v>
      </c>
      <c r="E24" s="30">
        <v>11</v>
      </c>
      <c r="F24" s="30">
        <f>4+2</f>
        <v>6</v>
      </c>
      <c r="G24" s="30">
        <v>7</v>
      </c>
      <c r="H24" s="30">
        <v>4</v>
      </c>
      <c r="I24" s="30">
        <v>7</v>
      </c>
      <c r="J24" s="30">
        <v>0</v>
      </c>
      <c r="K24" s="27">
        <f>IF(SUM($B$54:$J$54)&gt;0,$K$50*(B24/$B$50+C24/$C$50+D24/$D$50+E24/$E$50+F24/$F$50+G24/$G$50+H24/$H$50+I24/$I$50+J24/$J$50)/SUM(B$54:$J$54),0)</f>
        <v>0.43333333333333335</v>
      </c>
    </row>
    <row r="25" spans="1:11" ht="30" customHeight="1" x14ac:dyDescent="0.2">
      <c r="A25" s="2">
        <v>5075</v>
      </c>
      <c r="B25" s="32">
        <v>9</v>
      </c>
      <c r="C25" s="30">
        <v>1.5</v>
      </c>
      <c r="D25" s="30">
        <v>4</v>
      </c>
      <c r="E25" s="30">
        <v>7.5</v>
      </c>
      <c r="F25" s="30">
        <f>0+3</f>
        <v>3</v>
      </c>
      <c r="G25" s="30">
        <v>6</v>
      </c>
      <c r="H25" s="30">
        <v>9</v>
      </c>
      <c r="I25" s="30">
        <v>11</v>
      </c>
      <c r="J25" s="30">
        <v>15</v>
      </c>
      <c r="K25" s="27">
        <f>IF(SUM($B$54:$J$54)&gt;0,$K$50*(B25/$B$50+C25/$C$50+D25/$D$50+E25/$E$50+F25/$F$50+G25/$G$50+H25/$H$50+I25/$I$50+J25/$J$50)/SUM(B$54:$J$54),0)</f>
        <v>0.48888888888888893</v>
      </c>
    </row>
    <row r="26" spans="1:11" ht="30" customHeight="1" x14ac:dyDescent="0.2">
      <c r="A26" s="2">
        <v>5141</v>
      </c>
      <c r="B26" s="32">
        <v>7</v>
      </c>
      <c r="C26" s="30">
        <v>6</v>
      </c>
      <c r="D26" s="30">
        <v>10.5</v>
      </c>
      <c r="E26" s="30">
        <v>7</v>
      </c>
      <c r="F26" s="30">
        <f>3+4</f>
        <v>7</v>
      </c>
      <c r="G26" s="30">
        <v>14</v>
      </c>
      <c r="H26" s="30">
        <v>7</v>
      </c>
      <c r="I26" s="30">
        <v>1</v>
      </c>
      <c r="J26" s="30">
        <v>20</v>
      </c>
      <c r="K26" s="27">
        <f>IF(SUM($B$54:$J$54)&gt;0,$K$50*(B26/$B$50+C26/$C$50+D26/$D$50+E26/$E$50+F26/$F$50+G26/$G$50+H26/$H$50+I26/$I$50+J26/$J$50)/SUM(B$54:$J$54),0)</f>
        <v>0.58888888888888902</v>
      </c>
    </row>
    <row r="27" spans="1:11" ht="30" customHeight="1" x14ac:dyDescent="0.2">
      <c r="A27" s="2">
        <v>5482</v>
      </c>
      <c r="B27" s="32">
        <v>3</v>
      </c>
      <c r="C27" s="30">
        <v>2.5</v>
      </c>
      <c r="D27" s="30">
        <v>1</v>
      </c>
      <c r="E27" s="30">
        <v>9.5</v>
      </c>
      <c r="F27" s="30">
        <v>0</v>
      </c>
      <c r="G27" s="30">
        <v>6</v>
      </c>
      <c r="H27" s="30">
        <v>4</v>
      </c>
      <c r="I27" s="30">
        <v>0</v>
      </c>
      <c r="J27" s="30">
        <v>18</v>
      </c>
      <c r="K27" s="27">
        <f>IF(SUM($B$54:$J$54)&gt;0,$K$50*(B27/$B$50+C27/$C$50+D27/$D$50+E27/$E$50+F27/$F$50+G27/$G$50+H27/$H$50+I27/$I$50+J27/$J$50)/SUM(B$54:$J$54),0)</f>
        <v>0.32592592592592595</v>
      </c>
    </row>
    <row r="28" spans="1:11" ht="30" customHeight="1" x14ac:dyDescent="0.2">
      <c r="A28" s="2">
        <v>5680</v>
      </c>
      <c r="B28" s="32">
        <v>2</v>
      </c>
      <c r="C28" s="30">
        <v>3.5</v>
      </c>
      <c r="D28" s="30">
        <v>2</v>
      </c>
      <c r="E28" s="30">
        <v>7</v>
      </c>
      <c r="F28" s="30">
        <f>0+0</f>
        <v>0</v>
      </c>
      <c r="G28" s="30">
        <v>6</v>
      </c>
      <c r="H28" s="30">
        <v>3</v>
      </c>
      <c r="I28" s="30">
        <v>4</v>
      </c>
      <c r="J28" s="30">
        <v>15</v>
      </c>
      <c r="K28" s="27">
        <f>IF(SUM($B$54:$J$54)&gt;0,$K$50*(B28/$B$50+C28/$C$50+D28/$D$50+E28/$E$50+F28/$F$50+G28/$G$50+H28/$H$50+I28/$I$50+J28/$J$50)/SUM(B$54:$J$54),0)</f>
        <v>0.31481481481481477</v>
      </c>
    </row>
    <row r="29" spans="1:11" ht="30" customHeight="1" x14ac:dyDescent="0.2">
      <c r="A29" s="2">
        <v>5943</v>
      </c>
      <c r="B29" s="32">
        <v>5</v>
      </c>
      <c r="C29" s="30">
        <v>6.5</v>
      </c>
      <c r="D29" s="30">
        <v>3</v>
      </c>
      <c r="E29" s="30">
        <v>12</v>
      </c>
      <c r="F29" s="30">
        <f>0+1</f>
        <v>1</v>
      </c>
      <c r="G29" s="30">
        <v>5.5</v>
      </c>
      <c r="H29" s="30">
        <v>3</v>
      </c>
      <c r="I29" s="30">
        <v>7</v>
      </c>
      <c r="J29" s="30">
        <v>20</v>
      </c>
      <c r="K29" s="27">
        <f>IF(SUM($B$54:$J$54)&gt;0,$K$50*(B29/$B$50+C29/$C$50+D29/$D$50+E29/$E$50+F29/$F$50+G29/$G$50+H29/$H$50+I29/$I$50+J29/$J$50)/SUM(B$54:$J$54),0)</f>
        <v>0.46666666666666667</v>
      </c>
    </row>
    <row r="30" spans="1:11" ht="30" customHeight="1" x14ac:dyDescent="0.2">
      <c r="A30" s="2">
        <v>6464</v>
      </c>
      <c r="B30" s="32">
        <v>10</v>
      </c>
      <c r="C30" s="30">
        <v>15</v>
      </c>
      <c r="D30" s="30">
        <v>15</v>
      </c>
      <c r="E30" s="30">
        <v>12.5</v>
      </c>
      <c r="F30" s="30">
        <f>10+5</f>
        <v>15</v>
      </c>
      <c r="G30" s="30">
        <v>13</v>
      </c>
      <c r="H30" s="30">
        <v>18</v>
      </c>
      <c r="I30" s="30">
        <v>13</v>
      </c>
      <c r="J30" s="30">
        <v>30</v>
      </c>
      <c r="K30" s="27">
        <f>IF(SUM($B$54:$J$54)&gt;0,$K$50*(B30/$B$50+C30/$C$50+D30/$D$50+E30/$E$50+F30/$F$50+G30/$G$50+H30/$H$50+I30/$I$50+J30/$J$50)/SUM(B$54:$J$54),0)</f>
        <v>1.0481481481481483</v>
      </c>
    </row>
    <row r="31" spans="1:11" ht="30" customHeight="1" x14ac:dyDescent="0.2">
      <c r="A31" s="2">
        <v>6797</v>
      </c>
      <c r="B31" s="32">
        <v>5</v>
      </c>
      <c r="C31" s="30">
        <v>6</v>
      </c>
      <c r="D31" s="30">
        <v>4</v>
      </c>
      <c r="E31" s="30">
        <v>7</v>
      </c>
      <c r="F31" s="30">
        <f>0+5</f>
        <v>5</v>
      </c>
      <c r="G31" s="30">
        <v>10</v>
      </c>
      <c r="H31" s="30">
        <v>3</v>
      </c>
      <c r="I31" s="30">
        <v>11</v>
      </c>
      <c r="J31" s="30">
        <v>23</v>
      </c>
      <c r="K31" s="27">
        <f>IF(SUM($B$54:$J$54)&gt;0,$K$50*(B31/$B$50+C31/$C$50+D31/$D$50+E31/$E$50+F31/$F$50+G31/$G$50+H31/$H$50+I31/$I$50+J31/$J$50)/SUM(B$54:$J$54),0)</f>
        <v>0.54814814814814816</v>
      </c>
    </row>
    <row r="32" spans="1:11" ht="30" customHeight="1" x14ac:dyDescent="0.2">
      <c r="A32" s="2">
        <v>7021</v>
      </c>
      <c r="B32" s="32">
        <v>6</v>
      </c>
      <c r="C32" s="30">
        <v>10.5</v>
      </c>
      <c r="D32" s="30">
        <v>10</v>
      </c>
      <c r="E32" s="30">
        <v>14</v>
      </c>
      <c r="F32" s="30">
        <f>0+2</f>
        <v>2</v>
      </c>
      <c r="G32" s="30">
        <v>7</v>
      </c>
      <c r="H32" s="30">
        <v>4</v>
      </c>
      <c r="I32" s="30">
        <v>0</v>
      </c>
      <c r="J32" s="30">
        <v>15</v>
      </c>
      <c r="K32" s="27">
        <f>IF(SUM($B$54:$J$54)&gt;0,$K$50*(B32/$B$50+C32/$C$50+D32/$D$50+E32/$E$50+F32/$F$50+G32/$G$50+H32/$H$50+I32/$I$50+J32/$J$50)/SUM(B$54:$J$54),0)</f>
        <v>0.50740740740740742</v>
      </c>
    </row>
    <row r="33" spans="1:11" ht="30" customHeight="1" x14ac:dyDescent="0.2">
      <c r="A33" s="2">
        <v>7511</v>
      </c>
      <c r="B33" s="32">
        <v>0</v>
      </c>
      <c r="C33" s="30">
        <v>1</v>
      </c>
      <c r="D33" s="30">
        <v>0</v>
      </c>
      <c r="E33" s="30">
        <v>5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27">
        <f>IF(SUM($B$54:$J$54)&gt;0,$K$50*(B33/$B$50+C33/$C$50+D33/$D$50+E33/$E$50+F33/$F$50+G33/$G$50+H33/$H$50+I33/$I$50+J33/$J$50)/SUM(B$54:$J$54),0)</f>
        <v>4.4444444444444439E-2</v>
      </c>
    </row>
    <row r="34" spans="1:11" ht="30" customHeight="1" x14ac:dyDescent="0.2">
      <c r="A34" s="2">
        <v>7575</v>
      </c>
      <c r="B34" s="32">
        <v>3</v>
      </c>
      <c r="C34" s="30">
        <v>5.5</v>
      </c>
      <c r="D34" s="30">
        <v>6</v>
      </c>
      <c r="E34" s="30">
        <v>7</v>
      </c>
      <c r="F34" s="30">
        <f>4+4</f>
        <v>8</v>
      </c>
      <c r="G34" s="30">
        <v>9</v>
      </c>
      <c r="H34" s="30">
        <v>7</v>
      </c>
      <c r="I34" s="30">
        <v>14</v>
      </c>
      <c r="J34" s="30">
        <v>15</v>
      </c>
      <c r="K34" s="27">
        <f>IF(SUM($B$54:$J$54)&gt;0,$K$50*(B34/$B$50+C34/$C$50+D34/$D$50+E34/$E$50+F34/$F$50+G34/$G$50+H34/$H$50+I34/$I$50+J34/$J$50)/SUM(B$54:$J$54),0)</f>
        <v>0.55185185185185182</v>
      </c>
    </row>
    <row r="35" spans="1:11" ht="30" customHeight="1" x14ac:dyDescent="0.2">
      <c r="A35" s="2">
        <v>7642</v>
      </c>
      <c r="B35" s="32">
        <v>3</v>
      </c>
      <c r="C35" s="30">
        <v>3</v>
      </c>
      <c r="D35" s="30">
        <v>0</v>
      </c>
      <c r="E35" s="30">
        <v>5</v>
      </c>
      <c r="F35" s="30">
        <f>0+1</f>
        <v>1</v>
      </c>
      <c r="G35" s="30">
        <v>7</v>
      </c>
      <c r="H35" s="30">
        <v>3</v>
      </c>
      <c r="I35" s="30">
        <v>1</v>
      </c>
      <c r="J35" s="30">
        <v>15</v>
      </c>
      <c r="K35" s="27">
        <f>IF(SUM($B$54:$J$54)&gt;0,$K$50*(B35/$B$50+C35/$C$50+D35/$D$50+E35/$E$50+F35/$F$50+G35/$G$50+H35/$H$50+I35/$I$50+J35/$J$50)/SUM(B$54:$J$54),0)</f>
        <v>0.28148148148148144</v>
      </c>
    </row>
    <row r="36" spans="1:11" ht="30" customHeight="1" x14ac:dyDescent="0.2">
      <c r="A36" s="2">
        <v>7949</v>
      </c>
      <c r="B36" s="32"/>
      <c r="C36" s="30"/>
      <c r="D36" s="30"/>
      <c r="E36" s="30"/>
      <c r="F36" s="30"/>
      <c r="G36" s="30"/>
      <c r="H36" s="30"/>
      <c r="I36" s="30"/>
      <c r="J36" s="30"/>
      <c r="K36" s="27">
        <f>IF(SUM($B$54:$J$54)&gt;0,$K$50*(B36/$B$50+C36/$C$50+D36/$D$50+E36/$E$50+F36/$F$50+G36/$G$50+H36/$H$50+I36/$I$50+J36/$J$50)/SUM(B$54:$J$54),0)</f>
        <v>0</v>
      </c>
    </row>
    <row r="37" spans="1:11" ht="30" customHeight="1" x14ac:dyDescent="0.2">
      <c r="A37" s="2">
        <v>8688</v>
      </c>
      <c r="B37" s="32"/>
      <c r="C37" s="30"/>
      <c r="D37" s="30"/>
      <c r="E37" s="30"/>
      <c r="F37" s="30"/>
      <c r="G37" s="30"/>
      <c r="H37" s="30"/>
      <c r="I37" s="30"/>
      <c r="J37" s="30"/>
      <c r="K37" s="27">
        <f>IF(SUM($B$54:$J$54)&gt;0,$K$50*(B37/$B$50+C37/$C$50+D37/$D$50+E37/$E$50+F37/$F$50+G37/$G$50+H37/$H$50+I37/$I$50+J37/$J$50)/SUM(B$54:$J$54),0)</f>
        <v>0</v>
      </c>
    </row>
    <row r="38" spans="1:11" ht="30" customHeight="1" x14ac:dyDescent="0.2">
      <c r="A38" s="2">
        <v>8742</v>
      </c>
      <c r="B38" s="32">
        <v>5</v>
      </c>
      <c r="C38" s="30">
        <v>3.5</v>
      </c>
      <c r="D38" s="30">
        <v>1</v>
      </c>
      <c r="E38" s="30">
        <v>3</v>
      </c>
      <c r="F38" s="30">
        <f>2+0</f>
        <v>2</v>
      </c>
      <c r="G38" s="30">
        <v>9</v>
      </c>
      <c r="H38" s="30">
        <v>9</v>
      </c>
      <c r="I38" s="30">
        <v>4</v>
      </c>
      <c r="J38" s="30">
        <v>15</v>
      </c>
      <c r="K38" s="27">
        <f>IF(SUM($B$54:$J$54)&gt;0,$K$50*(B38/$B$50+C38/$C$50+D38/$D$50+E38/$E$50+F38/$F$50+G38/$G$50+H38/$H$50+I38/$I$50+J38/$J$50)/SUM(B$54:$J$54),0)</f>
        <v>0.38148148148148148</v>
      </c>
    </row>
    <row r="39" spans="1:11" ht="30" customHeight="1" x14ac:dyDescent="0.2">
      <c r="A39" s="2">
        <v>8743</v>
      </c>
      <c r="B39" s="32">
        <v>6</v>
      </c>
      <c r="C39" s="30">
        <v>13.5</v>
      </c>
      <c r="D39" s="30">
        <v>5</v>
      </c>
      <c r="E39" s="30">
        <v>7.5</v>
      </c>
      <c r="F39" s="30">
        <f>4+4</f>
        <v>8</v>
      </c>
      <c r="G39" s="30">
        <v>6</v>
      </c>
      <c r="H39" s="30">
        <v>3</v>
      </c>
      <c r="I39" s="30">
        <v>3</v>
      </c>
      <c r="J39" s="30">
        <v>20</v>
      </c>
      <c r="K39" s="27">
        <f>IF(SUM($B$54:$J$54)&gt;0,$K$50*(B39/$B$50+C39/$C$50+D39/$D$50+E39/$E$50+F39/$F$50+G39/$G$50+H39/$H$50+I39/$I$50+J39/$J$50)/SUM(B$54:$J$54),0)</f>
        <v>0.53333333333333333</v>
      </c>
    </row>
    <row r="40" spans="1:11" ht="30" customHeight="1" x14ac:dyDescent="0.2">
      <c r="A40" s="2">
        <v>8765</v>
      </c>
      <c r="B40" s="32">
        <v>6</v>
      </c>
      <c r="C40" s="30">
        <v>6</v>
      </c>
      <c r="D40" s="30">
        <v>7</v>
      </c>
      <c r="E40" s="30">
        <v>6</v>
      </c>
      <c r="F40" s="30">
        <f>1+1</f>
        <v>2</v>
      </c>
      <c r="G40" s="30">
        <v>1</v>
      </c>
      <c r="H40" s="30">
        <v>3</v>
      </c>
      <c r="I40" s="30">
        <v>5</v>
      </c>
      <c r="J40" s="30">
        <v>15</v>
      </c>
      <c r="K40" s="27">
        <f>IF(SUM($B$54:$J$54)&gt;0,$K$50*(B40/$B$50+C40/$C$50+D40/$D$50+E40/$E$50+F40/$F$50+G40/$G$50+H40/$H$50+I40/$I$50+J40/$J$50)/SUM(B$54:$J$54),0)</f>
        <v>0.37777777777777777</v>
      </c>
    </row>
    <row r="41" spans="1:11" ht="30" customHeight="1" x14ac:dyDescent="0.2">
      <c r="A41" s="2">
        <v>8793</v>
      </c>
      <c r="B41" s="32">
        <v>8</v>
      </c>
      <c r="C41" s="30">
        <v>10</v>
      </c>
      <c r="D41" s="30">
        <v>13</v>
      </c>
      <c r="E41" s="30">
        <v>14</v>
      </c>
      <c r="F41" s="30">
        <f>3+5</f>
        <v>8</v>
      </c>
      <c r="G41" s="30">
        <v>10</v>
      </c>
      <c r="H41" s="30">
        <v>18</v>
      </c>
      <c r="I41" s="30">
        <v>13</v>
      </c>
      <c r="J41" s="30">
        <v>20</v>
      </c>
      <c r="K41" s="27">
        <f>IF(SUM($B$54:$J$54)&gt;0,$K$50*(B41/$B$50+C41/$C$50+D41/$D$50+E41/$E$50+F41/$F$50+G41/$G$50+H41/$H$50+I41/$I$50+J41/$J$50)/SUM(B$54:$J$54),0)</f>
        <v>0.84444444444444455</v>
      </c>
    </row>
    <row r="42" spans="1:11" ht="30" customHeight="1" x14ac:dyDescent="0.2">
      <c r="A42" s="2">
        <v>9139</v>
      </c>
      <c r="B42" s="32">
        <v>2</v>
      </c>
      <c r="C42" s="30">
        <v>1</v>
      </c>
      <c r="D42" s="30">
        <v>5</v>
      </c>
      <c r="E42" s="30">
        <v>6.5</v>
      </c>
      <c r="F42" s="30">
        <f>4+1</f>
        <v>5</v>
      </c>
      <c r="G42" s="30">
        <v>0</v>
      </c>
      <c r="H42" s="30">
        <v>0</v>
      </c>
      <c r="I42" s="30">
        <v>1</v>
      </c>
      <c r="J42" s="30">
        <v>0</v>
      </c>
      <c r="K42" s="27">
        <f>IF(SUM($B$54:$J$54)&gt;0,$K$50*(B42/$B$50+C42/$C$50+D42/$D$50+E42/$E$50+F42/$F$50+G42/$G$50+H42/$H$50+I42/$I$50+J42/$J$50)/SUM(B$54:$J$54),0)</f>
        <v>0.15185185185185185</v>
      </c>
    </row>
    <row r="43" spans="1:11" ht="30" customHeight="1" x14ac:dyDescent="0.2">
      <c r="A43" s="2">
        <v>9196</v>
      </c>
      <c r="B43" s="32">
        <v>7</v>
      </c>
      <c r="C43" s="30">
        <v>12.5</v>
      </c>
      <c r="D43" s="30">
        <v>15</v>
      </c>
      <c r="E43" s="30">
        <v>11</v>
      </c>
      <c r="F43" s="30">
        <f>8+5</f>
        <v>13</v>
      </c>
      <c r="G43" s="30">
        <v>15</v>
      </c>
      <c r="H43" s="30">
        <v>13</v>
      </c>
      <c r="I43" s="30">
        <v>8</v>
      </c>
      <c r="J43" s="30">
        <v>30</v>
      </c>
      <c r="K43" s="27">
        <f>IF(SUM($B$54:$J$54)&gt;0,$K$50*(B43/$B$50+C43/$C$50+D43/$D$50+E43/$E$50+F43/$F$50+G43/$G$50+H43/$H$50+I43/$I$50+J43/$J$50)/SUM(B$54:$J$54),0)</f>
        <v>0.92222222222222228</v>
      </c>
    </row>
    <row r="44" spans="1:11" ht="30" customHeight="1" x14ac:dyDescent="0.2">
      <c r="A44" s="2">
        <v>9355</v>
      </c>
      <c r="B44" s="32">
        <v>8</v>
      </c>
      <c r="C44" s="30">
        <v>5</v>
      </c>
      <c r="D44" s="30">
        <v>6</v>
      </c>
      <c r="E44" s="30">
        <v>12</v>
      </c>
      <c r="F44" s="30">
        <f>0+2</f>
        <v>2</v>
      </c>
      <c r="G44" s="30">
        <v>5</v>
      </c>
      <c r="H44" s="30">
        <v>5</v>
      </c>
      <c r="I44" s="30">
        <v>7</v>
      </c>
      <c r="J44" s="30">
        <v>30</v>
      </c>
      <c r="K44" s="27">
        <f>IF(SUM($B$54:$J$54)&gt;0,$K$50*(B44/$B$50+C44/$C$50+D44/$D$50+E44/$E$50+F44/$F$50+G44/$G$50+H44/$H$50+I44/$I$50+J44/$J$50)/SUM(B$54:$J$54),0)</f>
        <v>0.59259259259259267</v>
      </c>
    </row>
    <row r="45" spans="1:11" ht="30" customHeight="1" x14ac:dyDescent="0.2">
      <c r="A45" s="2">
        <v>9516</v>
      </c>
      <c r="B45" s="32"/>
      <c r="C45" s="30"/>
      <c r="D45" s="30"/>
      <c r="E45" s="30"/>
      <c r="F45" s="30"/>
      <c r="G45" s="30"/>
      <c r="H45" s="30"/>
      <c r="I45" s="30"/>
      <c r="J45" s="30"/>
      <c r="K45" s="27">
        <f>IF(SUM($B$54:$J$54)&gt;0,$K$50*(B45/$B$50+C45/$C$50+D45/$D$50+E45/$E$50+F45/$F$50+G45/$G$50+H45/$H$50+I45/$I$50+J45/$J$50)/SUM(B$54:$J$54),0)</f>
        <v>0</v>
      </c>
    </row>
    <row r="46" spans="1:11" ht="30" customHeight="1" x14ac:dyDescent="0.2">
      <c r="A46" s="2">
        <v>9550</v>
      </c>
      <c r="B46" s="32">
        <v>10</v>
      </c>
      <c r="C46" s="30">
        <v>8.5</v>
      </c>
      <c r="D46" s="30">
        <v>6</v>
      </c>
      <c r="E46" s="30">
        <v>8</v>
      </c>
      <c r="F46" s="30">
        <v>4</v>
      </c>
      <c r="G46" s="30">
        <v>1</v>
      </c>
      <c r="H46" s="30">
        <v>16</v>
      </c>
      <c r="I46" s="30">
        <v>6</v>
      </c>
      <c r="J46" s="30">
        <v>15</v>
      </c>
      <c r="K46" s="27">
        <f>IF(SUM($B$54:$J$54)&gt;0,$K$50*(B46/$B$50+C46/$C$50+D46/$D$50+E46/$E$50+F46/$F$50+G46/$G$50+H46/$H$50+I46/$I$50+J46/$J$50)/SUM(B$54:$J$54),0)</f>
        <v>0.55185185185185182</v>
      </c>
    </row>
    <row r="47" spans="1:11" ht="30" customHeight="1" x14ac:dyDescent="0.2">
      <c r="A47" s="2">
        <v>9744</v>
      </c>
      <c r="B47" s="32">
        <v>5</v>
      </c>
      <c r="C47" s="30">
        <v>3</v>
      </c>
      <c r="D47" s="30">
        <v>5</v>
      </c>
      <c r="E47" s="30">
        <v>12.5</v>
      </c>
      <c r="F47" s="30">
        <f>4+0</f>
        <v>4</v>
      </c>
      <c r="G47" s="30">
        <v>5.5</v>
      </c>
      <c r="H47" s="30">
        <v>4</v>
      </c>
      <c r="I47" s="30">
        <v>5</v>
      </c>
      <c r="J47" s="30">
        <v>15</v>
      </c>
      <c r="K47" s="27">
        <f>IF(SUM($B$54:$J$54)&gt;0,$K$50*(B47/$B$50+C47/$C$50+D47/$D$50+E47/$E$50+F47/$F$50+G47/$G$50+H47/$H$50+I47/$I$50+J47/$J$50)/SUM(B$54:$J$54),0)</f>
        <v>0.43703703703703706</v>
      </c>
    </row>
    <row r="48" spans="1:11" ht="30" customHeight="1" x14ac:dyDescent="0.2">
      <c r="A48" s="2">
        <v>9881</v>
      </c>
      <c r="B48" s="32">
        <v>7</v>
      </c>
      <c r="C48" s="30">
        <v>0</v>
      </c>
      <c r="D48" s="30">
        <v>4</v>
      </c>
      <c r="E48" s="30">
        <v>0</v>
      </c>
      <c r="F48" s="30">
        <v>0</v>
      </c>
      <c r="G48" s="30">
        <v>2</v>
      </c>
      <c r="H48" s="30">
        <v>3</v>
      </c>
      <c r="I48" s="30">
        <v>0</v>
      </c>
      <c r="J48" s="30">
        <v>15</v>
      </c>
      <c r="K48" s="27">
        <f>IF(SUM($B$54:$J$54)&gt;0,$K$50*(B48/$B$50+C48/$C$50+D48/$D$50+E48/$E$50+F48/$F$50+G48/$G$50+H48/$H$50+I48/$I$50+J48/$J$50)/SUM(B$54:$J$54),0)</f>
        <v>0.2296296296296296</v>
      </c>
    </row>
    <row r="49" spans="1:11" ht="30" customHeight="1" x14ac:dyDescent="0.2"/>
    <row r="50" spans="1:11" ht="30" customHeight="1" x14ac:dyDescent="0.2">
      <c r="A50" s="8" t="s">
        <v>6</v>
      </c>
      <c r="B50" s="9">
        <v>15</v>
      </c>
      <c r="C50" s="10">
        <v>15</v>
      </c>
      <c r="D50" s="10">
        <v>15</v>
      </c>
      <c r="E50" s="10">
        <v>15</v>
      </c>
      <c r="F50" s="10">
        <v>15</v>
      </c>
      <c r="G50" s="10">
        <v>15</v>
      </c>
      <c r="H50" s="10">
        <v>15</v>
      </c>
      <c r="I50" s="10">
        <v>15</v>
      </c>
      <c r="J50" s="10">
        <v>15</v>
      </c>
      <c r="K50" s="11">
        <v>1</v>
      </c>
    </row>
    <row r="51" spans="1:11" ht="30" customHeight="1" x14ac:dyDescent="0.2">
      <c r="A51" s="12" t="s">
        <v>7</v>
      </c>
      <c r="B51" s="13">
        <f>AVERAGE(B$2:B$48)</f>
        <v>5.7954545454545459</v>
      </c>
      <c r="C51" s="13">
        <f t="shared" ref="C51:K51" si="0">AVERAGE(C$2:C$48)</f>
        <v>7.1590909090909092</v>
      </c>
      <c r="D51" s="13">
        <f t="shared" si="0"/>
        <v>6.375</v>
      </c>
      <c r="E51" s="13">
        <f t="shared" si="0"/>
        <v>8.5340909090909083</v>
      </c>
      <c r="F51" s="13">
        <f t="shared" si="0"/>
        <v>4.7045454545454541</v>
      </c>
      <c r="G51" s="13">
        <f t="shared" si="0"/>
        <v>6.2272727272727275</v>
      </c>
      <c r="H51" s="13">
        <f t="shared" si="0"/>
        <v>6.1590909090909092</v>
      </c>
      <c r="I51" s="13">
        <f t="shared" si="0"/>
        <v>5.5</v>
      </c>
      <c r="J51" s="13">
        <f t="shared" si="0"/>
        <v>14.522727272727273</v>
      </c>
      <c r="K51" s="13">
        <f t="shared" si="0"/>
        <v>0.4505910165484634</v>
      </c>
    </row>
    <row r="52" spans="1:11" ht="30" customHeight="1" x14ac:dyDescent="0.2">
      <c r="A52" s="14" t="s">
        <v>8</v>
      </c>
      <c r="B52" s="13">
        <f>STDEV(B$2:B$48)</f>
        <v>3.1811914212054186</v>
      </c>
      <c r="C52" s="13">
        <f t="shared" ref="C52:K52" si="1">STDEV(C$2:C$48)</f>
        <v>4.7160940767101485</v>
      </c>
      <c r="D52" s="13">
        <f t="shared" si="1"/>
        <v>4.1653680146746241</v>
      </c>
      <c r="E52" s="13">
        <f t="shared" si="1"/>
        <v>4.1151983298340458</v>
      </c>
      <c r="F52" s="13">
        <f t="shared" si="1"/>
        <v>3.8734609574105052</v>
      </c>
      <c r="G52" s="13">
        <f t="shared" si="1"/>
        <v>3.7330306682910726</v>
      </c>
      <c r="H52" s="13">
        <f t="shared" si="1"/>
        <v>5.25486787309028</v>
      </c>
      <c r="I52" s="13">
        <f t="shared" si="1"/>
        <v>4.5673258167421196</v>
      </c>
      <c r="J52" s="13">
        <f t="shared" si="1"/>
        <v>8.6225465303514657</v>
      </c>
      <c r="K52" s="13">
        <f t="shared" si="1"/>
        <v>0.25232180813868482</v>
      </c>
    </row>
    <row r="53" spans="1:11" ht="30" customHeight="1" x14ac:dyDescent="0.2">
      <c r="A53" s="14" t="s">
        <v>9</v>
      </c>
      <c r="B53" s="13">
        <f>MEDIAN(B$2:B$48)</f>
        <v>6</v>
      </c>
      <c r="C53" s="13">
        <f t="shared" ref="C53:K53" si="2">MEDIAN(C$2:C$48)</f>
        <v>6.25</v>
      </c>
      <c r="D53" s="13">
        <f t="shared" si="2"/>
        <v>5.5</v>
      </c>
      <c r="E53" s="13">
        <f t="shared" si="2"/>
        <v>8.5</v>
      </c>
      <c r="F53" s="13">
        <f t="shared" si="2"/>
        <v>5</v>
      </c>
      <c r="G53" s="13">
        <f t="shared" si="2"/>
        <v>6</v>
      </c>
      <c r="H53" s="13">
        <f t="shared" si="2"/>
        <v>4</v>
      </c>
      <c r="I53" s="13">
        <f t="shared" si="2"/>
        <v>5</v>
      </c>
      <c r="J53" s="13">
        <f t="shared" si="2"/>
        <v>15</v>
      </c>
      <c r="K53" s="13">
        <f t="shared" si="2"/>
        <v>0.44444444444444442</v>
      </c>
    </row>
    <row r="54" spans="1:11" ht="30" customHeight="1" x14ac:dyDescent="0.2">
      <c r="A54" s="15" t="s">
        <v>10</v>
      </c>
      <c r="B54" s="16">
        <f t="shared" ref="B54:J54" si="3">IF(SUM(B11:B48)&gt;0,1,0)</f>
        <v>1</v>
      </c>
      <c r="C54" s="16">
        <f t="shared" si="3"/>
        <v>1</v>
      </c>
      <c r="D54" s="16">
        <f t="shared" si="3"/>
        <v>1</v>
      </c>
      <c r="E54" s="16">
        <f t="shared" si="3"/>
        <v>1</v>
      </c>
      <c r="F54" s="16">
        <f t="shared" si="3"/>
        <v>1</v>
      </c>
      <c r="G54" s="16">
        <f t="shared" si="3"/>
        <v>1</v>
      </c>
      <c r="H54" s="16">
        <f t="shared" si="3"/>
        <v>1</v>
      </c>
      <c r="I54" s="16">
        <f t="shared" si="3"/>
        <v>1</v>
      </c>
      <c r="J54" s="16">
        <f t="shared" si="3"/>
        <v>1</v>
      </c>
      <c r="K54" s="10"/>
    </row>
  </sheetData>
  <pageMargins left="0.7" right="0.7" top="0.75" bottom="0.75" header="0.3" footer="0.3"/>
  <ignoredErrors>
    <ignoredError sqref="A2:A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FCCA-9573-8140-9A4F-53646890C136}">
  <dimension ref="A1:J54"/>
  <sheetViews>
    <sheetView workbookViewId="0">
      <selection activeCell="K1" sqref="K1"/>
    </sheetView>
  </sheetViews>
  <sheetFormatPr baseColWidth="10" defaultRowHeight="15" x14ac:dyDescent="0.2"/>
  <cols>
    <col min="1" max="1" width="25.83203125" customWidth="1"/>
    <col min="2" max="2" width="15.83203125" style="3" customWidth="1"/>
    <col min="3" max="11" width="15.83203125" customWidth="1"/>
  </cols>
  <sheetData>
    <row r="1" spans="1:10" s="5" customFormat="1" ht="30" customHeight="1" x14ac:dyDescent="0.2">
      <c r="A1" s="1" t="s">
        <v>0</v>
      </c>
      <c r="B1" s="17" t="s">
        <v>11</v>
      </c>
      <c r="C1" s="17" t="s">
        <v>12</v>
      </c>
      <c r="D1" s="17" t="s">
        <v>13</v>
      </c>
      <c r="E1" s="17" t="s">
        <v>14</v>
      </c>
      <c r="F1" s="17" t="s">
        <v>15</v>
      </c>
      <c r="G1" s="17" t="s">
        <v>16</v>
      </c>
      <c r="H1" s="17" t="s">
        <v>17</v>
      </c>
      <c r="I1" s="17" t="s">
        <v>18</v>
      </c>
      <c r="J1" s="7" t="s">
        <v>19</v>
      </c>
    </row>
    <row r="2" spans="1:10" ht="30" customHeight="1" x14ac:dyDescent="0.2">
      <c r="A2" s="4" t="s">
        <v>3</v>
      </c>
      <c r="B2" s="27">
        <v>0</v>
      </c>
      <c r="C2" s="27">
        <v>0</v>
      </c>
      <c r="D2" s="27">
        <v>6</v>
      </c>
      <c r="E2" s="27">
        <v>0</v>
      </c>
      <c r="F2" s="27">
        <v>0</v>
      </c>
      <c r="G2" s="27">
        <v>0</v>
      </c>
      <c r="H2" s="27">
        <v>0</v>
      </c>
      <c r="I2" s="27">
        <v>0</v>
      </c>
      <c r="J2" s="27">
        <f t="shared" ref="J2:J48" si="0">IF(SUM($B$54:$I$54)&gt;0,$J$50*(B2/$B$50+C2/$C$50+D2/$D$50+E2/$E$50+F2/$F$50+G2/$G$50+H2/$H$50+I2/$I$50)/SUM($B$54:$I$54),0)</f>
        <v>2.2499999999999999E-2</v>
      </c>
    </row>
    <row r="3" spans="1:10" ht="30" customHeight="1" x14ac:dyDescent="0.2">
      <c r="A3" s="4" t="s">
        <v>4</v>
      </c>
      <c r="B3" s="27">
        <v>61</v>
      </c>
      <c r="C3" s="27">
        <v>85.5</v>
      </c>
      <c r="D3" s="27">
        <v>39.5</v>
      </c>
      <c r="E3" s="27">
        <v>43</v>
      </c>
      <c r="F3" s="27">
        <v>44</v>
      </c>
      <c r="G3" s="27">
        <v>36.5</v>
      </c>
      <c r="H3" s="27">
        <v>56</v>
      </c>
      <c r="I3" s="27">
        <v>68</v>
      </c>
      <c r="J3" s="27">
        <f t="shared" si="0"/>
        <v>1.2716741071428572</v>
      </c>
    </row>
    <row r="4" spans="1:10" ht="30" customHeight="1" x14ac:dyDescent="0.2">
      <c r="A4" s="4" t="s">
        <v>2</v>
      </c>
      <c r="B4" s="27">
        <v>75.75</v>
      </c>
      <c r="C4" s="27">
        <v>93</v>
      </c>
      <c r="D4" s="27">
        <v>43</v>
      </c>
      <c r="E4" s="27">
        <v>50</v>
      </c>
      <c r="F4" s="27">
        <v>47</v>
      </c>
      <c r="G4" s="27">
        <v>45.5</v>
      </c>
      <c r="H4" s="27">
        <v>60</v>
      </c>
      <c r="I4" s="27">
        <v>70</v>
      </c>
      <c r="J4" s="27">
        <f t="shared" si="0"/>
        <v>1.4225390625000001</v>
      </c>
    </row>
    <row r="5" spans="1:10" ht="30" customHeight="1" x14ac:dyDescent="0.2">
      <c r="A5" s="4" t="s">
        <v>1</v>
      </c>
      <c r="B5" s="27">
        <v>64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f t="shared" si="0"/>
        <v>0.15000000000000002</v>
      </c>
    </row>
    <row r="6" spans="1:10" ht="30" customHeight="1" x14ac:dyDescent="0.2">
      <c r="A6" s="2">
        <v>1670</v>
      </c>
      <c r="B6" s="27">
        <v>75.5</v>
      </c>
      <c r="C6" s="27">
        <v>86.5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f t="shared" si="0"/>
        <v>0.33914062499999997</v>
      </c>
    </row>
    <row r="7" spans="1:10" ht="30" customHeight="1" x14ac:dyDescent="0.2">
      <c r="A7" s="2">
        <v>1691</v>
      </c>
      <c r="B7" s="27">
        <v>62</v>
      </c>
      <c r="C7" s="27">
        <v>18</v>
      </c>
      <c r="D7" s="27">
        <v>23</v>
      </c>
      <c r="E7" s="27">
        <v>21.5</v>
      </c>
      <c r="F7" s="27">
        <v>22.5</v>
      </c>
      <c r="G7" s="27">
        <v>27</v>
      </c>
      <c r="H7" s="27">
        <v>57</v>
      </c>
      <c r="I7" s="27">
        <v>57.5</v>
      </c>
      <c r="J7" s="27">
        <f t="shared" si="0"/>
        <v>0.86370535714285712</v>
      </c>
    </row>
    <row r="8" spans="1:10" ht="30" customHeight="1" x14ac:dyDescent="0.2">
      <c r="A8" s="2">
        <v>1889</v>
      </c>
      <c r="B8" s="27">
        <v>0</v>
      </c>
      <c r="C8" s="27">
        <v>0</v>
      </c>
      <c r="D8" s="27">
        <v>0</v>
      </c>
      <c r="E8" s="27">
        <v>0</v>
      </c>
      <c r="F8" s="27">
        <v>5</v>
      </c>
      <c r="G8" s="27">
        <v>0</v>
      </c>
      <c r="H8" s="27">
        <v>0</v>
      </c>
      <c r="I8" s="27">
        <v>3</v>
      </c>
      <c r="J8" s="27">
        <f t="shared" si="0"/>
        <v>2.6785714285714284E-2</v>
      </c>
    </row>
    <row r="9" spans="1:10" ht="30" customHeight="1" x14ac:dyDescent="0.2">
      <c r="A9" s="2">
        <v>2085</v>
      </c>
      <c r="B9" s="27">
        <v>57.5</v>
      </c>
      <c r="C9" s="27">
        <v>50</v>
      </c>
      <c r="D9" s="27">
        <v>5.5</v>
      </c>
      <c r="E9" s="27">
        <v>10</v>
      </c>
      <c r="F9" s="27">
        <v>10.5</v>
      </c>
      <c r="G9" s="27">
        <v>3</v>
      </c>
      <c r="H9" s="27">
        <v>17</v>
      </c>
      <c r="I9" s="27">
        <v>0</v>
      </c>
      <c r="J9" s="27">
        <f t="shared" si="0"/>
        <v>0.39039062499999999</v>
      </c>
    </row>
    <row r="10" spans="1:10" ht="30" customHeight="1" x14ac:dyDescent="0.2">
      <c r="A10" s="2">
        <v>2163</v>
      </c>
      <c r="B10" s="27">
        <v>69.5</v>
      </c>
      <c r="C10" s="27">
        <v>99</v>
      </c>
      <c r="D10" s="27">
        <v>46</v>
      </c>
      <c r="E10" s="27">
        <v>44</v>
      </c>
      <c r="F10" s="27">
        <v>43</v>
      </c>
      <c r="G10" s="27">
        <v>40.5</v>
      </c>
      <c r="H10" s="27">
        <v>58.5</v>
      </c>
      <c r="I10" s="27">
        <v>67</v>
      </c>
      <c r="J10" s="27">
        <f t="shared" si="0"/>
        <v>1.3614174107142856</v>
      </c>
    </row>
    <row r="11" spans="1:10" ht="30" customHeight="1" x14ac:dyDescent="0.2">
      <c r="A11" s="2">
        <v>2393</v>
      </c>
      <c r="B11" s="27">
        <v>22</v>
      </c>
      <c r="C11" s="27">
        <v>18.5</v>
      </c>
      <c r="D11" s="27">
        <v>5.5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f t="shared" si="0"/>
        <v>0.10687500000000001</v>
      </c>
    </row>
    <row r="12" spans="1:10" ht="30" customHeight="1" x14ac:dyDescent="0.2">
      <c r="A12" s="2">
        <v>2441</v>
      </c>
      <c r="B12" s="27">
        <v>77</v>
      </c>
      <c r="C12" s="27">
        <v>90</v>
      </c>
      <c r="D12" s="27">
        <v>35.5</v>
      </c>
      <c r="E12" s="27">
        <v>35.5</v>
      </c>
      <c r="F12" s="27">
        <v>37</v>
      </c>
      <c r="G12" s="27">
        <v>32.5</v>
      </c>
      <c r="H12" s="27">
        <v>0</v>
      </c>
      <c r="I12" s="27">
        <v>66</v>
      </c>
      <c r="J12" s="27">
        <f t="shared" si="0"/>
        <v>1.0528794642857144</v>
      </c>
    </row>
    <row r="13" spans="1:10" ht="30" customHeight="1" x14ac:dyDescent="0.2">
      <c r="A13" s="2">
        <v>2903</v>
      </c>
      <c r="B13" s="27">
        <v>74.5</v>
      </c>
      <c r="C13" s="27">
        <v>81</v>
      </c>
      <c r="D13" s="27">
        <v>21.5</v>
      </c>
      <c r="E13" s="27">
        <v>24</v>
      </c>
      <c r="F13" s="27">
        <v>25</v>
      </c>
      <c r="G13" s="27">
        <v>32</v>
      </c>
      <c r="H13" s="27">
        <v>52</v>
      </c>
      <c r="I13" s="27">
        <v>59</v>
      </c>
      <c r="J13" s="27">
        <f t="shared" si="0"/>
        <v>1.0313950892857142</v>
      </c>
    </row>
    <row r="14" spans="1:10" ht="30" customHeight="1" x14ac:dyDescent="0.2">
      <c r="A14" s="2">
        <v>2994</v>
      </c>
      <c r="B14" s="27">
        <v>39</v>
      </c>
      <c r="C14" s="27">
        <v>27</v>
      </c>
      <c r="D14" s="27">
        <v>8</v>
      </c>
      <c r="E14" s="27">
        <v>20.5</v>
      </c>
      <c r="F14" s="27">
        <v>17.5</v>
      </c>
      <c r="G14" s="27">
        <v>21.5</v>
      </c>
      <c r="H14" s="27">
        <v>30</v>
      </c>
      <c r="I14" s="27">
        <v>0</v>
      </c>
      <c r="J14" s="27">
        <f t="shared" si="0"/>
        <v>0.4889062500000001</v>
      </c>
    </row>
    <row r="15" spans="1:10" ht="30" customHeight="1" x14ac:dyDescent="0.2">
      <c r="A15" s="2">
        <v>3377</v>
      </c>
      <c r="B15" s="27">
        <v>40.5</v>
      </c>
      <c r="C15" s="27">
        <v>49</v>
      </c>
      <c r="D15" s="27">
        <v>7</v>
      </c>
      <c r="E15" s="27">
        <v>22.5</v>
      </c>
      <c r="F15" s="27">
        <v>31.5</v>
      </c>
      <c r="G15" s="27">
        <v>21.5</v>
      </c>
      <c r="H15" s="27">
        <v>38.5</v>
      </c>
      <c r="I15" s="27">
        <v>54</v>
      </c>
      <c r="J15" s="27">
        <f t="shared" si="0"/>
        <v>0.76112723214285716</v>
      </c>
    </row>
    <row r="16" spans="1:10" ht="30" customHeight="1" x14ac:dyDescent="0.2">
      <c r="A16" s="2">
        <v>3517</v>
      </c>
      <c r="B16" s="27">
        <v>78.75</v>
      </c>
      <c r="C16" s="27">
        <v>89</v>
      </c>
      <c r="D16" s="27">
        <v>26</v>
      </c>
      <c r="E16" s="27">
        <v>44.5</v>
      </c>
      <c r="F16" s="27">
        <v>42</v>
      </c>
      <c r="G16" s="27">
        <v>36</v>
      </c>
      <c r="H16" s="27">
        <v>48</v>
      </c>
      <c r="I16" s="27">
        <v>48</v>
      </c>
      <c r="J16" s="27">
        <f t="shared" si="0"/>
        <v>1.1868917410714286</v>
      </c>
    </row>
    <row r="17" spans="1:10" ht="30" customHeight="1" x14ac:dyDescent="0.2">
      <c r="A17" s="2">
        <v>3560</v>
      </c>
      <c r="B17" s="27">
        <v>33</v>
      </c>
      <c r="C17" s="27">
        <v>25</v>
      </c>
      <c r="D17" s="27">
        <v>6</v>
      </c>
      <c r="E17" s="27">
        <v>11</v>
      </c>
      <c r="F17" s="27">
        <v>30</v>
      </c>
      <c r="G17" s="27">
        <v>29.5</v>
      </c>
      <c r="H17" s="27">
        <v>50.5</v>
      </c>
      <c r="I17" s="27">
        <v>56.5</v>
      </c>
      <c r="J17" s="27">
        <f t="shared" si="0"/>
        <v>0.72024553571428562</v>
      </c>
    </row>
    <row r="18" spans="1:10" ht="30" customHeight="1" x14ac:dyDescent="0.2">
      <c r="A18" s="2">
        <v>3601</v>
      </c>
      <c r="B18" s="27">
        <v>19.5</v>
      </c>
      <c r="C18" s="27">
        <v>9</v>
      </c>
      <c r="D18" s="27">
        <v>5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f t="shared" si="0"/>
        <v>8.1328125000000001E-2</v>
      </c>
    </row>
    <row r="19" spans="1:10" ht="30" customHeight="1" x14ac:dyDescent="0.2">
      <c r="A19" s="2">
        <v>3642</v>
      </c>
      <c r="B19" s="27">
        <v>63.25</v>
      </c>
      <c r="C19" s="27">
        <v>50</v>
      </c>
      <c r="D19" s="27">
        <v>33</v>
      </c>
      <c r="E19" s="27">
        <v>46</v>
      </c>
      <c r="F19" s="27">
        <v>46</v>
      </c>
      <c r="G19" s="27">
        <v>30</v>
      </c>
      <c r="H19" s="27">
        <v>53.5</v>
      </c>
      <c r="I19" s="27">
        <v>59</v>
      </c>
      <c r="J19" s="27">
        <f t="shared" si="0"/>
        <v>1.1484654017857143</v>
      </c>
    </row>
    <row r="20" spans="1:10" ht="30" customHeight="1" x14ac:dyDescent="0.2">
      <c r="A20" s="2">
        <v>3672</v>
      </c>
      <c r="B20" s="27">
        <v>66.25</v>
      </c>
      <c r="C20" s="27">
        <v>75.5</v>
      </c>
      <c r="D20" s="27">
        <v>21</v>
      </c>
      <c r="E20" s="27">
        <v>41</v>
      </c>
      <c r="F20" s="27">
        <v>38.5</v>
      </c>
      <c r="G20" s="27">
        <v>30.5</v>
      </c>
      <c r="H20" s="27">
        <v>54</v>
      </c>
      <c r="I20" s="27">
        <v>64</v>
      </c>
      <c r="J20" s="27">
        <f t="shared" si="0"/>
        <v>1.1282645089285714</v>
      </c>
    </row>
    <row r="21" spans="1:10" ht="30" customHeight="1" x14ac:dyDescent="0.2">
      <c r="A21" s="2">
        <v>3797</v>
      </c>
      <c r="B21" s="27">
        <v>77</v>
      </c>
      <c r="C21" s="27">
        <v>78.5</v>
      </c>
      <c r="D21" s="27">
        <v>18.5</v>
      </c>
      <c r="E21" s="27">
        <v>26.5</v>
      </c>
      <c r="F21" s="27">
        <v>33</v>
      </c>
      <c r="G21" s="27">
        <v>21.5</v>
      </c>
      <c r="H21" s="27">
        <v>30</v>
      </c>
      <c r="I21" s="27">
        <v>27</v>
      </c>
      <c r="J21" s="27">
        <f t="shared" si="0"/>
        <v>0.86685267857142878</v>
      </c>
    </row>
    <row r="22" spans="1:10" ht="30" customHeight="1" x14ac:dyDescent="0.2">
      <c r="A22" s="2">
        <v>4091</v>
      </c>
      <c r="B22" s="27">
        <v>75.25</v>
      </c>
      <c r="C22" s="27">
        <v>91</v>
      </c>
      <c r="D22" s="27">
        <v>38</v>
      </c>
      <c r="E22" s="27">
        <v>47.5</v>
      </c>
      <c r="F22" s="27">
        <v>45</v>
      </c>
      <c r="G22" s="27">
        <v>46</v>
      </c>
      <c r="H22" s="27">
        <v>60</v>
      </c>
      <c r="I22" s="27">
        <v>67</v>
      </c>
      <c r="J22" s="27">
        <f t="shared" si="0"/>
        <v>1.3758314732142858</v>
      </c>
    </row>
    <row r="23" spans="1:10" ht="30" customHeight="1" x14ac:dyDescent="0.2">
      <c r="A23" s="2">
        <v>4582</v>
      </c>
      <c r="B23" s="27">
        <v>55</v>
      </c>
      <c r="C23" s="27">
        <v>78</v>
      </c>
      <c r="D23" s="27">
        <v>33</v>
      </c>
      <c r="E23" s="27">
        <v>40.5</v>
      </c>
      <c r="F23" s="27">
        <v>37.5</v>
      </c>
      <c r="G23" s="27">
        <v>34</v>
      </c>
      <c r="H23" s="27">
        <v>42.5</v>
      </c>
      <c r="I23" s="27">
        <v>0</v>
      </c>
      <c r="J23" s="27">
        <f t="shared" si="0"/>
        <v>0.95171874999999995</v>
      </c>
    </row>
    <row r="24" spans="1:10" ht="30" customHeight="1" x14ac:dyDescent="0.2">
      <c r="A24" s="2">
        <v>4622</v>
      </c>
      <c r="B24" s="27">
        <v>71</v>
      </c>
      <c r="C24" s="27">
        <v>57</v>
      </c>
      <c r="D24" s="27">
        <v>0</v>
      </c>
      <c r="E24" s="27">
        <v>0</v>
      </c>
      <c r="F24" s="27">
        <v>27</v>
      </c>
      <c r="G24" s="27">
        <v>10</v>
      </c>
      <c r="H24" s="27">
        <v>22</v>
      </c>
      <c r="I24" s="27">
        <v>48.5</v>
      </c>
      <c r="J24" s="27">
        <f t="shared" si="0"/>
        <v>0.61069196428571437</v>
      </c>
    </row>
    <row r="25" spans="1:10" ht="30" customHeight="1" x14ac:dyDescent="0.2">
      <c r="A25" s="2">
        <v>5075</v>
      </c>
      <c r="B25" s="27">
        <v>19.5</v>
      </c>
      <c r="C25" s="27">
        <v>0</v>
      </c>
      <c r="D25" s="27">
        <v>0</v>
      </c>
      <c r="E25" s="27">
        <v>18.5</v>
      </c>
      <c r="F25" s="27">
        <v>37</v>
      </c>
      <c r="G25" s="27">
        <v>33.5</v>
      </c>
      <c r="H25" s="27">
        <v>31</v>
      </c>
      <c r="I25" s="27">
        <v>43</v>
      </c>
      <c r="J25" s="27">
        <f t="shared" si="0"/>
        <v>0.59150669642857145</v>
      </c>
    </row>
    <row r="26" spans="1:10" ht="30" customHeight="1" x14ac:dyDescent="0.2">
      <c r="A26" s="2">
        <v>5141</v>
      </c>
      <c r="B26" s="27">
        <v>33</v>
      </c>
      <c r="C26" s="27">
        <v>31</v>
      </c>
      <c r="D26" s="27">
        <v>7</v>
      </c>
      <c r="E26" s="27">
        <v>32</v>
      </c>
      <c r="F26" s="27">
        <v>24.5</v>
      </c>
      <c r="G26" s="27">
        <v>14</v>
      </c>
      <c r="H26" s="27">
        <v>44.5</v>
      </c>
      <c r="I26" s="27">
        <v>68</v>
      </c>
      <c r="J26" s="27">
        <f t="shared" si="0"/>
        <v>0.74729910714285719</v>
      </c>
    </row>
    <row r="27" spans="1:10" ht="30" customHeight="1" x14ac:dyDescent="0.2">
      <c r="A27" s="2">
        <v>5482</v>
      </c>
      <c r="B27" s="27">
        <v>50.25</v>
      </c>
      <c r="C27" s="27">
        <v>0</v>
      </c>
      <c r="D27" s="27">
        <v>25.5</v>
      </c>
      <c r="E27" s="27">
        <v>22.5</v>
      </c>
      <c r="F27" s="27">
        <v>30.5</v>
      </c>
      <c r="G27" s="27">
        <v>0</v>
      </c>
      <c r="H27" s="27">
        <v>24</v>
      </c>
      <c r="I27" s="27">
        <v>44</v>
      </c>
      <c r="J27" s="27">
        <f t="shared" si="0"/>
        <v>0.6050055803571428</v>
      </c>
    </row>
    <row r="28" spans="1:10" ht="30" customHeight="1" x14ac:dyDescent="0.2">
      <c r="A28" s="2">
        <v>5680</v>
      </c>
      <c r="B28" s="27">
        <v>9</v>
      </c>
      <c r="C28" s="27">
        <v>0</v>
      </c>
      <c r="D28" s="27">
        <v>0</v>
      </c>
      <c r="E28" s="27">
        <v>5</v>
      </c>
      <c r="F28" s="27">
        <v>0</v>
      </c>
      <c r="G28" s="27">
        <v>7</v>
      </c>
      <c r="H28" s="27">
        <v>0</v>
      </c>
      <c r="I28" s="27">
        <v>17.5</v>
      </c>
      <c r="J28" s="27">
        <f t="shared" si="0"/>
        <v>0.11296875000000001</v>
      </c>
    </row>
    <row r="29" spans="1:10" ht="30" customHeight="1" x14ac:dyDescent="0.2">
      <c r="A29" s="2">
        <v>5943</v>
      </c>
      <c r="B29" s="27">
        <v>0</v>
      </c>
      <c r="C29" s="27">
        <v>0</v>
      </c>
      <c r="D29" s="27">
        <v>0</v>
      </c>
      <c r="E29" s="27">
        <v>10</v>
      </c>
      <c r="F29" s="27">
        <v>11</v>
      </c>
      <c r="G29" s="27">
        <v>18</v>
      </c>
      <c r="H29" s="27">
        <v>18</v>
      </c>
      <c r="I29" s="27">
        <v>31.5</v>
      </c>
      <c r="J29" s="27">
        <f t="shared" si="0"/>
        <v>0.28687499999999999</v>
      </c>
    </row>
    <row r="30" spans="1:10" ht="30" customHeight="1" x14ac:dyDescent="0.2">
      <c r="A30" s="2">
        <v>6464</v>
      </c>
      <c r="B30" s="27">
        <v>80</v>
      </c>
      <c r="C30" s="27">
        <v>94</v>
      </c>
      <c r="D30" s="27">
        <v>47</v>
      </c>
      <c r="E30" s="27">
        <v>50</v>
      </c>
      <c r="F30" s="27">
        <v>44</v>
      </c>
      <c r="G30" s="27">
        <v>44</v>
      </c>
      <c r="H30" s="27">
        <v>53.5</v>
      </c>
      <c r="I30" s="27">
        <v>62</v>
      </c>
      <c r="J30" s="27">
        <f t="shared" si="0"/>
        <v>1.3907589285714286</v>
      </c>
    </row>
    <row r="31" spans="1:10" ht="30" customHeight="1" x14ac:dyDescent="0.2">
      <c r="A31" s="2">
        <v>6797</v>
      </c>
      <c r="B31" s="27">
        <v>57.75</v>
      </c>
      <c r="C31" s="27">
        <v>53</v>
      </c>
      <c r="D31" s="27">
        <v>11.5</v>
      </c>
      <c r="E31" s="27">
        <v>38</v>
      </c>
      <c r="F31" s="27">
        <v>29</v>
      </c>
      <c r="G31" s="27">
        <v>10</v>
      </c>
      <c r="H31" s="27">
        <v>39.5</v>
      </c>
      <c r="I31" s="27">
        <v>48</v>
      </c>
      <c r="J31" s="27">
        <f t="shared" si="0"/>
        <v>0.81861049107142869</v>
      </c>
    </row>
    <row r="32" spans="1:10" ht="30" customHeight="1" x14ac:dyDescent="0.2">
      <c r="A32" s="2">
        <v>7021</v>
      </c>
      <c r="B32" s="27">
        <v>66.5</v>
      </c>
      <c r="C32" s="27">
        <v>74</v>
      </c>
      <c r="D32" s="27">
        <v>15</v>
      </c>
      <c r="E32" s="27">
        <v>27</v>
      </c>
      <c r="F32" s="27">
        <v>44</v>
      </c>
      <c r="G32" s="27">
        <v>0</v>
      </c>
      <c r="H32" s="27">
        <v>42</v>
      </c>
      <c r="I32" s="27">
        <v>44.5</v>
      </c>
      <c r="J32" s="27">
        <f t="shared" si="0"/>
        <v>0.86755580357142847</v>
      </c>
    </row>
    <row r="33" spans="1:10" ht="30" customHeight="1" x14ac:dyDescent="0.2">
      <c r="A33" s="2">
        <v>7511</v>
      </c>
      <c r="B33" s="27">
        <v>0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f t="shared" si="0"/>
        <v>0</v>
      </c>
    </row>
    <row r="34" spans="1:10" ht="30" customHeight="1" x14ac:dyDescent="0.2">
      <c r="A34" s="2">
        <v>7575</v>
      </c>
      <c r="B34" s="27">
        <v>40</v>
      </c>
      <c r="C34" s="27">
        <v>32.5</v>
      </c>
      <c r="D34" s="27">
        <v>13</v>
      </c>
      <c r="E34" s="27">
        <v>25.5</v>
      </c>
      <c r="F34" s="27">
        <v>24.5</v>
      </c>
      <c r="G34" s="27">
        <v>20.5</v>
      </c>
      <c r="H34" s="27">
        <v>28</v>
      </c>
      <c r="I34" s="27">
        <v>44.5</v>
      </c>
      <c r="J34" s="27">
        <f t="shared" si="0"/>
        <v>0.67450892857142863</v>
      </c>
    </row>
    <row r="35" spans="1:10" ht="30" customHeight="1" x14ac:dyDescent="0.2">
      <c r="A35" s="2">
        <v>7642</v>
      </c>
      <c r="B35" s="27">
        <v>27</v>
      </c>
      <c r="C35" s="27">
        <v>13</v>
      </c>
      <c r="D35" s="27">
        <v>11</v>
      </c>
      <c r="E35" s="27">
        <v>0</v>
      </c>
      <c r="F35" s="27">
        <v>4</v>
      </c>
      <c r="G35" s="27">
        <v>0</v>
      </c>
      <c r="H35" s="27">
        <v>0</v>
      </c>
      <c r="I35" s="27">
        <v>9</v>
      </c>
      <c r="J35" s="27">
        <f t="shared" si="0"/>
        <v>0.16801339285714284</v>
      </c>
    </row>
    <row r="36" spans="1:10" ht="30" customHeight="1" x14ac:dyDescent="0.2">
      <c r="A36" s="2">
        <v>7949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f t="shared" si="0"/>
        <v>0</v>
      </c>
    </row>
    <row r="37" spans="1:10" ht="30" customHeight="1" x14ac:dyDescent="0.2">
      <c r="A37" s="2">
        <v>8688</v>
      </c>
      <c r="B37" s="27">
        <v>0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f t="shared" si="0"/>
        <v>0</v>
      </c>
    </row>
    <row r="38" spans="1:10" ht="30" customHeight="1" x14ac:dyDescent="0.2">
      <c r="A38" s="2">
        <v>8742</v>
      </c>
      <c r="B38" s="27">
        <v>13</v>
      </c>
      <c r="C38" s="27">
        <v>0</v>
      </c>
      <c r="D38" s="27">
        <v>4</v>
      </c>
      <c r="E38" s="27">
        <v>24</v>
      </c>
      <c r="F38" s="27">
        <v>45</v>
      </c>
      <c r="G38" s="27">
        <v>30</v>
      </c>
      <c r="H38" s="27">
        <v>35</v>
      </c>
      <c r="I38" s="27">
        <v>58</v>
      </c>
      <c r="J38" s="27">
        <f t="shared" si="0"/>
        <v>0.681450892857143</v>
      </c>
    </row>
    <row r="39" spans="1:10" ht="30" customHeight="1" x14ac:dyDescent="0.2">
      <c r="A39" s="2">
        <v>8743</v>
      </c>
      <c r="B39" s="27">
        <v>68</v>
      </c>
      <c r="C39" s="27">
        <v>84</v>
      </c>
      <c r="D39" s="27">
        <v>24</v>
      </c>
      <c r="E39" s="27">
        <v>43</v>
      </c>
      <c r="F39" s="27">
        <v>0</v>
      </c>
      <c r="G39" s="27">
        <v>0</v>
      </c>
      <c r="H39" s="27">
        <v>0</v>
      </c>
      <c r="I39" s="27">
        <v>33</v>
      </c>
      <c r="J39" s="27">
        <f t="shared" si="0"/>
        <v>0.65651785714285715</v>
      </c>
    </row>
    <row r="40" spans="1:10" ht="30" customHeight="1" x14ac:dyDescent="0.2">
      <c r="A40" s="2">
        <v>8765</v>
      </c>
      <c r="B40" s="27">
        <v>23</v>
      </c>
      <c r="C40" s="27">
        <v>8</v>
      </c>
      <c r="D40" s="27">
        <v>0</v>
      </c>
      <c r="E40" s="27">
        <v>14</v>
      </c>
      <c r="F40" s="27">
        <v>0</v>
      </c>
      <c r="G40" s="27">
        <v>12.5</v>
      </c>
      <c r="H40" s="27">
        <v>31</v>
      </c>
      <c r="I40" s="27">
        <v>45</v>
      </c>
      <c r="J40" s="27">
        <f t="shared" si="0"/>
        <v>0.38569196428571428</v>
      </c>
    </row>
    <row r="41" spans="1:10" ht="30" customHeight="1" x14ac:dyDescent="0.2">
      <c r="A41" s="2">
        <v>8793</v>
      </c>
      <c r="B41" s="27">
        <v>70.25</v>
      </c>
      <c r="C41" s="27">
        <v>93.5</v>
      </c>
      <c r="D41" s="27">
        <v>39</v>
      </c>
      <c r="E41" s="27">
        <v>49</v>
      </c>
      <c r="F41" s="27">
        <v>47</v>
      </c>
      <c r="G41" s="27">
        <v>42.5</v>
      </c>
      <c r="H41" s="27">
        <v>60</v>
      </c>
      <c r="I41" s="27">
        <v>64</v>
      </c>
      <c r="J41" s="27">
        <f t="shared" si="0"/>
        <v>1.3645145089285715</v>
      </c>
    </row>
    <row r="42" spans="1:10" ht="30" customHeight="1" x14ac:dyDescent="0.2">
      <c r="A42" s="2">
        <v>9139</v>
      </c>
      <c r="B42" s="27">
        <v>30</v>
      </c>
      <c r="C42" s="27">
        <v>34</v>
      </c>
      <c r="D42" s="27">
        <v>0</v>
      </c>
      <c r="E42" s="27">
        <v>12</v>
      </c>
      <c r="F42" s="27">
        <v>0</v>
      </c>
      <c r="G42" s="27">
        <v>5</v>
      </c>
      <c r="H42" s="27">
        <v>42</v>
      </c>
      <c r="I42" s="27">
        <v>56.5</v>
      </c>
      <c r="J42" s="27">
        <f t="shared" si="0"/>
        <v>0.48040178571428571</v>
      </c>
    </row>
    <row r="43" spans="1:10" ht="30" customHeight="1" x14ac:dyDescent="0.2">
      <c r="A43" s="2">
        <v>9196</v>
      </c>
      <c r="B43" s="27">
        <v>74</v>
      </c>
      <c r="C43" s="27">
        <v>87</v>
      </c>
      <c r="D43" s="27">
        <v>26</v>
      </c>
      <c r="E43" s="27">
        <v>40</v>
      </c>
      <c r="F43" s="27">
        <v>37.5</v>
      </c>
      <c r="G43" s="27">
        <v>39</v>
      </c>
      <c r="H43" s="27">
        <v>59.5</v>
      </c>
      <c r="I43" s="27">
        <v>59.5</v>
      </c>
      <c r="J43" s="27">
        <f t="shared" si="0"/>
        <v>1.2162500000000001</v>
      </c>
    </row>
    <row r="44" spans="1:10" ht="30" customHeight="1" x14ac:dyDescent="0.2">
      <c r="A44" s="2">
        <v>9355</v>
      </c>
      <c r="B44" s="27">
        <v>59</v>
      </c>
      <c r="C44" s="27">
        <v>52</v>
      </c>
      <c r="D44" s="27">
        <v>11</v>
      </c>
      <c r="E44" s="27">
        <v>38</v>
      </c>
      <c r="F44" s="27">
        <v>35</v>
      </c>
      <c r="G44" s="27">
        <v>39</v>
      </c>
      <c r="H44" s="27">
        <v>52.5</v>
      </c>
      <c r="I44" s="27">
        <v>67.5</v>
      </c>
      <c r="J44" s="27">
        <f t="shared" si="0"/>
        <v>1.0418973214285714</v>
      </c>
    </row>
    <row r="45" spans="1:10" ht="30" customHeight="1" x14ac:dyDescent="0.2">
      <c r="A45" s="2">
        <v>9516</v>
      </c>
      <c r="B45" s="27">
        <v>0</v>
      </c>
      <c r="C45" s="27">
        <v>0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  <c r="I45" s="27">
        <v>0</v>
      </c>
      <c r="J45" s="27">
        <f t="shared" si="0"/>
        <v>0</v>
      </c>
    </row>
    <row r="46" spans="1:10" ht="30" customHeight="1" x14ac:dyDescent="0.2">
      <c r="A46" s="2">
        <v>9550</v>
      </c>
      <c r="B46" s="27">
        <v>70.75</v>
      </c>
      <c r="C46" s="27">
        <v>85</v>
      </c>
      <c r="D46" s="27">
        <v>0</v>
      </c>
      <c r="E46" s="27">
        <v>16.5</v>
      </c>
      <c r="F46" s="27">
        <v>28</v>
      </c>
      <c r="G46" s="27">
        <v>32.5</v>
      </c>
      <c r="H46" s="27">
        <v>50</v>
      </c>
      <c r="I46" s="27">
        <v>45</v>
      </c>
      <c r="J46" s="27">
        <f t="shared" si="0"/>
        <v>0.89073102678571425</v>
      </c>
    </row>
    <row r="47" spans="1:10" ht="30" customHeight="1" x14ac:dyDescent="0.2">
      <c r="A47" s="2">
        <v>9744</v>
      </c>
      <c r="B47" s="27">
        <v>66.25</v>
      </c>
      <c r="C47" s="27">
        <v>21</v>
      </c>
      <c r="D47" s="27">
        <v>17.5</v>
      </c>
      <c r="E47" s="27">
        <v>0</v>
      </c>
      <c r="F47" s="27">
        <v>0</v>
      </c>
      <c r="G47" s="27">
        <v>0</v>
      </c>
      <c r="H47" s="27">
        <v>0</v>
      </c>
      <c r="I47" s="27">
        <v>0</v>
      </c>
      <c r="J47" s="27">
        <f t="shared" si="0"/>
        <v>0.26027343749999998</v>
      </c>
    </row>
    <row r="48" spans="1:10" ht="30" customHeight="1" x14ac:dyDescent="0.2">
      <c r="A48" s="2">
        <v>9881</v>
      </c>
      <c r="B48" s="27">
        <v>68.5</v>
      </c>
      <c r="C48" s="27">
        <v>0</v>
      </c>
      <c r="D48" s="27">
        <v>0</v>
      </c>
      <c r="E48" s="27">
        <v>0</v>
      </c>
      <c r="F48" s="27">
        <v>0</v>
      </c>
      <c r="G48" s="27">
        <v>0</v>
      </c>
      <c r="H48" s="27">
        <v>0</v>
      </c>
      <c r="I48" s="27">
        <v>0</v>
      </c>
      <c r="J48" s="27">
        <f t="shared" si="0"/>
        <v>0.16054687499999998</v>
      </c>
    </row>
    <row r="49" spans="1:10" ht="30" customHeight="1" x14ac:dyDescent="0.2">
      <c r="B49"/>
    </row>
    <row r="50" spans="1:10" ht="30" customHeight="1" x14ac:dyDescent="0.2">
      <c r="A50" s="8" t="s">
        <v>6</v>
      </c>
      <c r="B50" s="10">
        <v>80</v>
      </c>
      <c r="C50" s="10">
        <v>100</v>
      </c>
      <c r="D50" s="10">
        <v>50</v>
      </c>
      <c r="E50" s="10">
        <v>50</v>
      </c>
      <c r="F50" s="10">
        <v>50</v>
      </c>
      <c r="G50" s="10">
        <v>50</v>
      </c>
      <c r="H50" s="10">
        <v>60</v>
      </c>
      <c r="I50" s="10">
        <v>70</v>
      </c>
      <c r="J50" s="11">
        <v>1.5</v>
      </c>
    </row>
    <row r="51" spans="1:10" ht="30" customHeight="1" x14ac:dyDescent="0.2">
      <c r="A51" s="12" t="s">
        <v>7</v>
      </c>
      <c r="B51" s="13">
        <f>AVERAGE(B$2:B$48)</f>
        <v>46.446808510638299</v>
      </c>
      <c r="C51" s="13">
        <f t="shared" ref="C51:J51" si="1">AVERAGE(C$2:C$48)</f>
        <v>42.819148936170215</v>
      </c>
      <c r="D51" s="13">
        <f t="shared" si="1"/>
        <v>14.308510638297872</v>
      </c>
      <c r="E51" s="13">
        <f t="shared" si="1"/>
        <v>21.127659574468087</v>
      </c>
      <c r="F51" s="13">
        <f t="shared" si="1"/>
        <v>21.76595744680851</v>
      </c>
      <c r="G51" s="13">
        <f t="shared" si="1"/>
        <v>17.978723404255319</v>
      </c>
      <c r="H51" s="13">
        <f t="shared" si="1"/>
        <v>28.51063829787234</v>
      </c>
      <c r="I51" s="13">
        <f t="shared" si="1"/>
        <v>35.212765957446805</v>
      </c>
      <c r="J51" s="13">
        <f t="shared" si="1"/>
        <v>0.65448945668693015</v>
      </c>
    </row>
    <row r="52" spans="1:10" ht="30" customHeight="1" x14ac:dyDescent="0.2">
      <c r="A52" s="14" t="s">
        <v>8</v>
      </c>
      <c r="B52" s="13">
        <f>STDEV(B$2:B$48)</f>
        <v>27.759640715190244</v>
      </c>
      <c r="C52" s="13">
        <f t="shared" ref="C52:J52" si="2">STDEV(C$2:C$48)</f>
        <v>36.976553313040391</v>
      </c>
      <c r="D52" s="13">
        <f t="shared" si="2"/>
        <v>14.947572578664724</v>
      </c>
      <c r="E52" s="13">
        <f t="shared" si="2"/>
        <v>18.015834848068945</v>
      </c>
      <c r="F52" s="13">
        <f t="shared" si="2"/>
        <v>18.161070124998318</v>
      </c>
      <c r="G52" s="13">
        <f t="shared" si="2"/>
        <v>16.522368713356222</v>
      </c>
      <c r="H52" s="13">
        <f t="shared" si="2"/>
        <v>23.386750560042152</v>
      </c>
      <c r="I52" s="13">
        <f t="shared" si="2"/>
        <v>27.279699547475868</v>
      </c>
      <c r="J52" s="13">
        <f t="shared" si="2"/>
        <v>0.45797216731590284</v>
      </c>
    </row>
    <row r="53" spans="1:10" ht="30" customHeight="1" x14ac:dyDescent="0.2">
      <c r="A53" s="14" t="s">
        <v>9</v>
      </c>
      <c r="B53" s="13">
        <f>MEDIAN(B$2:B$48)</f>
        <v>57.75</v>
      </c>
      <c r="C53" s="13">
        <f t="shared" ref="C53:J53" si="3">MEDIAN(C$2:C$48)</f>
        <v>34</v>
      </c>
      <c r="D53" s="13">
        <f t="shared" si="3"/>
        <v>8</v>
      </c>
      <c r="E53" s="13">
        <f t="shared" si="3"/>
        <v>21.5</v>
      </c>
      <c r="F53" s="13">
        <f t="shared" si="3"/>
        <v>25</v>
      </c>
      <c r="G53" s="13">
        <f t="shared" si="3"/>
        <v>18</v>
      </c>
      <c r="H53" s="13">
        <f t="shared" si="3"/>
        <v>31</v>
      </c>
      <c r="I53" s="13">
        <f t="shared" si="3"/>
        <v>44.5</v>
      </c>
      <c r="J53" s="13">
        <f t="shared" si="3"/>
        <v>0.67450892857142863</v>
      </c>
    </row>
    <row r="54" spans="1:10" ht="30" customHeight="1" x14ac:dyDescent="0.2">
      <c r="A54" s="15" t="s">
        <v>10</v>
      </c>
      <c r="B54" s="18">
        <f t="shared" ref="B54:I54" si="4">IF(SUM(B10:B48)&gt;0,1,0)</f>
        <v>1</v>
      </c>
      <c r="C54" s="16">
        <f t="shared" si="4"/>
        <v>1</v>
      </c>
      <c r="D54" s="16">
        <f t="shared" si="4"/>
        <v>1</v>
      </c>
      <c r="E54" s="16">
        <f t="shared" si="4"/>
        <v>1</v>
      </c>
      <c r="F54" s="16">
        <f t="shared" si="4"/>
        <v>1</v>
      </c>
      <c r="G54" s="16">
        <f t="shared" si="4"/>
        <v>1</v>
      </c>
      <c r="H54" s="16">
        <f t="shared" si="4"/>
        <v>1</v>
      </c>
      <c r="I54" s="16">
        <f t="shared" si="4"/>
        <v>1</v>
      </c>
      <c r="J54" s="10"/>
    </row>
  </sheetData>
  <pageMargins left="0.7" right="0.7" top="0.75" bottom="0.75" header="0.3" footer="0.3"/>
  <ignoredErrors>
    <ignoredError sqref="A2:A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C325-9DED-7647-82A1-46DD08F3F8AF}">
  <dimension ref="A1:D53"/>
  <sheetViews>
    <sheetView workbookViewId="0">
      <selection activeCell="D1" sqref="D1"/>
    </sheetView>
  </sheetViews>
  <sheetFormatPr baseColWidth="10" defaultRowHeight="15" x14ac:dyDescent="0.2"/>
  <cols>
    <col min="1" max="1" width="25.83203125" customWidth="1"/>
    <col min="2" max="3" width="20.83203125" customWidth="1"/>
  </cols>
  <sheetData>
    <row r="1" spans="1:4" s="5" customFormat="1" ht="30" customHeight="1" x14ac:dyDescent="0.2">
      <c r="A1" s="1" t="s">
        <v>0</v>
      </c>
      <c r="B1" s="1" t="s">
        <v>20</v>
      </c>
      <c r="C1" s="1" t="s">
        <v>21</v>
      </c>
    </row>
    <row r="2" spans="1:4" ht="30" customHeight="1" x14ac:dyDescent="0.2">
      <c r="A2" s="4" t="s">
        <v>3</v>
      </c>
      <c r="B2" s="30">
        <f>(14.5+6.5+7.5+4+4.5)</f>
        <v>37</v>
      </c>
      <c r="C2" s="30">
        <v>20</v>
      </c>
      <c r="D2" s="5"/>
    </row>
    <row r="3" spans="1:4" ht="30" customHeight="1" x14ac:dyDescent="0.2">
      <c r="A3" s="4" t="s">
        <v>4</v>
      </c>
      <c r="B3" s="30">
        <f>(19+10+14.5+17.5+15)</f>
        <v>76</v>
      </c>
      <c r="C3" s="30">
        <v>61</v>
      </c>
    </row>
    <row r="4" spans="1:4" ht="30" customHeight="1" x14ac:dyDescent="0.2">
      <c r="A4" s="4" t="s">
        <v>2</v>
      </c>
      <c r="B4" s="2">
        <f>(19+15+13.5+11.5+17.5)</f>
        <v>76.5</v>
      </c>
      <c r="C4" s="30">
        <v>81</v>
      </c>
    </row>
    <row r="5" spans="1:4" ht="30" customHeight="1" x14ac:dyDescent="0.2">
      <c r="A5" s="4" t="s">
        <v>1</v>
      </c>
      <c r="B5" s="2"/>
      <c r="C5" s="30"/>
    </row>
    <row r="6" spans="1:4" ht="30" customHeight="1" x14ac:dyDescent="0.2">
      <c r="A6" s="2">
        <v>1670</v>
      </c>
      <c r="B6" s="2">
        <f>(13.5+14+16.5+11+8.5)</f>
        <v>63.5</v>
      </c>
      <c r="C6" s="30">
        <v>52</v>
      </c>
    </row>
    <row r="7" spans="1:4" ht="30" customHeight="1" x14ac:dyDescent="0.2">
      <c r="A7" s="2">
        <v>1691</v>
      </c>
      <c r="B7" s="2">
        <f>(16+9+7+5+5.5)</f>
        <v>42.5</v>
      </c>
      <c r="C7" s="30">
        <v>42</v>
      </c>
    </row>
    <row r="8" spans="1:4" ht="30" customHeight="1" x14ac:dyDescent="0.2">
      <c r="A8" s="2">
        <v>1889</v>
      </c>
      <c r="B8" s="2">
        <f>(13.5+5+1.5+5.5+0)</f>
        <v>25.5</v>
      </c>
      <c r="C8" s="30">
        <v>27</v>
      </c>
    </row>
    <row r="9" spans="1:4" ht="30" customHeight="1" x14ac:dyDescent="0.2">
      <c r="A9" s="2">
        <v>2085</v>
      </c>
      <c r="B9" s="30">
        <f>(15+10+13.5+12.5+0)</f>
        <v>51</v>
      </c>
      <c r="C9" s="30">
        <v>46</v>
      </c>
    </row>
    <row r="10" spans="1:4" ht="30" customHeight="1" x14ac:dyDescent="0.2">
      <c r="A10" s="2">
        <v>2163</v>
      </c>
      <c r="B10" s="2">
        <f>(16.5+8+6.5+13.5+16)</f>
        <v>60.5</v>
      </c>
      <c r="C10" s="30">
        <v>44</v>
      </c>
    </row>
    <row r="11" spans="1:4" ht="30" customHeight="1" x14ac:dyDescent="0.2">
      <c r="A11" s="2">
        <v>2393</v>
      </c>
      <c r="B11" s="30">
        <f>(15+6+6+12.5+12.5)</f>
        <v>52</v>
      </c>
      <c r="C11" s="30">
        <v>37</v>
      </c>
    </row>
    <row r="12" spans="1:4" ht="30" customHeight="1" x14ac:dyDescent="0.2">
      <c r="A12" s="2">
        <v>2441</v>
      </c>
      <c r="B12" s="30">
        <f>(16+11+9+11+16)</f>
        <v>63</v>
      </c>
      <c r="C12" s="30">
        <v>37</v>
      </c>
    </row>
    <row r="13" spans="1:4" ht="30" customHeight="1" x14ac:dyDescent="0.2">
      <c r="A13" s="2">
        <v>2903</v>
      </c>
      <c r="B13" s="2">
        <f>(19+14+12+12+9.5)</f>
        <v>66.5</v>
      </c>
      <c r="C13" s="30">
        <v>63</v>
      </c>
    </row>
    <row r="14" spans="1:4" ht="30" customHeight="1" x14ac:dyDescent="0.2">
      <c r="A14" s="2">
        <v>2994</v>
      </c>
      <c r="B14" s="30">
        <f>(12.5+9+7.5+10+6)</f>
        <v>45</v>
      </c>
      <c r="C14" s="30">
        <v>35</v>
      </c>
    </row>
    <row r="15" spans="1:4" ht="30" customHeight="1" x14ac:dyDescent="0.2">
      <c r="A15" s="2">
        <v>3377</v>
      </c>
      <c r="B15" s="30">
        <f>(14.5+12+13.5+10.5+15.5)</f>
        <v>66</v>
      </c>
      <c r="C15" s="30">
        <v>68</v>
      </c>
    </row>
    <row r="16" spans="1:4" ht="30" customHeight="1" x14ac:dyDescent="0.2">
      <c r="A16" s="2">
        <v>3517</v>
      </c>
      <c r="B16" s="30">
        <f>(16+7+9+3.5+13.5)</f>
        <v>49</v>
      </c>
      <c r="C16" s="30">
        <v>40</v>
      </c>
    </row>
    <row r="17" spans="1:3" ht="30" customHeight="1" x14ac:dyDescent="0.2">
      <c r="A17" s="2">
        <v>3560</v>
      </c>
      <c r="B17" s="2">
        <f>(14+7+8.5+8.5+5.5)</f>
        <v>43.5</v>
      </c>
      <c r="C17" s="30">
        <v>49</v>
      </c>
    </row>
    <row r="18" spans="1:3" ht="30" customHeight="1" x14ac:dyDescent="0.2">
      <c r="A18" s="2">
        <v>3601</v>
      </c>
      <c r="B18" s="2">
        <f>(12+10+7.5+1+5)</f>
        <v>35.5</v>
      </c>
      <c r="C18" s="30"/>
    </row>
    <row r="19" spans="1:3" ht="30" customHeight="1" x14ac:dyDescent="0.2">
      <c r="A19" s="2">
        <v>3642</v>
      </c>
      <c r="B19" s="30">
        <f>(12.5+6+9.5+12.5+9.5)</f>
        <v>50</v>
      </c>
      <c r="C19" s="30">
        <v>24</v>
      </c>
    </row>
    <row r="20" spans="1:3" ht="30" customHeight="1" x14ac:dyDescent="0.2">
      <c r="A20" s="2">
        <v>3672</v>
      </c>
      <c r="B20" s="2">
        <f>(17+9+13.5+14+13)</f>
        <v>66.5</v>
      </c>
      <c r="C20" s="30">
        <v>69</v>
      </c>
    </row>
    <row r="21" spans="1:3" ht="30" customHeight="1" x14ac:dyDescent="0.2">
      <c r="A21" s="2">
        <v>3797</v>
      </c>
      <c r="B21" s="30">
        <f>(17.5+10+6+13+11.5)</f>
        <v>58</v>
      </c>
      <c r="C21" s="30">
        <v>43</v>
      </c>
    </row>
    <row r="22" spans="1:3" ht="30" customHeight="1" x14ac:dyDescent="0.2">
      <c r="A22" s="2">
        <v>4091</v>
      </c>
      <c r="B22" s="30">
        <f>(17+13+16.5+10.5+17)</f>
        <v>74</v>
      </c>
      <c r="C22" s="30">
        <v>96.5</v>
      </c>
    </row>
    <row r="23" spans="1:3" ht="30" customHeight="1" x14ac:dyDescent="0.2">
      <c r="A23" s="2">
        <v>4582</v>
      </c>
      <c r="B23" s="30">
        <f>(11+5+12+5.5+10.5)</f>
        <v>44</v>
      </c>
      <c r="C23" s="30">
        <v>22</v>
      </c>
    </row>
    <row r="24" spans="1:3" ht="30" customHeight="1" x14ac:dyDescent="0.2">
      <c r="A24" s="2">
        <v>4622</v>
      </c>
      <c r="B24" s="2">
        <f>(18+9+14.5+11.5+17.5)</f>
        <v>70.5</v>
      </c>
      <c r="C24" s="30">
        <v>60</v>
      </c>
    </row>
    <row r="25" spans="1:3" ht="30" customHeight="1" x14ac:dyDescent="0.2">
      <c r="A25" s="2">
        <v>5075</v>
      </c>
      <c r="B25" s="30">
        <f>(14+7+8.5+8+7.5)</f>
        <v>45</v>
      </c>
      <c r="C25" s="30">
        <v>36</v>
      </c>
    </row>
    <row r="26" spans="1:3" ht="30" customHeight="1" x14ac:dyDescent="0.2">
      <c r="A26" s="2">
        <v>5141</v>
      </c>
      <c r="B26" s="2">
        <f>(14.5+2.5+2.5+6+9)</f>
        <v>34.5</v>
      </c>
      <c r="C26" s="30">
        <v>32</v>
      </c>
    </row>
    <row r="27" spans="1:3" ht="30" customHeight="1" x14ac:dyDescent="0.2">
      <c r="A27" s="2">
        <v>5482</v>
      </c>
      <c r="B27" s="30">
        <f>(12+7+7+12+10)</f>
        <v>48</v>
      </c>
      <c r="C27" s="30">
        <v>21</v>
      </c>
    </row>
    <row r="28" spans="1:3" ht="30" customHeight="1" x14ac:dyDescent="0.2">
      <c r="A28" s="2">
        <v>5680</v>
      </c>
      <c r="B28" s="30">
        <f>(11+7+8.5+7.5+6)</f>
        <v>40</v>
      </c>
      <c r="C28" s="30">
        <v>32</v>
      </c>
    </row>
    <row r="29" spans="1:3" ht="30" customHeight="1" x14ac:dyDescent="0.2">
      <c r="A29" s="2">
        <v>5943</v>
      </c>
      <c r="B29" s="30">
        <f>(14+4+3.5+5.5+0)</f>
        <v>27</v>
      </c>
      <c r="C29" s="30">
        <v>24</v>
      </c>
    </row>
    <row r="30" spans="1:3" ht="30" customHeight="1" x14ac:dyDescent="0.2">
      <c r="A30" s="2">
        <v>6464</v>
      </c>
      <c r="B30" s="30">
        <f>(19+14+19+20+20)</f>
        <v>92</v>
      </c>
      <c r="C30" s="30">
        <v>100</v>
      </c>
    </row>
    <row r="31" spans="1:3" ht="30" customHeight="1" x14ac:dyDescent="0.2">
      <c r="A31" s="2">
        <v>6797</v>
      </c>
      <c r="B31" s="30">
        <f>(14+11+9.5+11.5+15)</f>
        <v>61</v>
      </c>
      <c r="C31" s="30">
        <v>52</v>
      </c>
    </row>
    <row r="32" spans="1:3" ht="30" customHeight="1" x14ac:dyDescent="0.2">
      <c r="A32" s="2">
        <v>7021</v>
      </c>
      <c r="B32" s="2">
        <f>(15.5+15+16.5+16+12.5)</f>
        <v>75.5</v>
      </c>
      <c r="C32" s="30">
        <v>45</v>
      </c>
    </row>
    <row r="33" spans="1:3" ht="30" customHeight="1" x14ac:dyDescent="0.2">
      <c r="A33" s="2">
        <v>7511</v>
      </c>
      <c r="B33" s="2">
        <f>(5+3+3.5+0+0)</f>
        <v>11.5</v>
      </c>
      <c r="C33" s="30"/>
    </row>
    <row r="34" spans="1:3" ht="30" customHeight="1" x14ac:dyDescent="0.2">
      <c r="A34" s="2">
        <v>7575</v>
      </c>
      <c r="B34" s="30">
        <f>(13+13+15.5+15.5+12)</f>
        <v>69</v>
      </c>
      <c r="C34" s="30">
        <v>67</v>
      </c>
    </row>
    <row r="35" spans="1:3" ht="30" customHeight="1" x14ac:dyDescent="0.2">
      <c r="A35" s="2">
        <v>7642</v>
      </c>
      <c r="B35" s="30">
        <f>(12.5+4.5+5.5+3+0)</f>
        <v>25.5</v>
      </c>
      <c r="C35" s="30">
        <v>32</v>
      </c>
    </row>
    <row r="36" spans="1:3" ht="30" customHeight="1" x14ac:dyDescent="0.2">
      <c r="A36" s="2">
        <v>7949</v>
      </c>
      <c r="B36" s="2"/>
      <c r="C36" s="30"/>
    </row>
    <row r="37" spans="1:3" ht="30" customHeight="1" x14ac:dyDescent="0.2">
      <c r="A37" s="2">
        <v>8688</v>
      </c>
      <c r="B37" s="2"/>
      <c r="C37" s="30"/>
    </row>
    <row r="38" spans="1:3" ht="30" customHeight="1" x14ac:dyDescent="0.2">
      <c r="A38" s="2">
        <v>8742</v>
      </c>
      <c r="B38" s="30">
        <f>(15.5+4+9+1.5+16)</f>
        <v>46</v>
      </c>
      <c r="C38" s="30">
        <v>50</v>
      </c>
    </row>
    <row r="39" spans="1:3" ht="30" customHeight="1" x14ac:dyDescent="0.2">
      <c r="A39" s="2">
        <v>8743</v>
      </c>
      <c r="B39" s="2">
        <f>(10+15+11+13+13.5)</f>
        <v>62.5</v>
      </c>
      <c r="C39" s="30">
        <v>47</v>
      </c>
    </row>
    <row r="40" spans="1:3" ht="30" customHeight="1" x14ac:dyDescent="0.2">
      <c r="A40" s="2">
        <v>8765</v>
      </c>
      <c r="B40" s="2">
        <f>(17.5+6+5+4+8)</f>
        <v>40.5</v>
      </c>
      <c r="C40" s="30">
        <v>22</v>
      </c>
    </row>
    <row r="41" spans="1:3" ht="30" customHeight="1" x14ac:dyDescent="0.2">
      <c r="A41" s="2">
        <v>8793</v>
      </c>
      <c r="B41" s="30">
        <f>(16+16+14.5+16+12.5)</f>
        <v>75</v>
      </c>
      <c r="C41" s="30">
        <v>91.5</v>
      </c>
    </row>
    <row r="42" spans="1:3" ht="30" customHeight="1" x14ac:dyDescent="0.2">
      <c r="A42" s="2">
        <v>9139</v>
      </c>
      <c r="B42" s="2">
        <f>(8.5+4+7+3.5+4.5)</f>
        <v>27.5</v>
      </c>
      <c r="C42" s="30">
        <v>41</v>
      </c>
    </row>
    <row r="43" spans="1:3" ht="30" customHeight="1" x14ac:dyDescent="0.2">
      <c r="A43" s="2">
        <v>9196</v>
      </c>
      <c r="B43" s="30">
        <f>(19+15+16+12+17)</f>
        <v>79</v>
      </c>
      <c r="C43" s="30">
        <v>73</v>
      </c>
    </row>
    <row r="44" spans="1:3" ht="30" customHeight="1" x14ac:dyDescent="0.2">
      <c r="A44" s="2">
        <v>9355</v>
      </c>
      <c r="B44" s="30">
        <f>(14.5+9+9+9+6.5)</f>
        <v>48</v>
      </c>
      <c r="C44" s="30">
        <v>34</v>
      </c>
    </row>
    <row r="45" spans="1:3" ht="30" customHeight="1" x14ac:dyDescent="0.2">
      <c r="A45" s="2">
        <v>9516</v>
      </c>
      <c r="B45" s="2"/>
      <c r="C45" s="30"/>
    </row>
    <row r="46" spans="1:3" ht="30" customHeight="1" x14ac:dyDescent="0.2">
      <c r="A46" s="2">
        <v>9550</v>
      </c>
      <c r="B46" s="2">
        <f>(16+12+0+0+12.5)</f>
        <v>40.5</v>
      </c>
      <c r="C46" s="30">
        <v>47</v>
      </c>
    </row>
    <row r="47" spans="1:3" ht="30" customHeight="1" x14ac:dyDescent="0.2">
      <c r="A47" s="2">
        <v>9744</v>
      </c>
      <c r="B47" s="30">
        <f>(12.5+6+10+10.5+9)</f>
        <v>48</v>
      </c>
      <c r="C47" s="30">
        <v>31</v>
      </c>
    </row>
    <row r="48" spans="1:3" ht="30" customHeight="1" x14ac:dyDescent="0.2">
      <c r="A48" s="2">
        <v>9881</v>
      </c>
      <c r="B48" s="2">
        <f>(5.5+2+0+0+0)</f>
        <v>7.5</v>
      </c>
      <c r="C48" s="30"/>
    </row>
    <row r="49" spans="1:3" ht="30" customHeight="1" x14ac:dyDescent="0.2"/>
    <row r="50" spans="1:3" ht="30" customHeight="1" x14ac:dyDescent="0.2">
      <c r="A50" s="8" t="s">
        <v>6</v>
      </c>
      <c r="B50" s="20">
        <v>100</v>
      </c>
      <c r="C50" s="20">
        <v>100</v>
      </c>
    </row>
    <row r="51" spans="1:3" ht="30" customHeight="1" x14ac:dyDescent="0.2">
      <c r="A51" s="12" t="s">
        <v>7</v>
      </c>
      <c r="B51" s="19">
        <f>AVERAGE(B$2:B$48)</f>
        <v>51.616279069767444</v>
      </c>
      <c r="C51" s="19">
        <f t="shared" ref="C51" si="0">AVERAGE(C$2:C$48)</f>
        <v>47.35</v>
      </c>
    </row>
    <row r="52" spans="1:3" ht="30" customHeight="1" x14ac:dyDescent="0.2">
      <c r="A52" s="14" t="s">
        <v>8</v>
      </c>
      <c r="B52" s="19">
        <f>STDEV(B$2:B$48)</f>
        <v>18.739707400172374</v>
      </c>
      <c r="C52" s="19">
        <f t="shared" ref="C52" si="1">STDEV(C$2:C$48)</f>
        <v>20.812718005326236</v>
      </c>
    </row>
    <row r="53" spans="1:3" ht="30" customHeight="1" x14ac:dyDescent="0.2">
      <c r="A53" s="14" t="s">
        <v>9</v>
      </c>
      <c r="B53" s="19">
        <f>MEDIAN(B$2:B$48)</f>
        <v>49</v>
      </c>
      <c r="C53" s="19">
        <f t="shared" ref="C53" si="2">MEDIAN(C$2:C$48)</f>
        <v>43.5</v>
      </c>
    </row>
  </sheetData>
  <pageMargins left="0.7" right="0.7" top="0.75" bottom="0.75" header="0.3" footer="0.3"/>
  <ignoredErrors>
    <ignoredError sqref="A2: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72AB-081C-F944-AC06-2660F6476096}">
  <dimension ref="A1:H53"/>
  <sheetViews>
    <sheetView tabSelected="1" workbookViewId="0">
      <selection activeCell="I1" sqref="I1"/>
    </sheetView>
  </sheetViews>
  <sheetFormatPr baseColWidth="10" defaultRowHeight="15" x14ac:dyDescent="0.2"/>
  <cols>
    <col min="1" max="1" width="25.83203125" customWidth="1"/>
    <col min="2" max="7" width="22.83203125" customWidth="1"/>
    <col min="8" max="8" width="15.83203125" customWidth="1"/>
  </cols>
  <sheetData>
    <row r="1" spans="1:8" s="5" customFormat="1" ht="30" customHeight="1" x14ac:dyDescent="0.2">
      <c r="A1" s="1" t="s">
        <v>0</v>
      </c>
      <c r="B1" s="17" t="s">
        <v>22</v>
      </c>
      <c r="C1" s="21" t="s">
        <v>23</v>
      </c>
      <c r="D1" s="22" t="s">
        <v>24</v>
      </c>
      <c r="E1" s="23" t="s">
        <v>25</v>
      </c>
      <c r="F1" s="7" t="s">
        <v>27</v>
      </c>
      <c r="G1" s="7" t="s">
        <v>26</v>
      </c>
      <c r="H1" s="24" t="s">
        <v>28</v>
      </c>
    </row>
    <row r="2" spans="1:8" ht="30" customHeight="1" x14ac:dyDescent="0.2">
      <c r="A2" s="4" t="s">
        <v>3</v>
      </c>
      <c r="B2" s="28">
        <f>Quizzes!K2</f>
        <v>0.25555555555555559</v>
      </c>
      <c r="C2" s="28">
        <f>Homeworks!J2</f>
        <v>2.2499999999999999E-2</v>
      </c>
      <c r="D2" s="26">
        <f>Exams!B2</f>
        <v>37</v>
      </c>
      <c r="E2" s="26">
        <f>Exams!C2</f>
        <v>20</v>
      </c>
      <c r="F2" s="28">
        <f>$B2+$C2+IF(($E2/$E$50&gt;$D2/$D$50),($E2/$E$50)*7.5, ($D2/$D$50)*3+($E2/$E$50)*4.5)</f>
        <v>2.2880555555555553</v>
      </c>
      <c r="G2" s="29">
        <f>0.5*INT(F2/0.5)+INT( ((F2-INT(F2/0.5)*0.5)/0.25))*0.5</f>
        <v>2.5</v>
      </c>
      <c r="H2" s="26">
        <f>IF(G2&gt;4.75,1,0)</f>
        <v>0</v>
      </c>
    </row>
    <row r="3" spans="1:8" ht="30" customHeight="1" x14ac:dyDescent="0.2">
      <c r="A3" s="4" t="s">
        <v>4</v>
      </c>
      <c r="B3" s="28">
        <f>Quizzes!K3</f>
        <v>0.64814814814814825</v>
      </c>
      <c r="C3" s="28">
        <f>Homeworks!J3</f>
        <v>1.2716741071428572</v>
      </c>
      <c r="D3" s="26">
        <f>Exams!B3</f>
        <v>76</v>
      </c>
      <c r="E3" s="26">
        <f>Exams!C3</f>
        <v>61</v>
      </c>
      <c r="F3" s="28">
        <f t="shared" ref="F3:F48" si="0">$B3+$C3+IF(($E3/$E$50&gt;$D3/$D$50),($E3/$E$50)*7.5, ($D3/$D$50)*3+($E3/$E$50)*4.5)</f>
        <v>6.9448222552910064</v>
      </c>
      <c r="G3" s="29">
        <f t="shared" ref="G3:G48" si="1">0.5*INT(F3/0.5)+INT( ((F3-INT(F3/0.5)*0.5)/0.25))*0.5</f>
        <v>7</v>
      </c>
      <c r="H3" s="26">
        <f t="shared" ref="H3:H48" si="2">IF(G3&gt;4.75,1,0)</f>
        <v>1</v>
      </c>
    </row>
    <row r="4" spans="1:8" ht="30" customHeight="1" x14ac:dyDescent="0.2">
      <c r="A4" s="4" t="s">
        <v>2</v>
      </c>
      <c r="B4" s="28">
        <f>Quizzes!K4</f>
        <v>0.79629629629629628</v>
      </c>
      <c r="C4" s="28">
        <f>Homeworks!J4</f>
        <v>1.4225390625000001</v>
      </c>
      <c r="D4" s="26">
        <f>Exams!B4</f>
        <v>76.5</v>
      </c>
      <c r="E4" s="26">
        <f>Exams!C4</f>
        <v>81</v>
      </c>
      <c r="F4" s="28">
        <f t="shared" si="0"/>
        <v>8.2938353587962972</v>
      </c>
      <c r="G4" s="29">
        <f t="shared" si="1"/>
        <v>8.5</v>
      </c>
      <c r="H4" s="26">
        <f t="shared" si="2"/>
        <v>1</v>
      </c>
    </row>
    <row r="5" spans="1:8" ht="30" customHeight="1" x14ac:dyDescent="0.2">
      <c r="A5" s="4" t="s">
        <v>1</v>
      </c>
      <c r="B5" s="28">
        <f>Quizzes!K5</f>
        <v>2.2222222222222223E-2</v>
      </c>
      <c r="C5" s="28">
        <f>Homeworks!J5</f>
        <v>0.15000000000000002</v>
      </c>
      <c r="D5" s="26">
        <f>Exams!B5</f>
        <v>0</v>
      </c>
      <c r="E5" s="26">
        <f>Exams!C5</f>
        <v>0</v>
      </c>
      <c r="F5" s="28">
        <f t="shared" si="0"/>
        <v>0.17222222222222225</v>
      </c>
      <c r="G5" s="29">
        <f t="shared" si="1"/>
        <v>0</v>
      </c>
      <c r="H5" s="26">
        <f t="shared" si="2"/>
        <v>0</v>
      </c>
    </row>
    <row r="6" spans="1:8" ht="30" customHeight="1" x14ac:dyDescent="0.2">
      <c r="A6" s="2">
        <v>1670</v>
      </c>
      <c r="B6" s="28">
        <f>Quizzes!K6</f>
        <v>0.6777777777777777</v>
      </c>
      <c r="C6" s="28">
        <f>Homeworks!J6</f>
        <v>0.33914062499999997</v>
      </c>
      <c r="D6" s="26">
        <f>Exams!B6</f>
        <v>63.5</v>
      </c>
      <c r="E6" s="26">
        <f>Exams!C6</f>
        <v>52</v>
      </c>
      <c r="F6" s="28">
        <f t="shared" si="0"/>
        <v>5.2619184027777779</v>
      </c>
      <c r="G6" s="29">
        <f t="shared" si="1"/>
        <v>5.5</v>
      </c>
      <c r="H6" s="26">
        <f t="shared" si="2"/>
        <v>1</v>
      </c>
    </row>
    <row r="7" spans="1:8" ht="30" customHeight="1" x14ac:dyDescent="0.2">
      <c r="A7" s="2">
        <v>1691</v>
      </c>
      <c r="B7" s="28">
        <f>Quizzes!K7</f>
        <v>0.35555555555555562</v>
      </c>
      <c r="C7" s="28">
        <f>Homeworks!J7</f>
        <v>0.86370535714285712</v>
      </c>
      <c r="D7" s="26">
        <f>Exams!B7</f>
        <v>42.5</v>
      </c>
      <c r="E7" s="26">
        <f>Exams!C7</f>
        <v>42</v>
      </c>
      <c r="F7" s="28">
        <f t="shared" si="0"/>
        <v>4.3842609126984122</v>
      </c>
      <c r="G7" s="29">
        <f t="shared" si="1"/>
        <v>4.5</v>
      </c>
      <c r="H7" s="26">
        <f t="shared" si="2"/>
        <v>0</v>
      </c>
    </row>
    <row r="8" spans="1:8" ht="30" customHeight="1" x14ac:dyDescent="0.2">
      <c r="A8" s="2">
        <v>1889</v>
      </c>
      <c r="B8" s="28">
        <f>Quizzes!K8</f>
        <v>0.25185185185185183</v>
      </c>
      <c r="C8" s="28">
        <f>Homeworks!J8</f>
        <v>2.6785714285714284E-2</v>
      </c>
      <c r="D8" s="26">
        <f>Exams!B8</f>
        <v>25.5</v>
      </c>
      <c r="E8" s="26">
        <f>Exams!C8</f>
        <v>27</v>
      </c>
      <c r="F8" s="28">
        <f t="shared" si="0"/>
        <v>2.3036375661375663</v>
      </c>
      <c r="G8" s="29">
        <f t="shared" si="1"/>
        <v>2.5</v>
      </c>
      <c r="H8" s="26">
        <f t="shared" si="2"/>
        <v>0</v>
      </c>
    </row>
    <row r="9" spans="1:8" ht="30" customHeight="1" x14ac:dyDescent="0.2">
      <c r="A9" s="2">
        <v>2085</v>
      </c>
      <c r="B9" s="28">
        <f>Quizzes!K9</f>
        <v>0.3925925925925926</v>
      </c>
      <c r="C9" s="28">
        <f>Homeworks!J9</f>
        <v>0.39039062499999999</v>
      </c>
      <c r="D9" s="26">
        <f>Exams!B9</f>
        <v>51</v>
      </c>
      <c r="E9" s="26">
        <f>Exams!C9</f>
        <v>46</v>
      </c>
      <c r="F9" s="28">
        <f t="shared" si="0"/>
        <v>4.3829832175925931</v>
      </c>
      <c r="G9" s="29">
        <f t="shared" si="1"/>
        <v>4.5</v>
      </c>
      <c r="H9" s="26">
        <f t="shared" si="2"/>
        <v>0</v>
      </c>
    </row>
    <row r="10" spans="1:8" ht="30" customHeight="1" x14ac:dyDescent="0.2">
      <c r="A10" s="2">
        <v>2163</v>
      </c>
      <c r="B10" s="28">
        <f>Quizzes!K10</f>
        <v>0.61481481481481481</v>
      </c>
      <c r="C10" s="28">
        <f>Homeworks!J10</f>
        <v>1.3614174107142856</v>
      </c>
      <c r="D10" s="26">
        <f>Exams!B10</f>
        <v>60.5</v>
      </c>
      <c r="E10" s="26">
        <f>Exams!C10</f>
        <v>44</v>
      </c>
      <c r="F10" s="28">
        <f t="shared" si="0"/>
        <v>5.7712322255291006</v>
      </c>
      <c r="G10" s="29">
        <f t="shared" si="1"/>
        <v>6</v>
      </c>
      <c r="H10" s="26">
        <f t="shared" si="2"/>
        <v>1</v>
      </c>
    </row>
    <row r="11" spans="1:8" ht="30" customHeight="1" x14ac:dyDescent="0.2">
      <c r="A11" s="2">
        <v>2393</v>
      </c>
      <c r="B11" s="28">
        <f>Quizzes!K11</f>
        <v>0.51111111111111107</v>
      </c>
      <c r="C11" s="28">
        <f>Homeworks!J11</f>
        <v>0.10687500000000001</v>
      </c>
      <c r="D11" s="26">
        <f>Exams!B11</f>
        <v>52</v>
      </c>
      <c r="E11" s="26">
        <f>Exams!C11</f>
        <v>37</v>
      </c>
      <c r="F11" s="28">
        <f t="shared" si="0"/>
        <v>3.8429861111111112</v>
      </c>
      <c r="G11" s="29">
        <f t="shared" si="1"/>
        <v>4</v>
      </c>
      <c r="H11" s="26">
        <f t="shared" si="2"/>
        <v>0</v>
      </c>
    </row>
    <row r="12" spans="1:8" ht="30" customHeight="1" x14ac:dyDescent="0.2">
      <c r="A12" s="2">
        <v>2441</v>
      </c>
      <c r="B12" s="28">
        <f>Quizzes!K12</f>
        <v>0.34074074074074073</v>
      </c>
      <c r="C12" s="28">
        <f>Homeworks!J12</f>
        <v>1.0528794642857144</v>
      </c>
      <c r="D12" s="26">
        <f>Exams!B12</f>
        <v>63</v>
      </c>
      <c r="E12" s="26">
        <f>Exams!C12</f>
        <v>37</v>
      </c>
      <c r="F12" s="28">
        <f t="shared" si="0"/>
        <v>4.9486202050264554</v>
      </c>
      <c r="G12" s="29">
        <f t="shared" si="1"/>
        <v>5</v>
      </c>
      <c r="H12" s="26">
        <f t="shared" si="2"/>
        <v>1</v>
      </c>
    </row>
    <row r="13" spans="1:8" ht="30" customHeight="1" x14ac:dyDescent="0.2">
      <c r="A13" s="2">
        <v>2903</v>
      </c>
      <c r="B13" s="28">
        <f>Quizzes!K13</f>
        <v>0.51851851851851849</v>
      </c>
      <c r="C13" s="28">
        <f>Homeworks!J13</f>
        <v>1.0313950892857142</v>
      </c>
      <c r="D13" s="26">
        <f>Exams!B13</f>
        <v>66.5</v>
      </c>
      <c r="E13" s="26">
        <f>Exams!C13</f>
        <v>63</v>
      </c>
      <c r="F13" s="28">
        <f t="shared" si="0"/>
        <v>6.3799136078042329</v>
      </c>
      <c r="G13" s="29">
        <f t="shared" si="1"/>
        <v>6.5</v>
      </c>
      <c r="H13" s="26">
        <f t="shared" si="2"/>
        <v>1</v>
      </c>
    </row>
    <row r="14" spans="1:8" ht="30" customHeight="1" x14ac:dyDescent="0.2">
      <c r="A14" s="2">
        <v>2994</v>
      </c>
      <c r="B14" s="28">
        <f>Quizzes!K14</f>
        <v>0.44444444444444442</v>
      </c>
      <c r="C14" s="28">
        <f>Homeworks!J14</f>
        <v>0.4889062500000001</v>
      </c>
      <c r="D14" s="26">
        <f>Exams!B14</f>
        <v>45</v>
      </c>
      <c r="E14" s="26">
        <f>Exams!C14</f>
        <v>35</v>
      </c>
      <c r="F14" s="28">
        <f t="shared" si="0"/>
        <v>3.8583506944444443</v>
      </c>
      <c r="G14" s="29">
        <f t="shared" si="1"/>
        <v>4</v>
      </c>
      <c r="H14" s="26">
        <f t="shared" si="2"/>
        <v>0</v>
      </c>
    </row>
    <row r="15" spans="1:8" ht="30" customHeight="1" x14ac:dyDescent="0.2">
      <c r="A15" s="2">
        <v>3377</v>
      </c>
      <c r="B15" s="28">
        <f>Quizzes!K15</f>
        <v>0.70740740740740748</v>
      </c>
      <c r="C15" s="28">
        <f>Homeworks!J15</f>
        <v>0.76112723214285716</v>
      </c>
      <c r="D15" s="26">
        <f>Exams!B15</f>
        <v>66</v>
      </c>
      <c r="E15" s="26">
        <f>Exams!C15</f>
        <v>68</v>
      </c>
      <c r="F15" s="28">
        <f t="shared" si="0"/>
        <v>6.5685346395502648</v>
      </c>
      <c r="G15" s="29">
        <f t="shared" si="1"/>
        <v>6.5</v>
      </c>
      <c r="H15" s="26">
        <f t="shared" si="2"/>
        <v>1</v>
      </c>
    </row>
    <row r="16" spans="1:8" ht="30" customHeight="1" x14ac:dyDescent="0.2">
      <c r="A16" s="2">
        <v>3517</v>
      </c>
      <c r="B16" s="28">
        <f>Quizzes!K16</f>
        <v>0.40370370370370368</v>
      </c>
      <c r="C16" s="28">
        <f>Homeworks!J16</f>
        <v>1.1868917410714286</v>
      </c>
      <c r="D16" s="26">
        <f>Exams!B16</f>
        <v>49</v>
      </c>
      <c r="E16" s="26">
        <f>Exams!C16</f>
        <v>40</v>
      </c>
      <c r="F16" s="28">
        <f t="shared" si="0"/>
        <v>4.8605954447751323</v>
      </c>
      <c r="G16" s="29">
        <f t="shared" si="1"/>
        <v>5</v>
      </c>
      <c r="H16" s="26">
        <f t="shared" si="2"/>
        <v>1</v>
      </c>
    </row>
    <row r="17" spans="1:8" ht="30" customHeight="1" x14ac:dyDescent="0.2">
      <c r="A17" s="2">
        <v>3560</v>
      </c>
      <c r="B17" s="28">
        <f>Quizzes!K17</f>
        <v>0.41851851851851851</v>
      </c>
      <c r="C17" s="28">
        <f>Homeworks!J17</f>
        <v>0.72024553571428562</v>
      </c>
      <c r="D17" s="26">
        <f>Exams!B17</f>
        <v>43.5</v>
      </c>
      <c r="E17" s="26">
        <f>Exams!C17</f>
        <v>49</v>
      </c>
      <c r="F17" s="28">
        <f t="shared" si="0"/>
        <v>4.813764054232804</v>
      </c>
      <c r="G17" s="29">
        <f t="shared" si="1"/>
        <v>5</v>
      </c>
      <c r="H17" s="26">
        <f t="shared" si="2"/>
        <v>1</v>
      </c>
    </row>
    <row r="18" spans="1:8" ht="30" customHeight="1" x14ac:dyDescent="0.2">
      <c r="A18" s="2">
        <v>3601</v>
      </c>
      <c r="B18" s="28">
        <f>Quizzes!K18</f>
        <v>0.11851851851851852</v>
      </c>
      <c r="C18" s="28">
        <f>Homeworks!J18</f>
        <v>8.1328125000000001E-2</v>
      </c>
      <c r="D18" s="26">
        <f>Exams!B18</f>
        <v>35.5</v>
      </c>
      <c r="E18" s="26">
        <f>Exams!C18</f>
        <v>0</v>
      </c>
      <c r="F18" s="28">
        <f t="shared" si="0"/>
        <v>1.2648466435185184</v>
      </c>
      <c r="G18" s="29">
        <f t="shared" si="1"/>
        <v>1.5</v>
      </c>
      <c r="H18" s="26">
        <f t="shared" si="2"/>
        <v>0</v>
      </c>
    </row>
    <row r="19" spans="1:8" ht="30" customHeight="1" x14ac:dyDescent="0.2">
      <c r="A19" s="2">
        <v>3642</v>
      </c>
      <c r="B19" s="28">
        <f>Quizzes!K19</f>
        <v>0.46296296296296302</v>
      </c>
      <c r="C19" s="28">
        <f>Homeworks!J19</f>
        <v>1.1484654017857143</v>
      </c>
      <c r="D19" s="26">
        <f>Exams!B19</f>
        <v>50</v>
      </c>
      <c r="E19" s="26">
        <f>Exams!C19</f>
        <v>24</v>
      </c>
      <c r="F19" s="28">
        <f t="shared" si="0"/>
        <v>4.1914283647486776</v>
      </c>
      <c r="G19" s="29">
        <f t="shared" si="1"/>
        <v>4</v>
      </c>
      <c r="H19" s="26">
        <f t="shared" si="2"/>
        <v>0</v>
      </c>
    </row>
    <row r="20" spans="1:8" ht="30" customHeight="1" x14ac:dyDescent="0.2">
      <c r="A20" s="2">
        <v>3672</v>
      </c>
      <c r="B20" s="28">
        <f>Quizzes!K20</f>
        <v>0.79259259259259274</v>
      </c>
      <c r="C20" s="28">
        <f>Homeworks!J20</f>
        <v>1.1282645089285714</v>
      </c>
      <c r="D20" s="26">
        <f>Exams!B20</f>
        <v>66.5</v>
      </c>
      <c r="E20" s="26">
        <f>Exams!C20</f>
        <v>69</v>
      </c>
      <c r="F20" s="28">
        <f t="shared" si="0"/>
        <v>7.0958571015211636</v>
      </c>
      <c r="G20" s="29">
        <f t="shared" si="1"/>
        <v>7</v>
      </c>
      <c r="H20" s="26">
        <f t="shared" si="2"/>
        <v>1</v>
      </c>
    </row>
    <row r="21" spans="1:8" ht="30" customHeight="1" x14ac:dyDescent="0.2">
      <c r="A21" s="2">
        <v>3797</v>
      </c>
      <c r="B21" s="28">
        <f>Quizzes!K21</f>
        <v>0.57407407407407407</v>
      </c>
      <c r="C21" s="28">
        <f>Homeworks!J21</f>
        <v>0.86685267857142878</v>
      </c>
      <c r="D21" s="26">
        <f>Exams!B21</f>
        <v>58</v>
      </c>
      <c r="E21" s="26">
        <f>Exams!C21</f>
        <v>43</v>
      </c>
      <c r="F21" s="28">
        <f t="shared" si="0"/>
        <v>5.1159267526455032</v>
      </c>
      <c r="G21" s="29">
        <f t="shared" si="1"/>
        <v>5</v>
      </c>
      <c r="H21" s="26">
        <f t="shared" si="2"/>
        <v>1</v>
      </c>
    </row>
    <row r="22" spans="1:8" ht="30" customHeight="1" x14ac:dyDescent="0.2">
      <c r="A22" s="2">
        <v>4091</v>
      </c>
      <c r="B22" s="28">
        <f>Quizzes!K22</f>
        <v>0.95925925925925937</v>
      </c>
      <c r="C22" s="28">
        <f>Homeworks!J22</f>
        <v>1.3758314732142858</v>
      </c>
      <c r="D22" s="26">
        <f>Exams!B22</f>
        <v>74</v>
      </c>
      <c r="E22" s="26">
        <f>Exams!C22</f>
        <v>96.5</v>
      </c>
      <c r="F22" s="28">
        <f t="shared" si="0"/>
        <v>9.5725907324735449</v>
      </c>
      <c r="G22" s="29">
        <f t="shared" si="1"/>
        <v>9.5</v>
      </c>
      <c r="H22" s="26">
        <f t="shared" si="2"/>
        <v>1</v>
      </c>
    </row>
    <row r="23" spans="1:8" ht="30" customHeight="1" x14ac:dyDescent="0.2">
      <c r="A23" s="2">
        <v>4582</v>
      </c>
      <c r="B23" s="28">
        <f>Quizzes!K23</f>
        <v>0.28888888888888892</v>
      </c>
      <c r="C23" s="28">
        <f>Homeworks!J23</f>
        <v>0.95171874999999995</v>
      </c>
      <c r="D23" s="26">
        <f>Exams!B23</f>
        <v>44</v>
      </c>
      <c r="E23" s="26">
        <f>Exams!C23</f>
        <v>22</v>
      </c>
      <c r="F23" s="28">
        <f t="shared" si="0"/>
        <v>3.5506076388888888</v>
      </c>
      <c r="G23" s="29">
        <f t="shared" si="1"/>
        <v>3.5</v>
      </c>
      <c r="H23" s="26">
        <f t="shared" si="2"/>
        <v>0</v>
      </c>
    </row>
    <row r="24" spans="1:8" ht="30" customHeight="1" x14ac:dyDescent="0.2">
      <c r="A24" s="2">
        <v>4622</v>
      </c>
      <c r="B24" s="28">
        <f>Quizzes!K24</f>
        <v>0.43333333333333335</v>
      </c>
      <c r="C24" s="28">
        <f>Homeworks!J24</f>
        <v>0.61069196428571437</v>
      </c>
      <c r="D24" s="26">
        <f>Exams!B24</f>
        <v>70.5</v>
      </c>
      <c r="E24" s="26">
        <f>Exams!C24</f>
        <v>60</v>
      </c>
      <c r="F24" s="28">
        <f t="shared" si="0"/>
        <v>5.8590252976190467</v>
      </c>
      <c r="G24" s="29">
        <f t="shared" si="1"/>
        <v>6</v>
      </c>
      <c r="H24" s="26">
        <f t="shared" si="2"/>
        <v>1</v>
      </c>
    </row>
    <row r="25" spans="1:8" ht="30" customHeight="1" x14ac:dyDescent="0.2">
      <c r="A25" s="2">
        <v>5075</v>
      </c>
      <c r="B25" s="28">
        <f>Quizzes!K25</f>
        <v>0.48888888888888893</v>
      </c>
      <c r="C25" s="28">
        <f>Homeworks!J25</f>
        <v>0.59150669642857145</v>
      </c>
      <c r="D25" s="26">
        <f>Exams!B25</f>
        <v>45</v>
      </c>
      <c r="E25" s="26">
        <f>Exams!C25</f>
        <v>36</v>
      </c>
      <c r="F25" s="28">
        <f t="shared" si="0"/>
        <v>4.0503955853174602</v>
      </c>
      <c r="G25" s="29">
        <f t="shared" si="1"/>
        <v>4</v>
      </c>
      <c r="H25" s="26">
        <f t="shared" si="2"/>
        <v>0</v>
      </c>
    </row>
    <row r="26" spans="1:8" ht="30" customHeight="1" x14ac:dyDescent="0.2">
      <c r="A26" s="2">
        <v>5141</v>
      </c>
      <c r="B26" s="28">
        <f>Quizzes!K26</f>
        <v>0.58888888888888902</v>
      </c>
      <c r="C26" s="28">
        <f>Homeworks!J26</f>
        <v>0.74729910714285719</v>
      </c>
      <c r="D26" s="26">
        <f>Exams!B26</f>
        <v>34.5</v>
      </c>
      <c r="E26" s="26">
        <f>Exams!C26</f>
        <v>32</v>
      </c>
      <c r="F26" s="28">
        <f t="shared" si="0"/>
        <v>3.8111879960317459</v>
      </c>
      <c r="G26" s="29">
        <f t="shared" si="1"/>
        <v>4</v>
      </c>
      <c r="H26" s="26">
        <f t="shared" si="2"/>
        <v>0</v>
      </c>
    </row>
    <row r="27" spans="1:8" ht="30" customHeight="1" x14ac:dyDescent="0.2">
      <c r="A27" s="2">
        <v>5482</v>
      </c>
      <c r="B27" s="28">
        <f>Quizzes!K27</f>
        <v>0.32592592592592595</v>
      </c>
      <c r="C27" s="28">
        <f>Homeworks!J27</f>
        <v>0.6050055803571428</v>
      </c>
      <c r="D27" s="26">
        <f>Exams!B27</f>
        <v>48</v>
      </c>
      <c r="E27" s="26">
        <f>Exams!C27</f>
        <v>21</v>
      </c>
      <c r="F27" s="28">
        <f t="shared" si="0"/>
        <v>3.3159315062830688</v>
      </c>
      <c r="G27" s="29">
        <f t="shared" si="1"/>
        <v>3.5</v>
      </c>
      <c r="H27" s="26">
        <f t="shared" si="2"/>
        <v>0</v>
      </c>
    </row>
    <row r="28" spans="1:8" ht="30" customHeight="1" x14ac:dyDescent="0.2">
      <c r="A28" s="2">
        <v>5680</v>
      </c>
      <c r="B28" s="28">
        <f>Quizzes!K28</f>
        <v>0.31481481481481477</v>
      </c>
      <c r="C28" s="28">
        <f>Homeworks!J28</f>
        <v>0.11296875000000001</v>
      </c>
      <c r="D28" s="26">
        <f>Exams!B28</f>
        <v>40</v>
      </c>
      <c r="E28" s="26">
        <f>Exams!C28</f>
        <v>32</v>
      </c>
      <c r="F28" s="28">
        <f t="shared" si="0"/>
        <v>3.0677835648148148</v>
      </c>
      <c r="G28" s="29">
        <f t="shared" si="1"/>
        <v>3</v>
      </c>
      <c r="H28" s="26">
        <f t="shared" si="2"/>
        <v>0</v>
      </c>
    </row>
    <row r="29" spans="1:8" ht="30" customHeight="1" x14ac:dyDescent="0.2">
      <c r="A29" s="2">
        <v>5943</v>
      </c>
      <c r="B29" s="28">
        <f>Quizzes!K29</f>
        <v>0.46666666666666667</v>
      </c>
      <c r="C29" s="28">
        <f>Homeworks!J29</f>
        <v>0.28687499999999999</v>
      </c>
      <c r="D29" s="26">
        <f>Exams!B29</f>
        <v>27</v>
      </c>
      <c r="E29" s="26">
        <f>Exams!C29</f>
        <v>24</v>
      </c>
      <c r="F29" s="28">
        <f t="shared" si="0"/>
        <v>2.6435416666666667</v>
      </c>
      <c r="G29" s="29">
        <f t="shared" si="1"/>
        <v>2.5</v>
      </c>
      <c r="H29" s="26">
        <f t="shared" si="2"/>
        <v>0</v>
      </c>
    </row>
    <row r="30" spans="1:8" ht="30" customHeight="1" x14ac:dyDescent="0.2">
      <c r="A30" s="2">
        <v>6464</v>
      </c>
      <c r="B30" s="28">
        <f>Quizzes!K30</f>
        <v>1.0481481481481483</v>
      </c>
      <c r="C30" s="28">
        <f>Homeworks!J30</f>
        <v>1.3907589285714286</v>
      </c>
      <c r="D30" s="26">
        <f>Exams!B30</f>
        <v>92</v>
      </c>
      <c r="E30" s="26">
        <f>Exams!C30</f>
        <v>100</v>
      </c>
      <c r="F30" s="28">
        <f t="shared" si="0"/>
        <v>9.9389070767195768</v>
      </c>
      <c r="G30" s="29">
        <f t="shared" si="1"/>
        <v>10</v>
      </c>
      <c r="H30" s="26">
        <f t="shared" si="2"/>
        <v>1</v>
      </c>
    </row>
    <row r="31" spans="1:8" ht="30" customHeight="1" x14ac:dyDescent="0.2">
      <c r="A31" s="2">
        <v>6797</v>
      </c>
      <c r="B31" s="28">
        <f>Quizzes!K31</f>
        <v>0.54814814814814816</v>
      </c>
      <c r="C31" s="28">
        <f>Homeworks!J31</f>
        <v>0.81861049107142869</v>
      </c>
      <c r="D31" s="26">
        <f>Exams!B31</f>
        <v>61</v>
      </c>
      <c r="E31" s="26">
        <f>Exams!C31</f>
        <v>52</v>
      </c>
      <c r="F31" s="28">
        <f t="shared" si="0"/>
        <v>5.5367586392195767</v>
      </c>
      <c r="G31" s="29">
        <f t="shared" si="1"/>
        <v>5.5</v>
      </c>
      <c r="H31" s="26">
        <f t="shared" si="2"/>
        <v>1</v>
      </c>
    </row>
    <row r="32" spans="1:8" ht="30" customHeight="1" x14ac:dyDescent="0.2">
      <c r="A32" s="2">
        <v>7021</v>
      </c>
      <c r="B32" s="28">
        <f>Quizzes!K32</f>
        <v>0.50740740740740742</v>
      </c>
      <c r="C32" s="28">
        <f>Homeworks!J32</f>
        <v>0.86755580357142847</v>
      </c>
      <c r="D32" s="26">
        <f>Exams!B32</f>
        <v>75.5</v>
      </c>
      <c r="E32" s="26">
        <f>Exams!C32</f>
        <v>45</v>
      </c>
      <c r="F32" s="28">
        <f t="shared" si="0"/>
        <v>5.6649632109788364</v>
      </c>
      <c r="G32" s="29">
        <f t="shared" si="1"/>
        <v>5.5</v>
      </c>
      <c r="H32" s="26">
        <f t="shared" si="2"/>
        <v>1</v>
      </c>
    </row>
    <row r="33" spans="1:8" ht="30" customHeight="1" x14ac:dyDescent="0.2">
      <c r="A33" s="2">
        <v>7511</v>
      </c>
      <c r="B33" s="28">
        <f>Quizzes!K33</f>
        <v>4.4444444444444439E-2</v>
      </c>
      <c r="C33" s="28">
        <f>Homeworks!J33</f>
        <v>0</v>
      </c>
      <c r="D33" s="26">
        <f>Exams!B33</f>
        <v>11.5</v>
      </c>
      <c r="E33" s="26">
        <f>Exams!C33</f>
        <v>0</v>
      </c>
      <c r="F33" s="28">
        <f t="shared" si="0"/>
        <v>0.38944444444444448</v>
      </c>
      <c r="G33" s="29">
        <f t="shared" ref="G33" si="3">0.5*INT(F33/0.5)+INT( ((F33-INT(F33/0.5)*0.5)/0.25))*0.5</f>
        <v>0.5</v>
      </c>
      <c r="H33" s="26">
        <f t="shared" ref="H33" si="4">IF(G33&gt;4.75,1,0)</f>
        <v>0</v>
      </c>
    </row>
    <row r="34" spans="1:8" ht="30" customHeight="1" x14ac:dyDescent="0.2">
      <c r="A34" s="2">
        <v>7575</v>
      </c>
      <c r="B34" s="28">
        <f>Quizzes!K34</f>
        <v>0.55185185185185182</v>
      </c>
      <c r="C34" s="28">
        <f>Homeworks!J34</f>
        <v>0.67450892857142863</v>
      </c>
      <c r="D34" s="26">
        <f>Exams!B34</f>
        <v>69</v>
      </c>
      <c r="E34" s="26">
        <f>Exams!C34</f>
        <v>67</v>
      </c>
      <c r="F34" s="28">
        <f t="shared" si="0"/>
        <v>6.3113607804232803</v>
      </c>
      <c r="G34" s="29">
        <f t="shared" si="1"/>
        <v>6.5</v>
      </c>
      <c r="H34" s="26">
        <f t="shared" si="2"/>
        <v>1</v>
      </c>
    </row>
    <row r="35" spans="1:8" ht="30" customHeight="1" x14ac:dyDescent="0.2">
      <c r="A35" s="2">
        <v>7642</v>
      </c>
      <c r="B35" s="28">
        <f>Quizzes!K35</f>
        <v>0.28148148148148144</v>
      </c>
      <c r="C35" s="28">
        <f>Homeworks!J35</f>
        <v>0.16801339285714284</v>
      </c>
      <c r="D35" s="26">
        <f>Exams!B35</f>
        <v>25.5</v>
      </c>
      <c r="E35" s="26">
        <f>Exams!C35</f>
        <v>32</v>
      </c>
      <c r="F35" s="28">
        <f t="shared" si="0"/>
        <v>2.8494948743386241</v>
      </c>
      <c r="G35" s="29">
        <f t="shared" si="1"/>
        <v>3</v>
      </c>
      <c r="H35" s="26">
        <f t="shared" si="2"/>
        <v>0</v>
      </c>
    </row>
    <row r="36" spans="1:8" ht="30" customHeight="1" x14ac:dyDescent="0.2">
      <c r="A36" s="2">
        <v>7949</v>
      </c>
      <c r="B36" s="28">
        <f>Quizzes!K36</f>
        <v>0</v>
      </c>
      <c r="C36" s="28">
        <f>Homeworks!J36</f>
        <v>0</v>
      </c>
      <c r="D36" s="26">
        <f>Exams!B36</f>
        <v>0</v>
      </c>
      <c r="E36" s="26">
        <f>Exams!C36</f>
        <v>0</v>
      </c>
      <c r="F36" s="28">
        <f t="shared" si="0"/>
        <v>0</v>
      </c>
      <c r="G36" s="29">
        <f t="shared" si="1"/>
        <v>0</v>
      </c>
      <c r="H36" s="26">
        <f t="shared" si="2"/>
        <v>0</v>
      </c>
    </row>
    <row r="37" spans="1:8" ht="30" customHeight="1" x14ac:dyDescent="0.2">
      <c r="A37" s="2">
        <v>8688</v>
      </c>
      <c r="B37" s="28">
        <f>Quizzes!K37</f>
        <v>0</v>
      </c>
      <c r="C37" s="28">
        <f>Homeworks!J37</f>
        <v>0</v>
      </c>
      <c r="D37" s="26">
        <f>Exams!B37</f>
        <v>0</v>
      </c>
      <c r="E37" s="26">
        <f>Exams!C37</f>
        <v>0</v>
      </c>
      <c r="F37" s="28">
        <f t="shared" si="0"/>
        <v>0</v>
      </c>
      <c r="G37" s="29">
        <f t="shared" si="1"/>
        <v>0</v>
      </c>
      <c r="H37" s="26">
        <f t="shared" si="2"/>
        <v>0</v>
      </c>
    </row>
    <row r="38" spans="1:8" ht="30" customHeight="1" x14ac:dyDescent="0.2">
      <c r="A38" s="2">
        <v>8742</v>
      </c>
      <c r="B38" s="28">
        <f>Quizzes!K38</f>
        <v>0.38148148148148148</v>
      </c>
      <c r="C38" s="28">
        <f>Homeworks!J38</f>
        <v>0.681450892857143</v>
      </c>
      <c r="D38" s="26">
        <f>Exams!B38</f>
        <v>46</v>
      </c>
      <c r="E38" s="26">
        <f>Exams!C38</f>
        <v>50</v>
      </c>
      <c r="F38" s="28">
        <f t="shared" si="0"/>
        <v>4.8129323743386241</v>
      </c>
      <c r="G38" s="29">
        <f t="shared" si="1"/>
        <v>5</v>
      </c>
      <c r="H38" s="26">
        <f t="shared" si="2"/>
        <v>1</v>
      </c>
    </row>
    <row r="39" spans="1:8" ht="30" customHeight="1" x14ac:dyDescent="0.2">
      <c r="A39" s="2">
        <v>8743</v>
      </c>
      <c r="B39" s="28">
        <f>Quizzes!K39</f>
        <v>0.53333333333333333</v>
      </c>
      <c r="C39" s="28">
        <f>Homeworks!J39</f>
        <v>0.65651785714285715</v>
      </c>
      <c r="D39" s="26">
        <f>Exams!B39</f>
        <v>62.5</v>
      </c>
      <c r="E39" s="26">
        <f>Exams!C39</f>
        <v>47</v>
      </c>
      <c r="F39" s="28">
        <f t="shared" si="0"/>
        <v>5.1798511904761906</v>
      </c>
      <c r="G39" s="29">
        <f t="shared" si="1"/>
        <v>5</v>
      </c>
      <c r="H39" s="26">
        <f t="shared" si="2"/>
        <v>1</v>
      </c>
    </row>
    <row r="40" spans="1:8" ht="30" customHeight="1" x14ac:dyDescent="0.2">
      <c r="A40" s="2">
        <v>8765</v>
      </c>
      <c r="B40" s="28">
        <f>Quizzes!K40</f>
        <v>0.37777777777777777</v>
      </c>
      <c r="C40" s="28">
        <f>Homeworks!J40</f>
        <v>0.38569196428571428</v>
      </c>
      <c r="D40" s="26">
        <f>Exams!B40</f>
        <v>40.5</v>
      </c>
      <c r="E40" s="26">
        <f>Exams!C40</f>
        <v>22</v>
      </c>
      <c r="F40" s="28">
        <f t="shared" si="0"/>
        <v>2.9684697420634922</v>
      </c>
      <c r="G40" s="29">
        <f t="shared" si="1"/>
        <v>3</v>
      </c>
      <c r="H40" s="26">
        <f t="shared" si="2"/>
        <v>0</v>
      </c>
    </row>
    <row r="41" spans="1:8" ht="30" customHeight="1" x14ac:dyDescent="0.2">
      <c r="A41" s="2">
        <v>8793</v>
      </c>
      <c r="B41" s="28">
        <f>Quizzes!K41</f>
        <v>0.84444444444444455</v>
      </c>
      <c r="C41" s="28">
        <f>Homeworks!J41</f>
        <v>1.3645145089285715</v>
      </c>
      <c r="D41" s="26">
        <f>Exams!B41</f>
        <v>75</v>
      </c>
      <c r="E41" s="26">
        <f>Exams!C41</f>
        <v>91.5</v>
      </c>
      <c r="F41" s="28">
        <f t="shared" si="0"/>
        <v>9.0714589533730177</v>
      </c>
      <c r="G41" s="29">
        <f t="shared" si="1"/>
        <v>9</v>
      </c>
      <c r="H41" s="26">
        <f t="shared" si="2"/>
        <v>1</v>
      </c>
    </row>
    <row r="42" spans="1:8" ht="30" customHeight="1" x14ac:dyDescent="0.2">
      <c r="A42" s="2">
        <v>9139</v>
      </c>
      <c r="B42" s="28">
        <f>Quizzes!K42</f>
        <v>0.15185185185185185</v>
      </c>
      <c r="C42" s="28">
        <f>Homeworks!J42</f>
        <v>0.48040178571428571</v>
      </c>
      <c r="D42" s="26">
        <f>Exams!B42</f>
        <v>27.5</v>
      </c>
      <c r="E42" s="26">
        <f>Exams!C42</f>
        <v>41</v>
      </c>
      <c r="F42" s="28">
        <f t="shared" si="0"/>
        <v>3.7072536375661373</v>
      </c>
      <c r="G42" s="29">
        <f t="shared" si="1"/>
        <v>3.5</v>
      </c>
      <c r="H42" s="26">
        <f t="shared" si="2"/>
        <v>0</v>
      </c>
    </row>
    <row r="43" spans="1:8" ht="30" customHeight="1" x14ac:dyDescent="0.2">
      <c r="A43" s="2">
        <v>9196</v>
      </c>
      <c r="B43" s="28">
        <f>Quizzes!K43</f>
        <v>0.92222222222222228</v>
      </c>
      <c r="C43" s="28">
        <f>Homeworks!J43</f>
        <v>1.2162500000000001</v>
      </c>
      <c r="D43" s="26">
        <f>Exams!B43</f>
        <v>79</v>
      </c>
      <c r="E43" s="26">
        <f>Exams!C43</f>
        <v>73</v>
      </c>
      <c r="F43" s="28">
        <f t="shared" si="0"/>
        <v>7.7934722222222224</v>
      </c>
      <c r="G43" s="29">
        <f t="shared" si="1"/>
        <v>8</v>
      </c>
      <c r="H43" s="26">
        <f t="shared" si="2"/>
        <v>1</v>
      </c>
    </row>
    <row r="44" spans="1:8" ht="30" customHeight="1" x14ac:dyDescent="0.2">
      <c r="A44" s="2">
        <v>9355</v>
      </c>
      <c r="B44" s="28">
        <f>Quizzes!K44</f>
        <v>0.59259259259259267</v>
      </c>
      <c r="C44" s="28">
        <f>Homeworks!J44</f>
        <v>1.0418973214285714</v>
      </c>
      <c r="D44" s="26">
        <f>Exams!B44</f>
        <v>48</v>
      </c>
      <c r="E44" s="26">
        <f>Exams!C44</f>
        <v>34</v>
      </c>
      <c r="F44" s="28">
        <f t="shared" si="0"/>
        <v>4.6044899140211637</v>
      </c>
      <c r="G44" s="29">
        <f t="shared" si="1"/>
        <v>4.5</v>
      </c>
      <c r="H44" s="26">
        <f t="shared" si="2"/>
        <v>0</v>
      </c>
    </row>
    <row r="45" spans="1:8" ht="30" customHeight="1" x14ac:dyDescent="0.2">
      <c r="A45" s="2">
        <v>9516</v>
      </c>
      <c r="B45" s="28">
        <f>Quizzes!K45</f>
        <v>0</v>
      </c>
      <c r="C45" s="28">
        <f>Homeworks!J45</f>
        <v>0</v>
      </c>
      <c r="D45" s="26">
        <f>Exams!B45</f>
        <v>0</v>
      </c>
      <c r="E45" s="26">
        <f>Exams!C45</f>
        <v>0</v>
      </c>
      <c r="F45" s="28">
        <f t="shared" si="0"/>
        <v>0</v>
      </c>
      <c r="G45" s="29">
        <f t="shared" si="1"/>
        <v>0</v>
      </c>
      <c r="H45" s="26">
        <f t="shared" si="2"/>
        <v>0</v>
      </c>
    </row>
    <row r="46" spans="1:8" ht="30" customHeight="1" x14ac:dyDescent="0.2">
      <c r="A46" s="2">
        <v>9550</v>
      </c>
      <c r="B46" s="28">
        <f>Quizzes!K46</f>
        <v>0.55185185185185182</v>
      </c>
      <c r="C46" s="28">
        <f>Homeworks!J46</f>
        <v>0.89073102678571425</v>
      </c>
      <c r="D46" s="26">
        <f>Exams!B46</f>
        <v>40.5</v>
      </c>
      <c r="E46" s="26">
        <f>Exams!C46</f>
        <v>47</v>
      </c>
      <c r="F46" s="28">
        <f t="shared" si="0"/>
        <v>4.9675828786375664</v>
      </c>
      <c r="G46" s="29">
        <f t="shared" si="1"/>
        <v>5</v>
      </c>
      <c r="H46" s="26">
        <f t="shared" si="2"/>
        <v>1</v>
      </c>
    </row>
    <row r="47" spans="1:8" ht="30" customHeight="1" x14ac:dyDescent="0.2">
      <c r="A47" s="2">
        <v>9744</v>
      </c>
      <c r="B47" s="28">
        <f>Quizzes!K47</f>
        <v>0.43703703703703706</v>
      </c>
      <c r="C47" s="28">
        <f>Homeworks!J47</f>
        <v>0.26027343749999998</v>
      </c>
      <c r="D47" s="26">
        <f>Exams!B47</f>
        <v>48</v>
      </c>
      <c r="E47" s="26">
        <f>Exams!C47</f>
        <v>31</v>
      </c>
      <c r="F47" s="28">
        <f t="shared" si="0"/>
        <v>3.5323104745370371</v>
      </c>
      <c r="G47" s="29">
        <f t="shared" si="1"/>
        <v>3.5</v>
      </c>
      <c r="H47" s="26">
        <f t="shared" si="2"/>
        <v>0</v>
      </c>
    </row>
    <row r="48" spans="1:8" ht="30" customHeight="1" x14ac:dyDescent="0.2">
      <c r="A48" s="2">
        <v>9881</v>
      </c>
      <c r="B48" s="28">
        <f>Quizzes!K48</f>
        <v>0.2296296296296296</v>
      </c>
      <c r="C48" s="28">
        <f>Homeworks!J48</f>
        <v>0.16054687499999998</v>
      </c>
      <c r="D48" s="26">
        <f>Exams!B48</f>
        <v>7.5</v>
      </c>
      <c r="E48" s="26">
        <f>Exams!C48</f>
        <v>0</v>
      </c>
      <c r="F48" s="28">
        <f t="shared" si="0"/>
        <v>0.61517650462962958</v>
      </c>
      <c r="G48" s="29">
        <f t="shared" si="1"/>
        <v>0.5</v>
      </c>
      <c r="H48" s="26">
        <f t="shared" si="2"/>
        <v>0</v>
      </c>
    </row>
    <row r="49" spans="1:8" ht="30" customHeight="1" x14ac:dyDescent="0.2"/>
    <row r="50" spans="1:8" ht="30" customHeight="1" x14ac:dyDescent="0.2">
      <c r="A50" s="8" t="s">
        <v>6</v>
      </c>
      <c r="B50" s="11">
        <f>Quizzes!K50</f>
        <v>1</v>
      </c>
      <c r="C50" s="25">
        <f>Homeworks!J50</f>
        <v>1.5</v>
      </c>
      <c r="D50" s="9">
        <f>Exams!B50</f>
        <v>100</v>
      </c>
      <c r="E50" s="10">
        <f>Exams!C50</f>
        <v>100</v>
      </c>
      <c r="F50" s="10">
        <v>10</v>
      </c>
      <c r="G50" s="10">
        <v>10</v>
      </c>
      <c r="H50" s="10">
        <f>SUM(H2:H48)</f>
        <v>22</v>
      </c>
    </row>
    <row r="51" spans="1:8" ht="30" customHeight="1" x14ac:dyDescent="0.2">
      <c r="A51" s="12" t="s">
        <v>7</v>
      </c>
      <c r="B51" s="13">
        <f>AVERAGE(B$2:B$48)</f>
        <v>0.4505910165484634</v>
      </c>
      <c r="C51" s="13">
        <f t="shared" ref="C51:H51" si="5">AVERAGE(C$2:C$48)</f>
        <v>0.65448945668693015</v>
      </c>
      <c r="D51" s="13">
        <f t="shared" si="5"/>
        <v>47.223404255319146</v>
      </c>
      <c r="E51" s="13">
        <f t="shared" si="5"/>
        <v>40.297872340425535</v>
      </c>
      <c r="F51" s="13">
        <f t="shared" si="5"/>
        <v>4.3948677072779478</v>
      </c>
      <c r="G51" s="13">
        <f t="shared" si="5"/>
        <v>4.4361702127659575</v>
      </c>
      <c r="H51" s="13">
        <f t="shared" si="5"/>
        <v>0.46808510638297873</v>
      </c>
    </row>
    <row r="52" spans="1:8" ht="30" customHeight="1" x14ac:dyDescent="0.2">
      <c r="A52" s="14" t="s">
        <v>8</v>
      </c>
      <c r="B52" s="13">
        <f>STDEV(B$2:B$48)</f>
        <v>0.25232180813868482</v>
      </c>
      <c r="C52" s="13">
        <f t="shared" ref="C52:H52" si="6">STDEV(C$2:C$48)</f>
        <v>0.45797216731590284</v>
      </c>
      <c r="D52" s="13">
        <f t="shared" si="6"/>
        <v>23.078035979711341</v>
      </c>
      <c r="E52" s="13">
        <f t="shared" si="6"/>
        <v>25.644022011764662</v>
      </c>
      <c r="F52" s="13">
        <f t="shared" si="6"/>
        <v>2.4695744592787423</v>
      </c>
      <c r="G52" s="13">
        <f t="shared" si="6"/>
        <v>2.4817092227031661</v>
      </c>
      <c r="H52" s="13">
        <f t="shared" si="6"/>
        <v>0.50437493946068213</v>
      </c>
    </row>
    <row r="53" spans="1:8" ht="30" customHeight="1" x14ac:dyDescent="0.2">
      <c r="A53" s="14" t="s">
        <v>9</v>
      </c>
      <c r="B53" s="13">
        <f>MEDIAN(B$2:B$48)</f>
        <v>0.44444444444444442</v>
      </c>
      <c r="C53" s="13">
        <f t="shared" ref="C53:H53" si="7">MEDIAN(C$2:C$48)</f>
        <v>0.67450892857142863</v>
      </c>
      <c r="D53" s="13">
        <f t="shared" si="7"/>
        <v>48</v>
      </c>
      <c r="E53" s="13">
        <f t="shared" si="7"/>
        <v>40</v>
      </c>
      <c r="F53" s="13">
        <f t="shared" si="7"/>
        <v>4.3842609126984122</v>
      </c>
      <c r="G53" s="13">
        <f t="shared" si="7"/>
        <v>4.5</v>
      </c>
      <c r="H53" s="13">
        <f t="shared" si="7"/>
        <v>0</v>
      </c>
    </row>
  </sheetData>
  <pageMargins left="0.7" right="0.7" top="0.75" bottom="0.75" header="0.3" footer="0.3"/>
  <ignoredErrors>
    <ignoredError sqref="A2:A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Quizzes</vt:lpstr>
      <vt:lpstr>Homeworks</vt:lpstr>
      <vt:lpstr>Exams</vt:lpstr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Fotis Ptochos</cp:lastModifiedBy>
  <dcterms:created xsi:type="dcterms:W3CDTF">2023-09-01T18:31:08Z</dcterms:created>
  <dcterms:modified xsi:type="dcterms:W3CDTF">2024-01-04T23:45:23Z</dcterms:modified>
</cp:coreProperties>
</file>