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ate1904="1"/>
  <mc:AlternateContent xmlns:mc="http://schemas.openxmlformats.org/markup-compatibility/2006">
    <mc:Choice Requires="x15">
      <x15ac:absPath xmlns:x15ac="http://schemas.microsoft.com/office/spreadsheetml/2010/11/ac" url="/Users/ptohos/Documents/MyCourses/FYS111/2020/Grades/"/>
    </mc:Choice>
  </mc:AlternateContent>
  <xr:revisionPtr revIDLastSave="0" documentId="13_ncr:1_{F8A5567A-A1AC-134C-8AB6-76A70FA08EE4}" xr6:coauthVersionLast="46" xr6:coauthVersionMax="46" xr10:uidLastSave="{00000000-0000-0000-0000-000000000000}"/>
  <bookViews>
    <workbookView xWindow="9600" yWindow="1140" windowWidth="25600" windowHeight="16060" tabRatio="334" activeTab="3" xr2:uid="{00000000-000D-0000-FFFF-FFFF00000000}"/>
  </bookViews>
  <sheets>
    <sheet name="Quiz" sheetId="1" r:id="rId1"/>
    <sheet name="Homework" sheetId="5" r:id="rId2"/>
    <sheet name="Exams" sheetId="3" r:id="rId3"/>
    <sheet name="Grades" sheetId="2" r:id="rId4"/>
  </sheets>
  <calcPr calcId="191029"/>
</workbook>
</file>

<file path=xl/calcChain.xml><?xml version="1.0" encoding="utf-8"?>
<calcChain xmlns="http://schemas.openxmlformats.org/spreadsheetml/2006/main">
  <c r="F38" i="2" l="1"/>
  <c r="B38" i="3"/>
  <c r="M39" i="5"/>
  <c r="M38" i="5"/>
  <c r="M36" i="5"/>
  <c r="M34" i="5"/>
  <c r="M33" i="5"/>
  <c r="M30" i="5"/>
  <c r="M29" i="5"/>
  <c r="M28" i="5"/>
  <c r="M27" i="5"/>
  <c r="M26" i="5"/>
  <c r="M25" i="5"/>
  <c r="M24" i="5"/>
  <c r="M22" i="5"/>
  <c r="M21" i="5"/>
  <c r="M18" i="5"/>
  <c r="M15" i="5"/>
  <c r="M14" i="5"/>
  <c r="M11" i="5"/>
  <c r="M9" i="5"/>
  <c r="M8" i="5"/>
  <c r="M6" i="5"/>
  <c r="M2" i="5"/>
  <c r="L20" i="5"/>
  <c r="L14" i="5"/>
  <c r="L39" i="5"/>
  <c r="L38" i="5"/>
  <c r="L36" i="5"/>
  <c r="L34" i="5"/>
  <c r="L33" i="5"/>
  <c r="L32" i="5"/>
  <c r="L30" i="5"/>
  <c r="L29" i="5"/>
  <c r="L28" i="5"/>
  <c r="L27" i="5"/>
  <c r="L26" i="5"/>
  <c r="L25" i="5"/>
  <c r="L24" i="5"/>
  <c r="L23" i="5"/>
  <c r="L22" i="5"/>
  <c r="L21" i="5"/>
  <c r="L18" i="5"/>
  <c r="L16" i="5"/>
  <c r="L15" i="5"/>
  <c r="L11" i="5"/>
  <c r="L9" i="5"/>
  <c r="L8" i="5"/>
  <c r="L6" i="5"/>
  <c r="L5" i="5"/>
  <c r="L2" i="5"/>
  <c r="J39" i="5" l="1"/>
  <c r="J38" i="5"/>
  <c r="J36" i="5"/>
  <c r="J34" i="5"/>
  <c r="J33" i="5"/>
  <c r="J32" i="5"/>
  <c r="J31" i="5"/>
  <c r="J30" i="5"/>
  <c r="J29" i="5"/>
  <c r="J28" i="5"/>
  <c r="J27" i="5"/>
  <c r="J26" i="5"/>
  <c r="J25" i="5"/>
  <c r="J24" i="5"/>
  <c r="J22" i="5"/>
  <c r="J21" i="5"/>
  <c r="J19" i="5"/>
  <c r="J18" i="5"/>
  <c r="J16" i="5"/>
  <c r="J15" i="5"/>
  <c r="J14" i="5"/>
  <c r="J13" i="5"/>
  <c r="J11" i="5"/>
  <c r="J10" i="5"/>
  <c r="J9" i="5"/>
  <c r="J8" i="5"/>
  <c r="J6" i="5"/>
  <c r="J5" i="5"/>
  <c r="K39" i="5" l="1"/>
  <c r="K38" i="5"/>
  <c r="K36" i="5"/>
  <c r="K34" i="5"/>
  <c r="K33" i="5"/>
  <c r="K32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1" i="5"/>
  <c r="K10" i="5"/>
  <c r="K9" i="5"/>
  <c r="K8" i="5"/>
  <c r="K7" i="5"/>
  <c r="K6" i="5"/>
  <c r="K5" i="5"/>
  <c r="U45" i="1" l="1"/>
  <c r="U44" i="1"/>
  <c r="U43" i="1"/>
  <c r="U42" i="1"/>
  <c r="I39" i="5" l="1"/>
  <c r="H39" i="5"/>
  <c r="I38" i="5"/>
  <c r="H38" i="5"/>
  <c r="I36" i="5"/>
  <c r="H36" i="5"/>
  <c r="I34" i="5"/>
  <c r="H34" i="5"/>
  <c r="I33" i="5"/>
  <c r="H33" i="5"/>
  <c r="I32" i="5"/>
  <c r="H32" i="5"/>
  <c r="H31" i="5"/>
  <c r="I30" i="5"/>
  <c r="H30" i="5"/>
  <c r="I29" i="5"/>
  <c r="H29" i="5"/>
  <c r="I28" i="5"/>
  <c r="H28" i="5"/>
  <c r="I27" i="5"/>
  <c r="H27" i="5"/>
  <c r="I26" i="5"/>
  <c r="I25" i="5"/>
  <c r="H25" i="5"/>
  <c r="I24" i="5"/>
  <c r="H24" i="5"/>
  <c r="H23" i="5"/>
  <c r="I22" i="5"/>
  <c r="H22" i="5"/>
  <c r="I21" i="5"/>
  <c r="H21" i="5"/>
  <c r="I20" i="5"/>
  <c r="H20" i="5"/>
  <c r="H19" i="5"/>
  <c r="I18" i="5"/>
  <c r="H18" i="5"/>
  <c r="H17" i="5"/>
  <c r="I16" i="5"/>
  <c r="H16" i="5"/>
  <c r="I15" i="5"/>
  <c r="H15" i="5"/>
  <c r="I14" i="5"/>
  <c r="H14" i="5"/>
  <c r="I13" i="5"/>
  <c r="I11" i="5"/>
  <c r="H11" i="5"/>
  <c r="I10" i="5"/>
  <c r="H10" i="5"/>
  <c r="I9" i="5"/>
  <c r="H9" i="5"/>
  <c r="I8" i="5"/>
  <c r="H8" i="5"/>
  <c r="I7" i="5"/>
  <c r="H7" i="5"/>
  <c r="I6" i="5"/>
  <c r="H6" i="5"/>
  <c r="I5" i="5"/>
  <c r="H5" i="5"/>
  <c r="I2" i="5"/>
  <c r="H2" i="5"/>
  <c r="D39" i="2" l="1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41" i="2"/>
  <c r="B39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1" i="3"/>
  <c r="B10" i="3"/>
  <c r="B9" i="3"/>
  <c r="B8" i="3"/>
  <c r="B7" i="3"/>
  <c r="B6" i="3"/>
  <c r="B5" i="3"/>
  <c r="B4" i="3"/>
  <c r="B2" i="3"/>
  <c r="E39" i="2" l="1"/>
  <c r="F39" i="2" s="1"/>
  <c r="E38" i="2"/>
  <c r="E37" i="2"/>
  <c r="C23" i="5" l="1"/>
  <c r="G33" i="5" l="1"/>
  <c r="G39" i="5" l="1"/>
  <c r="G38" i="5"/>
  <c r="G36" i="5"/>
  <c r="G34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8" i="5"/>
  <c r="G16" i="5"/>
  <c r="G15" i="5"/>
  <c r="G14" i="5"/>
  <c r="G13" i="5"/>
  <c r="G11" i="5"/>
  <c r="G10" i="5"/>
  <c r="G9" i="5"/>
  <c r="G8" i="5"/>
  <c r="G7" i="5"/>
  <c r="G6" i="5"/>
  <c r="G5" i="5"/>
  <c r="G2" i="5"/>
  <c r="F29" i="5" l="1"/>
  <c r="F36" i="5" l="1"/>
  <c r="F14" i="5"/>
  <c r="F27" i="5" l="1"/>
  <c r="F38" i="5" l="1"/>
  <c r="F34" i="5"/>
  <c r="F33" i="5"/>
  <c r="F32" i="5"/>
  <c r="F31" i="5"/>
  <c r="F30" i="5"/>
  <c r="F28" i="5"/>
  <c r="F25" i="5"/>
  <c r="F24" i="5"/>
  <c r="F23" i="5"/>
  <c r="F22" i="5"/>
  <c r="F21" i="5"/>
  <c r="F20" i="5"/>
  <c r="F19" i="5"/>
  <c r="F18" i="5"/>
  <c r="F16" i="5"/>
  <c r="F15" i="5"/>
  <c r="F13" i="5"/>
  <c r="F11" i="5"/>
  <c r="F10" i="5"/>
  <c r="F9" i="5"/>
  <c r="F8" i="5"/>
  <c r="F6" i="5"/>
  <c r="F5" i="5"/>
  <c r="E38" i="5" l="1"/>
  <c r="E36" i="5"/>
  <c r="E35" i="5"/>
  <c r="E34" i="5"/>
  <c r="E32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6" i="5"/>
  <c r="E15" i="5"/>
  <c r="E14" i="5"/>
  <c r="E11" i="5"/>
  <c r="E10" i="5"/>
  <c r="E9" i="5"/>
  <c r="E8" i="5"/>
  <c r="E7" i="5"/>
  <c r="E6" i="5"/>
  <c r="E5" i="5"/>
  <c r="E2" i="5"/>
  <c r="F42" i="5"/>
  <c r="D39" i="5" l="1"/>
  <c r="D38" i="5"/>
  <c r="D37" i="5"/>
  <c r="D36" i="5"/>
  <c r="D35" i="5"/>
  <c r="D34" i="5"/>
  <c r="D33" i="5"/>
  <c r="D32" i="5"/>
  <c r="D31" i="5"/>
  <c r="D30" i="5"/>
  <c r="D29" i="5"/>
  <c r="D28" i="5"/>
  <c r="D27" i="5"/>
  <c r="D25" i="5"/>
  <c r="D24" i="5"/>
  <c r="D23" i="5"/>
  <c r="D22" i="5"/>
  <c r="D21" i="5"/>
  <c r="D20" i="5"/>
  <c r="D19" i="5"/>
  <c r="D18" i="5"/>
  <c r="D16" i="5"/>
  <c r="D15" i="5"/>
  <c r="D14" i="5"/>
  <c r="D13" i="5"/>
  <c r="D11" i="5"/>
  <c r="D10" i="5"/>
  <c r="D9" i="5"/>
  <c r="D8" i="5"/>
  <c r="D7" i="5"/>
  <c r="D6" i="5"/>
  <c r="D5" i="5"/>
  <c r="D2" i="5"/>
  <c r="B39" i="5" l="1"/>
  <c r="B38" i="5"/>
  <c r="B36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1" i="5"/>
  <c r="B10" i="5"/>
  <c r="B9" i="5"/>
  <c r="B8" i="5"/>
  <c r="B6" i="5"/>
  <c r="B5" i="5"/>
  <c r="M45" i="5" l="1"/>
  <c r="L45" i="5"/>
  <c r="K45" i="5"/>
  <c r="J45" i="5"/>
  <c r="I45" i="5"/>
  <c r="H45" i="5"/>
  <c r="G45" i="5"/>
  <c r="F45" i="5"/>
  <c r="E45" i="5"/>
  <c r="D45" i="5"/>
  <c r="C45" i="5"/>
  <c r="B45" i="5"/>
  <c r="M44" i="5"/>
  <c r="L44" i="5"/>
  <c r="K44" i="5"/>
  <c r="J44" i="5"/>
  <c r="I44" i="5"/>
  <c r="H44" i="5"/>
  <c r="G44" i="5"/>
  <c r="F44" i="5"/>
  <c r="E44" i="5"/>
  <c r="D44" i="5"/>
  <c r="C44" i="5"/>
  <c r="M43" i="5"/>
  <c r="L43" i="5"/>
  <c r="K43" i="5"/>
  <c r="J43" i="5"/>
  <c r="I43" i="5"/>
  <c r="H43" i="5"/>
  <c r="G43" i="5"/>
  <c r="F43" i="5"/>
  <c r="E43" i="5"/>
  <c r="D43" i="5"/>
  <c r="C43" i="5"/>
  <c r="M42" i="5"/>
  <c r="L42" i="5"/>
  <c r="K42" i="5"/>
  <c r="J42" i="5"/>
  <c r="I42" i="5"/>
  <c r="H42" i="5"/>
  <c r="G42" i="5"/>
  <c r="E42" i="5"/>
  <c r="D42" i="5"/>
  <c r="C42" i="5"/>
  <c r="B44" i="5"/>
  <c r="B43" i="5"/>
  <c r="B42" i="5"/>
  <c r="V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V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V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V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5" i="1"/>
  <c r="B44" i="1"/>
  <c r="B43" i="1"/>
  <c r="B42" i="1"/>
  <c r="W2" i="1" l="1"/>
  <c r="W3" i="1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B41" i="2" l="1"/>
  <c r="C41" i="2"/>
  <c r="E41" i="2"/>
  <c r="D2" i="2"/>
  <c r="D44" i="2" s="1"/>
  <c r="B43" i="3"/>
  <c r="B44" i="3"/>
  <c r="C44" i="3"/>
  <c r="C43" i="3"/>
  <c r="C42" i="3"/>
  <c r="B42" i="3"/>
  <c r="W9" i="1" l="1"/>
  <c r="B9" i="2" s="1"/>
  <c r="W6" i="1"/>
  <c r="B6" i="2" s="1"/>
  <c r="N30" i="5"/>
  <c r="C30" i="2" s="1"/>
  <c r="N35" i="5"/>
  <c r="C35" i="2" s="1"/>
  <c r="N12" i="5"/>
  <c r="C12" i="2" s="1"/>
  <c r="N26" i="5"/>
  <c r="C26" i="2" s="1"/>
  <c r="N36" i="5"/>
  <c r="C36" i="2" s="1"/>
  <c r="N37" i="5"/>
  <c r="C37" i="2" s="1"/>
  <c r="N28" i="5"/>
  <c r="C28" i="2" s="1"/>
  <c r="N29" i="5"/>
  <c r="C29" i="2" s="1"/>
  <c r="N13" i="5"/>
  <c r="C13" i="2" s="1"/>
  <c r="N3" i="5"/>
  <c r="C3" i="2" s="1"/>
  <c r="N4" i="5"/>
  <c r="C4" i="2" s="1"/>
  <c r="N27" i="5"/>
  <c r="C27" i="2" s="1"/>
  <c r="N6" i="5"/>
  <c r="C6" i="2" s="1"/>
  <c r="N18" i="5"/>
  <c r="C18" i="2" s="1"/>
  <c r="N8" i="5"/>
  <c r="C8" i="2" s="1"/>
  <c r="N19" i="5"/>
  <c r="C19" i="2" s="1"/>
  <c r="N39" i="5"/>
  <c r="C39" i="2" s="1"/>
  <c r="N38" i="5"/>
  <c r="C38" i="2" s="1"/>
  <c r="N2" i="5"/>
  <c r="N16" i="5"/>
  <c r="C16" i="2" s="1"/>
  <c r="N9" i="5"/>
  <c r="C9" i="2" s="1"/>
  <c r="N20" i="5"/>
  <c r="C20" i="2" s="1"/>
  <c r="N31" i="5"/>
  <c r="C31" i="2" s="1"/>
  <c r="N14" i="5"/>
  <c r="C14" i="2" s="1"/>
  <c r="N10" i="5"/>
  <c r="C10" i="2" s="1"/>
  <c r="N21" i="5"/>
  <c r="C21" i="2" s="1"/>
  <c r="N32" i="5"/>
  <c r="C32" i="2" s="1"/>
  <c r="N25" i="5"/>
  <c r="C25" i="2" s="1"/>
  <c r="N11" i="5"/>
  <c r="C11" i="2" s="1"/>
  <c r="N22" i="5"/>
  <c r="C22" i="2" s="1"/>
  <c r="N33" i="5"/>
  <c r="C33" i="2" s="1"/>
  <c r="N24" i="5"/>
  <c r="C24" i="2" s="1"/>
  <c r="N15" i="5"/>
  <c r="C15" i="2" s="1"/>
  <c r="N5" i="5"/>
  <c r="C5" i="2" s="1"/>
  <c r="N17" i="5"/>
  <c r="C17" i="2" s="1"/>
  <c r="N7" i="5"/>
  <c r="C7" i="2" s="1"/>
  <c r="N23" i="5"/>
  <c r="C23" i="2" s="1"/>
  <c r="N34" i="5"/>
  <c r="C34" i="2" s="1"/>
  <c r="E44" i="2"/>
  <c r="E43" i="2"/>
  <c r="E42" i="2"/>
  <c r="D43" i="2"/>
  <c r="D42" i="2"/>
  <c r="W36" i="1"/>
  <c r="B36" i="2" s="1"/>
  <c r="W37" i="1"/>
  <c r="B37" i="2" s="1"/>
  <c r="F37" i="2" s="1"/>
  <c r="G37" i="2" s="1"/>
  <c r="H37" i="2" s="1"/>
  <c r="W33" i="1"/>
  <c r="B33" i="2" s="1"/>
  <c r="W31" i="1"/>
  <c r="B31" i="2" s="1"/>
  <c r="W17" i="1"/>
  <c r="B17" i="2" s="1"/>
  <c r="W29" i="1"/>
  <c r="B29" i="2" s="1"/>
  <c r="W30" i="1"/>
  <c r="B30" i="2" s="1"/>
  <c r="W32" i="1"/>
  <c r="B32" i="2" s="1"/>
  <c r="W5" i="1"/>
  <c r="B5" i="2" s="1"/>
  <c r="B2" i="2"/>
  <c r="W34" i="1"/>
  <c r="B34" i="2" s="1"/>
  <c r="W26" i="1"/>
  <c r="B26" i="2" s="1"/>
  <c r="W14" i="1"/>
  <c r="W12" i="1"/>
  <c r="B12" i="2" s="1"/>
  <c r="W7" i="1"/>
  <c r="B7" i="2" s="1"/>
  <c r="W4" i="1"/>
  <c r="W35" i="1"/>
  <c r="B35" i="2" s="1"/>
  <c r="W24" i="1"/>
  <c r="W22" i="1"/>
  <c r="B22" i="2" s="1"/>
  <c r="W38" i="1"/>
  <c r="B38" i="2" s="1"/>
  <c r="W39" i="1"/>
  <c r="B39" i="2" s="1"/>
  <c r="W18" i="1"/>
  <c r="B3" i="2"/>
  <c r="W20" i="1"/>
  <c r="B20" i="2" s="1"/>
  <c r="W25" i="1"/>
  <c r="W23" i="1"/>
  <c r="W21" i="1"/>
  <c r="W19" i="1"/>
  <c r="W16" i="1"/>
  <c r="B16" i="2" s="1"/>
  <c r="W15" i="1"/>
  <c r="B15" i="2" s="1"/>
  <c r="W13" i="1"/>
  <c r="W11" i="1"/>
  <c r="W10" i="1"/>
  <c r="W8" i="1"/>
  <c r="W27" i="1"/>
  <c r="B27" i="2" s="1"/>
  <c r="W28" i="1"/>
  <c r="B28" i="2" s="1"/>
  <c r="F32" i="2" l="1"/>
  <c r="G39" i="2"/>
  <c r="H39" i="2" s="1"/>
  <c r="G38" i="2"/>
  <c r="H38" i="2" s="1"/>
  <c r="F7" i="2"/>
  <c r="G7" i="2" s="1"/>
  <c r="H7" i="2" s="1"/>
  <c r="N44" i="5"/>
  <c r="N43" i="5"/>
  <c r="N42" i="5"/>
  <c r="B4" i="2"/>
  <c r="F4" i="2" s="1"/>
  <c r="G4" i="2" s="1"/>
  <c r="H4" i="2" s="1"/>
  <c r="W43" i="1"/>
  <c r="W42" i="1"/>
  <c r="W44" i="1"/>
  <c r="B13" i="2"/>
  <c r="F13" i="2" s="1"/>
  <c r="G13" i="2" s="1"/>
  <c r="H13" i="2" s="1"/>
  <c r="F26" i="2"/>
  <c r="G26" i="2" s="1"/>
  <c r="H26" i="2" s="1"/>
  <c r="B24" i="2"/>
  <c r="F24" i="2" s="1"/>
  <c r="G24" i="2" s="1"/>
  <c r="H24" i="2" s="1"/>
  <c r="B19" i="2"/>
  <c r="F19" i="2" s="1"/>
  <c r="G19" i="2" s="1"/>
  <c r="H19" i="2" s="1"/>
  <c r="B21" i="2"/>
  <c r="F21" i="2" s="1"/>
  <c r="G21" i="2" s="1"/>
  <c r="H21" i="2" s="1"/>
  <c r="B10" i="2"/>
  <c r="F10" i="2" s="1"/>
  <c r="G10" i="2" s="1"/>
  <c r="H10" i="2" s="1"/>
  <c r="B23" i="2"/>
  <c r="F23" i="2" s="1"/>
  <c r="G23" i="2" s="1"/>
  <c r="H23" i="2" s="1"/>
  <c r="B25" i="2"/>
  <c r="F25" i="2" s="1"/>
  <c r="G25" i="2" s="1"/>
  <c r="H25" i="2" s="1"/>
  <c r="B11" i="2"/>
  <c r="F11" i="2" s="1"/>
  <c r="G11" i="2" s="1"/>
  <c r="H11" i="2" s="1"/>
  <c r="F12" i="2"/>
  <c r="G12" i="2" s="1"/>
  <c r="H12" i="2" s="1"/>
  <c r="B14" i="2"/>
  <c r="F14" i="2" s="1"/>
  <c r="G14" i="2" s="1"/>
  <c r="H14" i="2" s="1"/>
  <c r="F6" i="2"/>
  <c r="G6" i="2" s="1"/>
  <c r="H6" i="2" s="1"/>
  <c r="B8" i="2"/>
  <c r="F8" i="2" s="1"/>
  <c r="G8" i="2" s="1"/>
  <c r="H8" i="2" s="1"/>
  <c r="B18" i="2"/>
  <c r="F18" i="2" s="1"/>
  <c r="G18" i="2" s="1"/>
  <c r="H18" i="2" s="1"/>
  <c r="F28" i="2"/>
  <c r="G28" i="2" s="1"/>
  <c r="H28" i="2" s="1"/>
  <c r="F20" i="2"/>
  <c r="G20" i="2" s="1"/>
  <c r="H20" i="2" s="1"/>
  <c r="F5" i="2"/>
  <c r="G5" i="2" s="1"/>
  <c r="H5" i="2" s="1"/>
  <c r="F3" i="2"/>
  <c r="G3" i="2" s="1"/>
  <c r="H3" i="2" s="1"/>
  <c r="F16" i="2"/>
  <c r="G16" i="2" s="1"/>
  <c r="H16" i="2" s="1"/>
  <c r="C2" i="2"/>
  <c r="F27" i="2"/>
  <c r="G27" i="2" s="1"/>
  <c r="H27" i="2" s="1"/>
  <c r="F15" i="2"/>
  <c r="G15" i="2" s="1"/>
  <c r="H15" i="2" s="1"/>
  <c r="F9" i="2"/>
  <c r="G9" i="2" s="1"/>
  <c r="H9" i="2" s="1"/>
  <c r="F22" i="2"/>
  <c r="G22" i="2" s="1"/>
  <c r="H22" i="2" s="1"/>
  <c r="F17" i="2"/>
  <c r="G17" i="2" s="1"/>
  <c r="H17" i="2" s="1"/>
  <c r="F35" i="2"/>
  <c r="G35" i="2" s="1"/>
  <c r="H35" i="2" s="1"/>
  <c r="F34" i="2"/>
  <c r="G34" i="2" s="1"/>
  <c r="H34" i="2" s="1"/>
  <c r="F31" i="2"/>
  <c r="G31" i="2" s="1"/>
  <c r="H31" i="2" s="1"/>
  <c r="B42" i="2" l="1"/>
  <c r="C44" i="2"/>
  <c r="C43" i="2"/>
  <c r="C42" i="2"/>
  <c r="F36" i="2"/>
  <c r="G36" i="2" s="1"/>
  <c r="H36" i="2" s="1"/>
  <c r="F29" i="2"/>
  <c r="G29" i="2" s="1"/>
  <c r="H29" i="2" s="1"/>
  <c r="F30" i="2"/>
  <c r="G30" i="2" s="1"/>
  <c r="H30" i="2" s="1"/>
  <c r="G32" i="2"/>
  <c r="H32" i="2" s="1"/>
  <c r="F33" i="2"/>
  <c r="G33" i="2" s="1"/>
  <c r="H33" i="2" s="1"/>
  <c r="B43" i="2"/>
  <c r="F2" i="2"/>
  <c r="B44" i="2"/>
  <c r="H41" i="2" l="1"/>
  <c r="F43" i="2"/>
  <c r="F42" i="2"/>
  <c r="G2" i="2"/>
  <c r="F44" i="2"/>
  <c r="G43" i="2" l="1"/>
  <c r="G44" i="2"/>
  <c r="G42" i="2"/>
  <c r="H2" i="2"/>
</calcChain>
</file>

<file path=xl/sharedStrings.xml><?xml version="1.0" encoding="utf-8"?>
<sst xmlns="http://schemas.openxmlformats.org/spreadsheetml/2006/main" count="72" uniqueCount="51">
  <si>
    <t>Quiz Total</t>
  </si>
  <si>
    <t>Τελική Εξέταση</t>
    <phoneticPr fontId="6"/>
  </si>
  <si>
    <t>Βαθμός</t>
    <phoneticPr fontId="6"/>
  </si>
  <si>
    <t>Passed</t>
    <phoneticPr fontId="6"/>
  </si>
  <si>
    <t>Τελικός Βαθμός</t>
    <phoneticPr fontId="6"/>
  </si>
  <si>
    <t>Αρ. Ταυτότητας</t>
  </si>
  <si>
    <t>Quiz Total</t>
    <phoneticPr fontId="6"/>
  </si>
  <si>
    <t>Quiz 19</t>
  </si>
  <si>
    <t>Quiz 8</t>
  </si>
  <si>
    <t>Quiz 9</t>
  </si>
  <si>
    <t>Quiz 10</t>
  </si>
  <si>
    <t>Quiz 11</t>
  </si>
  <si>
    <t>Quiz 12</t>
  </si>
  <si>
    <t>Quiz 13</t>
  </si>
  <si>
    <t>Quiz 14</t>
  </si>
  <si>
    <t>Quiz 15</t>
  </si>
  <si>
    <t>Quiz 16</t>
  </si>
  <si>
    <t>Quiz 17</t>
  </si>
  <si>
    <t>Quiz 6</t>
  </si>
  <si>
    <t>Quiz 7</t>
  </si>
  <si>
    <t>Quiz 1</t>
  </si>
  <si>
    <t xml:space="preserve">Quiz 2 </t>
  </si>
  <si>
    <t xml:space="preserve">Quiz 3 </t>
  </si>
  <si>
    <t xml:space="preserve">Quiz 4 </t>
  </si>
  <si>
    <t>Quiz 5</t>
  </si>
  <si>
    <t>Homeworks</t>
  </si>
  <si>
    <t>Hm 1</t>
  </si>
  <si>
    <t xml:space="preserve">Hm 2 </t>
  </si>
  <si>
    <t>Hm 3</t>
  </si>
  <si>
    <t xml:space="preserve">Hm 4 </t>
  </si>
  <si>
    <t>Hm 5</t>
  </si>
  <si>
    <t>Hm 6</t>
  </si>
  <si>
    <t>Hm 7</t>
  </si>
  <si>
    <t>Hm 8</t>
  </si>
  <si>
    <t>Hm 9</t>
  </si>
  <si>
    <t>Hm 10</t>
  </si>
  <si>
    <t>Hm 11</t>
  </si>
  <si>
    <t>Hm Total</t>
  </si>
  <si>
    <t xml:space="preserve">Max Score </t>
  </si>
  <si>
    <t>Average</t>
  </si>
  <si>
    <t>Std. Dev.</t>
  </si>
  <si>
    <t>Median</t>
    <phoneticPr fontId="6"/>
  </si>
  <si>
    <t>Valid</t>
  </si>
  <si>
    <t>Quizzes  not counted</t>
  </si>
  <si>
    <t>Quiz 18</t>
  </si>
  <si>
    <t>Quiz 20</t>
  </si>
  <si>
    <t>Πρόοδος</t>
  </si>
  <si>
    <t xml:space="preserve"> </t>
  </si>
  <si>
    <t>Hm 12</t>
  </si>
  <si>
    <t>05423</t>
  </si>
  <si>
    <t>Quiz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</si>
</sst>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Verdana"/>
      <family val="2"/>
    </font>
    <font>
      <b/>
      <sz val="10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sz val="11"/>
      <name val="Verdana"/>
      <family val="2"/>
    </font>
    <font>
      <b/>
      <sz val="12"/>
      <color indexed="10"/>
      <name val="Verdana"/>
      <family val="2"/>
    </font>
    <font>
      <sz val="8"/>
      <name val="Verdana"/>
      <family val="2"/>
    </font>
    <font>
      <sz val="12"/>
      <name val="Arial"/>
      <family val="2"/>
    </font>
    <font>
      <sz val="10"/>
      <color indexed="19"/>
      <name val="Verdana"/>
      <family val="2"/>
    </font>
    <font>
      <b/>
      <sz val="12"/>
      <color indexed="17"/>
      <name val="Verdana"/>
      <family val="2"/>
    </font>
    <font>
      <sz val="13"/>
      <name val="Verdana"/>
      <family val="2"/>
    </font>
    <font>
      <b/>
      <sz val="13"/>
      <name val="Verdana"/>
      <family val="2"/>
    </font>
    <font>
      <sz val="13"/>
      <name val="Arial"/>
      <family val="2"/>
    </font>
    <font>
      <sz val="13"/>
      <color rgb="FF000000"/>
      <name val="Verdana"/>
      <family val="2"/>
    </font>
    <font>
      <sz val="14"/>
      <color rgb="FF000000"/>
      <name val="Verdana"/>
      <family val="2"/>
    </font>
    <font>
      <sz val="13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C8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" fontId="5" fillId="0" borderId="1" xfId="0" applyNumberFormat="1" applyFont="1" applyFill="1" applyBorder="1" applyAlignment="1">
      <alignment horizontal="center" vertical="center"/>
    </xf>
    <xf numFmtId="0" fontId="8" fillId="0" borderId="0" xfId="0" applyFont="1"/>
    <xf numFmtId="1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1" fontId="3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0" fillId="0" borderId="3" xfId="0" applyBorder="1"/>
    <xf numFmtId="2" fontId="4" fillId="0" borderId="2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0" fontId="14" fillId="0" borderId="0" xfId="0" applyFont="1" applyBorder="1"/>
    <xf numFmtId="1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1" fontId="10" fillId="0" borderId="3" xfId="0" applyNumberFormat="1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1" fontId="11" fillId="2" borderId="2" xfId="0" applyNumberFormat="1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1" fontId="11" fillId="7" borderId="3" xfId="0" applyNumberFormat="1" applyFont="1" applyFill="1" applyBorder="1" applyAlignment="1">
      <alignment horizontal="center" vertical="center"/>
    </xf>
    <xf numFmtId="164" fontId="11" fillId="8" borderId="4" xfId="0" applyNumberFormat="1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164" fontId="13" fillId="0" borderId="3" xfId="0" applyNumberFormat="1" applyFont="1" applyBorder="1" applyAlignment="1">
      <alignment horizontal="center" vertical="center"/>
    </xf>
    <xf numFmtId="164" fontId="15" fillId="0" borderId="1" xfId="0" applyNumberFormat="1" applyFont="1" applyBorder="1" applyAlignment="1">
      <alignment horizontal="center" vertical="center"/>
    </xf>
    <xf numFmtId="164" fontId="15" fillId="0" borderId="3" xfId="0" applyNumberFormat="1" applyFont="1" applyBorder="1" applyAlignment="1">
      <alignment horizontal="center" vertical="center"/>
    </xf>
    <xf numFmtId="164" fontId="15" fillId="6" borderId="1" xfId="0" applyNumberFormat="1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/>
    </xf>
    <xf numFmtId="0" fontId="0" fillId="0" borderId="1" xfId="0" applyBorder="1"/>
    <xf numFmtId="2" fontId="1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2" fillId="9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C8E"/>
      <color rgb="FFFFFC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1"/>
  <sheetViews>
    <sheetView topLeftCell="C1" zoomScaleNormal="100" workbookViewId="0">
      <selection activeCell="X1" sqref="X1"/>
    </sheetView>
  </sheetViews>
  <sheetFormatPr baseColWidth="10" defaultRowHeight="16" x14ac:dyDescent="0.15"/>
  <cols>
    <col min="1" max="1" width="20.83203125" customWidth="1"/>
    <col min="2" max="2" width="9.83203125" style="11" customWidth="1"/>
    <col min="3" max="3" width="9.6640625" style="12" customWidth="1"/>
    <col min="4" max="22" width="9.83203125" style="12" customWidth="1"/>
    <col min="23" max="23" width="12.83203125" style="12" customWidth="1"/>
    <col min="24" max="24" width="12.6640625" style="13" customWidth="1"/>
  </cols>
  <sheetData>
    <row r="1" spans="1:24" ht="29" customHeight="1" x14ac:dyDescent="0.15">
      <c r="A1" s="17" t="s">
        <v>5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18</v>
      </c>
      <c r="H1" s="3" t="s">
        <v>19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44</v>
      </c>
      <c r="T1" s="3" t="s">
        <v>7</v>
      </c>
      <c r="U1" s="3" t="s">
        <v>45</v>
      </c>
      <c r="V1" s="3" t="s">
        <v>50</v>
      </c>
      <c r="W1" s="4" t="s">
        <v>6</v>
      </c>
      <c r="X1"/>
    </row>
    <row r="2" spans="1:24" ht="29" customHeight="1" x14ac:dyDescent="0.15">
      <c r="A2" s="53" t="s">
        <v>49</v>
      </c>
      <c r="B2" s="33">
        <v>3</v>
      </c>
      <c r="C2" s="33">
        <v>15</v>
      </c>
      <c r="D2" s="33">
        <v>3</v>
      </c>
      <c r="E2" s="33"/>
      <c r="F2" s="34">
        <v>9</v>
      </c>
      <c r="G2" s="34">
        <v>9</v>
      </c>
      <c r="H2" s="34">
        <v>15</v>
      </c>
      <c r="I2" s="34">
        <v>3</v>
      </c>
      <c r="J2" s="34">
        <v>15</v>
      </c>
      <c r="K2" s="34"/>
      <c r="L2" s="34">
        <v>3</v>
      </c>
      <c r="M2" s="34"/>
      <c r="N2" s="34"/>
      <c r="O2" s="34"/>
      <c r="P2" s="34"/>
      <c r="Q2" s="34"/>
      <c r="R2" s="34"/>
      <c r="S2" s="34"/>
      <c r="T2" s="34">
        <v>3</v>
      </c>
      <c r="U2" s="34"/>
      <c r="V2" s="34"/>
      <c r="W2" s="38">
        <f t="shared" ref="W2:W39" si="0">$W$41 * ( (SUM(B2:V2))/((SUM($B$45:$V$45)-$B$46)*$B$41) )</f>
        <v>0.24761904761904763</v>
      </c>
      <c r="X2"/>
    </row>
    <row r="3" spans="1:24" ht="29" customHeight="1" x14ac:dyDescent="0.15">
      <c r="A3" s="24">
        <v>22166</v>
      </c>
      <c r="B3" s="33">
        <v>3</v>
      </c>
      <c r="C3" s="33"/>
      <c r="D3" s="33"/>
      <c r="E3" s="33"/>
      <c r="F3" s="34">
        <v>15</v>
      </c>
      <c r="G3" s="34"/>
      <c r="H3" s="34">
        <v>8</v>
      </c>
      <c r="I3" s="34">
        <v>3</v>
      </c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8">
        <f t="shared" si="0"/>
        <v>9.2063492063492069E-2</v>
      </c>
      <c r="X3"/>
    </row>
    <row r="4" spans="1:24" ht="29" customHeight="1" x14ac:dyDescent="0.15">
      <c r="A4" s="24">
        <v>24616</v>
      </c>
      <c r="B4" s="33">
        <v>7</v>
      </c>
      <c r="C4" s="33"/>
      <c r="D4" s="33">
        <v>15</v>
      </c>
      <c r="E4" s="33"/>
      <c r="F4" s="34">
        <v>3</v>
      </c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8">
        <f t="shared" si="0"/>
        <v>7.9365079365079361E-2</v>
      </c>
      <c r="X4"/>
    </row>
    <row r="5" spans="1:24" ht="29" customHeight="1" x14ac:dyDescent="0.15">
      <c r="A5" s="24">
        <v>28431</v>
      </c>
      <c r="B5" s="33">
        <v>9</v>
      </c>
      <c r="C5" s="33">
        <v>15</v>
      </c>
      <c r="D5" s="33">
        <v>3</v>
      </c>
      <c r="E5" s="33">
        <v>3</v>
      </c>
      <c r="F5" s="34">
        <v>9</v>
      </c>
      <c r="G5" s="34">
        <v>3</v>
      </c>
      <c r="H5" s="34">
        <v>8</v>
      </c>
      <c r="I5" s="34">
        <v>3</v>
      </c>
      <c r="J5" s="34">
        <v>3</v>
      </c>
      <c r="K5" s="34">
        <v>3</v>
      </c>
      <c r="L5" s="34">
        <v>3</v>
      </c>
      <c r="M5" s="34">
        <v>3</v>
      </c>
      <c r="N5" s="34">
        <v>10</v>
      </c>
      <c r="O5" s="34">
        <v>3</v>
      </c>
      <c r="P5" s="34">
        <v>3</v>
      </c>
      <c r="Q5" s="34">
        <v>3</v>
      </c>
      <c r="R5" s="34"/>
      <c r="S5" s="34"/>
      <c r="T5" s="34">
        <v>3</v>
      </c>
      <c r="U5" s="34"/>
      <c r="V5" s="34">
        <v>3</v>
      </c>
      <c r="W5" s="38">
        <f t="shared" si="0"/>
        <v>0.2857142857142857</v>
      </c>
      <c r="X5"/>
    </row>
    <row r="6" spans="1:24" ht="29" customHeight="1" x14ac:dyDescent="0.15">
      <c r="A6" s="24">
        <v>28745</v>
      </c>
      <c r="B6" s="33">
        <v>6</v>
      </c>
      <c r="C6" s="33">
        <v>15</v>
      </c>
      <c r="D6" s="33">
        <v>3</v>
      </c>
      <c r="E6" s="33">
        <v>3</v>
      </c>
      <c r="F6" s="34">
        <v>15</v>
      </c>
      <c r="G6" s="34">
        <v>9</v>
      </c>
      <c r="H6" s="34">
        <v>9</v>
      </c>
      <c r="I6" s="34">
        <v>3</v>
      </c>
      <c r="J6" s="34">
        <v>15</v>
      </c>
      <c r="K6" s="34">
        <v>3</v>
      </c>
      <c r="L6" s="34">
        <v>3</v>
      </c>
      <c r="M6" s="34">
        <v>3</v>
      </c>
      <c r="N6" s="34">
        <v>12</v>
      </c>
      <c r="O6" s="34">
        <v>5</v>
      </c>
      <c r="P6" s="34">
        <v>3</v>
      </c>
      <c r="Q6" s="34">
        <v>15</v>
      </c>
      <c r="R6" s="34">
        <v>15</v>
      </c>
      <c r="S6" s="34">
        <v>9</v>
      </c>
      <c r="T6" s="34">
        <v>3</v>
      </c>
      <c r="U6" s="34">
        <v>10</v>
      </c>
      <c r="V6" s="34">
        <v>15</v>
      </c>
      <c r="W6" s="38">
        <f t="shared" si="0"/>
        <v>0.55238095238095242</v>
      </c>
      <c r="X6"/>
    </row>
    <row r="7" spans="1:24" ht="29" customHeight="1" x14ac:dyDescent="0.15">
      <c r="A7" s="24">
        <v>30063</v>
      </c>
      <c r="B7" s="33">
        <v>15</v>
      </c>
      <c r="C7" s="33">
        <v>15</v>
      </c>
      <c r="D7" s="33">
        <v>15</v>
      </c>
      <c r="E7" s="33">
        <v>3</v>
      </c>
      <c r="F7" s="34">
        <v>9</v>
      </c>
      <c r="G7" s="34">
        <v>3</v>
      </c>
      <c r="H7" s="34">
        <v>5</v>
      </c>
      <c r="I7" s="34">
        <v>3</v>
      </c>
      <c r="J7" s="34">
        <v>3</v>
      </c>
      <c r="K7" s="34">
        <v>3</v>
      </c>
      <c r="L7" s="34">
        <v>3</v>
      </c>
      <c r="M7" s="34"/>
      <c r="N7" s="34">
        <v>3</v>
      </c>
      <c r="O7" s="34">
        <v>3</v>
      </c>
      <c r="P7" s="34"/>
      <c r="Q7" s="34">
        <v>3</v>
      </c>
      <c r="R7" s="34">
        <v>3</v>
      </c>
      <c r="S7" s="34">
        <v>3</v>
      </c>
      <c r="T7" s="34">
        <v>9</v>
      </c>
      <c r="U7" s="34"/>
      <c r="V7" s="34"/>
      <c r="W7" s="38">
        <f t="shared" si="0"/>
        <v>0.32063492063492066</v>
      </c>
      <c r="X7"/>
    </row>
    <row r="8" spans="1:24" ht="29" customHeight="1" x14ac:dyDescent="0.15">
      <c r="A8" s="24">
        <v>32418</v>
      </c>
      <c r="B8" s="33">
        <v>6</v>
      </c>
      <c r="C8" s="33">
        <v>15</v>
      </c>
      <c r="D8" s="33">
        <v>15</v>
      </c>
      <c r="E8" s="33">
        <v>15</v>
      </c>
      <c r="F8" s="34">
        <v>15</v>
      </c>
      <c r="G8" s="34">
        <v>9</v>
      </c>
      <c r="H8" s="34">
        <v>15</v>
      </c>
      <c r="I8" s="34">
        <v>3</v>
      </c>
      <c r="J8" s="34">
        <v>15</v>
      </c>
      <c r="K8" s="34">
        <v>3</v>
      </c>
      <c r="L8" s="34">
        <v>15</v>
      </c>
      <c r="M8" s="34">
        <v>3</v>
      </c>
      <c r="N8" s="34">
        <v>10</v>
      </c>
      <c r="O8" s="34">
        <v>15</v>
      </c>
      <c r="P8" s="34">
        <v>15</v>
      </c>
      <c r="Q8" s="34">
        <v>15</v>
      </c>
      <c r="R8" s="34">
        <v>3</v>
      </c>
      <c r="S8" s="34">
        <v>9</v>
      </c>
      <c r="T8" s="34">
        <v>3</v>
      </c>
      <c r="U8" s="34">
        <v>3</v>
      </c>
      <c r="V8" s="34">
        <v>15</v>
      </c>
      <c r="W8" s="38">
        <f t="shared" si="0"/>
        <v>0.68888888888888888</v>
      </c>
      <c r="X8"/>
    </row>
    <row r="9" spans="1:24" ht="29" customHeight="1" x14ac:dyDescent="0.15">
      <c r="A9" s="24">
        <v>37701</v>
      </c>
      <c r="B9" s="33">
        <v>10</v>
      </c>
      <c r="C9" s="33">
        <v>15</v>
      </c>
      <c r="D9" s="33">
        <v>15</v>
      </c>
      <c r="E9" s="33">
        <v>3</v>
      </c>
      <c r="F9" s="34">
        <v>15</v>
      </c>
      <c r="G9" s="34">
        <v>3</v>
      </c>
      <c r="H9" s="34">
        <v>8</v>
      </c>
      <c r="I9" s="34">
        <v>9</v>
      </c>
      <c r="J9" s="34">
        <v>15</v>
      </c>
      <c r="K9" s="34">
        <v>3</v>
      </c>
      <c r="L9" s="34">
        <v>3</v>
      </c>
      <c r="M9" s="34">
        <v>3</v>
      </c>
      <c r="N9" s="34">
        <v>3</v>
      </c>
      <c r="O9" s="34">
        <v>9</v>
      </c>
      <c r="P9" s="34">
        <v>3</v>
      </c>
      <c r="Q9" s="34">
        <v>15</v>
      </c>
      <c r="R9" s="34">
        <v>3</v>
      </c>
      <c r="S9" s="34">
        <v>3</v>
      </c>
      <c r="T9" s="34">
        <v>15</v>
      </c>
      <c r="U9" s="34">
        <v>3</v>
      </c>
      <c r="V9" s="34">
        <v>15</v>
      </c>
      <c r="W9" s="38">
        <f t="shared" si="0"/>
        <v>0.54285714285714282</v>
      </c>
      <c r="X9"/>
    </row>
    <row r="10" spans="1:24" ht="29" customHeight="1" x14ac:dyDescent="0.15">
      <c r="A10" s="24">
        <v>37840</v>
      </c>
      <c r="B10" s="33">
        <v>3</v>
      </c>
      <c r="C10" s="33">
        <v>15</v>
      </c>
      <c r="D10" s="33">
        <v>15</v>
      </c>
      <c r="E10" s="33">
        <v>15</v>
      </c>
      <c r="F10" s="34">
        <v>9</v>
      </c>
      <c r="G10" s="34">
        <v>3</v>
      </c>
      <c r="H10" s="34">
        <v>12</v>
      </c>
      <c r="I10" s="34">
        <v>9</v>
      </c>
      <c r="J10" s="34">
        <v>15</v>
      </c>
      <c r="K10" s="34">
        <v>3</v>
      </c>
      <c r="L10" s="34">
        <v>15</v>
      </c>
      <c r="M10" s="34">
        <v>3</v>
      </c>
      <c r="N10" s="34">
        <v>15</v>
      </c>
      <c r="O10" s="34">
        <v>15</v>
      </c>
      <c r="P10" s="34">
        <v>3</v>
      </c>
      <c r="Q10" s="34">
        <v>15</v>
      </c>
      <c r="R10" s="34">
        <v>15</v>
      </c>
      <c r="S10" s="34">
        <v>15</v>
      </c>
      <c r="T10" s="34">
        <v>3</v>
      </c>
      <c r="U10" s="34"/>
      <c r="V10" s="34">
        <v>15</v>
      </c>
      <c r="W10" s="38">
        <f t="shared" si="0"/>
        <v>0.67619047619047623</v>
      </c>
      <c r="X10"/>
    </row>
    <row r="11" spans="1:24" ht="29" customHeight="1" x14ac:dyDescent="0.15">
      <c r="A11" s="24">
        <v>39304</v>
      </c>
      <c r="B11" s="33">
        <v>3</v>
      </c>
      <c r="C11" s="33">
        <v>15</v>
      </c>
      <c r="D11" s="33">
        <v>3</v>
      </c>
      <c r="E11" s="33">
        <v>3</v>
      </c>
      <c r="F11" s="34">
        <v>15</v>
      </c>
      <c r="G11" s="34">
        <v>3</v>
      </c>
      <c r="H11" s="34">
        <v>3</v>
      </c>
      <c r="I11" s="34">
        <v>3</v>
      </c>
      <c r="J11" s="34">
        <v>15</v>
      </c>
      <c r="K11" s="34">
        <v>3</v>
      </c>
      <c r="L11" s="34">
        <v>3</v>
      </c>
      <c r="M11" s="34">
        <v>3</v>
      </c>
      <c r="N11" s="34">
        <v>3</v>
      </c>
      <c r="O11" s="34">
        <v>15</v>
      </c>
      <c r="P11" s="34">
        <v>3</v>
      </c>
      <c r="Q11" s="34">
        <v>15</v>
      </c>
      <c r="R11" s="34">
        <v>15</v>
      </c>
      <c r="S11" s="34">
        <v>15</v>
      </c>
      <c r="T11" s="34">
        <v>3</v>
      </c>
      <c r="U11" s="34">
        <v>3</v>
      </c>
      <c r="V11" s="34">
        <v>15</v>
      </c>
      <c r="W11" s="38">
        <f t="shared" si="0"/>
        <v>0.50476190476190474</v>
      </c>
      <c r="X11"/>
    </row>
    <row r="12" spans="1:24" ht="29" customHeight="1" x14ac:dyDescent="0.15">
      <c r="A12" s="24">
        <v>41765</v>
      </c>
      <c r="B12" s="33"/>
      <c r="C12" s="33"/>
      <c r="D12" s="33"/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8">
        <f t="shared" si="0"/>
        <v>0</v>
      </c>
      <c r="X12"/>
    </row>
    <row r="13" spans="1:24" ht="29" customHeight="1" x14ac:dyDescent="0.15">
      <c r="A13" s="24">
        <v>41772</v>
      </c>
      <c r="B13" s="33">
        <v>9</v>
      </c>
      <c r="C13" s="33">
        <v>15</v>
      </c>
      <c r="D13" s="33">
        <v>15</v>
      </c>
      <c r="E13" s="33">
        <v>3</v>
      </c>
      <c r="F13" s="34">
        <v>9</v>
      </c>
      <c r="G13" s="34">
        <v>3</v>
      </c>
      <c r="H13" s="34">
        <v>15</v>
      </c>
      <c r="I13" s="34">
        <v>3</v>
      </c>
      <c r="J13" s="34">
        <v>15</v>
      </c>
      <c r="K13" s="34"/>
      <c r="L13" s="34">
        <v>15</v>
      </c>
      <c r="M13" s="34">
        <v>3</v>
      </c>
      <c r="N13" s="34">
        <v>15</v>
      </c>
      <c r="O13" s="34">
        <v>9</v>
      </c>
      <c r="P13" s="34">
        <v>3</v>
      </c>
      <c r="Q13" s="34"/>
      <c r="R13" s="34">
        <v>15</v>
      </c>
      <c r="S13" s="34">
        <v>9</v>
      </c>
      <c r="T13" s="34">
        <v>3</v>
      </c>
      <c r="U13" s="34"/>
      <c r="V13" s="34"/>
      <c r="W13" s="38">
        <f t="shared" si="0"/>
        <v>0.50476190476190474</v>
      </c>
      <c r="X13"/>
    </row>
    <row r="14" spans="1:24" s="7" customFormat="1" ht="29" customHeight="1" x14ac:dyDescent="0.15">
      <c r="A14" s="24">
        <v>41850</v>
      </c>
      <c r="B14" s="33">
        <v>12</v>
      </c>
      <c r="C14" s="33">
        <v>15</v>
      </c>
      <c r="D14" s="33">
        <v>15</v>
      </c>
      <c r="E14" s="33">
        <v>15</v>
      </c>
      <c r="F14" s="34">
        <v>15</v>
      </c>
      <c r="G14" s="34">
        <v>9</v>
      </c>
      <c r="H14" s="34">
        <v>11</v>
      </c>
      <c r="I14" s="34">
        <v>9</v>
      </c>
      <c r="J14" s="34">
        <v>15</v>
      </c>
      <c r="K14" s="34">
        <v>3</v>
      </c>
      <c r="L14" s="34">
        <v>15</v>
      </c>
      <c r="M14" s="34">
        <v>3</v>
      </c>
      <c r="N14" s="34">
        <v>12</v>
      </c>
      <c r="O14" s="34">
        <v>15</v>
      </c>
      <c r="P14" s="34">
        <v>3</v>
      </c>
      <c r="Q14" s="34">
        <v>3</v>
      </c>
      <c r="R14" s="34">
        <v>15</v>
      </c>
      <c r="S14" s="34">
        <v>3</v>
      </c>
      <c r="T14" s="34">
        <v>3</v>
      </c>
      <c r="U14" s="34">
        <v>3</v>
      </c>
      <c r="V14" s="34">
        <v>3</v>
      </c>
      <c r="W14" s="38">
        <f t="shared" si="0"/>
        <v>0.6253968253968254</v>
      </c>
    </row>
    <row r="15" spans="1:24" ht="29" customHeight="1" x14ac:dyDescent="0.15">
      <c r="A15" s="24">
        <v>42057</v>
      </c>
      <c r="B15" s="33">
        <v>9</v>
      </c>
      <c r="C15" s="33">
        <v>15</v>
      </c>
      <c r="D15" s="33"/>
      <c r="E15" s="33">
        <v>3</v>
      </c>
      <c r="F15" s="34">
        <v>3</v>
      </c>
      <c r="G15" s="34">
        <v>9</v>
      </c>
      <c r="H15" s="34">
        <v>5</v>
      </c>
      <c r="I15" s="34">
        <v>3</v>
      </c>
      <c r="J15" s="34">
        <v>3</v>
      </c>
      <c r="K15" s="34">
        <v>3</v>
      </c>
      <c r="L15" s="34">
        <v>15</v>
      </c>
      <c r="M15" s="34">
        <v>3</v>
      </c>
      <c r="N15" s="34">
        <v>12</v>
      </c>
      <c r="O15" s="34">
        <v>9</v>
      </c>
      <c r="P15" s="34"/>
      <c r="Q15" s="34">
        <v>15</v>
      </c>
      <c r="R15" s="34">
        <v>3</v>
      </c>
      <c r="S15" s="34">
        <v>15</v>
      </c>
      <c r="T15" s="34">
        <v>15</v>
      </c>
      <c r="U15" s="34">
        <v>3</v>
      </c>
      <c r="V15" s="34">
        <v>15</v>
      </c>
      <c r="W15" s="38">
        <f t="shared" si="0"/>
        <v>0.50158730158730158</v>
      </c>
      <c r="X15"/>
    </row>
    <row r="16" spans="1:24" ht="29" customHeight="1" x14ac:dyDescent="0.15">
      <c r="A16" s="24">
        <v>43868</v>
      </c>
      <c r="B16" s="33">
        <v>9</v>
      </c>
      <c r="C16" s="33">
        <v>15</v>
      </c>
      <c r="D16" s="33">
        <v>3</v>
      </c>
      <c r="E16" s="33">
        <v>3</v>
      </c>
      <c r="F16" s="34">
        <v>9</v>
      </c>
      <c r="G16" s="34">
        <v>3</v>
      </c>
      <c r="H16" s="34">
        <v>12</v>
      </c>
      <c r="I16" s="34">
        <v>9</v>
      </c>
      <c r="J16" s="34">
        <v>15</v>
      </c>
      <c r="K16" s="34">
        <v>3</v>
      </c>
      <c r="L16" s="34">
        <v>15</v>
      </c>
      <c r="M16" s="34">
        <v>3</v>
      </c>
      <c r="N16" s="34">
        <v>10</v>
      </c>
      <c r="O16" s="34">
        <v>5</v>
      </c>
      <c r="P16" s="34">
        <v>3</v>
      </c>
      <c r="Q16" s="34">
        <v>3</v>
      </c>
      <c r="R16" s="34">
        <v>3</v>
      </c>
      <c r="S16" s="34">
        <v>9</v>
      </c>
      <c r="T16" s="34">
        <v>3</v>
      </c>
      <c r="U16" s="34">
        <v>3</v>
      </c>
      <c r="V16" s="34"/>
      <c r="W16" s="38">
        <f t="shared" si="0"/>
        <v>0.43809523809523809</v>
      </c>
      <c r="X16"/>
    </row>
    <row r="17" spans="1:24" ht="29" customHeight="1" x14ac:dyDescent="0.15">
      <c r="A17" s="24">
        <v>44967</v>
      </c>
      <c r="B17" s="33">
        <v>9</v>
      </c>
      <c r="C17" s="33">
        <v>15</v>
      </c>
      <c r="D17" s="33">
        <v>15</v>
      </c>
      <c r="E17" s="33">
        <v>3</v>
      </c>
      <c r="F17" s="34">
        <v>3</v>
      </c>
      <c r="G17" s="34"/>
      <c r="H17" s="34">
        <v>12</v>
      </c>
      <c r="I17" s="34">
        <v>3</v>
      </c>
      <c r="J17" s="34">
        <v>9</v>
      </c>
      <c r="K17" s="34">
        <v>3</v>
      </c>
      <c r="L17" s="34">
        <v>15</v>
      </c>
      <c r="M17" s="34">
        <v>15</v>
      </c>
      <c r="N17" s="34">
        <v>3</v>
      </c>
      <c r="O17" s="34">
        <v>9</v>
      </c>
      <c r="P17" s="34">
        <v>15</v>
      </c>
      <c r="Q17" s="34">
        <v>15</v>
      </c>
      <c r="R17" s="34">
        <v>15</v>
      </c>
      <c r="S17" s="34">
        <v>9</v>
      </c>
      <c r="T17" s="34"/>
      <c r="U17" s="34">
        <v>8</v>
      </c>
      <c r="V17" s="34">
        <v>15</v>
      </c>
      <c r="W17" s="38">
        <f t="shared" si="0"/>
        <v>0.6063492063492063</v>
      </c>
      <c r="X17"/>
    </row>
    <row r="18" spans="1:24" ht="29" customHeight="1" x14ac:dyDescent="0.15">
      <c r="A18" s="24">
        <v>46234</v>
      </c>
      <c r="B18" s="33">
        <v>3</v>
      </c>
      <c r="C18" s="33">
        <v>15</v>
      </c>
      <c r="D18" s="33">
        <v>3</v>
      </c>
      <c r="E18" s="33">
        <v>3</v>
      </c>
      <c r="F18" s="34">
        <v>15</v>
      </c>
      <c r="G18" s="34">
        <v>3</v>
      </c>
      <c r="H18" s="34">
        <v>8</v>
      </c>
      <c r="I18" s="34">
        <v>3</v>
      </c>
      <c r="J18" s="34">
        <v>3</v>
      </c>
      <c r="K18" s="34">
        <v>9</v>
      </c>
      <c r="L18" s="34">
        <v>15</v>
      </c>
      <c r="M18" s="34">
        <v>15</v>
      </c>
      <c r="N18" s="34">
        <v>15</v>
      </c>
      <c r="O18" s="34">
        <v>15</v>
      </c>
      <c r="P18" s="34">
        <v>3</v>
      </c>
      <c r="Q18" s="34">
        <v>3</v>
      </c>
      <c r="R18" s="34">
        <v>3</v>
      </c>
      <c r="S18" s="34">
        <v>3</v>
      </c>
      <c r="T18" s="34">
        <v>3</v>
      </c>
      <c r="U18" s="34">
        <v>3</v>
      </c>
      <c r="V18" s="34"/>
      <c r="W18" s="38">
        <f t="shared" si="0"/>
        <v>0.45396825396825397</v>
      </c>
      <c r="X18"/>
    </row>
    <row r="19" spans="1:24" ht="29" customHeight="1" x14ac:dyDescent="0.15">
      <c r="A19" s="24">
        <v>47978</v>
      </c>
      <c r="B19" s="33">
        <v>9</v>
      </c>
      <c r="C19" s="33">
        <v>15</v>
      </c>
      <c r="D19" s="33">
        <v>15</v>
      </c>
      <c r="E19" s="33">
        <v>3</v>
      </c>
      <c r="F19" s="34">
        <v>3</v>
      </c>
      <c r="G19" s="34">
        <v>3</v>
      </c>
      <c r="H19" s="34">
        <v>15</v>
      </c>
      <c r="I19" s="34"/>
      <c r="J19" s="34">
        <v>3</v>
      </c>
      <c r="K19" s="34">
        <v>3</v>
      </c>
      <c r="L19" s="34"/>
      <c r="M19" s="34">
        <v>3</v>
      </c>
      <c r="N19" s="34">
        <v>3</v>
      </c>
      <c r="O19" s="34">
        <v>9</v>
      </c>
      <c r="P19" s="34">
        <v>15</v>
      </c>
      <c r="Q19" s="34">
        <v>3</v>
      </c>
      <c r="R19" s="34">
        <v>3</v>
      </c>
      <c r="S19" s="34">
        <v>3</v>
      </c>
      <c r="T19" s="34"/>
      <c r="U19" s="34"/>
      <c r="V19" s="34"/>
      <c r="W19" s="38">
        <f t="shared" si="0"/>
        <v>0.34285714285714286</v>
      </c>
      <c r="X19"/>
    </row>
    <row r="20" spans="1:24" ht="29" customHeight="1" x14ac:dyDescent="0.15">
      <c r="A20" s="24">
        <v>48461</v>
      </c>
      <c r="B20" s="33">
        <v>9</v>
      </c>
      <c r="C20" s="33">
        <v>15</v>
      </c>
      <c r="D20" s="33">
        <v>3</v>
      </c>
      <c r="E20" s="33"/>
      <c r="F20" s="34">
        <v>15</v>
      </c>
      <c r="G20" s="34">
        <v>9</v>
      </c>
      <c r="H20" s="34">
        <v>12</v>
      </c>
      <c r="I20" s="34">
        <v>3</v>
      </c>
      <c r="J20" s="34">
        <v>15</v>
      </c>
      <c r="K20" s="34">
        <v>3</v>
      </c>
      <c r="L20" s="34">
        <v>15</v>
      </c>
      <c r="M20" s="34">
        <v>3</v>
      </c>
      <c r="N20" s="34">
        <v>8</v>
      </c>
      <c r="O20" s="34">
        <v>3</v>
      </c>
      <c r="P20" s="34">
        <v>3</v>
      </c>
      <c r="Q20" s="34">
        <v>3</v>
      </c>
      <c r="R20" s="34">
        <v>3</v>
      </c>
      <c r="S20" s="34">
        <v>3</v>
      </c>
      <c r="T20" s="34">
        <v>3</v>
      </c>
      <c r="U20" s="34">
        <v>3</v>
      </c>
      <c r="V20" s="34">
        <v>3</v>
      </c>
      <c r="W20" s="38">
        <f t="shared" si="0"/>
        <v>0.42539682539682538</v>
      </c>
      <c r="X20"/>
    </row>
    <row r="21" spans="1:24" ht="29" customHeight="1" x14ac:dyDescent="0.15">
      <c r="A21" s="24">
        <v>48462</v>
      </c>
      <c r="B21" s="33">
        <v>15</v>
      </c>
      <c r="C21" s="33">
        <v>15</v>
      </c>
      <c r="D21" s="33">
        <v>3</v>
      </c>
      <c r="E21" s="33">
        <v>3</v>
      </c>
      <c r="F21" s="34">
        <v>15</v>
      </c>
      <c r="G21" s="34">
        <v>9</v>
      </c>
      <c r="H21" s="34">
        <v>9</v>
      </c>
      <c r="I21" s="34">
        <v>3</v>
      </c>
      <c r="J21" s="34">
        <v>9</v>
      </c>
      <c r="K21" s="34">
        <v>3</v>
      </c>
      <c r="L21" s="34">
        <v>15</v>
      </c>
      <c r="M21" s="34">
        <v>15</v>
      </c>
      <c r="N21" s="34">
        <v>12</v>
      </c>
      <c r="O21" s="34">
        <v>3</v>
      </c>
      <c r="P21" s="34">
        <v>3</v>
      </c>
      <c r="Q21" s="34">
        <v>3</v>
      </c>
      <c r="R21" s="34">
        <v>3</v>
      </c>
      <c r="S21" s="34">
        <v>3</v>
      </c>
      <c r="T21" s="34">
        <v>3</v>
      </c>
      <c r="U21" s="34">
        <v>3</v>
      </c>
      <c r="V21" s="34">
        <v>15</v>
      </c>
      <c r="W21" s="38">
        <f t="shared" si="0"/>
        <v>0.51428571428571423</v>
      </c>
      <c r="X21"/>
    </row>
    <row r="22" spans="1:24" ht="29" customHeight="1" x14ac:dyDescent="0.15">
      <c r="A22" s="24">
        <v>48666</v>
      </c>
      <c r="B22" s="33">
        <v>3</v>
      </c>
      <c r="C22" s="33">
        <v>15</v>
      </c>
      <c r="D22" s="33">
        <v>3</v>
      </c>
      <c r="E22" s="33">
        <v>15</v>
      </c>
      <c r="F22" s="34">
        <v>15</v>
      </c>
      <c r="G22" s="34">
        <v>9</v>
      </c>
      <c r="H22" s="34">
        <v>12</v>
      </c>
      <c r="I22" s="34">
        <v>3</v>
      </c>
      <c r="J22" s="34">
        <v>15</v>
      </c>
      <c r="K22" s="34">
        <v>3</v>
      </c>
      <c r="L22" s="34">
        <v>3</v>
      </c>
      <c r="M22" s="34">
        <v>3</v>
      </c>
      <c r="N22" s="34">
        <v>12</v>
      </c>
      <c r="O22" s="34">
        <v>15</v>
      </c>
      <c r="P22" s="34">
        <v>3</v>
      </c>
      <c r="Q22" s="34">
        <v>15</v>
      </c>
      <c r="R22" s="34">
        <v>3</v>
      </c>
      <c r="S22" s="34">
        <v>9</v>
      </c>
      <c r="T22" s="34">
        <v>3</v>
      </c>
      <c r="U22" s="34">
        <v>3</v>
      </c>
      <c r="V22" s="34">
        <v>15</v>
      </c>
      <c r="W22" s="38">
        <f t="shared" si="0"/>
        <v>0.56190476190476191</v>
      </c>
      <c r="X22"/>
    </row>
    <row r="23" spans="1:24" ht="29" customHeight="1" x14ac:dyDescent="0.15">
      <c r="A23" s="24">
        <v>50098</v>
      </c>
      <c r="B23" s="33">
        <v>3</v>
      </c>
      <c r="C23" s="33">
        <v>3</v>
      </c>
      <c r="D23" s="33">
        <v>15</v>
      </c>
      <c r="E23" s="33">
        <v>3</v>
      </c>
      <c r="F23" s="34">
        <v>9</v>
      </c>
      <c r="G23" s="34">
        <v>9</v>
      </c>
      <c r="H23" s="34">
        <v>8</v>
      </c>
      <c r="I23" s="34">
        <v>3</v>
      </c>
      <c r="J23" s="34">
        <v>3</v>
      </c>
      <c r="K23" s="34">
        <v>3</v>
      </c>
      <c r="L23" s="34">
        <v>3</v>
      </c>
      <c r="M23" s="34">
        <v>3</v>
      </c>
      <c r="N23" s="34">
        <v>3</v>
      </c>
      <c r="O23" s="34">
        <v>3</v>
      </c>
      <c r="P23" s="34"/>
      <c r="Q23" s="34">
        <v>3</v>
      </c>
      <c r="R23" s="34">
        <v>3</v>
      </c>
      <c r="S23" s="34">
        <v>3</v>
      </c>
      <c r="T23" s="34"/>
      <c r="U23" s="34"/>
      <c r="V23" s="34"/>
      <c r="W23" s="38">
        <f t="shared" si="0"/>
        <v>0.25396825396825395</v>
      </c>
      <c r="X23"/>
    </row>
    <row r="24" spans="1:24" ht="29" customHeight="1" x14ac:dyDescent="0.15">
      <c r="A24" s="24">
        <v>50108</v>
      </c>
      <c r="B24" s="33">
        <v>6</v>
      </c>
      <c r="C24" s="33">
        <v>15</v>
      </c>
      <c r="D24" s="33">
        <v>3</v>
      </c>
      <c r="E24" s="33">
        <v>3</v>
      </c>
      <c r="F24" s="34">
        <v>3</v>
      </c>
      <c r="G24" s="34">
        <v>9</v>
      </c>
      <c r="H24" s="34">
        <v>8</v>
      </c>
      <c r="I24" s="34">
        <v>3</v>
      </c>
      <c r="J24" s="34">
        <v>15</v>
      </c>
      <c r="K24" s="34">
        <v>3</v>
      </c>
      <c r="L24" s="34">
        <v>3</v>
      </c>
      <c r="M24" s="34">
        <v>3</v>
      </c>
      <c r="N24" s="34">
        <v>3</v>
      </c>
      <c r="O24" s="34">
        <v>3</v>
      </c>
      <c r="P24" s="34">
        <v>3</v>
      </c>
      <c r="Q24" s="34">
        <v>3</v>
      </c>
      <c r="R24" s="34">
        <v>3</v>
      </c>
      <c r="S24" s="34">
        <v>3</v>
      </c>
      <c r="T24" s="34">
        <v>3</v>
      </c>
      <c r="U24" s="34">
        <v>3</v>
      </c>
      <c r="V24" s="34">
        <v>15</v>
      </c>
      <c r="W24" s="38">
        <f t="shared" si="0"/>
        <v>0.35873015873015873</v>
      </c>
      <c r="X24"/>
    </row>
    <row r="25" spans="1:24" ht="29" customHeight="1" x14ac:dyDescent="0.15">
      <c r="A25" s="24">
        <v>50925</v>
      </c>
      <c r="B25" s="33">
        <v>3</v>
      </c>
      <c r="C25" s="33">
        <v>15</v>
      </c>
      <c r="D25" s="33">
        <v>3</v>
      </c>
      <c r="E25" s="33">
        <v>3</v>
      </c>
      <c r="F25" s="34">
        <v>9</v>
      </c>
      <c r="G25" s="34">
        <v>9</v>
      </c>
      <c r="H25" s="34">
        <v>8</v>
      </c>
      <c r="I25" s="34">
        <v>9</v>
      </c>
      <c r="J25" s="34">
        <v>3</v>
      </c>
      <c r="K25" s="34">
        <v>3</v>
      </c>
      <c r="L25" s="34">
        <v>3</v>
      </c>
      <c r="M25" s="34">
        <v>3</v>
      </c>
      <c r="N25" s="34">
        <v>3</v>
      </c>
      <c r="O25" s="34">
        <v>3</v>
      </c>
      <c r="P25" s="34">
        <v>3</v>
      </c>
      <c r="Q25" s="34">
        <v>3</v>
      </c>
      <c r="R25" s="34">
        <v>3</v>
      </c>
      <c r="S25" s="34">
        <v>9</v>
      </c>
      <c r="T25" s="34">
        <v>3</v>
      </c>
      <c r="U25" s="34"/>
      <c r="V25" s="34">
        <v>3</v>
      </c>
      <c r="W25" s="38">
        <f t="shared" si="0"/>
        <v>0.32063492063492066</v>
      </c>
      <c r="X25"/>
    </row>
    <row r="26" spans="1:24" ht="29" customHeight="1" x14ac:dyDescent="0.15">
      <c r="A26" s="24">
        <v>52252</v>
      </c>
      <c r="B26" s="33">
        <v>3</v>
      </c>
      <c r="C26" s="33">
        <v>15</v>
      </c>
      <c r="D26" s="33">
        <v>6</v>
      </c>
      <c r="E26" s="33">
        <v>15</v>
      </c>
      <c r="F26" s="34">
        <v>3</v>
      </c>
      <c r="G26" s="34"/>
      <c r="H26" s="34">
        <v>3</v>
      </c>
      <c r="I26" s="34">
        <v>9</v>
      </c>
      <c r="J26" s="34">
        <v>3</v>
      </c>
      <c r="K26" s="34">
        <v>3</v>
      </c>
      <c r="L26" s="34">
        <v>3</v>
      </c>
      <c r="M26" s="34">
        <v>3</v>
      </c>
      <c r="N26" s="34">
        <v>8</v>
      </c>
      <c r="O26" s="34">
        <v>3</v>
      </c>
      <c r="P26" s="34">
        <v>3</v>
      </c>
      <c r="Q26" s="34">
        <v>3</v>
      </c>
      <c r="R26" s="34">
        <v>3</v>
      </c>
      <c r="S26" s="34">
        <v>3</v>
      </c>
      <c r="T26" s="34">
        <v>3</v>
      </c>
      <c r="U26" s="34"/>
      <c r="V26" s="34">
        <v>3</v>
      </c>
      <c r="W26" s="38">
        <f t="shared" si="0"/>
        <v>0.30158730158730157</v>
      </c>
      <c r="X26"/>
    </row>
    <row r="27" spans="1:24" ht="29" customHeight="1" x14ac:dyDescent="0.15">
      <c r="A27" s="24">
        <v>53915</v>
      </c>
      <c r="B27" s="33">
        <v>13</v>
      </c>
      <c r="C27" s="33">
        <v>15</v>
      </c>
      <c r="D27" s="33">
        <v>6</v>
      </c>
      <c r="E27" s="33">
        <v>3</v>
      </c>
      <c r="F27" s="34">
        <v>15</v>
      </c>
      <c r="G27" s="34">
        <v>3</v>
      </c>
      <c r="H27" s="34">
        <v>15</v>
      </c>
      <c r="I27" s="34">
        <v>9</v>
      </c>
      <c r="J27" s="34">
        <v>3</v>
      </c>
      <c r="K27" s="34">
        <v>3</v>
      </c>
      <c r="L27" s="34">
        <v>3</v>
      </c>
      <c r="M27" s="34">
        <v>15</v>
      </c>
      <c r="N27" s="34">
        <v>10</v>
      </c>
      <c r="O27" s="34">
        <v>15</v>
      </c>
      <c r="P27" s="34">
        <v>3</v>
      </c>
      <c r="Q27" s="34">
        <v>3</v>
      </c>
      <c r="R27" s="34">
        <v>3</v>
      </c>
      <c r="S27" s="34">
        <v>9</v>
      </c>
      <c r="T27" s="34">
        <v>3</v>
      </c>
      <c r="U27" s="34">
        <v>3</v>
      </c>
      <c r="V27" s="34">
        <v>15</v>
      </c>
      <c r="W27" s="38">
        <f t="shared" si="0"/>
        <v>0.53015873015873016</v>
      </c>
      <c r="X27"/>
    </row>
    <row r="28" spans="1:24" ht="29" customHeight="1" x14ac:dyDescent="0.15">
      <c r="A28" s="24">
        <v>56433</v>
      </c>
      <c r="B28" s="33">
        <v>15</v>
      </c>
      <c r="C28" s="33">
        <v>15</v>
      </c>
      <c r="D28" s="33">
        <v>6</v>
      </c>
      <c r="E28" s="33">
        <v>3</v>
      </c>
      <c r="F28" s="34">
        <v>3</v>
      </c>
      <c r="G28" s="34">
        <v>3</v>
      </c>
      <c r="H28" s="34">
        <v>10</v>
      </c>
      <c r="I28" s="34">
        <v>3</v>
      </c>
      <c r="J28" s="34">
        <v>3</v>
      </c>
      <c r="K28" s="34">
        <v>3</v>
      </c>
      <c r="L28" s="34">
        <v>3</v>
      </c>
      <c r="M28" s="34">
        <v>15</v>
      </c>
      <c r="N28" s="34">
        <v>12</v>
      </c>
      <c r="O28" s="34">
        <v>9</v>
      </c>
      <c r="P28" s="34">
        <v>3</v>
      </c>
      <c r="Q28" s="34">
        <v>3</v>
      </c>
      <c r="R28" s="34">
        <v>3</v>
      </c>
      <c r="S28" s="34">
        <v>9</v>
      </c>
      <c r="T28" s="34">
        <v>3</v>
      </c>
      <c r="U28" s="34">
        <v>6</v>
      </c>
      <c r="V28" s="34">
        <v>15</v>
      </c>
      <c r="W28" s="38">
        <f t="shared" si="0"/>
        <v>0.46031746031746029</v>
      </c>
      <c r="X28"/>
    </row>
    <row r="29" spans="1:24" ht="29" customHeight="1" x14ac:dyDescent="0.15">
      <c r="A29" s="24">
        <v>58506</v>
      </c>
      <c r="B29" s="33">
        <v>3</v>
      </c>
      <c r="C29" s="33">
        <v>15</v>
      </c>
      <c r="D29" s="33">
        <v>3</v>
      </c>
      <c r="E29" s="33">
        <v>3</v>
      </c>
      <c r="F29" s="34">
        <v>9</v>
      </c>
      <c r="G29" s="34">
        <v>9</v>
      </c>
      <c r="H29" s="34">
        <v>8</v>
      </c>
      <c r="I29" s="34">
        <v>3</v>
      </c>
      <c r="J29" s="34">
        <v>15</v>
      </c>
      <c r="K29" s="34">
        <v>3</v>
      </c>
      <c r="L29" s="34">
        <v>15</v>
      </c>
      <c r="M29" s="34">
        <v>3</v>
      </c>
      <c r="N29" s="34">
        <v>12</v>
      </c>
      <c r="O29" s="34">
        <v>15</v>
      </c>
      <c r="P29" s="34">
        <v>3</v>
      </c>
      <c r="Q29" s="34"/>
      <c r="R29" s="34">
        <v>3</v>
      </c>
      <c r="S29" s="34">
        <v>9</v>
      </c>
      <c r="T29" s="34">
        <v>3</v>
      </c>
      <c r="U29" s="34"/>
      <c r="V29" s="34">
        <v>3</v>
      </c>
      <c r="W29" s="38">
        <f t="shared" si="0"/>
        <v>0.43492063492063493</v>
      </c>
      <c r="X29"/>
    </row>
    <row r="30" spans="1:24" ht="29" customHeight="1" x14ac:dyDescent="0.15">
      <c r="A30" s="24">
        <v>59392</v>
      </c>
      <c r="B30" s="33">
        <v>6</v>
      </c>
      <c r="C30" s="33">
        <v>15</v>
      </c>
      <c r="D30" s="33">
        <v>3</v>
      </c>
      <c r="E30" s="33">
        <v>3</v>
      </c>
      <c r="F30" s="34">
        <v>5</v>
      </c>
      <c r="G30" s="34">
        <v>3</v>
      </c>
      <c r="H30" s="34">
        <v>12</v>
      </c>
      <c r="I30" s="34">
        <v>3</v>
      </c>
      <c r="J30" s="34">
        <v>15</v>
      </c>
      <c r="K30" s="34">
        <v>3</v>
      </c>
      <c r="L30" s="34">
        <v>3</v>
      </c>
      <c r="M30" s="34">
        <v>3</v>
      </c>
      <c r="N30" s="34">
        <v>12</v>
      </c>
      <c r="O30" s="34">
        <v>3</v>
      </c>
      <c r="P30" s="34">
        <v>3</v>
      </c>
      <c r="Q30" s="34">
        <v>3</v>
      </c>
      <c r="R30" s="34">
        <v>3</v>
      </c>
      <c r="S30" s="34">
        <v>3</v>
      </c>
      <c r="T30" s="34">
        <v>3</v>
      </c>
      <c r="U30" s="34">
        <v>3</v>
      </c>
      <c r="V30" s="34">
        <v>15</v>
      </c>
      <c r="W30" s="38">
        <f t="shared" si="0"/>
        <v>0.38730158730158731</v>
      </c>
      <c r="X30"/>
    </row>
    <row r="31" spans="1:24" ht="29" customHeight="1" x14ac:dyDescent="0.15">
      <c r="A31" s="24">
        <v>61767</v>
      </c>
      <c r="B31" s="33">
        <v>3</v>
      </c>
      <c r="C31" s="33">
        <v>3</v>
      </c>
      <c r="D31" s="33">
        <v>3</v>
      </c>
      <c r="E31" s="33">
        <v>3</v>
      </c>
      <c r="F31" s="34">
        <v>9</v>
      </c>
      <c r="G31" s="34">
        <v>9</v>
      </c>
      <c r="H31" s="34">
        <v>3</v>
      </c>
      <c r="I31" s="34">
        <v>3</v>
      </c>
      <c r="J31" s="34">
        <v>3</v>
      </c>
      <c r="K31" s="34">
        <v>3</v>
      </c>
      <c r="L31" s="34"/>
      <c r="M31" s="34">
        <v>3</v>
      </c>
      <c r="N31" s="34">
        <v>3</v>
      </c>
      <c r="O31" s="34"/>
      <c r="P31" s="34">
        <v>3</v>
      </c>
      <c r="Q31" s="34">
        <v>3</v>
      </c>
      <c r="R31" s="34"/>
      <c r="S31" s="34"/>
      <c r="T31" s="34"/>
      <c r="U31" s="34"/>
      <c r="V31" s="34"/>
      <c r="W31" s="38">
        <f t="shared" si="0"/>
        <v>0.17142857142857143</v>
      </c>
      <c r="X31"/>
    </row>
    <row r="32" spans="1:24" ht="29" customHeight="1" x14ac:dyDescent="0.15">
      <c r="A32" s="24">
        <v>62166</v>
      </c>
      <c r="B32" s="33">
        <v>6</v>
      </c>
      <c r="C32" s="33">
        <v>15</v>
      </c>
      <c r="D32" s="33">
        <v>15</v>
      </c>
      <c r="E32" s="33">
        <v>3</v>
      </c>
      <c r="F32" s="34">
        <v>9</v>
      </c>
      <c r="G32" s="34">
        <v>3</v>
      </c>
      <c r="H32" s="34">
        <v>12</v>
      </c>
      <c r="I32" s="34">
        <v>3</v>
      </c>
      <c r="J32" s="34">
        <v>9</v>
      </c>
      <c r="K32" s="34">
        <v>3</v>
      </c>
      <c r="L32" s="34">
        <v>15</v>
      </c>
      <c r="M32" s="34">
        <v>3</v>
      </c>
      <c r="N32" s="34">
        <v>8</v>
      </c>
      <c r="O32" s="34">
        <v>9</v>
      </c>
      <c r="P32" s="34">
        <v>3</v>
      </c>
      <c r="Q32" s="34">
        <v>3</v>
      </c>
      <c r="R32" s="34">
        <v>3</v>
      </c>
      <c r="S32" s="34">
        <v>3</v>
      </c>
      <c r="T32" s="34">
        <v>3</v>
      </c>
      <c r="U32" s="34">
        <v>3</v>
      </c>
      <c r="V32" s="34">
        <v>15</v>
      </c>
      <c r="W32" s="38">
        <f t="shared" si="0"/>
        <v>0.46349206349206351</v>
      </c>
      <c r="X32"/>
    </row>
    <row r="33" spans="1:24" ht="29" customHeight="1" x14ac:dyDescent="0.15">
      <c r="A33" s="24">
        <v>62943</v>
      </c>
      <c r="B33" s="33">
        <v>3</v>
      </c>
      <c r="C33" s="33">
        <v>3</v>
      </c>
      <c r="D33" s="33">
        <v>15</v>
      </c>
      <c r="E33" s="33">
        <v>3</v>
      </c>
      <c r="F33" s="34">
        <v>3</v>
      </c>
      <c r="G33" s="34">
        <v>3</v>
      </c>
      <c r="H33" s="34">
        <v>8</v>
      </c>
      <c r="I33" s="34">
        <v>3</v>
      </c>
      <c r="J33" s="34">
        <v>3</v>
      </c>
      <c r="K33" s="34"/>
      <c r="L33" s="34">
        <v>3</v>
      </c>
      <c r="M33" s="34">
        <v>3</v>
      </c>
      <c r="N33" s="34">
        <v>8</v>
      </c>
      <c r="O33" s="34">
        <v>9</v>
      </c>
      <c r="P33" s="34"/>
      <c r="Q33" s="34">
        <v>3</v>
      </c>
      <c r="R33" s="34"/>
      <c r="S33" s="34"/>
      <c r="T33" s="34">
        <v>3</v>
      </c>
      <c r="U33" s="34">
        <v>3</v>
      </c>
      <c r="V33" s="34"/>
      <c r="W33" s="38">
        <f t="shared" si="0"/>
        <v>0.24126984126984127</v>
      </c>
      <c r="X33"/>
    </row>
    <row r="34" spans="1:24" ht="29" customHeight="1" x14ac:dyDescent="0.15">
      <c r="A34" s="24">
        <v>64244</v>
      </c>
      <c r="B34" s="33">
        <v>3</v>
      </c>
      <c r="C34" s="33">
        <v>15</v>
      </c>
      <c r="D34" s="33">
        <v>15</v>
      </c>
      <c r="E34" s="33">
        <v>3</v>
      </c>
      <c r="F34" s="34">
        <v>3</v>
      </c>
      <c r="G34" s="34">
        <v>3</v>
      </c>
      <c r="H34" s="34">
        <v>8</v>
      </c>
      <c r="I34" s="34">
        <v>3</v>
      </c>
      <c r="J34" s="34">
        <v>15</v>
      </c>
      <c r="K34" s="34">
        <v>3</v>
      </c>
      <c r="L34" s="34">
        <v>3</v>
      </c>
      <c r="M34" s="34">
        <v>15</v>
      </c>
      <c r="N34" s="34">
        <v>15</v>
      </c>
      <c r="O34" s="34">
        <v>3</v>
      </c>
      <c r="P34" s="34">
        <v>3</v>
      </c>
      <c r="Q34" s="34">
        <v>3</v>
      </c>
      <c r="R34" s="34">
        <v>3</v>
      </c>
      <c r="S34" s="34">
        <v>9</v>
      </c>
      <c r="T34" s="34">
        <v>3</v>
      </c>
      <c r="U34" s="34">
        <v>3</v>
      </c>
      <c r="V34" s="34">
        <v>3</v>
      </c>
      <c r="W34" s="38">
        <f t="shared" si="0"/>
        <v>0.42539682539682538</v>
      </c>
      <c r="X34"/>
    </row>
    <row r="35" spans="1:24" ht="29" customHeight="1" x14ac:dyDescent="0.15">
      <c r="A35" s="24">
        <v>64826</v>
      </c>
      <c r="B35" s="33">
        <v>5</v>
      </c>
      <c r="C35" s="33">
        <v>15</v>
      </c>
      <c r="D35" s="33">
        <v>3</v>
      </c>
      <c r="E35" s="33">
        <v>3</v>
      </c>
      <c r="F35" s="34">
        <v>3</v>
      </c>
      <c r="G35" s="34">
        <v>3</v>
      </c>
      <c r="H35" s="34">
        <v>3</v>
      </c>
      <c r="I35" s="34"/>
      <c r="J35" s="34"/>
      <c r="K35" s="34">
        <v>3</v>
      </c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8">
        <f t="shared" si="0"/>
        <v>0.12063492063492064</v>
      </c>
      <c r="X35"/>
    </row>
    <row r="36" spans="1:24" ht="29" customHeight="1" x14ac:dyDescent="0.15">
      <c r="A36" s="24">
        <v>65878</v>
      </c>
      <c r="B36" s="33">
        <v>3</v>
      </c>
      <c r="C36" s="33">
        <v>15</v>
      </c>
      <c r="D36" s="33">
        <v>6</v>
      </c>
      <c r="E36" s="33">
        <v>3</v>
      </c>
      <c r="F36" s="34">
        <v>9</v>
      </c>
      <c r="G36" s="34">
        <v>9</v>
      </c>
      <c r="H36" s="34">
        <v>15</v>
      </c>
      <c r="I36" s="34">
        <v>3</v>
      </c>
      <c r="J36" s="34"/>
      <c r="K36" s="34">
        <v>3</v>
      </c>
      <c r="L36" s="34"/>
      <c r="M36" s="34">
        <v>3</v>
      </c>
      <c r="N36" s="34">
        <v>8</v>
      </c>
      <c r="O36" s="34">
        <v>15</v>
      </c>
      <c r="P36" s="34">
        <v>3</v>
      </c>
      <c r="Q36" s="34">
        <v>15</v>
      </c>
      <c r="R36" s="34">
        <v>3</v>
      </c>
      <c r="S36" s="34">
        <v>9</v>
      </c>
      <c r="T36" s="34">
        <v>3</v>
      </c>
      <c r="U36" s="34">
        <v>3</v>
      </c>
      <c r="V36" s="34">
        <v>15</v>
      </c>
      <c r="W36" s="38">
        <f t="shared" si="0"/>
        <v>0.45396825396825397</v>
      </c>
      <c r="X36"/>
    </row>
    <row r="37" spans="1:24" ht="29" customHeight="1" x14ac:dyDescent="0.15">
      <c r="A37" s="24">
        <v>69356</v>
      </c>
      <c r="B37" s="33"/>
      <c r="C37" s="33"/>
      <c r="D37" s="33">
        <v>3</v>
      </c>
      <c r="E37" s="33"/>
      <c r="F37" s="34"/>
      <c r="G37" s="34">
        <v>3</v>
      </c>
      <c r="H37" s="34">
        <v>3</v>
      </c>
      <c r="I37" s="34"/>
      <c r="J37" s="34"/>
      <c r="K37" s="34"/>
      <c r="L37" s="34">
        <v>3</v>
      </c>
      <c r="M37" s="34">
        <v>3</v>
      </c>
      <c r="N37" s="34"/>
      <c r="O37" s="34"/>
      <c r="P37" s="34"/>
      <c r="Q37" s="34"/>
      <c r="R37" s="34"/>
      <c r="S37" s="34"/>
      <c r="T37" s="34"/>
      <c r="U37" s="34"/>
      <c r="V37" s="34"/>
      <c r="W37" s="38">
        <f t="shared" si="0"/>
        <v>4.7619047619047616E-2</v>
      </c>
      <c r="X37"/>
    </row>
    <row r="38" spans="1:24" ht="29" customHeight="1" x14ac:dyDescent="0.15">
      <c r="A38" s="24">
        <v>98422</v>
      </c>
      <c r="B38" s="33">
        <v>15</v>
      </c>
      <c r="C38" s="33"/>
      <c r="D38" s="33"/>
      <c r="E38" s="33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8">
        <f t="shared" si="0"/>
        <v>4.7619047619047616E-2</v>
      </c>
      <c r="X38"/>
    </row>
    <row r="39" spans="1:24" ht="29" customHeight="1" x14ac:dyDescent="0.15">
      <c r="A39" s="24">
        <v>98812</v>
      </c>
      <c r="B39" s="33">
        <v>3</v>
      </c>
      <c r="C39" s="33">
        <v>15</v>
      </c>
      <c r="D39" s="33">
        <v>6</v>
      </c>
      <c r="E39" s="33">
        <v>3</v>
      </c>
      <c r="F39" s="34">
        <v>3</v>
      </c>
      <c r="G39" s="34">
        <v>9</v>
      </c>
      <c r="H39" s="34">
        <v>3</v>
      </c>
      <c r="I39" s="34">
        <v>3</v>
      </c>
      <c r="J39" s="34"/>
      <c r="K39" s="34">
        <v>3</v>
      </c>
      <c r="L39" s="34">
        <v>3</v>
      </c>
      <c r="M39" s="34">
        <v>3</v>
      </c>
      <c r="N39" s="34">
        <v>3</v>
      </c>
      <c r="O39" s="34">
        <v>3</v>
      </c>
      <c r="P39" s="34"/>
      <c r="Q39" s="34">
        <v>3</v>
      </c>
      <c r="R39" s="34"/>
      <c r="S39" s="34">
        <v>3</v>
      </c>
      <c r="T39" s="34"/>
      <c r="U39" s="34"/>
      <c r="V39" s="34"/>
      <c r="W39" s="38">
        <f t="shared" si="0"/>
        <v>0.20952380952380953</v>
      </c>
      <c r="X39"/>
    </row>
    <row r="40" spans="1:24" ht="29" customHeight="1" x14ac:dyDescent="0.15">
      <c r="A40" s="26"/>
      <c r="B40" s="2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5"/>
      <c r="X40"/>
    </row>
    <row r="41" spans="1:24" ht="29" customHeight="1" x14ac:dyDescent="0.15">
      <c r="A41" s="18" t="s">
        <v>38</v>
      </c>
      <c r="B41" s="39">
        <v>15</v>
      </c>
      <c r="C41" s="40">
        <v>15</v>
      </c>
      <c r="D41" s="40">
        <v>15</v>
      </c>
      <c r="E41" s="40">
        <v>15</v>
      </c>
      <c r="F41" s="40">
        <v>15</v>
      </c>
      <c r="G41" s="40">
        <v>15</v>
      </c>
      <c r="H41" s="40">
        <v>15</v>
      </c>
      <c r="I41" s="40">
        <v>15</v>
      </c>
      <c r="J41" s="40">
        <v>15</v>
      </c>
      <c r="K41" s="40">
        <v>15</v>
      </c>
      <c r="L41" s="40">
        <v>15</v>
      </c>
      <c r="M41" s="40">
        <v>15</v>
      </c>
      <c r="N41" s="40">
        <v>15</v>
      </c>
      <c r="O41" s="40">
        <v>15</v>
      </c>
      <c r="P41" s="40">
        <v>15</v>
      </c>
      <c r="Q41" s="40">
        <v>15</v>
      </c>
      <c r="R41" s="40">
        <v>15</v>
      </c>
      <c r="S41" s="40">
        <v>15</v>
      </c>
      <c r="T41" s="40">
        <v>15</v>
      </c>
      <c r="U41" s="40">
        <v>15</v>
      </c>
      <c r="V41" s="40">
        <v>15</v>
      </c>
      <c r="W41" s="41">
        <v>1</v>
      </c>
      <c r="X41"/>
    </row>
    <row r="42" spans="1:24" ht="29" customHeight="1" x14ac:dyDescent="0.15">
      <c r="A42" s="19" t="s">
        <v>39</v>
      </c>
      <c r="B42" s="42">
        <f t="shared" ref="B42:W42" si="1">AVERAGE(B$2:B$39)</f>
        <v>6.8055555555555554</v>
      </c>
      <c r="C42" s="42">
        <f t="shared" si="1"/>
        <v>13.909090909090908</v>
      </c>
      <c r="D42" s="42">
        <f t="shared" si="1"/>
        <v>8.0294117647058822</v>
      </c>
      <c r="E42" s="42">
        <f t="shared" si="1"/>
        <v>4.935483870967742</v>
      </c>
      <c r="F42" s="42">
        <f t="shared" si="1"/>
        <v>8.8857142857142861</v>
      </c>
      <c r="G42" s="42">
        <f t="shared" si="1"/>
        <v>5.8125</v>
      </c>
      <c r="H42" s="42">
        <f t="shared" si="1"/>
        <v>9.1714285714285708</v>
      </c>
      <c r="I42" s="42">
        <f t="shared" si="1"/>
        <v>4.3125</v>
      </c>
      <c r="J42" s="42">
        <f t="shared" si="1"/>
        <v>9.6</v>
      </c>
      <c r="K42" s="42">
        <f t="shared" si="1"/>
        <v>3.2</v>
      </c>
      <c r="L42" s="42">
        <f t="shared" si="1"/>
        <v>7.8</v>
      </c>
      <c r="M42" s="42">
        <f t="shared" si="1"/>
        <v>5.32258064516129</v>
      </c>
      <c r="N42" s="42">
        <f t="shared" si="1"/>
        <v>8.5806451612903221</v>
      </c>
      <c r="O42" s="42">
        <f t="shared" si="1"/>
        <v>8.3333333333333339</v>
      </c>
      <c r="P42" s="42">
        <f t="shared" si="1"/>
        <v>4.384615384615385</v>
      </c>
      <c r="Q42" s="42">
        <f t="shared" si="1"/>
        <v>6.7241379310344831</v>
      </c>
      <c r="R42" s="42">
        <f t="shared" si="1"/>
        <v>5.666666666666667</v>
      </c>
      <c r="S42" s="42">
        <f t="shared" si="1"/>
        <v>6.8571428571428568</v>
      </c>
      <c r="T42" s="42">
        <f t="shared" si="1"/>
        <v>4.1111111111111107</v>
      </c>
      <c r="U42" s="42">
        <f t="shared" si="1"/>
        <v>3.75</v>
      </c>
      <c r="V42" s="42">
        <f t="shared" si="1"/>
        <v>11.181818181818182</v>
      </c>
      <c r="W42" s="63">
        <f t="shared" si="1"/>
        <v>0.37351712614870508</v>
      </c>
      <c r="X42"/>
    </row>
    <row r="43" spans="1:24" ht="29" customHeight="1" x14ac:dyDescent="0.15">
      <c r="A43" s="20" t="s">
        <v>40</v>
      </c>
      <c r="B43" s="42">
        <f t="shared" ref="B43:W43" si="2">STDEV(B$2:B$39)</f>
        <v>4.1460442037781675</v>
      </c>
      <c r="C43" s="42">
        <f t="shared" si="2"/>
        <v>3.5032452487268544</v>
      </c>
      <c r="D43" s="42">
        <f t="shared" si="2"/>
        <v>5.6594533097027915</v>
      </c>
      <c r="E43" s="42">
        <f t="shared" si="2"/>
        <v>4.4865390066357964</v>
      </c>
      <c r="F43" s="42">
        <f t="shared" si="2"/>
        <v>4.8735264956909461</v>
      </c>
      <c r="G43" s="42">
        <f t="shared" si="2"/>
        <v>3.042044092064498</v>
      </c>
      <c r="H43" s="42">
        <f t="shared" si="2"/>
        <v>3.9888500059224961</v>
      </c>
      <c r="I43" s="42">
        <f t="shared" si="2"/>
        <v>2.5200806438709265</v>
      </c>
      <c r="J43" s="42">
        <f t="shared" si="2"/>
        <v>5.7571544695454273</v>
      </c>
      <c r="K43" s="42">
        <f t="shared" si="2"/>
        <v>1.0954451150103324</v>
      </c>
      <c r="L43" s="42">
        <f t="shared" si="2"/>
        <v>5.9792745494692774</v>
      </c>
      <c r="M43" s="42">
        <f t="shared" si="2"/>
        <v>4.8193159734149935</v>
      </c>
      <c r="N43" s="42">
        <f t="shared" si="2"/>
        <v>4.3952564851089715</v>
      </c>
      <c r="O43" s="42">
        <f t="shared" si="2"/>
        <v>5.0469064155991727</v>
      </c>
      <c r="P43" s="42">
        <f t="shared" si="2"/>
        <v>3.9097511233010529</v>
      </c>
      <c r="Q43" s="42">
        <f t="shared" si="2"/>
        <v>5.6498833851691002</v>
      </c>
      <c r="R43" s="42">
        <f t="shared" si="2"/>
        <v>5.0839112744179404</v>
      </c>
      <c r="S43" s="42">
        <f t="shared" si="2"/>
        <v>4.0708019567928586</v>
      </c>
      <c r="T43" s="42">
        <f t="shared" si="2"/>
        <v>3.3435740128621618</v>
      </c>
      <c r="U43" s="42">
        <f t="shared" si="2"/>
        <v>1.943274501832843</v>
      </c>
      <c r="V43" s="42">
        <f t="shared" si="2"/>
        <v>5.7207755354735541</v>
      </c>
      <c r="W43" s="63">
        <f t="shared" si="2"/>
        <v>0.18444960022770804</v>
      </c>
      <c r="X43"/>
    </row>
    <row r="44" spans="1:24" ht="29" customHeight="1" x14ac:dyDescent="0.15">
      <c r="A44" s="20" t="s">
        <v>41</v>
      </c>
      <c r="B44" s="42">
        <f t="shared" ref="B44:W44" si="3">MEDIAN(B$2:B$39)</f>
        <v>6</v>
      </c>
      <c r="C44" s="42">
        <f t="shared" si="3"/>
        <v>15</v>
      </c>
      <c r="D44" s="42">
        <f t="shared" si="3"/>
        <v>6</v>
      </c>
      <c r="E44" s="42">
        <f t="shared" si="3"/>
        <v>3</v>
      </c>
      <c r="F44" s="42">
        <f t="shared" si="3"/>
        <v>9</v>
      </c>
      <c r="G44" s="42">
        <f t="shared" si="3"/>
        <v>3</v>
      </c>
      <c r="H44" s="42">
        <f t="shared" si="3"/>
        <v>8</v>
      </c>
      <c r="I44" s="42">
        <f t="shared" si="3"/>
        <v>3</v>
      </c>
      <c r="J44" s="42">
        <f t="shared" si="3"/>
        <v>12</v>
      </c>
      <c r="K44" s="42">
        <f t="shared" si="3"/>
        <v>3</v>
      </c>
      <c r="L44" s="42">
        <f t="shared" si="3"/>
        <v>3</v>
      </c>
      <c r="M44" s="42">
        <f t="shared" si="3"/>
        <v>3</v>
      </c>
      <c r="N44" s="42">
        <f t="shared" si="3"/>
        <v>10</v>
      </c>
      <c r="O44" s="42">
        <f t="shared" si="3"/>
        <v>9</v>
      </c>
      <c r="P44" s="42">
        <f t="shared" si="3"/>
        <v>3</v>
      </c>
      <c r="Q44" s="42">
        <f t="shared" si="3"/>
        <v>3</v>
      </c>
      <c r="R44" s="42">
        <f t="shared" si="3"/>
        <v>3</v>
      </c>
      <c r="S44" s="42">
        <f t="shared" si="3"/>
        <v>9</v>
      </c>
      <c r="T44" s="42">
        <f t="shared" si="3"/>
        <v>3</v>
      </c>
      <c r="U44" s="42">
        <f t="shared" si="3"/>
        <v>3</v>
      </c>
      <c r="V44" s="42">
        <f t="shared" si="3"/>
        <v>15</v>
      </c>
      <c r="W44" s="63">
        <f t="shared" si="3"/>
        <v>0.42539682539682538</v>
      </c>
      <c r="X44"/>
    </row>
    <row r="45" spans="1:24" ht="29" customHeight="1" x14ac:dyDescent="0.15">
      <c r="A45" s="21" t="s">
        <v>42</v>
      </c>
      <c r="B45" s="43">
        <f t="shared" ref="B45:V45" si="4">IF(SUM(B2:B39)&gt;0,1,0)</f>
        <v>1</v>
      </c>
      <c r="C45" s="43">
        <f t="shared" si="4"/>
        <v>1</v>
      </c>
      <c r="D45" s="43">
        <f t="shared" si="4"/>
        <v>1</v>
      </c>
      <c r="E45" s="43">
        <f t="shared" si="4"/>
        <v>1</v>
      </c>
      <c r="F45" s="43">
        <f t="shared" si="4"/>
        <v>1</v>
      </c>
      <c r="G45" s="43">
        <f t="shared" si="4"/>
        <v>1</v>
      </c>
      <c r="H45" s="43">
        <f t="shared" si="4"/>
        <v>1</v>
      </c>
      <c r="I45" s="43">
        <f t="shared" si="4"/>
        <v>1</v>
      </c>
      <c r="J45" s="43">
        <f t="shared" si="4"/>
        <v>1</v>
      </c>
      <c r="K45" s="43">
        <f t="shared" si="4"/>
        <v>1</v>
      </c>
      <c r="L45" s="43">
        <f t="shared" si="4"/>
        <v>1</v>
      </c>
      <c r="M45" s="43">
        <f t="shared" si="4"/>
        <v>1</v>
      </c>
      <c r="N45" s="43">
        <f t="shared" si="4"/>
        <v>1</v>
      </c>
      <c r="O45" s="43">
        <f t="shared" si="4"/>
        <v>1</v>
      </c>
      <c r="P45" s="43">
        <f t="shared" si="4"/>
        <v>1</v>
      </c>
      <c r="Q45" s="43">
        <f t="shared" si="4"/>
        <v>1</v>
      </c>
      <c r="R45" s="43">
        <f t="shared" si="4"/>
        <v>1</v>
      </c>
      <c r="S45" s="43">
        <f t="shared" si="4"/>
        <v>1</v>
      </c>
      <c r="T45" s="43">
        <f t="shared" si="4"/>
        <v>1</v>
      </c>
      <c r="U45" s="43">
        <f t="shared" ref="U45" si="5">IF(SUM(U2:U39)&gt;0,1,0)</f>
        <v>1</v>
      </c>
      <c r="V45" s="43">
        <f t="shared" si="4"/>
        <v>1</v>
      </c>
      <c r="W45" s="40"/>
      <c r="X45"/>
    </row>
    <row r="46" spans="1:24" ht="40" customHeight="1" x14ac:dyDescent="0.15">
      <c r="A46" s="22" t="s">
        <v>43</v>
      </c>
      <c r="B46" s="23">
        <v>0</v>
      </c>
      <c r="W46" s="13"/>
      <c r="X46"/>
    </row>
    <row r="47" spans="1:24" ht="14" x14ac:dyDescent="0.15">
      <c r="B47"/>
    </row>
    <row r="50" spans="2:2" ht="14" x14ac:dyDescent="0.15">
      <c r="B50"/>
    </row>
    <row r="51" spans="2:2" ht="14" x14ac:dyDescent="0.15">
      <c r="B51"/>
    </row>
    <row r="52" spans="2:2" ht="14" x14ac:dyDescent="0.15">
      <c r="B52"/>
    </row>
    <row r="53" spans="2:2" ht="14" x14ac:dyDescent="0.15">
      <c r="B53"/>
    </row>
    <row r="54" spans="2:2" ht="14" x14ac:dyDescent="0.15">
      <c r="B54"/>
    </row>
    <row r="55" spans="2:2" ht="14" x14ac:dyDescent="0.15">
      <c r="B55"/>
    </row>
    <row r="56" spans="2:2" ht="14" x14ac:dyDescent="0.15">
      <c r="B56"/>
    </row>
    <row r="57" spans="2:2" ht="14" x14ac:dyDescent="0.15">
      <c r="B57"/>
    </row>
    <row r="58" spans="2:2" ht="14" x14ac:dyDescent="0.15">
      <c r="B58"/>
    </row>
    <row r="59" spans="2:2" ht="14" x14ac:dyDescent="0.15">
      <c r="B59"/>
    </row>
    <row r="60" spans="2:2" ht="14" x14ac:dyDescent="0.15">
      <c r="B60"/>
    </row>
    <row r="61" spans="2:2" ht="14" x14ac:dyDescent="0.15">
      <c r="B61"/>
    </row>
    <row r="62" spans="2:2" ht="14" x14ac:dyDescent="0.15">
      <c r="B62"/>
    </row>
    <row r="63" spans="2:2" ht="14" x14ac:dyDescent="0.15">
      <c r="B63"/>
    </row>
    <row r="64" spans="2:2" ht="14" x14ac:dyDescent="0.15">
      <c r="B64"/>
    </row>
    <row r="65" spans="2:2" ht="14" x14ac:dyDescent="0.15">
      <c r="B65"/>
    </row>
    <row r="66" spans="2:2" ht="14" x14ac:dyDescent="0.15">
      <c r="B66"/>
    </row>
    <row r="67" spans="2:2" ht="14" x14ac:dyDescent="0.15">
      <c r="B67"/>
    </row>
    <row r="68" spans="2:2" ht="14" x14ac:dyDescent="0.15">
      <c r="B68"/>
    </row>
    <row r="69" spans="2:2" ht="14" x14ac:dyDescent="0.15">
      <c r="B69"/>
    </row>
    <row r="70" spans="2:2" ht="14" x14ac:dyDescent="0.15">
      <c r="B70"/>
    </row>
    <row r="71" spans="2:2" ht="14" x14ac:dyDescent="0.15">
      <c r="B71"/>
    </row>
    <row r="72" spans="2:2" ht="14" x14ac:dyDescent="0.15">
      <c r="B72"/>
    </row>
    <row r="73" spans="2:2" ht="14" x14ac:dyDescent="0.15">
      <c r="B73"/>
    </row>
    <row r="74" spans="2:2" ht="14" x14ac:dyDescent="0.15">
      <c r="B74"/>
    </row>
    <row r="75" spans="2:2" ht="14" x14ac:dyDescent="0.15">
      <c r="B75"/>
    </row>
    <row r="76" spans="2:2" ht="14" x14ac:dyDescent="0.15">
      <c r="B76"/>
    </row>
    <row r="77" spans="2:2" ht="14" x14ac:dyDescent="0.15">
      <c r="B77"/>
    </row>
    <row r="78" spans="2:2" ht="14" x14ac:dyDescent="0.15">
      <c r="B78"/>
    </row>
    <row r="79" spans="2:2" ht="14" x14ac:dyDescent="0.15">
      <c r="B79"/>
    </row>
    <row r="80" spans="2:2" ht="14" x14ac:dyDescent="0.15">
      <c r="B80"/>
    </row>
    <row r="81" spans="2:2" ht="14" x14ac:dyDescent="0.15">
      <c r="B81"/>
    </row>
    <row r="82" spans="2:2" ht="14" x14ac:dyDescent="0.15">
      <c r="B82"/>
    </row>
    <row r="83" spans="2:2" ht="14" x14ac:dyDescent="0.15">
      <c r="B83"/>
    </row>
    <row r="84" spans="2:2" ht="14" x14ac:dyDescent="0.15">
      <c r="B84"/>
    </row>
    <row r="85" spans="2:2" ht="14" x14ac:dyDescent="0.15">
      <c r="B85"/>
    </row>
    <row r="86" spans="2:2" ht="14" x14ac:dyDescent="0.15">
      <c r="B86"/>
    </row>
    <row r="87" spans="2:2" ht="14" x14ac:dyDescent="0.15">
      <c r="B87"/>
    </row>
    <row r="88" spans="2:2" ht="14" x14ac:dyDescent="0.15">
      <c r="B88"/>
    </row>
    <row r="89" spans="2:2" ht="14" x14ac:dyDescent="0.15">
      <c r="B89"/>
    </row>
    <row r="90" spans="2:2" ht="14" x14ac:dyDescent="0.15">
      <c r="B90"/>
    </row>
    <row r="91" spans="2:2" ht="14" x14ac:dyDescent="0.15">
      <c r="B91"/>
    </row>
    <row r="92" spans="2:2" ht="14" x14ac:dyDescent="0.15">
      <c r="B92"/>
    </row>
    <row r="93" spans="2:2" ht="14" x14ac:dyDescent="0.15">
      <c r="B93"/>
    </row>
    <row r="94" spans="2:2" ht="14" x14ac:dyDescent="0.15">
      <c r="B94"/>
    </row>
    <row r="95" spans="2:2" ht="14" x14ac:dyDescent="0.15">
      <c r="B95"/>
    </row>
    <row r="96" spans="2:2" ht="14" x14ac:dyDescent="0.15">
      <c r="B96"/>
    </row>
    <row r="97" spans="2:2" ht="14" x14ac:dyDescent="0.15">
      <c r="B97"/>
    </row>
    <row r="98" spans="2:2" ht="14" x14ac:dyDescent="0.15">
      <c r="B98"/>
    </row>
    <row r="99" spans="2:2" ht="14" x14ac:dyDescent="0.15">
      <c r="B99"/>
    </row>
    <row r="100" spans="2:2" ht="14" x14ac:dyDescent="0.15">
      <c r="B100"/>
    </row>
    <row r="101" spans="2:2" ht="14" x14ac:dyDescent="0.15">
      <c r="B101"/>
    </row>
    <row r="102" spans="2:2" ht="14" x14ac:dyDescent="0.15">
      <c r="B102"/>
    </row>
    <row r="103" spans="2:2" ht="14" x14ac:dyDescent="0.15">
      <c r="B103"/>
    </row>
    <row r="104" spans="2:2" ht="14" x14ac:dyDescent="0.15">
      <c r="B104"/>
    </row>
    <row r="105" spans="2:2" ht="14" x14ac:dyDescent="0.15">
      <c r="B105"/>
    </row>
    <row r="106" spans="2:2" ht="14" x14ac:dyDescent="0.15">
      <c r="B106"/>
    </row>
    <row r="107" spans="2:2" ht="14" x14ac:dyDescent="0.15">
      <c r="B107"/>
    </row>
    <row r="108" spans="2:2" ht="14" x14ac:dyDescent="0.15">
      <c r="B108"/>
    </row>
    <row r="109" spans="2:2" ht="14" x14ac:dyDescent="0.15">
      <c r="B109"/>
    </row>
    <row r="110" spans="2:2" ht="14" x14ac:dyDescent="0.15">
      <c r="B110"/>
    </row>
    <row r="111" spans="2:2" ht="14" x14ac:dyDescent="0.15">
      <c r="B111"/>
    </row>
    <row r="112" spans="2:2" ht="14" x14ac:dyDescent="0.15">
      <c r="B112"/>
    </row>
    <row r="113" spans="2:2" ht="14" x14ac:dyDescent="0.15">
      <c r="B113"/>
    </row>
    <row r="114" spans="2:2" ht="14" x14ac:dyDescent="0.15">
      <c r="B114"/>
    </row>
    <row r="115" spans="2:2" ht="14" x14ac:dyDescent="0.15">
      <c r="B115"/>
    </row>
    <row r="116" spans="2:2" ht="14" x14ac:dyDescent="0.15">
      <c r="B116"/>
    </row>
    <row r="117" spans="2:2" ht="14" x14ac:dyDescent="0.15">
      <c r="B117"/>
    </row>
    <row r="118" spans="2:2" ht="14" x14ac:dyDescent="0.15">
      <c r="B118"/>
    </row>
    <row r="119" spans="2:2" ht="14" x14ac:dyDescent="0.15">
      <c r="B119"/>
    </row>
    <row r="120" spans="2:2" ht="14" x14ac:dyDescent="0.15">
      <c r="B120"/>
    </row>
    <row r="121" spans="2:2" ht="14" x14ac:dyDescent="0.15">
      <c r="B121"/>
    </row>
    <row r="122" spans="2:2" ht="14" x14ac:dyDescent="0.15">
      <c r="B122"/>
    </row>
    <row r="123" spans="2:2" ht="14" x14ac:dyDescent="0.15">
      <c r="B123"/>
    </row>
    <row r="124" spans="2:2" ht="14" x14ac:dyDescent="0.15">
      <c r="B124"/>
    </row>
    <row r="125" spans="2:2" ht="14" x14ac:dyDescent="0.15">
      <c r="B125"/>
    </row>
    <row r="126" spans="2:2" ht="14" x14ac:dyDescent="0.15">
      <c r="B126"/>
    </row>
    <row r="127" spans="2:2" ht="14" x14ac:dyDescent="0.15">
      <c r="B127"/>
    </row>
    <row r="128" spans="2:2" ht="14" x14ac:dyDescent="0.15">
      <c r="B128"/>
    </row>
    <row r="129" spans="2:2" ht="14" x14ac:dyDescent="0.15">
      <c r="B129"/>
    </row>
    <row r="130" spans="2:2" ht="14" x14ac:dyDescent="0.15">
      <c r="B130"/>
    </row>
    <row r="131" spans="2:2" ht="14" x14ac:dyDescent="0.15">
      <c r="B131"/>
    </row>
    <row r="132" spans="2:2" ht="14" x14ac:dyDescent="0.15">
      <c r="B132"/>
    </row>
    <row r="133" spans="2:2" ht="14" x14ac:dyDescent="0.15">
      <c r="B133"/>
    </row>
    <row r="134" spans="2:2" ht="14" x14ac:dyDescent="0.15">
      <c r="B134"/>
    </row>
    <row r="135" spans="2:2" ht="14" x14ac:dyDescent="0.15">
      <c r="B135"/>
    </row>
    <row r="136" spans="2:2" ht="14" x14ac:dyDescent="0.15">
      <c r="B136"/>
    </row>
    <row r="137" spans="2:2" ht="14" x14ac:dyDescent="0.15">
      <c r="B137"/>
    </row>
    <row r="138" spans="2:2" ht="14" x14ac:dyDescent="0.15">
      <c r="B138"/>
    </row>
    <row r="139" spans="2:2" ht="14" x14ac:dyDescent="0.15">
      <c r="B139"/>
    </row>
    <row r="140" spans="2:2" ht="14" x14ac:dyDescent="0.15">
      <c r="B140"/>
    </row>
    <row r="141" spans="2:2" ht="14" x14ac:dyDescent="0.15">
      <c r="B141"/>
    </row>
  </sheetData>
  <sortState xmlns:xlrd2="http://schemas.microsoft.com/office/spreadsheetml/2017/richdata2" ref="A2:B39">
    <sortCondition ref="A2:A39"/>
  </sortState>
  <phoneticPr fontId="6"/>
  <pageMargins left="0.75" right="0.75" top="1" bottom="1" header="0.5" footer="0.5"/>
  <pageSetup paperSize="10" scale="25" orientation="portrait" horizontalDpi="4294967292" verticalDpi="4294967292"/>
  <headerFooter alignWithMargins="0"/>
  <colBreaks count="1" manualBreakCount="1">
    <brk id="8" max="1048575" man="1"/>
  </colBreaks>
  <ignoredErrors>
    <ignoredError sqref="A2:A11 A27:A36 A37:A39 A12:A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5"/>
  <sheetViews>
    <sheetView zoomScaleNormal="100" workbookViewId="0">
      <selection activeCell="O1" sqref="O1"/>
    </sheetView>
  </sheetViews>
  <sheetFormatPr baseColWidth="10" defaultRowHeight="13" x14ac:dyDescent="0.15"/>
  <cols>
    <col min="1" max="1" width="20.83203125" customWidth="1"/>
    <col min="2" max="3" width="10.83203125" customWidth="1"/>
    <col min="11" max="11" width="10.83203125" customWidth="1"/>
  </cols>
  <sheetData>
    <row r="1" spans="1:15" ht="24" customHeight="1" x14ac:dyDescent="0.15">
      <c r="A1" s="1" t="s">
        <v>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48</v>
      </c>
      <c r="N1" s="4" t="s">
        <v>37</v>
      </c>
      <c r="O1" s="64"/>
    </row>
    <row r="2" spans="1:15" ht="29" customHeight="1" x14ac:dyDescent="0.15">
      <c r="A2" s="53" t="s">
        <v>49</v>
      </c>
      <c r="B2" s="54"/>
      <c r="C2" s="51">
        <v>80</v>
      </c>
      <c r="D2" s="34">
        <f>0+0+10+10+0+10+0+10+10+0+0+0</f>
        <v>50</v>
      </c>
      <c r="E2" s="33">
        <f>(10+10+10+10+10+0+0+0+0+0+0+0+0)</f>
        <v>50</v>
      </c>
      <c r="F2" s="51"/>
      <c r="G2" s="51">
        <f>(1+6+4+3+2+5+0+0+0+0+0+6+10+0+10)</f>
        <v>47</v>
      </c>
      <c r="H2" s="51">
        <f>(10+10+10+10+9+10+10+10+10+10)</f>
        <v>99</v>
      </c>
      <c r="I2" s="51">
        <f>10+10+10+10+10+10+10+10+10+0</f>
        <v>90</v>
      </c>
      <c r="J2" s="51"/>
      <c r="K2" s="37"/>
      <c r="L2" s="51">
        <f>10+10+10+10+10+10+10+10+9.5+10+10+10+10+10+10</f>
        <v>149.5</v>
      </c>
      <c r="M2" s="51">
        <f>10+10+10+10+10+10+10+10+10+10+10+10+10+10+10+10+10+10+10+10+10+10+10+10</f>
        <v>240</v>
      </c>
      <c r="N2" s="38">
        <f t="shared" ref="N2:N37" si="0">IF(SUM($B$45:$M$45)&gt;0,1.5*(B2/$B$41+C2/$C$41+D2/$D$41+E2/$E$41+F2/$F$41+G2/$G$41+H2/$H$41+I2/$I$41+J2/$J$41+K2/$K$41+L2/$L$41+M2/$M$41)/SUM($B$45:$M$45),0)</f>
        <v>0.70849358974358967</v>
      </c>
    </row>
    <row r="3" spans="1:15" ht="29" customHeight="1" x14ac:dyDescent="0.15">
      <c r="A3" s="24">
        <v>22166</v>
      </c>
      <c r="B3" s="54"/>
      <c r="C3" s="51"/>
      <c r="D3" s="34"/>
      <c r="E3" s="33"/>
      <c r="F3" s="51"/>
      <c r="G3" s="51"/>
      <c r="H3" s="51"/>
      <c r="I3" s="51"/>
      <c r="J3" s="51"/>
      <c r="K3" s="37"/>
      <c r="L3" s="51"/>
      <c r="M3" s="51"/>
      <c r="N3" s="38">
        <f t="shared" si="0"/>
        <v>0</v>
      </c>
    </row>
    <row r="4" spans="1:15" ht="29" customHeight="1" x14ac:dyDescent="0.15">
      <c r="A4" s="24">
        <v>24616</v>
      </c>
      <c r="B4" s="54"/>
      <c r="C4" s="51"/>
      <c r="D4" s="34"/>
      <c r="E4" s="33"/>
      <c r="F4" s="51"/>
      <c r="G4" s="51"/>
      <c r="H4" s="51"/>
      <c r="I4" s="51"/>
      <c r="J4" s="51"/>
      <c r="K4" s="37"/>
      <c r="L4" s="51"/>
      <c r="M4" s="51"/>
      <c r="N4" s="38">
        <f t="shared" si="0"/>
        <v>0</v>
      </c>
    </row>
    <row r="5" spans="1:15" ht="29" customHeight="1" x14ac:dyDescent="0.15">
      <c r="A5" s="24">
        <v>28431</v>
      </c>
      <c r="B5" s="54">
        <f>7+0+0+0+0+9+0+10+0+0+0+0</f>
        <v>26</v>
      </c>
      <c r="C5" s="51">
        <v>71</v>
      </c>
      <c r="D5" s="57">
        <f>9+10+0+5+7+6+3+0+9+7+0+0</f>
        <v>56</v>
      </c>
      <c r="E5" s="33">
        <f>(8+0+7+0+0+10+6+10+10+6+7+10+10)</f>
        <v>84</v>
      </c>
      <c r="F5" s="51">
        <f>10+9+6+10+3+0+3</f>
        <v>41</v>
      </c>
      <c r="G5" s="51">
        <f>(4+9+10+3+10+10+8+0+8+0+6+1+10+4+2)</f>
        <v>85</v>
      </c>
      <c r="H5" s="51">
        <f>(10+2+1+8+4+3+2+7+0+10)</f>
        <v>47</v>
      </c>
      <c r="I5" s="51">
        <f>10+5+8+8+1+5+0+2+10+3</f>
        <v>52</v>
      </c>
      <c r="J5" s="51">
        <f>10+10+7+8+9+8+9.5+9.5+9.5+0+4+0+0</f>
        <v>84.5</v>
      </c>
      <c r="K5" s="37">
        <f>5+10+3+5+10+0+0+5+10+7</f>
        <v>55</v>
      </c>
      <c r="L5" s="51">
        <f>10+8+7+8+10+8+0+8+9.5+10+10+10+7+10+4</f>
        <v>119.5</v>
      </c>
      <c r="M5" s="51"/>
      <c r="N5" s="38">
        <f t="shared" si="0"/>
        <v>0.75752518315018313</v>
      </c>
    </row>
    <row r="6" spans="1:15" ht="29" customHeight="1" x14ac:dyDescent="0.15">
      <c r="A6" s="24">
        <v>28745</v>
      </c>
      <c r="B6" s="54">
        <f>7+0+8+0+7+0+0+10+8+8+9.5+10</f>
        <v>67.5</v>
      </c>
      <c r="C6" s="51">
        <v>80.25</v>
      </c>
      <c r="D6" s="58">
        <f>1+10+10+0+3+2+3+0+10+7+0+2</f>
        <v>48</v>
      </c>
      <c r="E6" s="33">
        <f>(7.5+0+1+1+5+8+4.5+4+10+5+4+10+8)</f>
        <v>68</v>
      </c>
      <c r="F6" s="51">
        <f>10+10+0+2+3+4+2</f>
        <v>31</v>
      </c>
      <c r="G6" s="51">
        <f>(6+8+4+7+2+5+2+0+3+0+3+8+3+10+0)</f>
        <v>61</v>
      </c>
      <c r="H6" s="51">
        <f>(1+2+1+6+2+7+0+2+3+3)</f>
        <v>27</v>
      </c>
      <c r="I6" s="51">
        <f>4+5+9+8+3+5+4+9+7+3</f>
        <v>57</v>
      </c>
      <c r="J6" s="51">
        <f>10+6+8+2+6+7+7.5+2+6+4+0+0+0</f>
        <v>58.5</v>
      </c>
      <c r="K6" s="37">
        <f>5+10+3+10+8+3+0+0+6+5</f>
        <v>50</v>
      </c>
      <c r="L6" s="51">
        <f>8+9+4+5+4+10+5+9+7.5+8+0+10+8+0+3</f>
        <v>90.5</v>
      </c>
      <c r="M6" s="51">
        <f>4+6+3+5+5+0  +7+9+0+0+5+9  +9+6+5+0+5+9  +0+3+0+0+0+0</f>
        <v>90</v>
      </c>
      <c r="N6" s="38">
        <f t="shared" si="0"/>
        <v>0.72152300824175819</v>
      </c>
    </row>
    <row r="7" spans="1:15" ht="29" customHeight="1" x14ac:dyDescent="0.15">
      <c r="A7" s="24">
        <v>30063</v>
      </c>
      <c r="B7" s="54"/>
      <c r="C7" s="51">
        <v>23</v>
      </c>
      <c r="D7" s="34">
        <f>10+8+0+5+0+6+1+0+0+0+0+0</f>
        <v>30</v>
      </c>
      <c r="E7" s="33">
        <f>(4+10+10+6+9+0+0+10+10+10+3+0+6)</f>
        <v>78</v>
      </c>
      <c r="F7" s="51"/>
      <c r="G7" s="51">
        <f>4+0+3+9+3+4+1+0+0+0+0+0+0+0+0</f>
        <v>24</v>
      </c>
      <c r="H7" s="51">
        <f>(4+6+1+1+3+3+0+2+0+8)</f>
        <v>28</v>
      </c>
      <c r="I7" s="51">
        <f>0+6+5+0+0+0+0+4+0+0</f>
        <v>15</v>
      </c>
      <c r="J7" s="51"/>
      <c r="K7" s="37">
        <f>5+2+3+1+0+0+0+0+0+0</f>
        <v>11</v>
      </c>
      <c r="L7" s="51"/>
      <c r="M7" s="51"/>
      <c r="N7" s="38">
        <f t="shared" si="0"/>
        <v>0.21770833333333331</v>
      </c>
    </row>
    <row r="8" spans="1:15" ht="29" customHeight="1" x14ac:dyDescent="0.15">
      <c r="A8" s="24">
        <v>32418</v>
      </c>
      <c r="B8" s="54">
        <f>9.5+10+10+10+8+10+10+10+10+8+9.5+10</f>
        <v>115</v>
      </c>
      <c r="C8" s="51">
        <v>120</v>
      </c>
      <c r="D8" s="57">
        <f>7+10+10+10+10+6+3+3+2+4+9+2</f>
        <v>76</v>
      </c>
      <c r="E8" s="33">
        <f>(10+9.75+10+10+10+10+9+10+10+10+9+10+10)</f>
        <v>127.75</v>
      </c>
      <c r="F8" s="51">
        <f>10+0+8+10+6+10+10</f>
        <v>54</v>
      </c>
      <c r="G8" s="51">
        <f>(8+10+10+10+10+10+8+10+9+8+6+9+10+10+10)</f>
        <v>138</v>
      </c>
      <c r="H8" s="51">
        <f>(9.75+9+10+10+9+10+9+10+9+10)</f>
        <v>95.75</v>
      </c>
      <c r="I8" s="51">
        <f>8+9+10+2+8+8+6+8+10+3</f>
        <v>72</v>
      </c>
      <c r="J8" s="51">
        <f>10+9+9.5+9+10+10+10+10+10+10+5+7+7</f>
        <v>116.5</v>
      </c>
      <c r="K8" s="37">
        <f>5+9+10+10+10+10+10+10+10+10</f>
        <v>94</v>
      </c>
      <c r="L8" s="51">
        <f>10+10+9.5+10+10+10+10+10+10+9.5+10+10+9+10+7</f>
        <v>145</v>
      </c>
      <c r="M8" s="51">
        <f>10+10+3+8+10+10  +10+0+8+10+9+10  +10+9+7+0+6+10  +7+10+10+10+10+10</f>
        <v>197</v>
      </c>
      <c r="N8" s="38">
        <f t="shared" si="0"/>
        <v>1.3208676739926739</v>
      </c>
    </row>
    <row r="9" spans="1:15" ht="29" customHeight="1" x14ac:dyDescent="0.15">
      <c r="A9" s="24">
        <v>37701</v>
      </c>
      <c r="B9" s="54">
        <f>2+1+6+10+10+10+10+10+3+8+0+2</f>
        <v>72</v>
      </c>
      <c r="C9" s="51">
        <v>89</v>
      </c>
      <c r="D9" s="57">
        <f>10+10+10+10+5+10+3+0+10+10+4+1</f>
        <v>83</v>
      </c>
      <c r="E9" s="33">
        <f>(7+9+7+7.5+4+8.5+5+10+10+10+7.5+4+9)</f>
        <v>98.5</v>
      </c>
      <c r="F9" s="51">
        <f>10+9+7+4+3+0+10</f>
        <v>43</v>
      </c>
      <c r="G9" s="51">
        <f>(8+10+10+10+3+7+3+0+7+10+0+10+10+10+4)</f>
        <v>102</v>
      </c>
      <c r="H9" s="51">
        <f>(8+7+6+6+4+5+5+6+3+10)</f>
        <v>60</v>
      </c>
      <c r="I9" s="51">
        <f>10+5+8+3+8+5+6+10+10+7</f>
        <v>72</v>
      </c>
      <c r="J9" s="51">
        <f>10+10+9+7.5+10+8+7.5+10+6+4+4+10+6</f>
        <v>102</v>
      </c>
      <c r="K9" s="37">
        <f>5+3+3+10+10+10+0+10+10+10</f>
        <v>71</v>
      </c>
      <c r="L9" s="51">
        <f>8+9+7+8+9+8.5+10+9+7.5+9.5+10+0+8+7+4</f>
        <v>114.5</v>
      </c>
      <c r="M9" s="51">
        <f>3+10+3+0+5+0  +0+0+0+0+3+0  +5+0+0+0+6+10  +0+0+0+0+0+0</f>
        <v>45</v>
      </c>
      <c r="N9" s="38">
        <f t="shared" si="0"/>
        <v>0.98134500915750911</v>
      </c>
    </row>
    <row r="10" spans="1:15" ht="29" customHeight="1" x14ac:dyDescent="0.15">
      <c r="A10" s="24">
        <v>37840</v>
      </c>
      <c r="B10" s="54">
        <f>10+0+0+0+9.5+0+0+0+0+0+0+0</f>
        <v>19.5</v>
      </c>
      <c r="C10" s="51">
        <v>61</v>
      </c>
      <c r="D10" s="57">
        <f>10+10+10+10+6+10+3+3+10+7+4+0</f>
        <v>83</v>
      </c>
      <c r="E10" s="33">
        <f>(8+0+9.5+5+5+5+5+0+0+0+0+0+0)</f>
        <v>37.5</v>
      </c>
      <c r="F10" s="51">
        <f>10+0+9+5+3+0+10</f>
        <v>37</v>
      </c>
      <c r="G10" s="51">
        <f>(0+4+10+10+3+9+4+0+7+0+3+0+10+0+0)</f>
        <v>60</v>
      </c>
      <c r="H10" s="51">
        <f>(1+2+4+9+4+10+0+0+0+0)</f>
        <v>30</v>
      </c>
      <c r="I10" s="51">
        <f>2+4+10+7+0+0+0+0+0+0</f>
        <v>23</v>
      </c>
      <c r="J10" s="51">
        <f>10+10+9+0+8+0+8.5+0+0+0+0+0+0</f>
        <v>45.5</v>
      </c>
      <c r="K10" s="37">
        <f>10+0+3+10+10+6+0+5+0+0</f>
        <v>44</v>
      </c>
      <c r="L10" s="51"/>
      <c r="M10" s="51"/>
      <c r="N10" s="38">
        <f t="shared" si="0"/>
        <v>0.4874416208791208</v>
      </c>
    </row>
    <row r="11" spans="1:15" ht="29" customHeight="1" x14ac:dyDescent="0.15">
      <c r="A11" s="24">
        <v>39304</v>
      </c>
      <c r="B11" s="54">
        <f>10+7+9.5+8+10+5+0+10+0+7+9.5+10</f>
        <v>86</v>
      </c>
      <c r="C11" s="51">
        <v>72.5</v>
      </c>
      <c r="D11" s="34">
        <f>10+7+0+10+4+10+6+3+10+7+5+2</f>
        <v>74</v>
      </c>
      <c r="E11" s="33">
        <f>(4+2+9+5+5+8+4+7+8+7+4+5+7)</f>
        <v>75</v>
      </c>
      <c r="F11" s="51">
        <f>10+3+8+4+0+10+10</f>
        <v>45</v>
      </c>
      <c r="G11" s="51">
        <f>(7+6+10+10+10+3+8+0+7+0+5+10+9+10+10)</f>
        <v>105</v>
      </c>
      <c r="H11" s="51">
        <f>(7+7+6+10+9+7+7.5+10+7+10)</f>
        <v>80.5</v>
      </c>
      <c r="I11" s="51">
        <f>5+10+10+4+6+2+2+4+10+3</f>
        <v>56</v>
      </c>
      <c r="J11" s="51">
        <f>10+10+9+7.5+9+4+10+9.5+6+5+3.5+2+6</f>
        <v>91.5</v>
      </c>
      <c r="K11" s="37">
        <f>5+1+10+10+10+10+0+3+10+10</f>
        <v>69</v>
      </c>
      <c r="L11" s="51">
        <f>10+10+9.5+10+7+10+7+10+6+8+10+10+7+7+3</f>
        <v>124.5</v>
      </c>
      <c r="M11" s="51">
        <f>7+10+3+7+10+10+8+8+8+10+4+3+10+4+3+7+8+6+4+3+4+5+5+10</f>
        <v>157</v>
      </c>
      <c r="N11" s="38">
        <f t="shared" si="0"/>
        <v>1.0125366300366299</v>
      </c>
    </row>
    <row r="12" spans="1:15" ht="29" customHeight="1" x14ac:dyDescent="0.15">
      <c r="A12" s="24">
        <v>41765</v>
      </c>
      <c r="B12" s="54"/>
      <c r="C12" s="51"/>
      <c r="D12" s="34"/>
      <c r="E12" s="33"/>
      <c r="F12" s="51"/>
      <c r="G12" s="51"/>
      <c r="H12" s="51"/>
      <c r="I12" s="51"/>
      <c r="J12" s="51"/>
      <c r="K12" s="37"/>
      <c r="L12" s="51"/>
      <c r="M12" s="37"/>
      <c r="N12" s="38">
        <f t="shared" si="0"/>
        <v>0</v>
      </c>
    </row>
    <row r="13" spans="1:15" ht="29" customHeight="1" x14ac:dyDescent="0.15">
      <c r="A13" s="24">
        <v>41772</v>
      </c>
      <c r="B13" s="54"/>
      <c r="C13" s="51">
        <v>87</v>
      </c>
      <c r="D13" s="34">
        <f>10+4+0+6+5+0+0+3+4+0+0+0</f>
        <v>32</v>
      </c>
      <c r="E13" s="33"/>
      <c r="F13" s="51">
        <f>10+0+8+4+3+7+8</f>
        <v>40</v>
      </c>
      <c r="G13" s="51">
        <f>(0+4+9.5+8+10+10+9+0+0+0+3+9+10+10+4)</f>
        <v>86.5</v>
      </c>
      <c r="H13" s="51"/>
      <c r="I13" s="51">
        <f>0+4+10+4+0+7+0+8+4+3</f>
        <v>40</v>
      </c>
      <c r="J13" s="51">
        <f>10+7+8+6+2+8+1+7.5+6+5.5+3+0+0</f>
        <v>64</v>
      </c>
      <c r="K13" s="37">
        <f>5+10+3+10+0+6+0+10+0+5</f>
        <v>49</v>
      </c>
      <c r="L13" s="51"/>
      <c r="M13" s="51"/>
      <c r="N13" s="38">
        <f t="shared" si="0"/>
        <v>0.44025869963369962</v>
      </c>
    </row>
    <row r="14" spans="1:15" ht="29" customHeight="1" x14ac:dyDescent="0.15">
      <c r="A14" s="24">
        <v>41850</v>
      </c>
      <c r="B14" s="54">
        <f>10+0+10+10+10+10+10+10+10+8+9.5+10</f>
        <v>107.5</v>
      </c>
      <c r="C14" s="51">
        <v>120</v>
      </c>
      <c r="D14" s="57">
        <f>10+10+10+10+10+10+10+10+10+7+10+9</f>
        <v>116</v>
      </c>
      <c r="E14" s="33">
        <f>(9+7+10+8.5+8.5+10+9.5+10+10+9.5+9+8+10)</f>
        <v>119</v>
      </c>
      <c r="F14" s="51">
        <f>(10+10+10+5+4+10+8)</f>
        <v>57</v>
      </c>
      <c r="G14" s="51">
        <f>(10+10+10+10+6+10+9+0+10+9+10+10+10+10+4)</f>
        <v>128</v>
      </c>
      <c r="H14" s="51">
        <f>(10+10+8+10+10+10+10+6+8+10)</f>
        <v>92</v>
      </c>
      <c r="I14" s="51">
        <f>10+9+10+10+8+7+6+10+10+10</f>
        <v>90</v>
      </c>
      <c r="J14" s="51">
        <f>10+10+10+7+10+10+10+10+9+9.5+0+5+8</f>
        <v>108.5</v>
      </c>
      <c r="K14" s="37">
        <f>10+10+10+10+10+7+8+10+10+10</f>
        <v>95</v>
      </c>
      <c r="L14" s="51">
        <f>10+9+10+10+10+10+10+10+10+8+10+10+10+10+5</f>
        <v>142</v>
      </c>
      <c r="M14" s="51">
        <f>10+10+4+9+10+10+0+10+10+0+0+10+10+10+10+10+0+10+10+0+10+10+7+9</f>
        <v>179</v>
      </c>
      <c r="N14" s="38">
        <f t="shared" si="0"/>
        <v>1.3428273809523812</v>
      </c>
    </row>
    <row r="15" spans="1:15" ht="29" customHeight="1" x14ac:dyDescent="0.15">
      <c r="A15" s="24">
        <v>42057</v>
      </c>
      <c r="B15" s="54">
        <f>7+10+9+0+8+10+10+10+10+7+9.5+10</f>
        <v>100.5</v>
      </c>
      <c r="C15" s="51">
        <v>82.5</v>
      </c>
      <c r="D15" s="57">
        <f>10+8+10+10+7+10+10+1+9+3+8+5</f>
        <v>91</v>
      </c>
      <c r="E15" s="33">
        <f>(10+9+7+7.5+7+10+6+10+10+7.5+9+10+10)</f>
        <v>113</v>
      </c>
      <c r="F15" s="51">
        <f>10+9+8+3+3+10+8</f>
        <v>51</v>
      </c>
      <c r="G15" s="51">
        <f>(8+10+10+10+10+8+8+0+7+10+8.5+10+10+8+7)</f>
        <v>124.5</v>
      </c>
      <c r="H15" s="51">
        <f>(8+7+6+8+7+10+5+7+5+10)</f>
        <v>73</v>
      </c>
      <c r="I15" s="51">
        <f>10+9+10+7+3+7+0+9+6+3</f>
        <v>64</v>
      </c>
      <c r="J15" s="51">
        <f>10+9.5+9.5+7.5+10+9.5+9.5+10+9+6+4+2+6</f>
        <v>102.5</v>
      </c>
      <c r="K15" s="37">
        <f>10+10+3+10+10+10+3+5+10+10</f>
        <v>81</v>
      </c>
      <c r="L15" s="51">
        <f>10+10+9+10+10+10+10+10+10+10+0+10+9+7+8</f>
        <v>133</v>
      </c>
      <c r="M15" s="51">
        <f>8+10+3+8+10+10  +10+9+4+9+0+10  +10+6+7+0+0+10  +4+6+7+10+10+7</f>
        <v>168</v>
      </c>
      <c r="N15" s="38">
        <f t="shared" si="0"/>
        <v>1.1582829670329668</v>
      </c>
    </row>
    <row r="16" spans="1:15" ht="29" customHeight="1" x14ac:dyDescent="0.15">
      <c r="A16" s="24">
        <v>43868</v>
      </c>
      <c r="B16" s="55">
        <f>10+10+10+10+9.5+10+10+10+10+9+9.5+7</f>
        <v>115</v>
      </c>
      <c r="C16" s="56">
        <v>105</v>
      </c>
      <c r="D16" s="33">
        <f>10+10+3+10+7+8+10+10+9+7+8+0</f>
        <v>92</v>
      </c>
      <c r="E16" s="33">
        <f>(10+3+0+5+4+10+6+10+10+10+5+9.5+10)</f>
        <v>92.5</v>
      </c>
      <c r="F16" s="51">
        <f>10+2+10+3+3+10+8</f>
        <v>46</v>
      </c>
      <c r="G16" s="51">
        <f>(8+10+10+10+10+10+8+0+7+2+5+10+10+10+2)</f>
        <v>112</v>
      </c>
      <c r="H16" s="51">
        <f>(8+9+3+10+3+10+1+0+0+0)</f>
        <v>44</v>
      </c>
      <c r="I16" s="51">
        <f>2+2+9+2+5+7+2+0+10+0</f>
        <v>39</v>
      </c>
      <c r="J16" s="51">
        <f>10+9.5+9.5+9+6+0+4+0+0+5+0+0+0</f>
        <v>53</v>
      </c>
      <c r="K16" s="37">
        <f>10+1+3+10+10+10+7+3+10+10</f>
        <v>74</v>
      </c>
      <c r="L16" s="51">
        <f>10+10+4+8+10+10+10+10+10+10+10+0+4+0+0</f>
        <v>106</v>
      </c>
      <c r="M16" s="51"/>
      <c r="N16" s="38">
        <f t="shared" si="0"/>
        <v>0.92496336996337014</v>
      </c>
    </row>
    <row r="17" spans="1:26" ht="29" customHeight="1" x14ac:dyDescent="0.15">
      <c r="A17" s="24">
        <v>44967</v>
      </c>
      <c r="B17" s="54">
        <f>4+0+6+1+10+9+10+10+3+7+9.5+10</f>
        <v>79.5</v>
      </c>
      <c r="C17" s="51">
        <v>45.5</v>
      </c>
      <c r="D17" s="57"/>
      <c r="E17" s="34"/>
      <c r="F17" s="51"/>
      <c r="G17" s="51"/>
      <c r="H17" s="51">
        <f>(10+7+5+0+0+0+0+0+0+0)</f>
        <v>22</v>
      </c>
      <c r="I17" s="51"/>
      <c r="J17" s="51"/>
      <c r="K17" s="37">
        <f>6+10+3+1+10+0+0+0+3+0</f>
        <v>33</v>
      </c>
      <c r="L17" s="51"/>
      <c r="M17" s="51"/>
      <c r="N17" s="38">
        <f t="shared" si="0"/>
        <v>0.19895833333333332</v>
      </c>
    </row>
    <row r="18" spans="1:26" ht="29" customHeight="1" x14ac:dyDescent="0.15">
      <c r="A18" s="24">
        <v>46234</v>
      </c>
      <c r="B18" s="54">
        <f>4+0+9+5+0+10+10+8+7+7+0+0</f>
        <v>60</v>
      </c>
      <c r="C18" s="51">
        <v>85</v>
      </c>
      <c r="D18" s="57">
        <f>10+10+0+10+0+3+0+4+3+7+10+0</f>
        <v>57</v>
      </c>
      <c r="E18" s="33">
        <f>(3+2+2+0.5+5+4+0.5+10+10+8+5+3+7)</f>
        <v>60</v>
      </c>
      <c r="F18" s="51">
        <f>10+3+0+5+2+0+10</f>
        <v>30</v>
      </c>
      <c r="G18" s="51">
        <f>(10+6+10+10+1+6+1+0+3+0+0+10+10+6+5)</f>
        <v>78</v>
      </c>
      <c r="H18" s="51">
        <f>(7+7+7+6+8+10+4+2+7+4)</f>
        <v>62</v>
      </c>
      <c r="I18" s="51">
        <f>6+7+7+0+8+2+0+10+0+6</f>
        <v>46</v>
      </c>
      <c r="J18" s="51">
        <f>6+10+2+2+1+4+0+0+0+4+1+1+3</f>
        <v>34</v>
      </c>
      <c r="K18" s="37">
        <f>6+0+0+10+10+0+0+0+10+2</f>
        <v>38</v>
      </c>
      <c r="L18" s="51">
        <f>8+7+7+0+4+8+10+5+0+5+0+5+0+10+0</f>
        <v>69</v>
      </c>
      <c r="M18" s="51">
        <f>4+8+0+7+0+0  +0+2+0+0+5+0  +0+0+0+0+0+10  +10+0+10+10+0+0</f>
        <v>66</v>
      </c>
      <c r="N18" s="38">
        <f t="shared" si="0"/>
        <v>0.69374771062271068</v>
      </c>
    </row>
    <row r="19" spans="1:26" ht="29" customHeight="1" x14ac:dyDescent="0.15">
      <c r="A19" s="24">
        <v>47978</v>
      </c>
      <c r="B19" s="54">
        <f>4+2+0+0+0+3+0+10+0+0+0+10</f>
        <v>29</v>
      </c>
      <c r="C19" s="51">
        <v>50.5</v>
      </c>
      <c r="D19" s="57">
        <f>9+7+0+0+2+7+1+2+0+0+0+0</f>
        <v>28</v>
      </c>
      <c r="E19" s="33">
        <f>(3+10+10+8+10+0+0+10+10+7+3+0+0)</f>
        <v>71</v>
      </c>
      <c r="F19" s="51">
        <f>5+0+2+2+0+0+0</f>
        <v>9</v>
      </c>
      <c r="G19" s="51"/>
      <c r="H19" s="51">
        <f>(4+5+1+0+0+0+0+0+0+0)</f>
        <v>10</v>
      </c>
      <c r="I19" s="51"/>
      <c r="J19" s="51">
        <f>6+6+1+0+1+0+0+0+0+0+0+0+0</f>
        <v>14</v>
      </c>
      <c r="K19" s="37">
        <f>2+4+3+1+0+0+0+3+0+0</f>
        <v>13</v>
      </c>
      <c r="L19" s="51"/>
      <c r="M19" s="51"/>
      <c r="N19" s="38">
        <f t="shared" si="0"/>
        <v>0.23853136446886447</v>
      </c>
    </row>
    <row r="20" spans="1:26" ht="29" customHeight="1" x14ac:dyDescent="0.15">
      <c r="A20" s="24">
        <v>48461</v>
      </c>
      <c r="B20" s="54">
        <f>8+3+10+8+9+10+10+10+3+5+9.5+10</f>
        <v>95.5</v>
      </c>
      <c r="C20" s="51">
        <v>96</v>
      </c>
      <c r="D20" s="34">
        <f>10+10+0+10+10+10+10+3+1+0+6+2</f>
        <v>72</v>
      </c>
      <c r="E20" s="33">
        <f>(3+10+10+10+4+7.5+7+10+10+7+7.5+5+9.5)</f>
        <v>100.5</v>
      </c>
      <c r="F20" s="51">
        <f>10+0+6+6+8+10+10</f>
        <v>50</v>
      </c>
      <c r="G20" s="51">
        <f>(7+10+10+9.5+10+6+6+0+3+1+6+10+6+8+0)</f>
        <v>92.5</v>
      </c>
      <c r="H20" s="51">
        <f>(1+10+6+5+8.5+3+6+1+6+10)</f>
        <v>56.5</v>
      </c>
      <c r="I20" s="51">
        <f>5+9+10+6+4+7+5+8+10+5</f>
        <v>69</v>
      </c>
      <c r="J20" s="51"/>
      <c r="K20" s="37">
        <f>3+3+3+10+10+6+8+3+8+3</f>
        <v>57</v>
      </c>
      <c r="L20" s="51">
        <f>10+9+7+8+9+0+10+10+7.5+5+5+10+7+7+4</f>
        <v>108.5</v>
      </c>
      <c r="M20" s="51"/>
      <c r="N20" s="38">
        <f t="shared" si="0"/>
        <v>0.8560244963369964</v>
      </c>
    </row>
    <row r="21" spans="1:26" ht="29" customHeight="1" x14ac:dyDescent="0.15">
      <c r="A21" s="24">
        <v>48462</v>
      </c>
      <c r="B21" s="54">
        <f>7+5+10+9+10+10+10+10+4+9+9+10</f>
        <v>103</v>
      </c>
      <c r="C21" s="51">
        <v>104.5</v>
      </c>
      <c r="D21" s="34">
        <f>10+10+1+10+10+10+10+2+10+8+7+2</f>
        <v>90</v>
      </c>
      <c r="E21" s="33">
        <f>(3+10+10+10+6+7.5+6+10+10+10+8.5+5+10)</f>
        <v>106</v>
      </c>
      <c r="F21" s="51">
        <f>5+9+9+10+9+10+10</f>
        <v>62</v>
      </c>
      <c r="G21" s="51">
        <f>(8+10+9+10+10+10+8+0+10+10+10+9+10+5+7)</f>
        <v>126</v>
      </c>
      <c r="H21" s="51">
        <f>(7+8.5+10+10+8.5+10+8+7+7+10)</f>
        <v>86</v>
      </c>
      <c r="I21" s="51">
        <f>6+7+9+10+8+7+3+8+10+7</f>
        <v>75</v>
      </c>
      <c r="J21" s="51">
        <f>6+10+7.5+10+10+9.5+10+10+9+7+4+10+6</f>
        <v>109</v>
      </c>
      <c r="K21" s="37">
        <f>9+10+3+10+10+10+10+10+2+10</f>
        <v>84</v>
      </c>
      <c r="L21" s="51">
        <f>10+10+7+10+10+10+10+10+10+10+10+8+8+10+4</f>
        <v>137</v>
      </c>
      <c r="M21" s="51">
        <f>6+8+3+5+10+10  +6+10+10+8+10+8  +10+7+5+3+7+10  +5+10+10+9+10+10</f>
        <v>190</v>
      </c>
      <c r="N21" s="38">
        <f t="shared" si="0"/>
        <v>1.2517158882783883</v>
      </c>
    </row>
    <row r="22" spans="1:26" ht="29" customHeight="1" x14ac:dyDescent="0.15">
      <c r="A22" s="24">
        <v>48666</v>
      </c>
      <c r="B22" s="54">
        <f>2+10+6+6+9+8+0+10+8+8+0+0</f>
        <v>67</v>
      </c>
      <c r="C22" s="51">
        <v>89.5</v>
      </c>
      <c r="D22" s="57">
        <f>10+10+10+5+3+10+5+6+10+9+4+0</f>
        <v>82</v>
      </c>
      <c r="E22" s="33">
        <f>(0+9+10+10+5+10+7+10+10+6+5.5+6+7)</f>
        <v>95.5</v>
      </c>
      <c r="F22" s="51">
        <f>10+5+7+5+5+10+10</f>
        <v>52</v>
      </c>
      <c r="G22" s="51">
        <f>(7+5+6+8+9+6+5+0+5+0+0+5+7+10+10)</f>
        <v>83</v>
      </c>
      <c r="H22" s="51">
        <f>(4+7.5+7+10+2+7+9+8+4+10)</f>
        <v>68.5</v>
      </c>
      <c r="I22" s="51">
        <f>5+3+10+5+5+5+4+4+10+3</f>
        <v>54</v>
      </c>
      <c r="J22" s="51">
        <f>10+10+6+3+6+4+8.5+10+9+4.5+4+4+6</f>
        <v>85</v>
      </c>
      <c r="K22" s="37">
        <f>3+5+3+10+0+10+0+0+3+10</f>
        <v>44</v>
      </c>
      <c r="L22" s="51">
        <f>10+8+9.5+9.5+8+10+6+9.5+8.5+9+10+10+7+10+5</f>
        <v>130</v>
      </c>
      <c r="M22" s="51">
        <f>8+9+4+5+7+10+8+8+8+10+4+8+8+5+8+4+7+6+5+3+9+5+10+10</f>
        <v>169</v>
      </c>
      <c r="N22" s="38">
        <f t="shared" si="0"/>
        <v>0.98849816849816852</v>
      </c>
    </row>
    <row r="23" spans="1:26" ht="29" customHeight="1" x14ac:dyDescent="0.15">
      <c r="A23" s="24">
        <v>50098</v>
      </c>
      <c r="B23" s="54">
        <f>2+0+7+3+0+4+10+0+0+0+0</f>
        <v>26</v>
      </c>
      <c r="C23" s="34">
        <f>(10+3+7+0+5+10+10+3+3+4+0+5)</f>
        <v>60</v>
      </c>
      <c r="D23" s="34">
        <f>10+4+3+9+5+10+7+2+0+0+0+0</f>
        <v>50</v>
      </c>
      <c r="E23" s="33">
        <f>(3+1.5+3+0+0+0+0+10+10+9.5+5+0+0)</f>
        <v>42</v>
      </c>
      <c r="F23" s="51">
        <f>10+0+9+4+3+0+0</f>
        <v>26</v>
      </c>
      <c r="G23" s="51">
        <f>1+4+6+3+10+6+8+0+5+2+4+4+10+4+4</f>
        <v>71</v>
      </c>
      <c r="H23" s="51">
        <f>(4+4+1+5+4+3+0+0+0+0)</f>
        <v>21</v>
      </c>
      <c r="I23" s="51"/>
      <c r="J23" s="51"/>
      <c r="K23" s="37">
        <f>0+10+3+10+0+4+0+10+0+0</f>
        <v>37</v>
      </c>
      <c r="L23" s="51">
        <f>4+7+0+0+4+0+0+0+8+4.5+5+0+0+0+0+0</f>
        <v>32.5</v>
      </c>
      <c r="M23" s="51"/>
      <c r="N23" s="38">
        <f t="shared" si="0"/>
        <v>0.3872298534798535</v>
      </c>
    </row>
    <row r="24" spans="1:26" ht="29" customHeight="1" x14ac:dyDescent="0.15">
      <c r="A24" s="24">
        <v>50108</v>
      </c>
      <c r="B24" s="54">
        <f>3+0+0+0+0+0+0+8+3+0+9.5+0</f>
        <v>23.5</v>
      </c>
      <c r="C24" s="51">
        <v>37.5</v>
      </c>
      <c r="D24" s="57">
        <f>10+8+0+0+4+4+2+0+0+7+0+0</f>
        <v>35</v>
      </c>
      <c r="E24" s="33">
        <f>(3+2+8.5+3+0+0.5+0.5+10+10+4+3.5+5+2)</f>
        <v>52</v>
      </c>
      <c r="F24" s="51">
        <f>10+0+7+4+3+0+10</f>
        <v>34</v>
      </c>
      <c r="G24" s="34">
        <f>(4+6+10+4+10+10+8+0+0+0+4+0+10+3+0)</f>
        <v>69</v>
      </c>
      <c r="H24" s="51">
        <f>(4+7+1+7+3.5+4+0+0+0+10)</f>
        <v>36.5</v>
      </c>
      <c r="I24" s="51">
        <f>0+7+9+10+5+5+0+6+7+3</f>
        <v>52</v>
      </c>
      <c r="J24" s="51">
        <f>10+10+7+10+4+7+0+8+0+4+3+0+0</f>
        <v>63</v>
      </c>
      <c r="K24" s="37">
        <f>3+9+3+10+5+3+0+10+0+7</f>
        <v>50</v>
      </c>
      <c r="L24" s="51">
        <f>10+9+7+7+0+10+0+8+9.5+10+0+7+0+10+3</f>
        <v>90.5</v>
      </c>
      <c r="M24" s="51">
        <f>5+8+0+5+10+2  +0+5+0+0+0+0  +10+0+0+0+0+0  +0+2+0+0+0+0</f>
        <v>47</v>
      </c>
      <c r="N24" s="38">
        <f t="shared" si="0"/>
        <v>0.6018120421245422</v>
      </c>
    </row>
    <row r="25" spans="1:26" ht="29" customHeight="1" x14ac:dyDescent="0.15">
      <c r="A25" s="24">
        <v>50925</v>
      </c>
      <c r="B25" s="54">
        <f>4+1+6+0+0+0+0+10+3+2+0+0</f>
        <v>26</v>
      </c>
      <c r="C25" s="51">
        <v>75</v>
      </c>
      <c r="D25" s="51">
        <f>10+10+0+10+3+10+2+4+6+7+0+0</f>
        <v>62</v>
      </c>
      <c r="E25" s="33">
        <f>(4.5+2.5+7+0+2+0+2.5+10+10+10+6.5+3+0)</f>
        <v>58</v>
      </c>
      <c r="F25" s="51">
        <f>10+0+8+5+3+0+0</f>
        <v>26</v>
      </c>
      <c r="G25" s="51">
        <f>8+0+10+10+10+5+4+0+4+0+7+1+0+0+0</f>
        <v>59</v>
      </c>
      <c r="H25" s="51">
        <f>(7+4+4+7+1+3+0+4+0+0)</f>
        <v>30</v>
      </c>
      <c r="I25" s="51">
        <f>3+7+10+7+5+4+0+5+10+2</f>
        <v>53</v>
      </c>
      <c r="J25" s="51">
        <f>10+10+6+7.5+9+8+9+9.5+9+4.5+4+2+4</f>
        <v>92.5</v>
      </c>
      <c r="K25" s="37">
        <f>5+10+3+10+10+7+0+10+2+10</f>
        <v>67</v>
      </c>
      <c r="L25" s="51">
        <f>10+10+7+10+9+9+4+8+10+10+10+10+7+10+0</f>
        <v>124</v>
      </c>
      <c r="M25" s="51">
        <f>8+9+3</f>
        <v>20</v>
      </c>
      <c r="N25" s="38">
        <f t="shared" si="0"/>
        <v>0.71134844322344326</v>
      </c>
    </row>
    <row r="26" spans="1:26" ht="29" customHeight="1" x14ac:dyDescent="0.15">
      <c r="A26" s="24">
        <v>52252</v>
      </c>
      <c r="B26" s="34">
        <f>4+0+10+0+9+10+10+10+3+3+0+0</f>
        <v>59</v>
      </c>
      <c r="C26" s="34"/>
      <c r="D26" s="34"/>
      <c r="E26" s="33">
        <f>(3+4+1.5+0+3.5+5+0+10+10+5+3+4+7)</f>
        <v>56</v>
      </c>
      <c r="F26" s="60"/>
      <c r="G26" s="34">
        <f>(0+6+6+0+1+10+0+0+0+0+2+0+10+4+4)</f>
        <v>43</v>
      </c>
      <c r="H26" s="34"/>
      <c r="I26" s="34">
        <f>2+3+10+4+0+4+0+6+3+0</f>
        <v>32</v>
      </c>
      <c r="J26" s="34">
        <f>10+10+7.5+0+10+8+8.5+8.5+9+6+0+4+0</f>
        <v>81.5</v>
      </c>
      <c r="K26" s="35">
        <f>1+0+3+10+0+0+0+4+0+3</f>
        <v>21</v>
      </c>
      <c r="L26" s="34">
        <f>8+7+3+8+0+10+0+10+6+0+0+7+0+0+0</f>
        <v>59</v>
      </c>
      <c r="M26" s="34">
        <f>1+10+1+2+5+10+0+0+0+1+0+1+10+3+3+2+2+1+1+2+1+5+1+10</f>
        <v>72</v>
      </c>
      <c r="N26" s="38">
        <f t="shared" si="0"/>
        <v>0.38241987179487175</v>
      </c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2"/>
    </row>
    <row r="27" spans="1:26" ht="29" customHeight="1" x14ac:dyDescent="0.15">
      <c r="A27" s="24">
        <v>53915</v>
      </c>
      <c r="B27" s="54">
        <f>8+4+6+7+9.5+10+10+10+8+4+9.5+10</f>
        <v>96</v>
      </c>
      <c r="C27" s="51">
        <v>88</v>
      </c>
      <c r="D27" s="58">
        <f>9+4+10+10+6+10+3+0+10+7+8+0</f>
        <v>77</v>
      </c>
      <c r="E27" s="33">
        <f>8+0+8.5+3+6+10+6+10+10+6+8+10+10</f>
        <v>95.5</v>
      </c>
      <c r="F27" s="51">
        <f>10+9+10+10+3+0+7</f>
        <v>49</v>
      </c>
      <c r="G27" s="34">
        <f>(8+9.5+10+9+10+10+3+0+8+0+8.5+8+10+4+4)</f>
        <v>102</v>
      </c>
      <c r="H27" s="51">
        <f>(1+2+10+10+5+3+5+7+3+10)</f>
        <v>56</v>
      </c>
      <c r="I27" s="51">
        <f>8+7+10+6+5+5+3+7+10+3</f>
        <v>64</v>
      </c>
      <c r="J27" s="51">
        <f>8+9+8+9+9+9.5+9.5+10+10+10+4+2+6</f>
        <v>104</v>
      </c>
      <c r="K27" s="37">
        <f>5+3+3+10+10+10+0+10+10+7</f>
        <v>68</v>
      </c>
      <c r="L27" s="51">
        <f>10+9+9.5+9+10+9.5+10+8+9.5+10+10+10+8.5+10+5</f>
        <v>138</v>
      </c>
      <c r="M27" s="51">
        <f>6+10+3+10+10+10  +10+10+5+9+2+10  +10+7+3+0+4+10  +10+10+0+10+10+10</f>
        <v>179</v>
      </c>
      <c r="N27" s="38">
        <f t="shared" si="0"/>
        <v>1.0794310897435897</v>
      </c>
    </row>
    <row r="28" spans="1:26" ht="29" customHeight="1" x14ac:dyDescent="0.15">
      <c r="A28" s="24">
        <v>56433</v>
      </c>
      <c r="B28" s="34">
        <f>10+10+9+10+10+10+10+10+3+10+9.5+0</f>
        <v>101.5</v>
      </c>
      <c r="C28" s="34">
        <v>95</v>
      </c>
      <c r="D28" s="34">
        <f>10+8+10+10+10+10+2+10+5+7+9+4</f>
        <v>95</v>
      </c>
      <c r="E28" s="33">
        <f>(10+4+7+7.5+5+10+8+4+10+6+5+10+8.5)</f>
        <v>95</v>
      </c>
      <c r="F28" s="60">
        <f>10+4+3+6+3+4+8</f>
        <v>38</v>
      </c>
      <c r="G28" s="61">
        <f>(7+10+9+9+10+10+6+0+1+1+3+10+10+8+2)</f>
        <v>96</v>
      </c>
      <c r="H28" s="51">
        <f>(1+7+7+9.5+5+3+9.5+2+4+8)</f>
        <v>56</v>
      </c>
      <c r="I28" s="51">
        <f>5+10+10+10+5+3+3+9+10+3</f>
        <v>68</v>
      </c>
      <c r="J28" s="51">
        <f>10+10+8+9+10+9+10+10+8+10+4+4+6</f>
        <v>108</v>
      </c>
      <c r="K28" s="37">
        <f>5+10+5+10+0+4+0+5+0+9</f>
        <v>48</v>
      </c>
      <c r="L28" s="51">
        <f>8+10+7+9+8+10+7+8+10+8+8+10+9+6+4</f>
        <v>122</v>
      </c>
      <c r="M28" s="51">
        <f>8+10+0+3+10+8+6+9+4+0+4+10+0+4+0+0+0+0+0+0+0+0+0+0</f>
        <v>76</v>
      </c>
      <c r="N28" s="38">
        <f t="shared" si="0"/>
        <v>1.0029452838827839</v>
      </c>
    </row>
    <row r="29" spans="1:26" ht="29" customHeight="1" x14ac:dyDescent="0.15">
      <c r="A29" s="24">
        <v>58506</v>
      </c>
      <c r="B29" s="34">
        <f>9.5+0+6+0+5+10+10+10+3+6+0+0</f>
        <v>59.5</v>
      </c>
      <c r="C29" s="34">
        <v>51</v>
      </c>
      <c r="D29" s="59">
        <f>10+10+0+0+10+10+9+10+10+10+0+0</f>
        <v>79</v>
      </c>
      <c r="E29" s="33">
        <f>(10+10+10+10+10+0+0+10+10+7+10+10+10)</f>
        <v>107</v>
      </c>
      <c r="F29" s="51">
        <f>(10+0+7+4+0+0+0)</f>
        <v>21</v>
      </c>
      <c r="G29" s="34">
        <f>(3+10+9+0+0+10+8+0+0+0+4+0+0+4+0)</f>
        <v>48</v>
      </c>
      <c r="H29" s="34">
        <f>(10+7+8+6+4+10+0+0+0+10)</f>
        <v>55</v>
      </c>
      <c r="I29" s="34">
        <f>5+9+10+0+8+7+0+9+0+0</f>
        <v>48</v>
      </c>
      <c r="J29" s="34">
        <f>10+10+9.5+9.5+0+0+10+8.5+9+0+0+0+0</f>
        <v>66.5</v>
      </c>
      <c r="K29" s="35">
        <f>5+10+3+10+10+3+10+5+10+2</f>
        <v>68</v>
      </c>
      <c r="L29" s="34">
        <f>10+10+7+10+4+10+0+10+0+5+10+0+0+0+0+0</f>
        <v>76</v>
      </c>
      <c r="M29" s="34">
        <f>4+4+0+0+0+0  +0+0+0+0+0+0  +0+0+0+0+0+10  +5+0+10+0+0+0</f>
        <v>33</v>
      </c>
      <c r="N29" s="38">
        <f t="shared" si="0"/>
        <v>0.73599358974358975</v>
      </c>
    </row>
    <row r="30" spans="1:26" ht="29" customHeight="1" x14ac:dyDescent="0.15">
      <c r="A30" s="24">
        <v>59392</v>
      </c>
      <c r="B30" s="34">
        <f>6+0+9+2+1+0+1+10+3+8+0+0</f>
        <v>40</v>
      </c>
      <c r="C30" s="34">
        <v>51</v>
      </c>
      <c r="D30" s="34">
        <f>10+8+0+10+3+1+6+2+4+7+0+0</f>
        <v>51</v>
      </c>
      <c r="E30" s="33">
        <f>(4+2+10+0+0+0+0+10+10+5+4+6+5)</f>
        <v>56</v>
      </c>
      <c r="F30" s="60">
        <f>10+0+8+5+3+10+9</f>
        <v>45</v>
      </c>
      <c r="G30" s="34">
        <f>4+6+10+7+2+10+8+0+5+0+7+0+7+10+2</f>
        <v>78</v>
      </c>
      <c r="H30" s="34">
        <f>(7+7+0+7+4+10+0+2+0+5)</f>
        <v>42</v>
      </c>
      <c r="I30" s="34">
        <f>0+7+9+10+5+8+0+4+2+3</f>
        <v>48</v>
      </c>
      <c r="J30" s="34">
        <f>10+10+10+0+4+2+10+9.5+0+0+10+10+0</f>
        <v>75.5</v>
      </c>
      <c r="K30" s="35">
        <f>10+10+3+10+10+6+0+10+0+0</f>
        <v>59</v>
      </c>
      <c r="L30" s="34">
        <f>10+7+10+10+10+0+0+10+10+10+0+10+5+10+0</f>
        <v>102</v>
      </c>
      <c r="M30" s="34">
        <f>10+10+10+10+10+10+10+10+10+10+10+0+0+5+0+10+0+0+4+10+0+0+8+0</f>
        <v>147</v>
      </c>
      <c r="N30" s="38">
        <f t="shared" si="0"/>
        <v>0.7675286172161172</v>
      </c>
    </row>
    <row r="31" spans="1:26" ht="29" customHeight="1" x14ac:dyDescent="0.15">
      <c r="A31" s="24">
        <v>61767</v>
      </c>
      <c r="B31" s="34">
        <f>10+5+6+2+0+0+10+0+3+6+0+0</f>
        <v>42</v>
      </c>
      <c r="C31" s="34">
        <v>58</v>
      </c>
      <c r="D31" s="57">
        <f>10+6+9+1+6+6+3+3+0+7+0+0</f>
        <v>51</v>
      </c>
      <c r="E31" s="33"/>
      <c r="F31" s="60">
        <f>10+0+6+3+3+0+4</f>
        <v>26</v>
      </c>
      <c r="G31" s="34">
        <f>(7+6+5+9+3+8+8+0+3+2+3+0+3+0+0)</f>
        <v>57</v>
      </c>
      <c r="H31" s="34">
        <f>(3+7+0+9+3.5+6.5+0+0+2+8)</f>
        <v>39</v>
      </c>
      <c r="I31" s="34"/>
      <c r="J31" s="34">
        <f>10+10+10+10+10+10+10+10+0+0+10+10+0</f>
        <v>100</v>
      </c>
      <c r="K31" s="35"/>
      <c r="L31" s="34"/>
      <c r="M31" s="34"/>
      <c r="N31" s="38">
        <f t="shared" si="0"/>
        <v>0.39612408424908424</v>
      </c>
    </row>
    <row r="32" spans="1:26" ht="29" customHeight="1" x14ac:dyDescent="0.15">
      <c r="A32" s="24">
        <v>62166</v>
      </c>
      <c r="B32" s="34">
        <f>2+0+3+0+4+4+10+10+0+4+9.5+5</f>
        <v>51.5</v>
      </c>
      <c r="C32" s="34">
        <v>72</v>
      </c>
      <c r="D32" s="57">
        <f>10+7+0+5+0+5+3+8+5+7+2+0</f>
        <v>52</v>
      </c>
      <c r="E32" s="34">
        <f>(3+1+0+0+2+0+0+10+10+8+4+7+7)</f>
        <v>52</v>
      </c>
      <c r="F32" s="60">
        <f>5+0+8+3+3+0+10</f>
        <v>29</v>
      </c>
      <c r="G32" s="34">
        <f>(0+5+4+4+3+0+4+0+0+0+0+0+10+6+0)</f>
        <v>36</v>
      </c>
      <c r="H32" s="34">
        <f>(10+4+0+10+4+4+0+2+0+5)</f>
        <v>39</v>
      </c>
      <c r="I32" s="34">
        <f>2+7+10+10+0+5+0+3+0+3</f>
        <v>40</v>
      </c>
      <c r="J32" s="34">
        <f>6+7+5+7.5+8+7+0+0+0+2+0+0+5</f>
        <v>47.5</v>
      </c>
      <c r="K32" s="35">
        <f>3+10+9+10+0+5+0+2+6+2</f>
        <v>47</v>
      </c>
      <c r="L32" s="34">
        <f>10+4+7+8+0+10+0+5+7+10+0+0+0+0+0</f>
        <v>61</v>
      </c>
      <c r="M32" s="34"/>
      <c r="N32" s="38">
        <f t="shared" si="0"/>
        <v>0.56860462454212446</v>
      </c>
    </row>
    <row r="33" spans="1:14" ht="29" customHeight="1" x14ac:dyDescent="0.15">
      <c r="A33" s="24">
        <v>62943</v>
      </c>
      <c r="B33" s="34">
        <f>10+4+6+8+0+0+0+10+3+3+0+0</f>
        <v>44</v>
      </c>
      <c r="C33" s="34">
        <v>66</v>
      </c>
      <c r="D33" s="34">
        <f>10+6+0+0+3+6+2+0+0+7+0+0</f>
        <v>34</v>
      </c>
      <c r="E33" s="33"/>
      <c r="F33" s="60">
        <f>10+0+3+3+3+0+4</f>
        <v>23</v>
      </c>
      <c r="G33" s="61">
        <f>(5+6+10+8+3+7+8+0+3+2+3+0+3+4+0)</f>
        <v>62</v>
      </c>
      <c r="H33" s="34">
        <f>(5+4+1+9+3.5+5.5+0+1+2+8)</f>
        <v>39</v>
      </c>
      <c r="I33" s="34">
        <f>1+3+10+7+5+0+1+2+3+3</f>
        <v>35</v>
      </c>
      <c r="J33" s="34">
        <f>10+10+5+10+8+3+1+9+9+3+10+3+4</f>
        <v>85</v>
      </c>
      <c r="K33" s="35">
        <f>10+10+3+10+10+10+9+10+0+10</f>
        <v>82</v>
      </c>
      <c r="L33" s="34">
        <f>0+0+10+10+10+10+10+10+9.5+10+5+10+10+10+0</f>
        <v>114.5</v>
      </c>
      <c r="M33" s="34">
        <f>10+0+10+10+10+10+0+10+10+10+10+0+0+0+0+10+0+0+0+0+0+0+0+0</f>
        <v>100</v>
      </c>
      <c r="N33" s="38">
        <f t="shared" si="0"/>
        <v>0.66696886446886461</v>
      </c>
    </row>
    <row r="34" spans="1:14" ht="29" customHeight="1" x14ac:dyDescent="0.15">
      <c r="A34" s="24">
        <v>64244</v>
      </c>
      <c r="B34" s="34">
        <f>2+0+6+0+9+3+0+10+0+4+0+0</f>
        <v>34</v>
      </c>
      <c r="C34" s="34">
        <v>68.5</v>
      </c>
      <c r="D34" s="34">
        <f>10+10+10+10+10+10+3+0+0+0+0+0</f>
        <v>63</v>
      </c>
      <c r="E34" s="33">
        <f>(6+0+3+2.5+0+0.5+5.5+10+10+7+3.5+4+0)</f>
        <v>52</v>
      </c>
      <c r="F34" s="60">
        <f>10+0+8+3+3+0+10</f>
        <v>34</v>
      </c>
      <c r="G34" s="34">
        <f>(4+6+9+10+10+10+8+0+6+0+3+0+10+4+0)</f>
        <v>80</v>
      </c>
      <c r="H34" s="34">
        <f>(4+7+4+8+4+10+2+0+4+10)</f>
        <v>53</v>
      </c>
      <c r="I34" s="34">
        <f>3+10+10+8+3+5+3+0+4+3</f>
        <v>49</v>
      </c>
      <c r="J34" s="34">
        <f>10+7+8+9.5+9+2+10+10+6+7+3+0+0</f>
        <v>81.5</v>
      </c>
      <c r="K34" s="35">
        <f>4+0+3+10+10+3+10+0+7</f>
        <v>47</v>
      </c>
      <c r="L34" s="34">
        <f>10+10+7+8+10+10+0+10+9.5+10+8+10+8.5+10+0</f>
        <v>121</v>
      </c>
      <c r="M34" s="34">
        <f>9+10+2+4+5+6  +7+0+0+0+0+0  +10+0+3+0+0+0  +0+0+0+0+0+0</f>
        <v>56</v>
      </c>
      <c r="N34" s="38">
        <f t="shared" si="0"/>
        <v>0.74439217032967031</v>
      </c>
    </row>
    <row r="35" spans="1:14" ht="29" customHeight="1" x14ac:dyDescent="0.15">
      <c r="A35" s="24">
        <v>64826</v>
      </c>
      <c r="B35" s="34"/>
      <c r="C35" s="34"/>
      <c r="D35" s="57">
        <f>8+6+0+9+0+6+1+10+7+0+0+0</f>
        <v>47</v>
      </c>
      <c r="E35" s="33">
        <f>(7+1+1.5+1.5+3+1+0+7+0+3+7+2+7)</f>
        <v>41</v>
      </c>
      <c r="F35" s="60"/>
      <c r="G35" s="62"/>
      <c r="H35" s="34"/>
      <c r="I35" s="34"/>
      <c r="J35" s="34"/>
      <c r="K35" s="35"/>
      <c r="L35" s="34"/>
      <c r="M35" s="34"/>
      <c r="N35" s="38">
        <f t="shared" si="0"/>
        <v>8.8381410256410262E-2</v>
      </c>
    </row>
    <row r="36" spans="1:14" ht="29" customHeight="1" x14ac:dyDescent="0.15">
      <c r="A36" s="24">
        <v>65878</v>
      </c>
      <c r="B36" s="34">
        <f>2+10+6+8+9+10+0+10+7+5+0+0</f>
        <v>67</v>
      </c>
      <c r="C36" s="34">
        <v>87</v>
      </c>
      <c r="D36" s="59">
        <f>10+10+0+0+5+6+3+4+10+7+3+0</f>
        <v>58</v>
      </c>
      <c r="E36" s="33">
        <f>(4+9+10+10+5+10+6+10+10+6+5+6+7)</f>
        <v>98</v>
      </c>
      <c r="F36" s="51">
        <f>(10+4+4+4+5+10+10)</f>
        <v>47</v>
      </c>
      <c r="G36" s="34">
        <f>(7+5+7+8+9+6+5+0+5+0+0+8+7+10+10)</f>
        <v>87</v>
      </c>
      <c r="H36" s="34">
        <f>(4+8+7+10+2+7+10+8+4+10)</f>
        <v>70</v>
      </c>
      <c r="I36" s="34">
        <f>6+4+10+10+10+5+6+8+10+3</f>
        <v>72</v>
      </c>
      <c r="J36" s="34">
        <f>10+10+5+3+6+4+8.5+10+9+4.5+4+4+6</f>
        <v>84</v>
      </c>
      <c r="K36" s="35">
        <f>2+5+3+10+0+10+0+10+2+9</f>
        <v>51</v>
      </c>
      <c r="L36" s="34">
        <f>10+8+9.5+9.5+8+10+6+9.5+8.5+9+10+10+7+10+4</f>
        <v>129</v>
      </c>
      <c r="M36" s="34">
        <f>8+9+4+5+7+10+8+8+8+10+4+8+8+5+8+4+7+2+5+3+9+5+10+10</f>
        <v>165</v>
      </c>
      <c r="N36" s="38">
        <f t="shared" si="0"/>
        <v>0.98694940476190463</v>
      </c>
    </row>
    <row r="37" spans="1:14" ht="29" customHeight="1" x14ac:dyDescent="0.15">
      <c r="A37" s="24">
        <v>69356</v>
      </c>
      <c r="B37" s="34"/>
      <c r="C37" s="34"/>
      <c r="D37" s="34">
        <f>12*0</f>
        <v>0</v>
      </c>
      <c r="E37" s="33"/>
      <c r="F37" s="60"/>
      <c r="G37" s="34"/>
      <c r="H37" s="34"/>
      <c r="I37" s="34"/>
      <c r="J37" s="34"/>
      <c r="K37" s="35"/>
      <c r="L37" s="34"/>
      <c r="M37" s="35"/>
      <c r="N37" s="38">
        <f t="shared" si="0"/>
        <v>0</v>
      </c>
    </row>
    <row r="38" spans="1:14" ht="29" customHeight="1" x14ac:dyDescent="0.15">
      <c r="A38" s="24">
        <v>98422</v>
      </c>
      <c r="B38" s="34">
        <f>10+10+10+10+10+10+10+10+9+10+9.5+10</f>
        <v>118.5</v>
      </c>
      <c r="C38" s="34">
        <v>112</v>
      </c>
      <c r="D38" s="57">
        <f>10+10+10+8+9+10+3+10+10+10+10+8</f>
        <v>108</v>
      </c>
      <c r="E38" s="33">
        <f>(9+10+10+10+10+10+10+10+10+10+10+10+10)</f>
        <v>129</v>
      </c>
      <c r="F38" s="60">
        <f>10+9+10+10+10+10+10</f>
        <v>69</v>
      </c>
      <c r="G38" s="34">
        <f>(10+10+10+10+10+10+8+10+10+9+8+10+10+10+10)</f>
        <v>145</v>
      </c>
      <c r="H38" s="34">
        <f>(10+10+10+10+10+10+10+10+10+10)</f>
        <v>100</v>
      </c>
      <c r="I38" s="34">
        <f>6+10+10+10+10+8+10+10+10+10</f>
        <v>94</v>
      </c>
      <c r="J38" s="34">
        <f>10+10+10+10+10+10+9.5+10+9+10+9+6+10</f>
        <v>123.5</v>
      </c>
      <c r="K38" s="35">
        <f>5+10+10+10+10+10+10+5+10+10</f>
        <v>90</v>
      </c>
      <c r="L38" s="34">
        <f>10+10+10+10+10+10+10+10+10+10+10+10+10+10+8</f>
        <v>148</v>
      </c>
      <c r="M38" s="34">
        <f>9+10+3+10+3+10  +10+10+8+10+10+10  +5+10+10+10+10+10  +9+10+10+3+5+5</f>
        <v>200</v>
      </c>
      <c r="N38" s="38">
        <f t="shared" ref="N38" si="1">IF(SUM($B$45:$M$45)&gt;0,1.5*(B38/$B$41+C38/$C$41+D38/$D$41+E38/$E$41+F38/$F$41+G38/$G$41+H38/$H$41+I38/$I$41+J38/$J$41+K38/$K$41+L38/$L$41+M38/$M$41)/SUM($B$45:$M$45),0)</f>
        <v>1.4219402472527471</v>
      </c>
    </row>
    <row r="39" spans="1:14" ht="29" customHeight="1" x14ac:dyDescent="0.15">
      <c r="A39" s="24">
        <v>98812</v>
      </c>
      <c r="B39" s="34">
        <f>0+0+1+0+0+0+0+10+3+2+0+0</f>
        <v>16</v>
      </c>
      <c r="C39" s="34"/>
      <c r="D39" s="57">
        <f>10+7+0+10+10+0+0+0+0+5+0+0</f>
        <v>42</v>
      </c>
      <c r="E39" s="33"/>
      <c r="F39" s="60"/>
      <c r="G39" s="34">
        <f>(0+6+0+8+3+0+0+0+0+0+0+0+0+0+0)</f>
        <v>17</v>
      </c>
      <c r="H39" s="34">
        <f>(8+4+2+0+0+0+0+0+0+0)</f>
        <v>14</v>
      </c>
      <c r="I39" s="34">
        <f>0+9+5+3+5+4+0+2+4+6</f>
        <v>38</v>
      </c>
      <c r="J39" s="34">
        <f>10+10+8+6+10+8+9+9.5+5+4.5+10+10+2</f>
        <v>102</v>
      </c>
      <c r="K39" s="35">
        <f>6+10+3+10+10+10+8+10+0+0</f>
        <v>67</v>
      </c>
      <c r="L39" s="34">
        <f>8+9+10+10+10+10+10+10+9.5+10+0+10+10+10+0</f>
        <v>126.5</v>
      </c>
      <c r="M39" s="34">
        <f>7+0+8+10+10+0  +0+10+0+9+0+0  +0+0+0+10+0+10  +0+10+10+0+10+0</f>
        <v>104</v>
      </c>
      <c r="N39" s="38">
        <f t="shared" ref="N39" si="2">IF(SUM($B$45:$M$45)&gt;0,1.5*(B39/$B$41+C39/$C$41+D39/$D$41+E39/$E$41+F39/$F$41+G39/$G$41+H39/$H$41+I39/$I$41+J39/$J$41+K39/$K$41+L39/$L$41+M39/$M$41)/SUM($B$45:$M$45),0)</f>
        <v>0.48099358974358974</v>
      </c>
    </row>
    <row r="40" spans="1:14" ht="24" customHeight="1" x14ac:dyDescent="0.15">
      <c r="A40" s="26"/>
      <c r="B40" s="2"/>
      <c r="C40" s="2"/>
      <c r="D40" s="2"/>
      <c r="E40" s="2"/>
      <c r="F40" s="2"/>
      <c r="H40" s="2"/>
      <c r="I40" s="2"/>
      <c r="J40" s="2"/>
      <c r="K40" s="2"/>
      <c r="L40" s="2"/>
      <c r="M40" s="2"/>
      <c r="N40" s="2"/>
    </row>
    <row r="41" spans="1:14" ht="25" customHeight="1" x14ac:dyDescent="0.15">
      <c r="A41" s="18" t="s">
        <v>38</v>
      </c>
      <c r="B41" s="40">
        <v>120</v>
      </c>
      <c r="C41" s="40">
        <v>120</v>
      </c>
      <c r="D41" s="40">
        <v>120</v>
      </c>
      <c r="E41" s="40">
        <v>130</v>
      </c>
      <c r="F41" s="40">
        <v>70</v>
      </c>
      <c r="G41" s="40">
        <v>150</v>
      </c>
      <c r="H41" s="40">
        <v>100</v>
      </c>
      <c r="I41" s="40">
        <v>100</v>
      </c>
      <c r="J41" s="40">
        <v>130</v>
      </c>
      <c r="K41" s="40">
        <v>100</v>
      </c>
      <c r="L41" s="40">
        <v>150</v>
      </c>
      <c r="M41" s="40">
        <v>240</v>
      </c>
      <c r="N41" s="41">
        <v>1.5</v>
      </c>
    </row>
    <row r="42" spans="1:14" ht="25" customHeight="1" x14ac:dyDescent="0.15">
      <c r="A42" s="19" t="s">
        <v>39</v>
      </c>
      <c r="B42" s="42">
        <f t="shared" ref="B42:N42" si="3">AVERAGE(B$2:B$39)</f>
        <v>64.916666666666671</v>
      </c>
      <c r="C42" s="42">
        <f t="shared" si="3"/>
        <v>76.879032258064512</v>
      </c>
      <c r="D42" s="42">
        <f t="shared" si="3"/>
        <v>62.545454545454547</v>
      </c>
      <c r="E42" s="42">
        <f t="shared" si="3"/>
        <v>79.646551724137936</v>
      </c>
      <c r="F42" s="42">
        <f t="shared" si="3"/>
        <v>39.821428571428569</v>
      </c>
      <c r="G42" s="42">
        <f t="shared" si="3"/>
        <v>80.725806451612897</v>
      </c>
      <c r="H42" s="42">
        <f t="shared" si="3"/>
        <v>52.637096774193552</v>
      </c>
      <c r="I42" s="42">
        <f t="shared" si="3"/>
        <v>55.413793103448278</v>
      </c>
      <c r="J42" s="42">
        <f t="shared" si="3"/>
        <v>81.535714285714292</v>
      </c>
      <c r="K42" s="42">
        <f t="shared" si="3"/>
        <v>56.903225806451616</v>
      </c>
      <c r="L42" s="42">
        <f t="shared" si="3"/>
        <v>111.5925925925926</v>
      </c>
      <c r="M42" s="42">
        <f t="shared" si="3"/>
        <v>122.72727272727273</v>
      </c>
      <c r="N42" s="63">
        <f t="shared" si="3"/>
        <v>0.66642927932812812</v>
      </c>
    </row>
    <row r="43" spans="1:14" ht="25" customHeight="1" x14ac:dyDescent="0.15">
      <c r="A43" s="20" t="s">
        <v>40</v>
      </c>
      <c r="B43" s="42">
        <f t="shared" ref="B43:N43" si="4">STDEV(B$2:B$39)</f>
        <v>32.796415734916387</v>
      </c>
      <c r="C43" s="42">
        <f t="shared" si="4"/>
        <v>23.516029193557689</v>
      </c>
      <c r="D43" s="42">
        <f t="shared" si="4"/>
        <v>25.518487059741258</v>
      </c>
      <c r="E43" s="42">
        <f t="shared" si="4"/>
        <v>27.366519988046662</v>
      </c>
      <c r="F43" s="42">
        <f t="shared" si="4"/>
        <v>13.589357413823326</v>
      </c>
      <c r="G43" s="42">
        <f t="shared" si="4"/>
        <v>32.61667229850336</v>
      </c>
      <c r="H43" s="42">
        <f t="shared" si="4"/>
        <v>25.443060506884571</v>
      </c>
      <c r="I43" s="42">
        <f t="shared" si="4"/>
        <v>19.411920566974363</v>
      </c>
      <c r="J43" s="42">
        <f t="shared" si="4"/>
        <v>26.584919343641737</v>
      </c>
      <c r="K43" s="42">
        <f t="shared" si="4"/>
        <v>21.918568746931864</v>
      </c>
      <c r="L43" s="42">
        <f t="shared" si="4"/>
        <v>30.223538024398326</v>
      </c>
      <c r="M43" s="42">
        <f t="shared" si="4"/>
        <v>64.949197596261868</v>
      </c>
      <c r="N43" s="63">
        <f t="shared" si="4"/>
        <v>0.40157588055546434</v>
      </c>
    </row>
    <row r="44" spans="1:14" ht="25" customHeight="1" x14ac:dyDescent="0.15">
      <c r="A44" s="20" t="s">
        <v>41</v>
      </c>
      <c r="B44" s="42">
        <f t="shared" ref="B44:N44" si="5">MEDIAN(B$2:B$39)</f>
        <v>63.5</v>
      </c>
      <c r="C44" s="42">
        <f t="shared" si="5"/>
        <v>80</v>
      </c>
      <c r="D44" s="42">
        <f t="shared" si="5"/>
        <v>58</v>
      </c>
      <c r="E44" s="42">
        <f t="shared" si="5"/>
        <v>78</v>
      </c>
      <c r="F44" s="42">
        <f t="shared" si="5"/>
        <v>40.5</v>
      </c>
      <c r="G44" s="42">
        <f t="shared" si="5"/>
        <v>80</v>
      </c>
      <c r="H44" s="42">
        <f t="shared" si="5"/>
        <v>53</v>
      </c>
      <c r="I44" s="42">
        <f t="shared" si="5"/>
        <v>53</v>
      </c>
      <c r="J44" s="42">
        <f t="shared" si="5"/>
        <v>84.75</v>
      </c>
      <c r="K44" s="42">
        <f t="shared" si="5"/>
        <v>55</v>
      </c>
      <c r="L44" s="42">
        <f t="shared" si="5"/>
        <v>121</v>
      </c>
      <c r="M44" s="42">
        <f t="shared" si="5"/>
        <v>125.5</v>
      </c>
      <c r="N44" s="63">
        <f t="shared" si="5"/>
        <v>0.70992101648351646</v>
      </c>
    </row>
    <row r="45" spans="1:14" ht="25" customHeight="1" x14ac:dyDescent="0.15">
      <c r="A45" s="21" t="s">
        <v>42</v>
      </c>
      <c r="B45" s="43">
        <f t="shared" ref="B45:M45" si="6">IF(SUM(B2:B39)&gt;0,1,0)</f>
        <v>1</v>
      </c>
      <c r="C45" s="43">
        <f t="shared" si="6"/>
        <v>1</v>
      </c>
      <c r="D45" s="43">
        <f t="shared" si="6"/>
        <v>1</v>
      </c>
      <c r="E45" s="43">
        <f t="shared" si="6"/>
        <v>1</v>
      </c>
      <c r="F45" s="43">
        <f t="shared" si="6"/>
        <v>1</v>
      </c>
      <c r="G45" s="43">
        <f t="shared" si="6"/>
        <v>1</v>
      </c>
      <c r="H45" s="43">
        <f t="shared" si="6"/>
        <v>1</v>
      </c>
      <c r="I45" s="43">
        <f t="shared" si="6"/>
        <v>1</v>
      </c>
      <c r="J45" s="43">
        <f t="shared" si="6"/>
        <v>1</v>
      </c>
      <c r="K45" s="43">
        <f t="shared" si="6"/>
        <v>1</v>
      </c>
      <c r="L45" s="43">
        <f t="shared" si="6"/>
        <v>1</v>
      </c>
      <c r="M45" s="43">
        <f t="shared" si="6"/>
        <v>1</v>
      </c>
      <c r="N45" s="40"/>
    </row>
  </sheetData>
  <pageMargins left="0.75" right="0.75" top="1" bottom="1" header="0.5" footer="0.5"/>
  <pageSetup orientation="portrait" horizontalDpi="4294967292" verticalDpi="4294967292"/>
  <headerFooter alignWithMargins="0"/>
  <ignoredErrors>
    <ignoredError sqref="A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4"/>
  <sheetViews>
    <sheetView workbookViewId="0">
      <selection activeCell="D1" sqref="D1"/>
    </sheetView>
  </sheetViews>
  <sheetFormatPr baseColWidth="10" defaultRowHeight="13" x14ac:dyDescent="0.15"/>
  <cols>
    <col min="1" max="1" width="20.83203125" customWidth="1"/>
    <col min="2" max="2" width="17.33203125" customWidth="1"/>
    <col min="3" max="3" width="18.33203125" customWidth="1"/>
    <col min="4" max="4" width="18" customWidth="1"/>
    <col min="6" max="15" width="5.6640625" customWidth="1"/>
  </cols>
  <sheetData>
    <row r="1" spans="1:24" ht="25" customHeight="1" x14ac:dyDescent="0.15">
      <c r="A1" s="1" t="s">
        <v>5</v>
      </c>
      <c r="B1" s="3" t="s">
        <v>46</v>
      </c>
      <c r="C1" s="6" t="s">
        <v>1</v>
      </c>
      <c r="E1" s="65"/>
      <c r="F1" s="65"/>
      <c r="G1" s="65"/>
      <c r="H1" s="65"/>
      <c r="I1" s="65"/>
      <c r="J1" s="65"/>
      <c r="K1" s="65"/>
      <c r="L1" s="65"/>
      <c r="M1" s="65"/>
      <c r="N1" s="65"/>
      <c r="Q1" s="50"/>
      <c r="R1" s="50"/>
    </row>
    <row r="2" spans="1:24" ht="29" customHeight="1" x14ac:dyDescent="0.15">
      <c r="A2" s="53" t="s">
        <v>49</v>
      </c>
      <c r="B2" s="51">
        <f>(5+5+5+0+0+0+5+0+0+0+10+15+5+7)</f>
        <v>57</v>
      </c>
      <c r="C2" s="51">
        <v>55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Q2" s="47"/>
      <c r="R2" s="47"/>
    </row>
    <row r="3" spans="1:24" ht="29" customHeight="1" x14ac:dyDescent="0.15">
      <c r="A3" s="24">
        <v>22166</v>
      </c>
      <c r="B3" s="51"/>
      <c r="C3" s="51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Q3" s="47"/>
      <c r="R3" s="47"/>
    </row>
    <row r="4" spans="1:24" ht="29" customHeight="1" x14ac:dyDescent="0.15">
      <c r="A4" s="24">
        <v>24616</v>
      </c>
      <c r="B4" s="51">
        <f>(5+5+5+0+0+0+5+5+5+5+15+2+2+6)</f>
        <v>60</v>
      </c>
      <c r="C4" s="51">
        <v>40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Q4" s="47"/>
      <c r="R4" s="47"/>
    </row>
    <row r="5" spans="1:24" ht="29" customHeight="1" x14ac:dyDescent="0.15">
      <c r="A5" s="24">
        <v>28431</v>
      </c>
      <c r="B5" s="51">
        <f>(1+0+0+2.5+0+5+0+1+0+0+2+0+0+3)</f>
        <v>14.5</v>
      </c>
      <c r="C5" s="51">
        <v>14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Q5" s="47"/>
      <c r="R5" s="47"/>
    </row>
    <row r="6" spans="1:24" ht="29" customHeight="1" x14ac:dyDescent="0.15">
      <c r="A6" s="24">
        <v>28745</v>
      </c>
      <c r="B6" s="51">
        <f>(5+3+5+0+0+0+5+0+5+0+10+12+0+4)</f>
        <v>49</v>
      </c>
      <c r="C6" s="51">
        <v>44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Q6" s="47"/>
      <c r="R6" s="47"/>
    </row>
    <row r="7" spans="1:24" ht="29" customHeight="1" x14ac:dyDescent="0.15">
      <c r="A7" s="24">
        <v>30063</v>
      </c>
      <c r="B7" s="51">
        <f>(0+0+5+0+0+0+5+0+5+0+8+2+0+5)</f>
        <v>30</v>
      </c>
      <c r="C7" s="51">
        <v>20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Q7" s="47"/>
      <c r="R7" s="47"/>
    </row>
    <row r="8" spans="1:24" ht="29" customHeight="1" x14ac:dyDescent="0.15">
      <c r="A8" s="24">
        <v>32418</v>
      </c>
      <c r="B8" s="51">
        <f>(0+4+5+0+5+5+5+5+5+0+15+15+9+16)</f>
        <v>89</v>
      </c>
      <c r="C8" s="51">
        <v>90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Q8" s="47"/>
      <c r="R8" s="47"/>
    </row>
    <row r="9" spans="1:24" ht="29" customHeight="1" x14ac:dyDescent="0.15">
      <c r="A9" s="24">
        <v>37701</v>
      </c>
      <c r="B9" s="51">
        <f>(0+5+0+1+0+0+0+0+5+5+2+2+5+9)</f>
        <v>34</v>
      </c>
      <c r="C9" s="51">
        <v>32.5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Q9" s="47"/>
      <c r="R9" s="47"/>
    </row>
    <row r="10" spans="1:24" ht="29" customHeight="1" x14ac:dyDescent="0.15">
      <c r="A10" s="24">
        <v>37840</v>
      </c>
      <c r="B10" s="51">
        <f>(3+5+5+2.5+0+0+5+5+5+5+15+12+10+4)</f>
        <v>76.5</v>
      </c>
      <c r="C10" s="51">
        <v>56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Q10" s="47"/>
      <c r="R10" s="47"/>
    </row>
    <row r="11" spans="1:24" ht="29" customHeight="1" x14ac:dyDescent="0.15">
      <c r="A11" s="24">
        <v>39304</v>
      </c>
      <c r="B11" s="51">
        <f>(1+5+5+0+0+0+5+0+0+5+15+12+3+10)</f>
        <v>61</v>
      </c>
      <c r="C11" s="51">
        <v>73</v>
      </c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Q11" s="47"/>
      <c r="R11" s="47"/>
    </row>
    <row r="12" spans="1:24" ht="29" customHeight="1" x14ac:dyDescent="0.15">
      <c r="A12" s="24">
        <v>41765</v>
      </c>
      <c r="B12" s="51"/>
      <c r="C12" s="3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Q12" s="47"/>
      <c r="R12" s="47"/>
    </row>
    <row r="13" spans="1:24" ht="29" customHeight="1" x14ac:dyDescent="0.15">
      <c r="A13" s="24">
        <v>41772</v>
      </c>
      <c r="B13" s="51">
        <f>(5+5+5+0+0+0+5+5+5+5+15+0+0+11)</f>
        <v>61</v>
      </c>
      <c r="C13" s="51">
        <v>52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Q13" s="47"/>
      <c r="R13" s="47"/>
    </row>
    <row r="14" spans="1:24" ht="29" customHeight="1" x14ac:dyDescent="0.15">
      <c r="A14" s="24">
        <v>41850</v>
      </c>
      <c r="B14" s="51">
        <f>(5+5+5+2.5+0+5+5+5+5+5+10+15+10+10)</f>
        <v>87.5</v>
      </c>
      <c r="C14" s="51">
        <v>86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Q14" s="47"/>
      <c r="R14" s="47"/>
    </row>
    <row r="15" spans="1:24" ht="29" customHeight="1" x14ac:dyDescent="0.15">
      <c r="A15" s="24">
        <v>42057</v>
      </c>
      <c r="B15" s="51">
        <f>(5+0+5+2.5+0+5+5+5+5+0+15+0+5+3)</f>
        <v>55.5</v>
      </c>
      <c r="C15" s="51">
        <v>62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Q15" s="47"/>
      <c r="R15" s="47"/>
      <c r="X15" t="s">
        <v>47</v>
      </c>
    </row>
    <row r="16" spans="1:24" ht="29" customHeight="1" x14ac:dyDescent="0.15">
      <c r="A16" s="24">
        <v>43868</v>
      </c>
      <c r="B16" s="56">
        <f>(0+0+5+0+5+0+5+5+5+5+15+15+11+10)</f>
        <v>81</v>
      </c>
      <c r="C16" s="51">
        <v>64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Q16" s="47"/>
      <c r="R16" s="47"/>
    </row>
    <row r="17" spans="1:24" ht="29" customHeight="1" x14ac:dyDescent="0.15">
      <c r="A17" s="24">
        <v>44967</v>
      </c>
      <c r="B17" s="34">
        <f>(5+5+0+1+0+5+0+0+0+0+2+0+0+6)</f>
        <v>24</v>
      </c>
      <c r="C17" s="51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Q17" s="47"/>
      <c r="R17" s="47"/>
    </row>
    <row r="18" spans="1:24" ht="29" customHeight="1" x14ac:dyDescent="0.15">
      <c r="A18" s="24">
        <v>46234</v>
      </c>
      <c r="B18" s="34">
        <f>(5+5+5+0+0+5+5+5+0+5+8+15+5+5)</f>
        <v>68</v>
      </c>
      <c r="C18" s="51">
        <v>46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</row>
    <row r="19" spans="1:24" ht="29" customHeight="1" x14ac:dyDescent="0.15">
      <c r="A19" s="24">
        <v>47978</v>
      </c>
      <c r="B19" s="51">
        <f>(5+5+5+0+0+0+5+5+0+5+12+2+0+7)</f>
        <v>51</v>
      </c>
      <c r="C19" s="51">
        <v>42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</row>
    <row r="20" spans="1:24" ht="29" customHeight="1" x14ac:dyDescent="0.15">
      <c r="A20" s="24">
        <v>48461</v>
      </c>
      <c r="B20" s="51">
        <f>(0+5+5+1+0+5+0+0+0+6+0+7+10)</f>
        <v>39</v>
      </c>
      <c r="C20" s="51">
        <v>62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</row>
    <row r="21" spans="1:24" ht="29" customHeight="1" x14ac:dyDescent="0.15">
      <c r="A21" s="24">
        <v>48462</v>
      </c>
      <c r="B21" s="51">
        <f>(5+5+5+1+5+5+5+0+5+5+5+15+10+7)</f>
        <v>78</v>
      </c>
      <c r="C21" s="51">
        <v>75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</row>
    <row r="22" spans="1:24" ht="29" customHeight="1" x14ac:dyDescent="0.15">
      <c r="A22" s="24">
        <v>48666</v>
      </c>
      <c r="B22" s="51">
        <f>(0+5+5+0+0+0+5+5+5+0+8+15+8+10)</f>
        <v>66</v>
      </c>
      <c r="C22" s="51">
        <v>57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</row>
    <row r="23" spans="1:24" ht="29" customHeight="1" x14ac:dyDescent="0.15">
      <c r="A23" s="24">
        <v>50098</v>
      </c>
      <c r="B23" s="51">
        <f>(5+5+3+1+5+5+0+0+0+5+8+2+5+8)</f>
        <v>52</v>
      </c>
      <c r="C23" s="51">
        <v>4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</row>
    <row r="24" spans="1:24" ht="29" customHeight="1" x14ac:dyDescent="0.15">
      <c r="A24" s="24">
        <v>50108</v>
      </c>
      <c r="B24" s="51">
        <f>(1+1+0+0+0+0+1+0+0+5+4+0+1+7)</f>
        <v>20</v>
      </c>
      <c r="C24" s="51">
        <v>28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</row>
    <row r="25" spans="1:24" ht="29" customHeight="1" x14ac:dyDescent="0.15">
      <c r="A25" s="24">
        <v>50925</v>
      </c>
      <c r="B25" s="51">
        <f>(5+0+5+2.5+0+0+5+0+5+5+10+15+10+10)</f>
        <v>72.5</v>
      </c>
      <c r="C25" s="51">
        <v>58</v>
      </c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</row>
    <row r="26" spans="1:24" ht="29" customHeight="1" x14ac:dyDescent="0.2">
      <c r="A26" s="24">
        <v>52252</v>
      </c>
      <c r="B26" s="34">
        <f>(1+5+5+0+0+5+0+1+0+5+15+10+2+6)</f>
        <v>55</v>
      </c>
      <c r="C26" s="34">
        <v>60</v>
      </c>
      <c r="D26" s="30"/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7"/>
      <c r="P26" s="31"/>
      <c r="Q26" s="31"/>
      <c r="R26" s="31"/>
      <c r="S26" s="31"/>
      <c r="T26" s="31"/>
      <c r="U26" s="31"/>
      <c r="V26" s="31"/>
      <c r="W26" s="31"/>
      <c r="X26" s="32"/>
    </row>
    <row r="27" spans="1:24" ht="29" customHeight="1" x14ac:dyDescent="0.15">
      <c r="A27" s="24">
        <v>53915</v>
      </c>
      <c r="B27" s="51">
        <f>(5+5+5+2.5+0+0+5+5+5+5+15+3+10+13)</f>
        <v>78.5</v>
      </c>
      <c r="C27" s="51">
        <v>72</v>
      </c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</row>
    <row r="28" spans="1:24" ht="29" customHeight="1" x14ac:dyDescent="0.15">
      <c r="A28" s="24">
        <v>56433</v>
      </c>
      <c r="B28" s="51">
        <f>(5+5+5+2.5+5+0+5+0+5+5+15+3+4+14)</f>
        <v>73.5</v>
      </c>
      <c r="C28" s="51">
        <v>68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</row>
    <row r="29" spans="1:24" ht="29" customHeight="1" x14ac:dyDescent="0.15">
      <c r="A29" s="24">
        <v>58506</v>
      </c>
      <c r="B29" s="34">
        <f>(5+0+0+1+0+0+0+0+5+5+6+0+0+6)</f>
        <v>28</v>
      </c>
      <c r="C29" s="34">
        <v>28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</row>
    <row r="30" spans="1:24" ht="29" customHeight="1" x14ac:dyDescent="0.15">
      <c r="A30" s="24">
        <v>59392</v>
      </c>
      <c r="B30" s="51">
        <f>(5+0+5+0+0+0+0+0+0+5+3+15+5+7)</f>
        <v>45</v>
      </c>
      <c r="C30" s="34">
        <v>40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</row>
    <row r="31" spans="1:24" ht="29" customHeight="1" x14ac:dyDescent="0.15">
      <c r="A31" s="24">
        <v>61767</v>
      </c>
      <c r="B31" s="51">
        <f>(5+5+0+0+0+0+5+0+0+0+2+0+2+5)</f>
        <v>24</v>
      </c>
      <c r="C31" s="34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</row>
    <row r="32" spans="1:24" ht="29" customHeight="1" x14ac:dyDescent="0.15">
      <c r="A32" s="24">
        <v>62166</v>
      </c>
      <c r="B32" s="51">
        <f>(8+4+7+4+9+2+2+0+10+1)</f>
        <v>47</v>
      </c>
      <c r="C32" s="34">
        <v>52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</row>
    <row r="33" spans="1:15" ht="29" customHeight="1" x14ac:dyDescent="0.15">
      <c r="A33" s="24">
        <v>62943</v>
      </c>
      <c r="B33" s="51">
        <f>(0+1+1+0+0+0+0+0+1+0+2+2+0+8)</f>
        <v>15</v>
      </c>
      <c r="C33" s="34">
        <v>24</v>
      </c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</row>
    <row r="34" spans="1:15" ht="29" customHeight="1" x14ac:dyDescent="0.15">
      <c r="A34" s="24">
        <v>64244</v>
      </c>
      <c r="B34" s="51">
        <f>(5+0+5+0+0+0+5+0+5+5+6+0+5+5)</f>
        <v>41</v>
      </c>
      <c r="C34" s="34">
        <v>30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</row>
    <row r="35" spans="1:15" ht="29" customHeight="1" x14ac:dyDescent="0.15">
      <c r="A35" s="24">
        <v>64826</v>
      </c>
      <c r="B35" s="51">
        <f>(0+4+5+0+0+5+5+0+0+0+10+0+3+6)</f>
        <v>38</v>
      </c>
      <c r="C35" s="34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</row>
    <row r="36" spans="1:15" ht="29" customHeight="1" x14ac:dyDescent="0.15">
      <c r="A36" s="24">
        <v>65878</v>
      </c>
      <c r="B36" s="51">
        <f>(0+0+5+5+0+0+5+1+1+5+10+2+5+8)</f>
        <v>47</v>
      </c>
      <c r="C36" s="34">
        <v>56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7" spans="1:15" ht="29" customHeight="1" x14ac:dyDescent="0.15">
      <c r="A37" s="24">
        <v>69356</v>
      </c>
      <c r="B37" s="51">
        <f>(0+1+0+0+1+0+1+1+0+1+0+0+0+0)</f>
        <v>5</v>
      </c>
      <c r="C37" s="35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29" customHeight="1" x14ac:dyDescent="0.15">
      <c r="A38" s="24">
        <v>98422</v>
      </c>
      <c r="B38" s="51">
        <f>(5+5+5+2.5+5+5+5+5+5+5+15+15+20+9)</f>
        <v>106.5</v>
      </c>
      <c r="C38" s="34">
        <v>100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29" customHeight="1" x14ac:dyDescent="0.15">
      <c r="A39" s="24">
        <v>98812</v>
      </c>
      <c r="B39" s="51">
        <f>(0+0+0+5+0+5+0+0+5+0+0+0+4+2)</f>
        <v>21</v>
      </c>
      <c r="C39" s="34">
        <v>24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</row>
    <row r="40" spans="1:15" ht="25" customHeight="1" x14ac:dyDescent="0.15">
      <c r="A40" s="24"/>
      <c r="B40" s="27"/>
      <c r="C40" s="27"/>
    </row>
    <row r="41" spans="1:15" ht="25" customHeight="1" x14ac:dyDescent="0.15">
      <c r="A41" s="18" t="s">
        <v>38</v>
      </c>
      <c r="B41" s="44">
        <v>120</v>
      </c>
      <c r="C41" s="44">
        <v>100</v>
      </c>
    </row>
    <row r="42" spans="1:15" ht="25" customHeight="1" x14ac:dyDescent="0.15">
      <c r="A42" s="19" t="s">
        <v>39</v>
      </c>
      <c r="B42" s="45">
        <f>AVERAGE(B$2:B$39)</f>
        <v>51.416666666666664</v>
      </c>
      <c r="C42" s="45">
        <f>AVERAGE(C$2:C$39)</f>
        <v>50.453125</v>
      </c>
      <c r="E42" s="52"/>
      <c r="F42" s="52"/>
      <c r="G42" s="52"/>
      <c r="H42" s="52"/>
      <c r="I42" s="52"/>
      <c r="J42" s="52"/>
      <c r="K42" s="52"/>
      <c r="L42" s="52"/>
      <c r="M42" s="52"/>
      <c r="N42" s="52"/>
    </row>
    <row r="43" spans="1:15" ht="25" customHeight="1" x14ac:dyDescent="0.15">
      <c r="A43" s="20" t="s">
        <v>40</v>
      </c>
      <c r="B43" s="45">
        <f>STDEV(B$2:B$39)</f>
        <v>24.219089283337755</v>
      </c>
      <c r="C43" s="45">
        <f>STDEV(C$2:C$39)</f>
        <v>22.581522340393207</v>
      </c>
    </row>
    <row r="44" spans="1:15" ht="25" customHeight="1" x14ac:dyDescent="0.15">
      <c r="A44" s="20" t="s">
        <v>41</v>
      </c>
      <c r="B44" s="45">
        <f>MEDIAN(B$2:B$39)</f>
        <v>51.5</v>
      </c>
      <c r="C44" s="45">
        <f>MEDIAN(C$2:C$39)</f>
        <v>53.5</v>
      </c>
    </row>
  </sheetData>
  <pageMargins left="0.75" right="0.75" top="1" bottom="1" header="0.5" footer="0.5"/>
  <pageSetup paperSize="9" orientation="portrait" horizontalDpi="4294967292" verticalDpi="4294967292"/>
  <headerFooter alignWithMargins="0"/>
  <ignoredErrors>
    <ignoredError sqref="A2:A11 A27:A36 A37:A39 A12:A2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0"/>
  <sheetViews>
    <sheetView tabSelected="1" zoomScaleNormal="100" workbookViewId="0">
      <selection activeCell="I1" sqref="I1"/>
    </sheetView>
  </sheetViews>
  <sheetFormatPr baseColWidth="10" defaultRowHeight="13" x14ac:dyDescent="0.15"/>
  <cols>
    <col min="1" max="1" width="20.83203125" customWidth="1"/>
    <col min="2" max="2" width="17.6640625" style="15" customWidth="1"/>
    <col min="3" max="4" width="15.83203125" customWidth="1"/>
    <col min="5" max="6" width="18.83203125" customWidth="1"/>
    <col min="7" max="7" width="18.5" customWidth="1"/>
    <col min="8" max="8" width="13.83203125" customWidth="1"/>
  </cols>
  <sheetData>
    <row r="1" spans="1:8" ht="24" customHeight="1" x14ac:dyDescent="0.15">
      <c r="A1" s="14" t="s">
        <v>5</v>
      </c>
      <c r="B1" s="10" t="s">
        <v>0</v>
      </c>
      <c r="C1" s="10" t="s">
        <v>25</v>
      </c>
      <c r="D1" s="10" t="s">
        <v>46</v>
      </c>
      <c r="E1" s="6" t="s">
        <v>1</v>
      </c>
      <c r="F1" s="6" t="s">
        <v>4</v>
      </c>
      <c r="G1" s="6" t="s">
        <v>2</v>
      </c>
      <c r="H1" s="6" t="s">
        <v>3</v>
      </c>
    </row>
    <row r="2" spans="1:8" ht="29" customHeight="1" x14ac:dyDescent="0.15">
      <c r="A2" s="53" t="s">
        <v>49</v>
      </c>
      <c r="B2" s="38">
        <f>Quiz!W2</f>
        <v>0.24761904761904763</v>
      </c>
      <c r="C2" s="36">
        <f>Homework!N2</f>
        <v>0.70849358974358967</v>
      </c>
      <c r="D2" s="51">
        <f>Exams!B2</f>
        <v>57</v>
      </c>
      <c r="E2" s="34">
        <f>Exams!C2</f>
        <v>55</v>
      </c>
      <c r="F2" s="38">
        <f t="shared" ref="F2:F36" si="0">$B2+$C2+($D2/$D$41)*3+($E2/$E$41)*4.5</f>
        <v>4.8561126373626369</v>
      </c>
      <c r="G2" s="38">
        <f>0.5*INT(F2/0.5)+INT( ((F2-INT(F2/0.5)*0.5)/0.25))*0.5</f>
        <v>5</v>
      </c>
      <c r="H2" s="35">
        <f>IF(G2&gt;4.75,1,0)</f>
        <v>1</v>
      </c>
    </row>
    <row r="3" spans="1:8" ht="29" customHeight="1" x14ac:dyDescent="0.15">
      <c r="A3" s="24">
        <v>22166</v>
      </c>
      <c r="B3" s="38">
        <f>Quiz!W3</f>
        <v>9.2063492063492069E-2</v>
      </c>
      <c r="C3" s="36">
        <f>Homework!N3</f>
        <v>0</v>
      </c>
      <c r="D3" s="51">
        <f>Exams!B3</f>
        <v>0</v>
      </c>
      <c r="E3" s="34">
        <f>Exams!C3</f>
        <v>0</v>
      </c>
      <c r="F3" s="38">
        <f t="shared" si="0"/>
        <v>9.2063492063492069E-2</v>
      </c>
      <c r="G3" s="38">
        <f t="shared" ref="G3:G28" si="1">0.5*INT(F3/0.5)+INT( ((F3-INT(F3/0.5)*0.5)/0.25))*0.5</f>
        <v>0</v>
      </c>
      <c r="H3" s="35">
        <f t="shared" ref="H3:H28" si="2">IF(G3&gt;4.75,1,0)</f>
        <v>0</v>
      </c>
    </row>
    <row r="4" spans="1:8" ht="29" customHeight="1" x14ac:dyDescent="0.15">
      <c r="A4" s="24">
        <v>24616</v>
      </c>
      <c r="B4" s="38">
        <f>Quiz!W4</f>
        <v>7.9365079365079361E-2</v>
      </c>
      <c r="C4" s="36">
        <f>Homework!N4</f>
        <v>0</v>
      </c>
      <c r="D4" s="51">
        <f>Exams!B4</f>
        <v>60</v>
      </c>
      <c r="E4" s="34">
        <f>Exams!C4</f>
        <v>40</v>
      </c>
      <c r="F4" s="38">
        <f t="shared" si="0"/>
        <v>3.3793650793650793</v>
      </c>
      <c r="G4" s="38">
        <f>0.5*INT(F4/0.5)+INT( ((F4-INT(F4/0.5)*0.5)/0.25))*0.5</f>
        <v>3.5</v>
      </c>
      <c r="H4" s="35">
        <f>IF(G4&gt;4.75,1,0)</f>
        <v>0</v>
      </c>
    </row>
    <row r="5" spans="1:8" ht="29" customHeight="1" x14ac:dyDescent="0.15">
      <c r="A5" s="24">
        <v>28431</v>
      </c>
      <c r="B5" s="38">
        <f>Quiz!W5</f>
        <v>0.2857142857142857</v>
      </c>
      <c r="C5" s="36">
        <f>Homework!N5</f>
        <v>0.75752518315018313</v>
      </c>
      <c r="D5" s="51">
        <f>Exams!B5</f>
        <v>14.5</v>
      </c>
      <c r="E5" s="34">
        <f>Exams!C5</f>
        <v>14</v>
      </c>
      <c r="F5" s="38">
        <f t="shared" si="0"/>
        <v>2.035739468864469</v>
      </c>
      <c r="G5" s="38">
        <f t="shared" si="1"/>
        <v>2</v>
      </c>
      <c r="H5" s="35">
        <f t="shared" si="2"/>
        <v>0</v>
      </c>
    </row>
    <row r="6" spans="1:8" ht="29" customHeight="1" x14ac:dyDescent="0.15">
      <c r="A6" s="24">
        <v>28745</v>
      </c>
      <c r="B6" s="38">
        <f>Quiz!W6</f>
        <v>0.55238095238095242</v>
      </c>
      <c r="C6" s="36">
        <f>Homework!N6</f>
        <v>0.72152300824175819</v>
      </c>
      <c r="D6" s="51">
        <f>Exams!B6</f>
        <v>49</v>
      </c>
      <c r="E6" s="34">
        <f>Exams!C6</f>
        <v>44</v>
      </c>
      <c r="F6" s="38">
        <f t="shared" si="0"/>
        <v>4.478903960622711</v>
      </c>
      <c r="G6" s="38">
        <f t="shared" si="1"/>
        <v>4.5</v>
      </c>
      <c r="H6" s="35">
        <f t="shared" si="2"/>
        <v>0</v>
      </c>
    </row>
    <row r="7" spans="1:8" ht="29" customHeight="1" x14ac:dyDescent="0.15">
      <c r="A7" s="24">
        <v>30063</v>
      </c>
      <c r="B7" s="38">
        <f>Quiz!W7</f>
        <v>0.32063492063492066</v>
      </c>
      <c r="C7" s="36">
        <f>Homework!N7</f>
        <v>0.21770833333333331</v>
      </c>
      <c r="D7" s="51">
        <f>Exams!B7</f>
        <v>30</v>
      </c>
      <c r="E7" s="34">
        <f>Exams!C7</f>
        <v>20</v>
      </c>
      <c r="F7" s="38">
        <f t="shared" si="0"/>
        <v>2.1883432539682541</v>
      </c>
      <c r="G7" s="38">
        <f t="shared" si="1"/>
        <v>2</v>
      </c>
      <c r="H7" s="35">
        <f t="shared" si="2"/>
        <v>0</v>
      </c>
    </row>
    <row r="8" spans="1:8" ht="29" customHeight="1" x14ac:dyDescent="0.15">
      <c r="A8" s="24">
        <v>32418</v>
      </c>
      <c r="B8" s="38">
        <f>Quiz!W8</f>
        <v>0.68888888888888888</v>
      </c>
      <c r="C8" s="36">
        <f>Homework!N8</f>
        <v>1.3208676739926739</v>
      </c>
      <c r="D8" s="51">
        <f>Exams!B8</f>
        <v>89</v>
      </c>
      <c r="E8" s="34">
        <f>Exams!C8</f>
        <v>90</v>
      </c>
      <c r="F8" s="38">
        <f t="shared" si="0"/>
        <v>8.2847565628815616</v>
      </c>
      <c r="G8" s="38">
        <f t="shared" si="1"/>
        <v>8.5</v>
      </c>
      <c r="H8" s="35">
        <f t="shared" si="2"/>
        <v>1</v>
      </c>
    </row>
    <row r="9" spans="1:8" ht="29" customHeight="1" x14ac:dyDescent="0.15">
      <c r="A9" s="24">
        <v>37701</v>
      </c>
      <c r="B9" s="38">
        <f>Quiz!W9</f>
        <v>0.54285714285714282</v>
      </c>
      <c r="C9" s="36">
        <f>Homework!N9</f>
        <v>0.98134500915750911</v>
      </c>
      <c r="D9" s="51">
        <f>Exams!B9</f>
        <v>34</v>
      </c>
      <c r="E9" s="34">
        <f>Exams!C9</f>
        <v>32.5</v>
      </c>
      <c r="F9" s="38">
        <f t="shared" si="0"/>
        <v>3.8367021520146523</v>
      </c>
      <c r="G9" s="38">
        <f t="shared" si="1"/>
        <v>4</v>
      </c>
      <c r="H9" s="35">
        <f t="shared" si="2"/>
        <v>0</v>
      </c>
    </row>
    <row r="10" spans="1:8" ht="29" customHeight="1" x14ac:dyDescent="0.15">
      <c r="A10" s="24">
        <v>37840</v>
      </c>
      <c r="B10" s="38">
        <f>Quiz!W10</f>
        <v>0.67619047619047623</v>
      </c>
      <c r="C10" s="36">
        <f>Homework!N10</f>
        <v>0.4874416208791208</v>
      </c>
      <c r="D10" s="51">
        <f>Exams!B10</f>
        <v>76.5</v>
      </c>
      <c r="E10" s="34">
        <f>Exams!C10</f>
        <v>56</v>
      </c>
      <c r="F10" s="38">
        <f t="shared" si="0"/>
        <v>5.5961320970695976</v>
      </c>
      <c r="G10" s="38">
        <f>0.5*INT(F10/0.5)+INT( ((F10-INT(F10/0.5)*0.5)/0.25))*0.5</f>
        <v>5.5</v>
      </c>
      <c r="H10" s="35">
        <f>IF(G10&gt;4.75,1,0)</f>
        <v>1</v>
      </c>
    </row>
    <row r="11" spans="1:8" ht="29" customHeight="1" x14ac:dyDescent="0.15">
      <c r="A11" s="24">
        <v>39304</v>
      </c>
      <c r="B11" s="38">
        <f>Quiz!W11</f>
        <v>0.50476190476190474</v>
      </c>
      <c r="C11" s="36">
        <f>Homework!N11</f>
        <v>1.0125366300366299</v>
      </c>
      <c r="D11" s="51">
        <f>Exams!B11</f>
        <v>61</v>
      </c>
      <c r="E11" s="34">
        <f>Exams!C11</f>
        <v>73</v>
      </c>
      <c r="F11" s="38">
        <f t="shared" si="0"/>
        <v>6.3272985347985351</v>
      </c>
      <c r="G11" s="38">
        <f t="shared" si="1"/>
        <v>6.5</v>
      </c>
      <c r="H11" s="35">
        <f t="shared" si="2"/>
        <v>1</v>
      </c>
    </row>
    <row r="12" spans="1:8" ht="29" customHeight="1" x14ac:dyDescent="0.15">
      <c r="A12" s="24">
        <v>41765</v>
      </c>
      <c r="B12" s="38">
        <f>Quiz!W12</f>
        <v>0</v>
      </c>
      <c r="C12" s="36">
        <f>Homework!N12</f>
        <v>0</v>
      </c>
      <c r="D12" s="51">
        <f>Exams!B12</f>
        <v>0</v>
      </c>
      <c r="E12" s="34">
        <f>Exams!C12</f>
        <v>0</v>
      </c>
      <c r="F12" s="38">
        <f t="shared" si="0"/>
        <v>0</v>
      </c>
      <c r="G12" s="38">
        <f t="shared" si="1"/>
        <v>0</v>
      </c>
      <c r="H12" s="35">
        <f t="shared" si="2"/>
        <v>0</v>
      </c>
    </row>
    <row r="13" spans="1:8" ht="29" customHeight="1" x14ac:dyDescent="0.15">
      <c r="A13" s="24">
        <v>41772</v>
      </c>
      <c r="B13" s="38">
        <f>Quiz!W13</f>
        <v>0.50476190476190474</v>
      </c>
      <c r="C13" s="36">
        <f>Homework!N13</f>
        <v>0.44025869963369962</v>
      </c>
      <c r="D13" s="51">
        <f>Exams!B13</f>
        <v>61</v>
      </c>
      <c r="E13" s="34">
        <f>Exams!C13</f>
        <v>52</v>
      </c>
      <c r="F13" s="38">
        <f t="shared" si="0"/>
        <v>4.8100206043956044</v>
      </c>
      <c r="G13" s="38">
        <f t="shared" si="1"/>
        <v>5</v>
      </c>
      <c r="H13" s="35">
        <f t="shared" si="2"/>
        <v>1</v>
      </c>
    </row>
    <row r="14" spans="1:8" ht="29" customHeight="1" x14ac:dyDescent="0.15">
      <c r="A14" s="24">
        <v>41850</v>
      </c>
      <c r="B14" s="38">
        <f>Quiz!W14</f>
        <v>0.6253968253968254</v>
      </c>
      <c r="C14" s="36">
        <f>Homework!N14</f>
        <v>1.3428273809523812</v>
      </c>
      <c r="D14" s="51">
        <f>Exams!B14</f>
        <v>87.5</v>
      </c>
      <c r="E14" s="34">
        <f>Exams!C14</f>
        <v>86</v>
      </c>
      <c r="F14" s="38">
        <f t="shared" si="0"/>
        <v>8.0257242063492065</v>
      </c>
      <c r="G14" s="38">
        <f t="shared" si="1"/>
        <v>8</v>
      </c>
      <c r="H14" s="35">
        <f t="shared" si="2"/>
        <v>1</v>
      </c>
    </row>
    <row r="15" spans="1:8" ht="29" customHeight="1" x14ac:dyDescent="0.15">
      <c r="A15" s="24">
        <v>42057</v>
      </c>
      <c r="B15" s="38">
        <f>Quiz!W15</f>
        <v>0.50158730158730158</v>
      </c>
      <c r="C15" s="36">
        <f>Homework!N15</f>
        <v>1.1582829670329668</v>
      </c>
      <c r="D15" s="51">
        <f>Exams!B15</f>
        <v>55.5</v>
      </c>
      <c r="E15" s="34">
        <f>Exams!C15</f>
        <v>62</v>
      </c>
      <c r="F15" s="38">
        <f t="shared" si="0"/>
        <v>5.8373702686202691</v>
      </c>
      <c r="G15" s="38">
        <f t="shared" si="1"/>
        <v>6</v>
      </c>
      <c r="H15" s="35">
        <f t="shared" si="2"/>
        <v>1</v>
      </c>
    </row>
    <row r="16" spans="1:8" ht="29" customHeight="1" x14ac:dyDescent="0.15">
      <c r="A16" s="24">
        <v>43868</v>
      </c>
      <c r="B16" s="38">
        <f>Quiz!W16</f>
        <v>0.43809523809523809</v>
      </c>
      <c r="C16" s="36">
        <f>Homework!N16</f>
        <v>0.92496336996337014</v>
      </c>
      <c r="D16" s="51">
        <f>Exams!B16</f>
        <v>81</v>
      </c>
      <c r="E16" s="34">
        <f>Exams!C16</f>
        <v>64</v>
      </c>
      <c r="F16" s="38">
        <f t="shared" si="0"/>
        <v>6.2680586080586087</v>
      </c>
      <c r="G16" s="38">
        <f>0.5*INT(F16/0.5)+INT( ((F16-INT(F16/0.5)*0.5)/0.25))*0.5</f>
        <v>6.5</v>
      </c>
      <c r="H16" s="35">
        <f>IF(G16&gt;4.75,1,0)</f>
        <v>1</v>
      </c>
    </row>
    <row r="17" spans="1:8" ht="29" customHeight="1" x14ac:dyDescent="0.15">
      <c r="A17" s="24">
        <v>44967</v>
      </c>
      <c r="B17" s="38">
        <f>Quiz!W17</f>
        <v>0.6063492063492063</v>
      </c>
      <c r="C17" s="36">
        <f>Homework!N17</f>
        <v>0.19895833333333332</v>
      </c>
      <c r="D17" s="51">
        <f>Exams!B17</f>
        <v>24</v>
      </c>
      <c r="E17" s="34">
        <f>Exams!C17</f>
        <v>0</v>
      </c>
      <c r="F17" s="38">
        <f t="shared" si="0"/>
        <v>1.4053075396825396</v>
      </c>
      <c r="G17" s="38">
        <f t="shared" si="1"/>
        <v>1.5</v>
      </c>
      <c r="H17" s="35">
        <f t="shared" si="2"/>
        <v>0</v>
      </c>
    </row>
    <row r="18" spans="1:8" ht="29" customHeight="1" x14ac:dyDescent="0.15">
      <c r="A18" s="24">
        <v>46234</v>
      </c>
      <c r="B18" s="38">
        <f>Quiz!W18</f>
        <v>0.45396825396825397</v>
      </c>
      <c r="C18" s="36">
        <f>Homework!N18</f>
        <v>0.69374771062271068</v>
      </c>
      <c r="D18" s="51">
        <f>Exams!B18</f>
        <v>68</v>
      </c>
      <c r="E18" s="34">
        <f>Exams!C18</f>
        <v>46</v>
      </c>
      <c r="F18" s="38">
        <f t="shared" si="0"/>
        <v>4.9177159645909647</v>
      </c>
      <c r="G18" s="38">
        <f t="shared" si="1"/>
        <v>5</v>
      </c>
      <c r="H18" s="35">
        <f t="shared" si="2"/>
        <v>1</v>
      </c>
    </row>
    <row r="19" spans="1:8" ht="29" customHeight="1" x14ac:dyDescent="0.15">
      <c r="A19" s="24">
        <v>47978</v>
      </c>
      <c r="B19" s="38">
        <f>Quiz!W19</f>
        <v>0.34285714285714286</v>
      </c>
      <c r="C19" s="36">
        <f>Homework!N19</f>
        <v>0.23853136446886447</v>
      </c>
      <c r="D19" s="51">
        <f>Exams!B19</f>
        <v>51</v>
      </c>
      <c r="E19" s="34">
        <f>Exams!C19</f>
        <v>42</v>
      </c>
      <c r="F19" s="38">
        <f t="shared" si="0"/>
        <v>3.7463885073260075</v>
      </c>
      <c r="G19" s="38">
        <f t="shared" si="1"/>
        <v>3.5</v>
      </c>
      <c r="H19" s="35">
        <f t="shared" si="2"/>
        <v>0</v>
      </c>
    </row>
    <row r="20" spans="1:8" ht="29" customHeight="1" x14ac:dyDescent="0.15">
      <c r="A20" s="24">
        <v>48461</v>
      </c>
      <c r="B20" s="38">
        <f>Quiz!W20</f>
        <v>0.42539682539682538</v>
      </c>
      <c r="C20" s="36">
        <f>Homework!N20</f>
        <v>0.8560244963369964</v>
      </c>
      <c r="D20" s="51">
        <f>Exams!B20</f>
        <v>39</v>
      </c>
      <c r="E20" s="34">
        <f>Exams!C20</f>
        <v>62</v>
      </c>
      <c r="F20" s="38">
        <f t="shared" si="0"/>
        <v>5.0464213217338223</v>
      </c>
      <c r="G20" s="38">
        <f t="shared" si="1"/>
        <v>5</v>
      </c>
      <c r="H20" s="35">
        <f t="shared" si="2"/>
        <v>1</v>
      </c>
    </row>
    <row r="21" spans="1:8" ht="29" customHeight="1" x14ac:dyDescent="0.15">
      <c r="A21" s="24">
        <v>48462</v>
      </c>
      <c r="B21" s="38">
        <f>Quiz!W21</f>
        <v>0.51428571428571423</v>
      </c>
      <c r="C21" s="36">
        <f>Homework!N21</f>
        <v>1.2517158882783883</v>
      </c>
      <c r="D21" s="51">
        <f>Exams!B21</f>
        <v>78</v>
      </c>
      <c r="E21" s="34">
        <f>Exams!C21</f>
        <v>75</v>
      </c>
      <c r="F21" s="38">
        <f t="shared" si="0"/>
        <v>7.0910016025641029</v>
      </c>
      <c r="G21" s="38">
        <f t="shared" si="1"/>
        <v>7</v>
      </c>
      <c r="H21" s="35">
        <f t="shared" si="2"/>
        <v>1</v>
      </c>
    </row>
    <row r="22" spans="1:8" ht="29" customHeight="1" x14ac:dyDescent="0.15">
      <c r="A22" s="24">
        <v>48666</v>
      </c>
      <c r="B22" s="38">
        <f>Quiz!W22</f>
        <v>0.56190476190476191</v>
      </c>
      <c r="C22" s="36">
        <f>Homework!N22</f>
        <v>0.98849816849816852</v>
      </c>
      <c r="D22" s="51">
        <f>Exams!B22</f>
        <v>66</v>
      </c>
      <c r="E22" s="34">
        <f>Exams!C22</f>
        <v>57</v>
      </c>
      <c r="F22" s="38">
        <f t="shared" si="0"/>
        <v>5.7654029304029297</v>
      </c>
      <c r="G22" s="38">
        <f t="shared" si="1"/>
        <v>6</v>
      </c>
      <c r="H22" s="35">
        <f t="shared" si="2"/>
        <v>1</v>
      </c>
    </row>
    <row r="23" spans="1:8" ht="29" customHeight="1" x14ac:dyDescent="0.15">
      <c r="A23" s="24">
        <v>50098</v>
      </c>
      <c r="B23" s="38">
        <f>Quiz!W23</f>
        <v>0.25396825396825395</v>
      </c>
      <c r="C23" s="36">
        <f>Homework!N23</f>
        <v>0.3872298534798535</v>
      </c>
      <c r="D23" s="51">
        <f>Exams!B23</f>
        <v>52</v>
      </c>
      <c r="E23" s="34">
        <f>Exams!C23</f>
        <v>4</v>
      </c>
      <c r="F23" s="38">
        <f t="shared" si="0"/>
        <v>2.1211981074481074</v>
      </c>
      <c r="G23" s="38">
        <f t="shared" si="1"/>
        <v>2</v>
      </c>
      <c r="H23" s="35">
        <f t="shared" si="2"/>
        <v>0</v>
      </c>
    </row>
    <row r="24" spans="1:8" ht="29" customHeight="1" x14ac:dyDescent="0.15">
      <c r="A24" s="24">
        <v>50108</v>
      </c>
      <c r="B24" s="38">
        <f>Quiz!W24</f>
        <v>0.35873015873015873</v>
      </c>
      <c r="C24" s="36">
        <f>Homework!N24</f>
        <v>0.6018120421245422</v>
      </c>
      <c r="D24" s="51">
        <f>Exams!B24</f>
        <v>20</v>
      </c>
      <c r="E24" s="34">
        <f>Exams!C24</f>
        <v>28</v>
      </c>
      <c r="F24" s="38">
        <f t="shared" si="0"/>
        <v>2.7205422008547009</v>
      </c>
      <c r="G24" s="38">
        <f t="shared" si="1"/>
        <v>2.5</v>
      </c>
      <c r="H24" s="35">
        <f t="shared" si="2"/>
        <v>0</v>
      </c>
    </row>
    <row r="25" spans="1:8" ht="29" customHeight="1" x14ac:dyDescent="0.15">
      <c r="A25" s="24">
        <v>50925</v>
      </c>
      <c r="B25" s="38">
        <f>Quiz!W25</f>
        <v>0.32063492063492066</v>
      </c>
      <c r="C25" s="36">
        <f>Homework!N25</f>
        <v>0.71134844322344326</v>
      </c>
      <c r="D25" s="51">
        <f>Exams!B25</f>
        <v>72.5</v>
      </c>
      <c r="E25" s="34">
        <f>Exams!C25</f>
        <v>58</v>
      </c>
      <c r="F25" s="38">
        <f t="shared" si="0"/>
        <v>5.4544833638583636</v>
      </c>
      <c r="G25" s="38">
        <f t="shared" si="1"/>
        <v>5.5</v>
      </c>
      <c r="H25" s="35">
        <f t="shared" si="2"/>
        <v>1</v>
      </c>
    </row>
    <row r="26" spans="1:8" ht="29" customHeight="1" x14ac:dyDescent="0.15">
      <c r="A26" s="24">
        <v>52252</v>
      </c>
      <c r="B26" s="38">
        <f>Quiz!W26</f>
        <v>0.30158730158730157</v>
      </c>
      <c r="C26" s="36">
        <f>Homework!N26</f>
        <v>0.38241987179487175</v>
      </c>
      <c r="D26" s="51">
        <f>Exams!B26</f>
        <v>55</v>
      </c>
      <c r="E26" s="34">
        <f>Exams!C26</f>
        <v>60</v>
      </c>
      <c r="F26" s="38">
        <f t="shared" si="0"/>
        <v>4.7590071733821731</v>
      </c>
      <c r="G26" s="38">
        <f t="shared" si="1"/>
        <v>5</v>
      </c>
      <c r="H26" s="35">
        <f t="shared" si="2"/>
        <v>1</v>
      </c>
    </row>
    <row r="27" spans="1:8" ht="29" customHeight="1" x14ac:dyDescent="0.15">
      <c r="A27" s="24">
        <v>53915</v>
      </c>
      <c r="B27" s="38">
        <f>Quiz!W27</f>
        <v>0.53015873015873016</v>
      </c>
      <c r="C27" s="36">
        <f>Homework!N27</f>
        <v>1.0794310897435897</v>
      </c>
      <c r="D27" s="51">
        <f>Exams!B27</f>
        <v>78.5</v>
      </c>
      <c r="E27" s="34">
        <f>Exams!C27</f>
        <v>72</v>
      </c>
      <c r="F27" s="38">
        <f t="shared" si="0"/>
        <v>6.8120898199023197</v>
      </c>
      <c r="G27" s="38">
        <f t="shared" si="1"/>
        <v>7</v>
      </c>
      <c r="H27" s="35">
        <f t="shared" si="2"/>
        <v>1</v>
      </c>
    </row>
    <row r="28" spans="1:8" ht="29" customHeight="1" x14ac:dyDescent="0.15">
      <c r="A28" s="24">
        <v>56433</v>
      </c>
      <c r="B28" s="38">
        <f>Quiz!W28</f>
        <v>0.46031746031746029</v>
      </c>
      <c r="C28" s="36">
        <f>Homework!N28</f>
        <v>1.0029452838827839</v>
      </c>
      <c r="D28" s="51">
        <f>Exams!B28</f>
        <v>73.5</v>
      </c>
      <c r="E28" s="34">
        <f>Exams!C28</f>
        <v>68</v>
      </c>
      <c r="F28" s="38">
        <f t="shared" si="0"/>
        <v>6.3607627442002439</v>
      </c>
      <c r="G28" s="38">
        <f t="shared" si="1"/>
        <v>6.5</v>
      </c>
      <c r="H28" s="35">
        <f t="shared" si="2"/>
        <v>1</v>
      </c>
    </row>
    <row r="29" spans="1:8" ht="29" customHeight="1" x14ac:dyDescent="0.15">
      <c r="A29" s="24">
        <v>58506</v>
      </c>
      <c r="B29" s="38">
        <f>Quiz!W29</f>
        <v>0.43492063492063493</v>
      </c>
      <c r="C29" s="36">
        <f>Homework!N29</f>
        <v>0.73599358974358975</v>
      </c>
      <c r="D29" s="51">
        <f>Exams!B29</f>
        <v>28</v>
      </c>
      <c r="E29" s="34">
        <f>Exams!C29</f>
        <v>28</v>
      </c>
      <c r="F29" s="38">
        <f t="shared" si="0"/>
        <v>3.1309142246642248</v>
      </c>
      <c r="G29" s="38">
        <f t="shared" ref="G29:G39" si="3">0.5*INT(F29/0.5)+INT( ((F29-INT(F29/0.5)*0.5)/0.25))*0.5</f>
        <v>3</v>
      </c>
      <c r="H29" s="35">
        <f t="shared" ref="H29:H39" si="4">IF(G29&gt;4.75,1,0)</f>
        <v>0</v>
      </c>
    </row>
    <row r="30" spans="1:8" ht="29" customHeight="1" x14ac:dyDescent="0.15">
      <c r="A30" s="24">
        <v>59392</v>
      </c>
      <c r="B30" s="38">
        <f>Quiz!W30</f>
        <v>0.38730158730158731</v>
      </c>
      <c r="C30" s="36">
        <f>Homework!N30</f>
        <v>0.7675286172161172</v>
      </c>
      <c r="D30" s="51">
        <f>Exams!B30</f>
        <v>45</v>
      </c>
      <c r="E30" s="34">
        <f>Exams!C30</f>
        <v>40</v>
      </c>
      <c r="F30" s="38">
        <f t="shared" si="0"/>
        <v>4.0798302045177044</v>
      </c>
      <c r="G30" s="38">
        <f t="shared" si="3"/>
        <v>4</v>
      </c>
      <c r="H30" s="35">
        <f t="shared" si="4"/>
        <v>0</v>
      </c>
    </row>
    <row r="31" spans="1:8" ht="29" customHeight="1" x14ac:dyDescent="0.15">
      <c r="A31" s="24">
        <v>61767</v>
      </c>
      <c r="B31" s="38">
        <f>Quiz!W31</f>
        <v>0.17142857142857143</v>
      </c>
      <c r="C31" s="36">
        <f>Homework!N31</f>
        <v>0.39612408424908424</v>
      </c>
      <c r="D31" s="51">
        <f>Exams!B31</f>
        <v>24</v>
      </c>
      <c r="E31" s="34">
        <f>Exams!C31</f>
        <v>0</v>
      </c>
      <c r="F31" s="38">
        <f t="shared" si="0"/>
        <v>1.1675526556776559</v>
      </c>
      <c r="G31" s="38">
        <f t="shared" si="3"/>
        <v>1</v>
      </c>
      <c r="H31" s="35">
        <f t="shared" si="4"/>
        <v>0</v>
      </c>
    </row>
    <row r="32" spans="1:8" ht="29" customHeight="1" x14ac:dyDescent="0.15">
      <c r="A32" s="24">
        <v>62166</v>
      </c>
      <c r="B32" s="38">
        <f>Quiz!W32</f>
        <v>0.46349206349206351</v>
      </c>
      <c r="C32" s="36">
        <f>Homework!N32</f>
        <v>0.56860462454212446</v>
      </c>
      <c r="D32" s="51">
        <f>Exams!B32</f>
        <v>47</v>
      </c>
      <c r="E32" s="34">
        <f>Exams!C32</f>
        <v>52</v>
      </c>
      <c r="F32" s="38">
        <f>$B32+$C32+($D32/100)*3+($E32/$E$41)*4.5</f>
        <v>4.782096688034188</v>
      </c>
      <c r="G32" s="38">
        <f t="shared" si="3"/>
        <v>5</v>
      </c>
      <c r="H32" s="35">
        <f t="shared" si="4"/>
        <v>1</v>
      </c>
    </row>
    <row r="33" spans="1:8" ht="29" customHeight="1" x14ac:dyDescent="0.15">
      <c r="A33" s="24">
        <v>62943</v>
      </c>
      <c r="B33" s="38">
        <f>Quiz!W33</f>
        <v>0.24126984126984127</v>
      </c>
      <c r="C33" s="36">
        <f>Homework!N33</f>
        <v>0.66696886446886461</v>
      </c>
      <c r="D33" s="51">
        <f>Exams!B33</f>
        <v>15</v>
      </c>
      <c r="E33" s="34">
        <f>Exams!C33</f>
        <v>24</v>
      </c>
      <c r="F33" s="38">
        <f t="shared" si="0"/>
        <v>2.3632387057387061</v>
      </c>
      <c r="G33" s="38">
        <f t="shared" si="3"/>
        <v>2.5</v>
      </c>
      <c r="H33" s="35">
        <f t="shared" si="4"/>
        <v>0</v>
      </c>
    </row>
    <row r="34" spans="1:8" ht="29" customHeight="1" x14ac:dyDescent="0.15">
      <c r="A34" s="24">
        <v>64244</v>
      </c>
      <c r="B34" s="38">
        <f>Quiz!W34</f>
        <v>0.42539682539682538</v>
      </c>
      <c r="C34" s="36">
        <f>Homework!N34</f>
        <v>0.74439217032967031</v>
      </c>
      <c r="D34" s="51">
        <f>Exams!B34</f>
        <v>41</v>
      </c>
      <c r="E34" s="34">
        <f>Exams!C34</f>
        <v>30</v>
      </c>
      <c r="F34" s="38">
        <f t="shared" si="0"/>
        <v>3.5447889957264955</v>
      </c>
      <c r="G34" s="38">
        <f t="shared" si="3"/>
        <v>3.5</v>
      </c>
      <c r="H34" s="35">
        <f t="shared" si="4"/>
        <v>0</v>
      </c>
    </row>
    <row r="35" spans="1:8" ht="29" customHeight="1" x14ac:dyDescent="0.15">
      <c r="A35" s="24">
        <v>64826</v>
      </c>
      <c r="B35" s="38">
        <f>Quiz!W35</f>
        <v>0.12063492063492064</v>
      </c>
      <c r="C35" s="36">
        <f>Homework!N35</f>
        <v>8.8381410256410262E-2</v>
      </c>
      <c r="D35" s="51">
        <f>Exams!B35</f>
        <v>38</v>
      </c>
      <c r="E35" s="34">
        <f>Exams!C35</f>
        <v>0</v>
      </c>
      <c r="F35" s="38">
        <f t="shared" si="0"/>
        <v>1.1590163308913308</v>
      </c>
      <c r="G35" s="38">
        <f t="shared" si="3"/>
        <v>1</v>
      </c>
      <c r="H35" s="35">
        <f t="shared" si="4"/>
        <v>0</v>
      </c>
    </row>
    <row r="36" spans="1:8" ht="29" customHeight="1" x14ac:dyDescent="0.15">
      <c r="A36" s="24">
        <v>65878</v>
      </c>
      <c r="B36" s="38">
        <f>Quiz!W36</f>
        <v>0.45396825396825397</v>
      </c>
      <c r="C36" s="36">
        <f>Homework!N36</f>
        <v>0.98694940476190463</v>
      </c>
      <c r="D36" s="51">
        <f>Exams!B36</f>
        <v>47</v>
      </c>
      <c r="E36" s="34">
        <f>Exams!C36</f>
        <v>56</v>
      </c>
      <c r="F36" s="38">
        <f t="shared" si="0"/>
        <v>5.1359176587301594</v>
      </c>
      <c r="G36" s="38">
        <f t="shared" si="3"/>
        <v>5</v>
      </c>
      <c r="H36" s="35">
        <f t="shared" si="4"/>
        <v>1</v>
      </c>
    </row>
    <row r="37" spans="1:8" ht="29" customHeight="1" x14ac:dyDescent="0.15">
      <c r="A37" s="24">
        <v>69356</v>
      </c>
      <c r="B37" s="38">
        <f>Quiz!W37</f>
        <v>4.7619047619047616E-2</v>
      </c>
      <c r="C37" s="36">
        <f>Homework!N37</f>
        <v>0</v>
      </c>
      <c r="D37" s="51">
        <f>Exams!B37</f>
        <v>5</v>
      </c>
      <c r="E37" s="34">
        <f>Exams!C37</f>
        <v>0</v>
      </c>
      <c r="F37" s="38">
        <f t="shared" ref="F37" si="5">$B37+$C37+($D37/$D$41)*3+($E37/$E$41)*4.5</f>
        <v>0.17261904761904762</v>
      </c>
      <c r="G37" s="38">
        <f t="shared" si="3"/>
        <v>0</v>
      </c>
      <c r="H37" s="35">
        <f t="shared" si="4"/>
        <v>0</v>
      </c>
    </row>
    <row r="38" spans="1:8" ht="29" customHeight="1" x14ac:dyDescent="0.15">
      <c r="A38" s="24">
        <v>98422</v>
      </c>
      <c r="B38" s="38">
        <f>Quiz!W38</f>
        <v>4.7619047619047616E-2</v>
      </c>
      <c r="C38" s="36">
        <f>Homework!N38</f>
        <v>1.4219402472527471</v>
      </c>
      <c r="D38" s="51">
        <f>Exams!B38</f>
        <v>106.5</v>
      </c>
      <c r="E38" s="34">
        <f>Exams!C38</f>
        <v>100</v>
      </c>
      <c r="F38" s="38">
        <f>$C38+($D38/$D$41)*3.2+($E38/$E$41)*5.5</f>
        <v>9.7619402472527472</v>
      </c>
      <c r="G38" s="38">
        <f t="shared" si="3"/>
        <v>10</v>
      </c>
      <c r="H38" s="35">
        <f t="shared" si="4"/>
        <v>1</v>
      </c>
    </row>
    <row r="39" spans="1:8" ht="29" customHeight="1" x14ac:dyDescent="0.15">
      <c r="A39" s="24">
        <v>98812</v>
      </c>
      <c r="B39" s="38">
        <f>Quiz!W39</f>
        <v>0.20952380952380953</v>
      </c>
      <c r="C39" s="36">
        <f>Homework!N39</f>
        <v>0.48099358974358974</v>
      </c>
      <c r="D39" s="51">
        <f>Exams!B39</f>
        <v>21</v>
      </c>
      <c r="E39" s="34">
        <f>Exams!C39</f>
        <v>24</v>
      </c>
      <c r="F39" s="38">
        <f>$B39+$C39+($D39/$D$41)*3+($E39/$E$41)*4.5</f>
        <v>2.2955173992673994</v>
      </c>
      <c r="G39" s="38">
        <f t="shared" si="3"/>
        <v>2.5</v>
      </c>
      <c r="H39" s="35">
        <f t="shared" si="4"/>
        <v>0</v>
      </c>
    </row>
    <row r="40" spans="1:8" ht="28" customHeight="1" x14ac:dyDescent="0.15">
      <c r="A40" s="24"/>
      <c r="B40" s="28"/>
      <c r="C40" s="29"/>
      <c r="D40" s="29"/>
      <c r="E40" s="16"/>
      <c r="F40" s="9"/>
      <c r="G40" s="9"/>
      <c r="H40" s="8"/>
    </row>
    <row r="41" spans="1:8" ht="28" customHeight="1" x14ac:dyDescent="0.15">
      <c r="A41" s="18" t="s">
        <v>38</v>
      </c>
      <c r="B41" s="46">
        <f>Quiz!W41</f>
        <v>1</v>
      </c>
      <c r="C41" s="46">
        <f>Homework!N41</f>
        <v>1.5</v>
      </c>
      <c r="D41" s="39">
        <f>Exams!B41</f>
        <v>120</v>
      </c>
      <c r="E41" s="40">
        <f>Exams!C41</f>
        <v>100</v>
      </c>
      <c r="F41" s="40">
        <v>10</v>
      </c>
      <c r="G41" s="40">
        <v>10</v>
      </c>
      <c r="H41" s="66">
        <f>SUM(H2:H39)</f>
        <v>19</v>
      </c>
    </row>
    <row r="42" spans="1:8" ht="28" customHeight="1" x14ac:dyDescent="0.15">
      <c r="A42" s="19" t="s">
        <v>39</v>
      </c>
      <c r="B42" s="42">
        <f t="shared" ref="B42:G42" si="6">AVERAGE(B$2:B$39)</f>
        <v>0.37351712614870508</v>
      </c>
      <c r="C42" s="42">
        <f t="shared" si="6"/>
        <v>0.66642927932812812</v>
      </c>
      <c r="D42" s="42">
        <f t="shared" si="6"/>
        <v>48.710526315789473</v>
      </c>
      <c r="E42" s="42">
        <f t="shared" si="6"/>
        <v>42.486842105263158</v>
      </c>
      <c r="F42" s="42">
        <f t="shared" si="6"/>
        <v>4.2055353779079097</v>
      </c>
      <c r="G42" s="42">
        <f t="shared" si="6"/>
        <v>4.2368421052631575</v>
      </c>
    </row>
    <row r="43" spans="1:8" ht="28" customHeight="1" x14ac:dyDescent="0.15">
      <c r="A43" s="20" t="s">
        <v>40</v>
      </c>
      <c r="B43" s="42">
        <f t="shared" ref="B43:G43" si="7">STDEV(B$2:B$39)</f>
        <v>0.18444960022770804</v>
      </c>
      <c r="C43" s="42">
        <f t="shared" si="7"/>
        <v>0.40157588055546434</v>
      </c>
      <c r="D43" s="42">
        <f t="shared" si="7"/>
        <v>26.272385970451364</v>
      </c>
      <c r="E43" s="42">
        <f t="shared" si="7"/>
        <v>27.836027316864133</v>
      </c>
      <c r="F43" s="42">
        <f t="shared" si="7"/>
        <v>2.3540032493803409</v>
      </c>
      <c r="G43" s="42">
        <f t="shared" si="7"/>
        <v>2.4349283859419186</v>
      </c>
    </row>
    <row r="44" spans="1:8" ht="28" customHeight="1" x14ac:dyDescent="0.15">
      <c r="A44" s="20" t="s">
        <v>41</v>
      </c>
      <c r="B44" s="42">
        <f t="shared" ref="B44:G44" si="8">MEDIAN(B$2:B$39)</f>
        <v>0.42539682539682538</v>
      </c>
      <c r="C44" s="42">
        <f t="shared" si="8"/>
        <v>0.70992101648351646</v>
      </c>
      <c r="D44" s="42">
        <f t="shared" si="8"/>
        <v>50</v>
      </c>
      <c r="E44" s="42">
        <f t="shared" si="8"/>
        <v>45</v>
      </c>
      <c r="F44" s="42">
        <f t="shared" si="8"/>
        <v>4.618955567002442</v>
      </c>
      <c r="G44" s="42">
        <f t="shared" si="8"/>
        <v>4.75</v>
      </c>
    </row>
    <row r="45" spans="1:8" x14ac:dyDescent="0.15">
      <c r="B45"/>
    </row>
    <row r="46" spans="1:8" x14ac:dyDescent="0.15">
      <c r="B46"/>
    </row>
    <row r="47" spans="1:8" x14ac:dyDescent="0.15">
      <c r="B47"/>
    </row>
    <row r="48" spans="1:8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  <row r="52" spans="2:2" x14ac:dyDescent="0.15">
      <c r="B52"/>
    </row>
    <row r="53" spans="2:2" x14ac:dyDescent="0.15">
      <c r="B53"/>
    </row>
    <row r="54" spans="2:2" x14ac:dyDescent="0.15">
      <c r="B54"/>
    </row>
    <row r="55" spans="2:2" x14ac:dyDescent="0.15">
      <c r="B55"/>
    </row>
    <row r="56" spans="2:2" x14ac:dyDescent="0.15">
      <c r="B56"/>
    </row>
    <row r="57" spans="2:2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61" spans="2:2" x14ac:dyDescent="0.15">
      <c r="B61"/>
    </row>
    <row r="62" spans="2:2" x14ac:dyDescent="0.15">
      <c r="B62"/>
    </row>
    <row r="63" spans="2:2" x14ac:dyDescent="0.15">
      <c r="B63"/>
    </row>
    <row r="64" spans="2:2" x14ac:dyDescent="0.15">
      <c r="B64"/>
    </row>
    <row r="65" spans="2:2" x14ac:dyDescent="0.15">
      <c r="B65"/>
    </row>
    <row r="66" spans="2:2" x14ac:dyDescent="0.15">
      <c r="B66"/>
    </row>
    <row r="67" spans="2:2" x14ac:dyDescent="0.15">
      <c r="B67"/>
    </row>
    <row r="68" spans="2:2" x14ac:dyDescent="0.15">
      <c r="B68"/>
    </row>
    <row r="69" spans="2:2" x14ac:dyDescent="0.15">
      <c r="B69"/>
    </row>
    <row r="70" spans="2:2" x14ac:dyDescent="0.15">
      <c r="B70"/>
    </row>
    <row r="71" spans="2:2" x14ac:dyDescent="0.15">
      <c r="B71"/>
    </row>
    <row r="72" spans="2:2" x14ac:dyDescent="0.15">
      <c r="B72"/>
    </row>
    <row r="73" spans="2:2" x14ac:dyDescent="0.15">
      <c r="B73"/>
    </row>
    <row r="74" spans="2:2" x14ac:dyDescent="0.15">
      <c r="B74"/>
    </row>
    <row r="75" spans="2:2" x14ac:dyDescent="0.15">
      <c r="B75"/>
    </row>
    <row r="76" spans="2:2" x14ac:dyDescent="0.15">
      <c r="B76"/>
    </row>
    <row r="77" spans="2:2" x14ac:dyDescent="0.15">
      <c r="B77"/>
    </row>
    <row r="78" spans="2:2" x14ac:dyDescent="0.15">
      <c r="B78"/>
    </row>
    <row r="79" spans="2:2" x14ac:dyDescent="0.15">
      <c r="B79"/>
    </row>
    <row r="80" spans="2:2" x14ac:dyDescent="0.15">
      <c r="B80"/>
    </row>
    <row r="81" spans="2:2" x14ac:dyDescent="0.15">
      <c r="B81"/>
    </row>
    <row r="82" spans="2:2" x14ac:dyDescent="0.15">
      <c r="B82"/>
    </row>
    <row r="83" spans="2:2" x14ac:dyDescent="0.15">
      <c r="B83"/>
    </row>
    <row r="84" spans="2:2" x14ac:dyDescent="0.15">
      <c r="B84"/>
    </row>
    <row r="85" spans="2:2" x14ac:dyDescent="0.15">
      <c r="B85"/>
    </row>
    <row r="86" spans="2:2" x14ac:dyDescent="0.15">
      <c r="B86"/>
    </row>
    <row r="87" spans="2:2" x14ac:dyDescent="0.15">
      <c r="B87"/>
    </row>
    <row r="88" spans="2:2" x14ac:dyDescent="0.15">
      <c r="B88"/>
    </row>
    <row r="89" spans="2:2" x14ac:dyDescent="0.15">
      <c r="B89"/>
    </row>
    <row r="90" spans="2:2" x14ac:dyDescent="0.15">
      <c r="B90"/>
    </row>
    <row r="91" spans="2:2" x14ac:dyDescent="0.15">
      <c r="B91"/>
    </row>
    <row r="92" spans="2:2" x14ac:dyDescent="0.15">
      <c r="B92"/>
    </row>
    <row r="93" spans="2:2" x14ac:dyDescent="0.15">
      <c r="B93"/>
    </row>
    <row r="94" spans="2:2" x14ac:dyDescent="0.15">
      <c r="B94"/>
    </row>
    <row r="95" spans="2:2" x14ac:dyDescent="0.15">
      <c r="B95"/>
    </row>
    <row r="96" spans="2:2" x14ac:dyDescent="0.15">
      <c r="B96"/>
    </row>
    <row r="97" spans="2:2" x14ac:dyDescent="0.15">
      <c r="B97"/>
    </row>
    <row r="98" spans="2:2" x14ac:dyDescent="0.15">
      <c r="B98"/>
    </row>
    <row r="99" spans="2:2" x14ac:dyDescent="0.15">
      <c r="B99"/>
    </row>
    <row r="100" spans="2:2" x14ac:dyDescent="0.15">
      <c r="B100"/>
    </row>
    <row r="101" spans="2:2" x14ac:dyDescent="0.15">
      <c r="B101"/>
    </row>
    <row r="102" spans="2:2" x14ac:dyDescent="0.15">
      <c r="B102"/>
    </row>
    <row r="103" spans="2:2" x14ac:dyDescent="0.15">
      <c r="B103"/>
    </row>
    <row r="104" spans="2:2" x14ac:dyDescent="0.15">
      <c r="B104"/>
    </row>
    <row r="105" spans="2:2" x14ac:dyDescent="0.15">
      <c r="B105"/>
    </row>
    <row r="106" spans="2:2" x14ac:dyDescent="0.15">
      <c r="B106"/>
    </row>
    <row r="107" spans="2:2" x14ac:dyDescent="0.15">
      <c r="B107"/>
    </row>
    <row r="108" spans="2:2" x14ac:dyDescent="0.15">
      <c r="B108"/>
    </row>
    <row r="109" spans="2:2" x14ac:dyDescent="0.15">
      <c r="B109"/>
    </row>
    <row r="110" spans="2:2" x14ac:dyDescent="0.15">
      <c r="B110"/>
    </row>
    <row r="111" spans="2:2" x14ac:dyDescent="0.15">
      <c r="B111"/>
    </row>
    <row r="112" spans="2:2" x14ac:dyDescent="0.15">
      <c r="B112"/>
    </row>
    <row r="113" spans="2:2" x14ac:dyDescent="0.15">
      <c r="B113"/>
    </row>
    <row r="114" spans="2:2" x14ac:dyDescent="0.15">
      <c r="B114"/>
    </row>
    <row r="115" spans="2:2" x14ac:dyDescent="0.15">
      <c r="B115"/>
    </row>
    <row r="116" spans="2:2" x14ac:dyDescent="0.15">
      <c r="B116"/>
    </row>
    <row r="117" spans="2:2" x14ac:dyDescent="0.15">
      <c r="B117"/>
    </row>
    <row r="118" spans="2:2" x14ac:dyDescent="0.15">
      <c r="B118"/>
    </row>
    <row r="119" spans="2:2" x14ac:dyDescent="0.15">
      <c r="B119"/>
    </row>
    <row r="120" spans="2:2" x14ac:dyDescent="0.15">
      <c r="B120"/>
    </row>
    <row r="121" spans="2:2" x14ac:dyDescent="0.15">
      <c r="B121"/>
    </row>
    <row r="122" spans="2:2" x14ac:dyDescent="0.15">
      <c r="B122"/>
    </row>
    <row r="123" spans="2:2" x14ac:dyDescent="0.15">
      <c r="B123"/>
    </row>
    <row r="124" spans="2:2" x14ac:dyDescent="0.15">
      <c r="B124"/>
    </row>
    <row r="125" spans="2:2" x14ac:dyDescent="0.15">
      <c r="B125"/>
    </row>
    <row r="126" spans="2:2" x14ac:dyDescent="0.15">
      <c r="B126"/>
    </row>
    <row r="127" spans="2:2" x14ac:dyDescent="0.15">
      <c r="B127"/>
    </row>
    <row r="128" spans="2:2" x14ac:dyDescent="0.15">
      <c r="B128"/>
    </row>
    <row r="129" spans="2:2" x14ac:dyDescent="0.15">
      <c r="B129"/>
    </row>
    <row r="130" spans="2:2" x14ac:dyDescent="0.15">
      <c r="B130"/>
    </row>
    <row r="131" spans="2:2" x14ac:dyDescent="0.15">
      <c r="B131"/>
    </row>
    <row r="132" spans="2:2" x14ac:dyDescent="0.15">
      <c r="B132"/>
    </row>
    <row r="133" spans="2:2" x14ac:dyDescent="0.15">
      <c r="B133"/>
    </row>
    <row r="134" spans="2:2" x14ac:dyDescent="0.15">
      <c r="B134"/>
    </row>
    <row r="135" spans="2:2" x14ac:dyDescent="0.15">
      <c r="B135"/>
    </row>
    <row r="136" spans="2:2" x14ac:dyDescent="0.15">
      <c r="B136"/>
    </row>
    <row r="137" spans="2:2" x14ac:dyDescent="0.15">
      <c r="B137"/>
    </row>
    <row r="138" spans="2:2" x14ac:dyDescent="0.15">
      <c r="B138"/>
    </row>
    <row r="139" spans="2:2" x14ac:dyDescent="0.15">
      <c r="B139"/>
    </row>
    <row r="140" spans="2:2" x14ac:dyDescent="0.15">
      <c r="B140"/>
    </row>
  </sheetData>
  <phoneticPr fontId="6" type="noConversion"/>
  <pageMargins left="0.75" right="0.75" top="1" bottom="1" header="0.5" footer="0.5"/>
  <pageSetup paperSize="10" scale="51" fitToHeight="2" orientation="portrait" horizontalDpi="4294967292" verticalDpi="4294967292"/>
  <headerFooter alignWithMargins="0"/>
  <colBreaks count="1" manualBreakCount="1">
    <brk id="8" max="1048575" man="1"/>
  </colBreaks>
  <ignoredErrors>
    <ignoredError sqref="A2:A11 A27:A36 A37:A39 A12:A26" numberStoredAsText="1"/>
    <ignoredError sqref="F32 F3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Quiz</vt:lpstr>
      <vt:lpstr>Homework</vt:lpstr>
      <vt:lpstr>Exams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 ptohos</dc:creator>
  <cp:lastModifiedBy>Fotis Ptochos</cp:lastModifiedBy>
  <cp:lastPrinted>2020-09-07T14:42:57Z</cp:lastPrinted>
  <dcterms:created xsi:type="dcterms:W3CDTF">2008-09-16T13:43:39Z</dcterms:created>
  <dcterms:modified xsi:type="dcterms:W3CDTF">2021-01-13T10:51:16Z</dcterms:modified>
</cp:coreProperties>
</file>