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2/Grades/"/>
    </mc:Choice>
  </mc:AlternateContent>
  <xr:revisionPtr revIDLastSave="0" documentId="13_ncr:1_{BCC475AB-C230-914C-8221-3BDE5299C7DF}" xr6:coauthVersionLast="47" xr6:coauthVersionMax="47" xr10:uidLastSave="{00000000-0000-0000-0000-000000000000}"/>
  <bookViews>
    <workbookView xWindow="9300" yWindow="500" windowWidth="32900" windowHeight="19240" tabRatio="334" activeTab="2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5" i="2"/>
  <c r="D20" i="5"/>
  <c r="K20" i="5"/>
  <c r="K21" i="5"/>
  <c r="K36" i="5" l="1"/>
  <c r="K35" i="5"/>
  <c r="K34" i="5"/>
  <c r="K33" i="5"/>
  <c r="K32" i="5"/>
  <c r="K31" i="5"/>
  <c r="K30" i="5"/>
  <c r="K29" i="5"/>
  <c r="K27" i="5"/>
  <c r="K26" i="5"/>
  <c r="K25" i="5"/>
  <c r="K24" i="5"/>
  <c r="K23" i="5"/>
  <c r="K22" i="5"/>
  <c r="K19" i="5"/>
  <c r="K18" i="5"/>
  <c r="K17" i="5"/>
  <c r="K16" i="5"/>
  <c r="K15" i="5"/>
  <c r="K14" i="5"/>
  <c r="K13" i="5"/>
  <c r="K12" i="5"/>
  <c r="K11" i="5"/>
  <c r="K8" i="5"/>
  <c r="K7" i="5"/>
  <c r="K5" i="5"/>
  <c r="K3" i="5"/>
  <c r="I36" i="5"/>
  <c r="I35" i="5"/>
  <c r="I34" i="5"/>
  <c r="I33" i="5"/>
  <c r="I32" i="5"/>
  <c r="I31" i="5"/>
  <c r="I29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9" i="5"/>
  <c r="I8" i="5"/>
  <c r="I7" i="5"/>
  <c r="I6" i="5"/>
  <c r="I5" i="5"/>
  <c r="I3" i="5"/>
  <c r="I2" i="5"/>
  <c r="J36" i="5"/>
  <c r="J35" i="5"/>
  <c r="J34" i="5"/>
  <c r="J33" i="5"/>
  <c r="J32" i="5"/>
  <c r="J31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0" i="5"/>
  <c r="J8" i="5"/>
  <c r="J7" i="5"/>
  <c r="J6" i="5"/>
  <c r="J5" i="5"/>
  <c r="J3" i="5"/>
  <c r="J2" i="5"/>
  <c r="G36" i="5"/>
  <c r="G35" i="5"/>
  <c r="G34" i="5"/>
  <c r="G33" i="5"/>
  <c r="G31" i="5"/>
  <c r="G30" i="5"/>
  <c r="G29" i="5"/>
  <c r="G27" i="5"/>
  <c r="G25" i="5"/>
  <c r="G24" i="5"/>
  <c r="G23" i="5"/>
  <c r="G22" i="5"/>
  <c r="G21" i="5"/>
  <c r="G20" i="5"/>
  <c r="G19" i="5"/>
  <c r="G18" i="5"/>
  <c r="G17" i="5"/>
  <c r="G15" i="5"/>
  <c r="G14" i="5"/>
  <c r="G13" i="5"/>
  <c r="G9" i="5"/>
  <c r="G7" i="5"/>
  <c r="G6" i="5"/>
  <c r="G5" i="5"/>
  <c r="G4" i="5"/>
  <c r="G3" i="5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41" i="1"/>
  <c r="U40" i="1"/>
  <c r="U39" i="1"/>
  <c r="V10" i="1" l="1"/>
  <c r="V20" i="1"/>
  <c r="V22" i="1"/>
  <c r="V13" i="1"/>
  <c r="V9" i="1"/>
  <c r="V24" i="1"/>
  <c r="V27" i="1"/>
  <c r="V21" i="1"/>
  <c r="V28" i="1"/>
  <c r="V29" i="1"/>
  <c r="V30" i="1"/>
  <c r="V31" i="1"/>
  <c r="V16" i="1"/>
  <c r="V5" i="1"/>
  <c r="V33" i="1"/>
  <c r="V6" i="1"/>
  <c r="V18" i="1"/>
  <c r="V34" i="1"/>
  <c r="V11" i="1"/>
  <c r="V2" i="1"/>
  <c r="V14" i="1"/>
  <c r="V15" i="1"/>
  <c r="V4" i="1"/>
  <c r="V32" i="1"/>
  <c r="V17" i="1"/>
  <c r="V7" i="1"/>
  <c r="V19" i="1"/>
  <c r="V26" i="1"/>
  <c r="V12" i="1"/>
  <c r="V3" i="1"/>
  <c r="V8" i="1"/>
  <c r="V23" i="1"/>
  <c r="V35" i="1"/>
  <c r="V36" i="1"/>
  <c r="V25" i="1"/>
  <c r="V41" i="1" l="1"/>
  <c r="V40" i="1"/>
  <c r="V39" i="1"/>
  <c r="F36" i="5"/>
  <c r="F35" i="5"/>
  <c r="F33" i="5"/>
  <c r="F32" i="5"/>
  <c r="F31" i="5"/>
  <c r="F30" i="5"/>
  <c r="F29" i="5"/>
  <c r="F27" i="5"/>
  <c r="F25" i="5"/>
  <c r="F23" i="5"/>
  <c r="F22" i="5"/>
  <c r="F21" i="5"/>
  <c r="F20" i="5"/>
  <c r="F19" i="5"/>
  <c r="F18" i="5"/>
  <c r="F17" i="5"/>
  <c r="F15" i="5"/>
  <c r="F14" i="5"/>
  <c r="F13" i="5"/>
  <c r="F12" i="5"/>
  <c r="F11" i="5"/>
  <c r="F7" i="5"/>
  <c r="F5" i="5"/>
  <c r="F3" i="5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6" i="5"/>
  <c r="D35" i="5"/>
  <c r="D34" i="5"/>
  <c r="D32" i="5"/>
  <c r="D31" i="5"/>
  <c r="D30" i="5"/>
  <c r="D29" i="5"/>
  <c r="D25" i="5"/>
  <c r="D23" i="5"/>
  <c r="D22" i="5"/>
  <c r="D21" i="5"/>
  <c r="D19" i="5"/>
  <c r="D15" i="5"/>
  <c r="D14" i="5"/>
  <c r="D13" i="5"/>
  <c r="D12" i="5"/>
  <c r="D8" i="5"/>
  <c r="D5" i="5"/>
  <c r="D3" i="5"/>
  <c r="E36" i="5" l="1"/>
  <c r="E35" i="5"/>
  <c r="E34" i="5"/>
  <c r="E33" i="5"/>
  <c r="E32" i="5"/>
  <c r="E31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9" i="5"/>
  <c r="E8" i="5"/>
  <c r="E7" i="5"/>
  <c r="E6" i="5"/>
  <c r="E5" i="5"/>
  <c r="E3" i="5"/>
  <c r="C36" i="5"/>
  <c r="C35" i="5"/>
  <c r="C33" i="5"/>
  <c r="C32" i="5"/>
  <c r="C31" i="5"/>
  <c r="C30" i="5"/>
  <c r="C29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9" i="5"/>
  <c r="C7" i="5"/>
  <c r="C5" i="5"/>
  <c r="C3" i="5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4" i="2"/>
  <c r="E13" i="2"/>
  <c r="E11" i="2"/>
  <c r="E19" i="2"/>
  <c r="E18" i="2"/>
  <c r="E17" i="2"/>
  <c r="E16" i="2"/>
  <c r="E15" i="2"/>
  <c r="E12" i="2"/>
  <c r="E10" i="2"/>
  <c r="E9" i="2"/>
  <c r="E8" i="2"/>
  <c r="E7" i="2"/>
  <c r="E6" i="2"/>
  <c r="E4" i="2"/>
  <c r="E3" i="2"/>
  <c r="E2" i="2"/>
  <c r="D11" i="2" l="1"/>
  <c r="D6" i="2"/>
  <c r="D5" i="2"/>
  <c r="D4" i="2"/>
  <c r="D18" i="2"/>
  <c r="D3" i="2"/>
  <c r="D7" i="2"/>
  <c r="D8" i="2"/>
  <c r="D9" i="2"/>
  <c r="D10" i="2"/>
  <c r="D19" i="2"/>
  <c r="D17" i="2"/>
  <c r="D16" i="2"/>
  <c r="D15" i="2"/>
  <c r="D14" i="2"/>
  <c r="D13" i="2"/>
  <c r="D12" i="2"/>
  <c r="K42" i="5" l="1"/>
  <c r="J42" i="5"/>
  <c r="I42" i="5"/>
  <c r="H42" i="5"/>
  <c r="G42" i="5"/>
  <c r="F42" i="5"/>
  <c r="C42" i="5"/>
  <c r="E42" i="5"/>
  <c r="D42" i="5" l="1"/>
  <c r="B42" i="5" l="1"/>
  <c r="B38" i="2"/>
  <c r="C38" i="2"/>
  <c r="D38" i="2"/>
  <c r="D2" i="2"/>
  <c r="G40" i="5"/>
  <c r="G39" i="5"/>
  <c r="B40" i="3"/>
  <c r="B41" i="3"/>
  <c r="B41" i="5"/>
  <c r="C41" i="3"/>
  <c r="C40" i="3"/>
  <c r="C39" i="3"/>
  <c r="B39" i="3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F40" i="5"/>
  <c r="E40" i="5"/>
  <c r="D40" i="5"/>
  <c r="C40" i="5"/>
  <c r="K39" i="5"/>
  <c r="J39" i="5"/>
  <c r="I39" i="5"/>
  <c r="H39" i="5"/>
  <c r="F39" i="5"/>
  <c r="E39" i="5"/>
  <c r="D39" i="5"/>
  <c r="C39" i="5"/>
  <c r="B40" i="5"/>
  <c r="B39" i="5"/>
  <c r="B34" i="2" l="1"/>
  <c r="B20" i="2"/>
  <c r="B24" i="2"/>
  <c r="B31" i="2"/>
  <c r="B16" i="2"/>
  <c r="B11" i="2"/>
  <c r="B13" i="2"/>
  <c r="B19" i="2"/>
  <c r="B36" i="2"/>
  <c r="B8" i="2"/>
  <c r="B35" i="2"/>
  <c r="B30" i="2"/>
  <c r="B33" i="2"/>
  <c r="B4" i="2"/>
  <c r="B18" i="2"/>
  <c r="B27" i="2"/>
  <c r="B15" i="2"/>
  <c r="B6" i="2"/>
  <c r="B17" i="2"/>
  <c r="B14" i="2"/>
  <c r="B2" i="2"/>
  <c r="B23" i="2"/>
  <c r="B10" i="2"/>
  <c r="B32" i="2"/>
  <c r="B25" i="2"/>
  <c r="B9" i="2"/>
  <c r="B5" i="2"/>
  <c r="B7" i="2"/>
  <c r="L34" i="5"/>
  <c r="C34" i="2" s="1"/>
  <c r="L35" i="5"/>
  <c r="C35" i="2" s="1"/>
  <c r="L32" i="5"/>
  <c r="C32" i="2" s="1"/>
  <c r="L33" i="5"/>
  <c r="C33" i="2" s="1"/>
  <c r="L30" i="5"/>
  <c r="C30" i="2" s="1"/>
  <c r="L31" i="5"/>
  <c r="C31" i="2" s="1"/>
  <c r="L28" i="5"/>
  <c r="C28" i="2" s="1"/>
  <c r="L29" i="5"/>
  <c r="C29" i="2" s="1"/>
  <c r="L26" i="5"/>
  <c r="C26" i="2" s="1"/>
  <c r="L27" i="5"/>
  <c r="C27" i="2" s="1"/>
  <c r="L24" i="5"/>
  <c r="C24" i="2" s="1"/>
  <c r="L25" i="5"/>
  <c r="C25" i="2" s="1"/>
  <c r="L22" i="5"/>
  <c r="C22" i="2" s="1"/>
  <c r="L23" i="5"/>
  <c r="C23" i="2" s="1"/>
  <c r="L20" i="5"/>
  <c r="C20" i="2" s="1"/>
  <c r="L21" i="5"/>
  <c r="C21" i="2" s="1"/>
  <c r="B29" i="2"/>
  <c r="B28" i="2"/>
  <c r="B26" i="2"/>
  <c r="B21" i="2"/>
  <c r="B22" i="2"/>
  <c r="L16" i="5"/>
  <c r="C16" i="2" s="1"/>
  <c r="L15" i="5"/>
  <c r="C15" i="2" s="1"/>
  <c r="L14" i="5"/>
  <c r="C14" i="2" s="1"/>
  <c r="L13" i="5"/>
  <c r="C13" i="2" s="1"/>
  <c r="L12" i="5"/>
  <c r="C12" i="2" s="1"/>
  <c r="L8" i="5"/>
  <c r="C8" i="2" s="1"/>
  <c r="L7" i="5"/>
  <c r="C7" i="2" s="1"/>
  <c r="L6" i="5"/>
  <c r="C6" i="2" s="1"/>
  <c r="L5" i="5"/>
  <c r="C5" i="2" s="1"/>
  <c r="L4" i="5"/>
  <c r="C4" i="2" s="1"/>
  <c r="L3" i="5"/>
  <c r="C3" i="2" s="1"/>
  <c r="L2" i="5"/>
  <c r="L11" i="5"/>
  <c r="C11" i="2" s="1"/>
  <c r="L10" i="5"/>
  <c r="C10" i="2" s="1"/>
  <c r="L9" i="5"/>
  <c r="C9" i="2" s="1"/>
  <c r="L36" i="5"/>
  <c r="C36" i="2" s="1"/>
  <c r="L19" i="5"/>
  <c r="C19" i="2" s="1"/>
  <c r="L18" i="5"/>
  <c r="C18" i="2" s="1"/>
  <c r="L17" i="5"/>
  <c r="C17" i="2" s="1"/>
  <c r="E41" i="2"/>
  <c r="D41" i="2"/>
  <c r="E40" i="2"/>
  <c r="E39" i="2"/>
  <c r="D40" i="2"/>
  <c r="D39" i="2"/>
  <c r="B12" i="2"/>
  <c r="B3" i="2" l="1"/>
  <c r="F36" i="2"/>
  <c r="G36" i="2" s="1"/>
  <c r="H36" i="2" s="1"/>
  <c r="F26" i="2"/>
  <c r="G26" i="2" s="1"/>
  <c r="H26" i="2" s="1"/>
  <c r="F28" i="2"/>
  <c r="G28" i="2" s="1"/>
  <c r="H28" i="2" s="1"/>
  <c r="F24" i="2"/>
  <c r="G24" i="2" s="1"/>
  <c r="H24" i="2" s="1"/>
  <c r="F35" i="2"/>
  <c r="G35" i="2" s="1"/>
  <c r="H35" i="2" s="1"/>
  <c r="F27" i="2"/>
  <c r="G27" i="2" s="1"/>
  <c r="H27" i="2" s="1"/>
  <c r="F29" i="2"/>
  <c r="G29" i="2" s="1"/>
  <c r="H29" i="2" s="1"/>
  <c r="F31" i="2"/>
  <c r="G31" i="2" s="1"/>
  <c r="H31" i="2" s="1"/>
  <c r="F30" i="2"/>
  <c r="G30" i="2" s="1"/>
  <c r="H30" i="2" s="1"/>
  <c r="F21" i="2"/>
  <c r="G21" i="2" s="1"/>
  <c r="H21" i="2" s="1"/>
  <c r="F33" i="2"/>
  <c r="G33" i="2" s="1"/>
  <c r="H33" i="2" s="1"/>
  <c r="F20" i="2"/>
  <c r="G20" i="2" s="1"/>
  <c r="H20" i="2" s="1"/>
  <c r="F32" i="2"/>
  <c r="G32" i="2" s="1"/>
  <c r="H32" i="2" s="1"/>
  <c r="F23" i="2"/>
  <c r="G23" i="2" s="1"/>
  <c r="H23" i="2" s="1"/>
  <c r="F22" i="2"/>
  <c r="G22" i="2" s="1"/>
  <c r="H22" i="2" s="1"/>
  <c r="F34" i="2"/>
  <c r="G34" i="2" s="1"/>
  <c r="H34" i="2" s="1"/>
  <c r="F25" i="2"/>
  <c r="G25" i="2" s="1"/>
  <c r="H25" i="2" s="1"/>
  <c r="F16" i="2"/>
  <c r="G16" i="2" s="1"/>
  <c r="H16" i="2" s="1"/>
  <c r="F10" i="2"/>
  <c r="G10" i="2" s="1"/>
  <c r="H10" i="2" s="1"/>
  <c r="F15" i="2"/>
  <c r="G15" i="2" s="1"/>
  <c r="H15" i="2" s="1"/>
  <c r="F18" i="2"/>
  <c r="G18" i="2" s="1"/>
  <c r="H18" i="2" s="1"/>
  <c r="F3" i="2"/>
  <c r="G3" i="2" s="1"/>
  <c r="H3" i="2" s="1"/>
  <c r="F13" i="2"/>
  <c r="G13" i="2" s="1"/>
  <c r="H13" i="2" s="1"/>
  <c r="F19" i="2"/>
  <c r="G19" i="2" s="1"/>
  <c r="H19" i="2" s="1"/>
  <c r="F6" i="2"/>
  <c r="G6" i="2" s="1"/>
  <c r="H6" i="2" s="1"/>
  <c r="F5" i="2"/>
  <c r="G5" i="2" s="1"/>
  <c r="H5" i="2" s="1"/>
  <c r="F12" i="2"/>
  <c r="G12" i="2" s="1"/>
  <c r="H12" i="2" s="1"/>
  <c r="F7" i="2"/>
  <c r="G7" i="2" s="1"/>
  <c r="H7" i="2" s="1"/>
  <c r="F14" i="2"/>
  <c r="G14" i="2" s="1"/>
  <c r="H14" i="2" s="1"/>
  <c r="F9" i="2"/>
  <c r="G9" i="2" s="1"/>
  <c r="H9" i="2" s="1"/>
  <c r="F4" i="2"/>
  <c r="G4" i="2" s="1"/>
  <c r="H4" i="2" s="1"/>
  <c r="F17" i="2"/>
  <c r="G17" i="2" s="1"/>
  <c r="H17" i="2" s="1"/>
  <c r="F8" i="2"/>
  <c r="G8" i="2" s="1"/>
  <c r="H8" i="2" s="1"/>
  <c r="F11" i="2"/>
  <c r="G11" i="2" s="1"/>
  <c r="H11" i="2" s="1"/>
  <c r="L41" i="5"/>
  <c r="C2" i="2"/>
  <c r="L39" i="5"/>
  <c r="L40" i="5"/>
  <c r="C41" i="2" l="1"/>
  <c r="C40" i="2"/>
  <c r="C39" i="2"/>
  <c r="B39" i="2"/>
  <c r="B40" i="2"/>
  <c r="F2" i="2"/>
  <c r="B41" i="2"/>
  <c r="F40" i="2" l="1"/>
  <c r="F39" i="2"/>
  <c r="G2" i="2"/>
  <c r="F41" i="2"/>
  <c r="G40" i="2" l="1"/>
  <c r="G41" i="2"/>
  <c r="G39" i="2"/>
  <c r="H2" i="2"/>
  <c r="H38" i="2" l="1"/>
  <c r="H39" i="2"/>
  <c r="H40" i="2"/>
  <c r="H41" i="2"/>
</calcChain>
</file>

<file path=xl/sharedStrings.xml><?xml version="1.0" encoding="utf-8"?>
<sst xmlns="http://schemas.openxmlformats.org/spreadsheetml/2006/main" count="81" uniqueCount="51">
  <si>
    <t>Quiz Total</t>
  </si>
  <si>
    <t>Τελική Εξέταση</t>
    <phoneticPr fontId="6"/>
  </si>
  <si>
    <t>Βαθμός</t>
    <phoneticPr fontId="6"/>
  </si>
  <si>
    <t>Passed</t>
    <phoneticPr fontId="6"/>
  </si>
  <si>
    <t>Τελικός Βαθμός</t>
    <phoneticPr fontId="6"/>
  </si>
  <si>
    <t>Αρ. Ταυτότητας</t>
  </si>
  <si>
    <t>Quiz Total</t>
    <phoneticPr fontId="6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</si>
  <si>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</si>
  <si>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</si>
  <si>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</si>
  <si>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</si>
  <si>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</si>
  <si>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</si>
  <si>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</si>
  <si>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</si>
  <si>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</si>
  <si>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</si>
  <si>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</si>
  <si>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</si>
  <si>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</si>
  <si>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</si>
  <si>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</si>
  <si>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</si>
  <si>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</si>
  <si>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</si>
  <si>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</si>
  <si>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</si>
  <si>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</si>
  <si>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</si>
  <si>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</si>
  <si>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</si>
  <si>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</si>
  <si>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</si>
  <si>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</si>
  <si>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</si>
  <si>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</si>
  <si>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</si>
  <si>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6"/>
  </si>
  <si>
    <t>Valid</t>
  </si>
  <si>
    <t>Quizzes  not counted</t>
  </si>
  <si>
    <t>Πρόοδος</t>
  </si>
  <si>
    <t xml:space="preserve"> </t>
  </si>
  <si>
    <t>0063</t>
  </si>
  <si>
    <t>0117</t>
  </si>
  <si>
    <t>0277</t>
  </si>
  <si>
    <t>0466</t>
  </si>
  <si>
    <t>Quiz 16</t>
  </si>
  <si>
    <t>Quiz 17</t>
  </si>
  <si>
    <t>Quiz 18</t>
  </si>
  <si>
    <t>Quiz 19</t>
  </si>
  <si>
    <t>Quiz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</si>
</sst>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  <font>
      <sz val="14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0" xfId="0" applyFont="1"/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3" xfId="0" applyBorder="1"/>
    <xf numFmtId="2" fontId="4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4" fillId="0" borderId="0" xfId="0" applyFont="1"/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" fontId="11" fillId="7" borderId="3" xfId="0" applyNumberFormat="1" applyFont="1" applyFill="1" applyBorder="1" applyAlignment="1">
      <alignment horizontal="center" vertical="center"/>
    </xf>
    <xf numFmtId="164" fontId="11" fillId="8" borderId="4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8"/>
  <sheetViews>
    <sheetView topLeftCell="A5" zoomScaleNormal="100" workbookViewId="0">
      <selection activeCell="W1" sqref="W1"/>
    </sheetView>
  </sheetViews>
  <sheetFormatPr baseColWidth="10" defaultRowHeight="16" x14ac:dyDescent="0.15"/>
  <cols>
    <col min="1" max="1" width="30.83203125" customWidth="1"/>
    <col min="2" max="2" width="9.83203125" style="10" customWidth="1"/>
    <col min="3" max="21" width="9.83203125" style="11" customWidth="1"/>
    <col min="22" max="22" width="12.83203125" style="11" customWidth="1"/>
    <col min="23" max="23" width="12.6640625" style="12" customWidth="1"/>
  </cols>
  <sheetData>
    <row r="1" spans="1:23" ht="29" customHeight="1" x14ac:dyDescent="0.15">
      <c r="A1" s="16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15</v>
      </c>
      <c r="H1" s="3" t="s">
        <v>16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4" t="s">
        <v>6</v>
      </c>
      <c r="W1" s="36"/>
    </row>
    <row r="2" spans="1:23" ht="29" customHeight="1" x14ac:dyDescent="0.15">
      <c r="A2" s="54" t="s">
        <v>42</v>
      </c>
      <c r="B2" s="32">
        <v>0</v>
      </c>
      <c r="C2" s="32">
        <v>0</v>
      </c>
      <c r="D2" s="32">
        <v>15</v>
      </c>
      <c r="E2" s="32">
        <v>3</v>
      </c>
      <c r="F2" s="33">
        <v>0</v>
      </c>
      <c r="G2" s="33">
        <v>8</v>
      </c>
      <c r="H2" s="33">
        <v>0</v>
      </c>
      <c r="I2" s="33">
        <v>3</v>
      </c>
      <c r="J2" s="33">
        <v>3</v>
      </c>
      <c r="K2" s="33">
        <v>0</v>
      </c>
      <c r="L2" s="33">
        <v>0</v>
      </c>
      <c r="M2" s="33">
        <v>3</v>
      </c>
      <c r="N2" s="33">
        <v>0</v>
      </c>
      <c r="O2" s="33">
        <v>9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6">
        <f t="shared" ref="V2:V36" si="0">$V$38 * ( (SUM(B2:U2))/((SUM($B$42:$U$42)-$B$43)*$B$38) )</f>
        <v>0.14666666666666667</v>
      </c>
      <c r="W2"/>
    </row>
    <row r="3" spans="1:23" ht="29" customHeight="1" x14ac:dyDescent="0.15">
      <c r="A3" s="54" t="s">
        <v>43</v>
      </c>
      <c r="B3" s="32">
        <v>15</v>
      </c>
      <c r="C3" s="32">
        <v>15</v>
      </c>
      <c r="D3" s="32">
        <v>15</v>
      </c>
      <c r="E3" s="32">
        <v>15</v>
      </c>
      <c r="F3" s="33">
        <v>15</v>
      </c>
      <c r="G3" s="33">
        <v>3</v>
      </c>
      <c r="H3" s="33">
        <v>15</v>
      </c>
      <c r="I3" s="33">
        <v>15</v>
      </c>
      <c r="J3" s="33">
        <v>8</v>
      </c>
      <c r="K3" s="33">
        <v>15</v>
      </c>
      <c r="L3" s="33">
        <v>15</v>
      </c>
      <c r="M3" s="33">
        <v>3</v>
      </c>
      <c r="N3" s="33">
        <v>15</v>
      </c>
      <c r="O3" s="33">
        <v>15</v>
      </c>
      <c r="P3" s="33">
        <v>12</v>
      </c>
      <c r="Q3" s="33">
        <v>9</v>
      </c>
      <c r="R3" s="33">
        <v>3</v>
      </c>
      <c r="S3" s="33">
        <v>11</v>
      </c>
      <c r="T3" s="33">
        <v>9</v>
      </c>
      <c r="U3" s="33">
        <v>12</v>
      </c>
      <c r="V3" s="36">
        <f t="shared" si="0"/>
        <v>0.78333333333333333</v>
      </c>
      <c r="W3"/>
    </row>
    <row r="4" spans="1:23" ht="29" customHeight="1" x14ac:dyDescent="0.15">
      <c r="A4" s="54" t="s">
        <v>44</v>
      </c>
      <c r="B4" s="32">
        <v>6</v>
      </c>
      <c r="C4" s="32">
        <v>7</v>
      </c>
      <c r="D4" s="32">
        <v>15</v>
      </c>
      <c r="E4" s="32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6">
        <f t="shared" si="0"/>
        <v>9.3333333333333338E-2</v>
      </c>
      <c r="W4"/>
    </row>
    <row r="5" spans="1:23" ht="29" customHeight="1" x14ac:dyDescent="0.15">
      <c r="A5" s="54" t="s">
        <v>45</v>
      </c>
      <c r="B5" s="32">
        <v>15</v>
      </c>
      <c r="C5" s="32">
        <v>15</v>
      </c>
      <c r="D5" s="32">
        <v>15</v>
      </c>
      <c r="E5" s="32">
        <v>15</v>
      </c>
      <c r="F5" s="33">
        <v>9</v>
      </c>
      <c r="G5" s="33">
        <v>15</v>
      </c>
      <c r="H5" s="33">
        <v>15</v>
      </c>
      <c r="I5" s="33">
        <v>15</v>
      </c>
      <c r="J5" s="33">
        <v>15</v>
      </c>
      <c r="K5" s="33">
        <v>15</v>
      </c>
      <c r="L5" s="33">
        <v>15</v>
      </c>
      <c r="M5" s="33">
        <v>8</v>
      </c>
      <c r="N5" s="33">
        <v>15</v>
      </c>
      <c r="O5" s="33">
        <v>15</v>
      </c>
      <c r="P5" s="33">
        <v>15</v>
      </c>
      <c r="Q5" s="33">
        <v>15</v>
      </c>
      <c r="R5" s="33">
        <v>15</v>
      </c>
      <c r="S5" s="33">
        <v>15</v>
      </c>
      <c r="T5" s="33">
        <v>15</v>
      </c>
      <c r="U5" s="33">
        <v>15</v>
      </c>
      <c r="V5" s="36">
        <f t="shared" si="0"/>
        <v>0.95666666666666667</v>
      </c>
      <c r="W5"/>
    </row>
    <row r="6" spans="1:23" ht="29" customHeight="1" x14ac:dyDescent="0.15">
      <c r="A6" s="55">
        <v>1216</v>
      </c>
      <c r="B6" s="32">
        <v>12</v>
      </c>
      <c r="C6" s="32">
        <v>15</v>
      </c>
      <c r="D6" s="32">
        <v>15</v>
      </c>
      <c r="E6" s="32">
        <v>3</v>
      </c>
      <c r="F6" s="33">
        <v>9</v>
      </c>
      <c r="G6" s="33">
        <v>3</v>
      </c>
      <c r="H6" s="33">
        <v>11</v>
      </c>
      <c r="I6" s="33">
        <v>9</v>
      </c>
      <c r="J6" s="33">
        <v>8</v>
      </c>
      <c r="K6" s="33">
        <v>3</v>
      </c>
      <c r="L6" s="33">
        <v>15</v>
      </c>
      <c r="M6" s="33">
        <v>7</v>
      </c>
      <c r="N6" s="33">
        <v>15</v>
      </c>
      <c r="O6" s="33">
        <v>15</v>
      </c>
      <c r="P6" s="33">
        <v>0</v>
      </c>
      <c r="Q6" s="33">
        <v>9</v>
      </c>
      <c r="R6" s="33">
        <v>15</v>
      </c>
      <c r="S6" s="33">
        <v>3</v>
      </c>
      <c r="T6" s="33">
        <v>6</v>
      </c>
      <c r="U6" s="33">
        <v>15</v>
      </c>
      <c r="V6" s="36">
        <f t="shared" si="0"/>
        <v>0.62666666666666671</v>
      </c>
      <c r="W6"/>
    </row>
    <row r="7" spans="1:23" ht="29" customHeight="1" x14ac:dyDescent="0.15">
      <c r="A7" s="55">
        <v>1395</v>
      </c>
      <c r="B7" s="32">
        <v>12</v>
      </c>
      <c r="C7" s="32">
        <v>15</v>
      </c>
      <c r="D7" s="32">
        <v>15</v>
      </c>
      <c r="E7" s="32">
        <v>8</v>
      </c>
      <c r="F7" s="33">
        <v>15</v>
      </c>
      <c r="G7" s="33">
        <v>3</v>
      </c>
      <c r="H7" s="33">
        <v>7</v>
      </c>
      <c r="I7" s="33">
        <v>9</v>
      </c>
      <c r="J7" s="33">
        <v>8</v>
      </c>
      <c r="K7" s="33">
        <v>8</v>
      </c>
      <c r="L7" s="33">
        <v>8</v>
      </c>
      <c r="M7" s="33">
        <v>3</v>
      </c>
      <c r="N7" s="33">
        <v>15</v>
      </c>
      <c r="O7" s="33">
        <v>15</v>
      </c>
      <c r="P7" s="33">
        <v>15</v>
      </c>
      <c r="Q7" s="33">
        <v>15</v>
      </c>
      <c r="R7" s="33">
        <v>15</v>
      </c>
      <c r="S7" s="33">
        <v>7</v>
      </c>
      <c r="T7" s="33">
        <v>12</v>
      </c>
      <c r="U7" s="33">
        <v>15</v>
      </c>
      <c r="V7" s="36">
        <f t="shared" si="0"/>
        <v>0.73333333333333328</v>
      </c>
      <c r="W7"/>
    </row>
    <row r="8" spans="1:23" ht="29" customHeight="1" x14ac:dyDescent="0.15">
      <c r="A8" s="55">
        <v>1448</v>
      </c>
      <c r="B8" s="32">
        <v>15</v>
      </c>
      <c r="C8" s="32">
        <v>11</v>
      </c>
      <c r="D8" s="32">
        <v>15</v>
      </c>
      <c r="E8" s="32">
        <v>0</v>
      </c>
      <c r="F8" s="33">
        <v>15</v>
      </c>
      <c r="G8" s="33">
        <v>0</v>
      </c>
      <c r="H8" s="33">
        <v>11</v>
      </c>
      <c r="I8" s="33">
        <v>9</v>
      </c>
      <c r="J8" s="33">
        <v>0</v>
      </c>
      <c r="K8" s="33">
        <v>0</v>
      </c>
      <c r="L8" s="33">
        <v>15</v>
      </c>
      <c r="M8" s="33">
        <v>0</v>
      </c>
      <c r="N8" s="33">
        <v>15</v>
      </c>
      <c r="O8" s="33">
        <v>15</v>
      </c>
      <c r="P8" s="33">
        <v>9</v>
      </c>
      <c r="Q8" s="33">
        <v>9</v>
      </c>
      <c r="R8" s="33">
        <v>9</v>
      </c>
      <c r="S8" s="33">
        <v>3</v>
      </c>
      <c r="T8" s="33">
        <v>12</v>
      </c>
      <c r="U8" s="33">
        <v>15</v>
      </c>
      <c r="V8" s="36">
        <f t="shared" si="0"/>
        <v>0.59333333333333338</v>
      </c>
      <c r="W8"/>
    </row>
    <row r="9" spans="1:23" ht="29" customHeight="1" x14ac:dyDescent="0.15">
      <c r="A9" s="55">
        <v>1767</v>
      </c>
      <c r="B9" s="32">
        <v>9</v>
      </c>
      <c r="C9" s="32">
        <v>11</v>
      </c>
      <c r="D9" s="32">
        <v>15</v>
      </c>
      <c r="E9" s="32">
        <v>8</v>
      </c>
      <c r="F9" s="33">
        <v>15</v>
      </c>
      <c r="G9" s="33">
        <v>3</v>
      </c>
      <c r="H9" s="33">
        <v>7</v>
      </c>
      <c r="I9" s="33">
        <v>3</v>
      </c>
      <c r="J9" s="33">
        <v>3</v>
      </c>
      <c r="K9" s="33">
        <v>8</v>
      </c>
      <c r="L9" s="33">
        <v>8</v>
      </c>
      <c r="M9" s="33">
        <v>3</v>
      </c>
      <c r="N9" s="33">
        <v>15</v>
      </c>
      <c r="O9" s="33">
        <v>15</v>
      </c>
      <c r="P9" s="33">
        <v>0</v>
      </c>
      <c r="Q9" s="33">
        <v>3</v>
      </c>
      <c r="R9" s="33">
        <v>0</v>
      </c>
      <c r="S9" s="33">
        <v>0</v>
      </c>
      <c r="T9" s="33">
        <v>0</v>
      </c>
      <c r="U9" s="33">
        <v>0</v>
      </c>
      <c r="V9" s="36">
        <f t="shared" si="0"/>
        <v>0.42</v>
      </c>
      <c r="W9"/>
    </row>
    <row r="10" spans="1:23" ht="29" customHeight="1" x14ac:dyDescent="0.15">
      <c r="A10" s="55">
        <v>2252</v>
      </c>
      <c r="B10" s="32">
        <v>6</v>
      </c>
      <c r="C10" s="32">
        <v>15</v>
      </c>
      <c r="D10" s="32">
        <v>15</v>
      </c>
      <c r="E10" s="32">
        <v>3</v>
      </c>
      <c r="F10" s="33">
        <v>0</v>
      </c>
      <c r="G10" s="33">
        <v>3</v>
      </c>
      <c r="H10" s="33">
        <v>15</v>
      </c>
      <c r="I10" s="33">
        <v>3</v>
      </c>
      <c r="J10" s="33">
        <v>3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9</v>
      </c>
      <c r="Q10" s="33">
        <v>3</v>
      </c>
      <c r="R10" s="33">
        <v>0</v>
      </c>
      <c r="S10" s="33">
        <v>0</v>
      </c>
      <c r="T10" s="33">
        <v>0</v>
      </c>
      <c r="U10" s="33">
        <v>0</v>
      </c>
      <c r="V10" s="36">
        <f t="shared" si="0"/>
        <v>0.25</v>
      </c>
      <c r="W10"/>
    </row>
    <row r="11" spans="1:23" ht="29" customHeight="1" x14ac:dyDescent="0.15">
      <c r="A11" s="55">
        <v>2771</v>
      </c>
      <c r="B11" s="32">
        <v>0</v>
      </c>
      <c r="C11" s="32">
        <v>0</v>
      </c>
      <c r="D11" s="32">
        <v>0</v>
      </c>
      <c r="E11" s="32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6">
        <f t="shared" si="0"/>
        <v>0</v>
      </c>
      <c r="W11"/>
    </row>
    <row r="12" spans="1:23" ht="29" customHeight="1" x14ac:dyDescent="0.15">
      <c r="A12" s="55">
        <v>2900</v>
      </c>
      <c r="B12" s="32">
        <v>9</v>
      </c>
      <c r="C12" s="32">
        <v>15</v>
      </c>
      <c r="D12" s="32">
        <v>15</v>
      </c>
      <c r="E12" s="32">
        <v>3</v>
      </c>
      <c r="F12" s="33">
        <v>3</v>
      </c>
      <c r="G12" s="33">
        <v>10</v>
      </c>
      <c r="H12" s="33">
        <v>7</v>
      </c>
      <c r="I12" s="33">
        <v>3</v>
      </c>
      <c r="J12" s="33">
        <v>3</v>
      </c>
      <c r="K12" s="33">
        <v>3</v>
      </c>
      <c r="L12" s="33">
        <v>15</v>
      </c>
      <c r="M12" s="33">
        <v>7</v>
      </c>
      <c r="N12" s="33">
        <v>3</v>
      </c>
      <c r="O12" s="33">
        <v>9</v>
      </c>
      <c r="P12" s="33">
        <v>9</v>
      </c>
      <c r="Q12" s="33">
        <v>9</v>
      </c>
      <c r="R12" s="33">
        <v>9</v>
      </c>
      <c r="S12" s="33">
        <v>3</v>
      </c>
      <c r="T12" s="33">
        <v>9</v>
      </c>
      <c r="U12" s="33">
        <v>15</v>
      </c>
      <c r="V12" s="36">
        <f t="shared" si="0"/>
        <v>0.53</v>
      </c>
      <c r="W12"/>
    </row>
    <row r="13" spans="1:23" ht="29" customHeight="1" x14ac:dyDescent="0.15">
      <c r="A13" s="55">
        <v>2948</v>
      </c>
      <c r="B13" s="32">
        <v>3</v>
      </c>
      <c r="C13" s="32">
        <v>15</v>
      </c>
      <c r="D13" s="32">
        <v>15</v>
      </c>
      <c r="E13" s="32">
        <v>15</v>
      </c>
      <c r="F13" s="33">
        <v>15</v>
      </c>
      <c r="G13" s="33">
        <v>3</v>
      </c>
      <c r="H13" s="33">
        <v>11</v>
      </c>
      <c r="I13" s="33">
        <v>15</v>
      </c>
      <c r="J13" s="33">
        <v>3</v>
      </c>
      <c r="K13" s="33">
        <v>15</v>
      </c>
      <c r="L13" s="33">
        <v>15</v>
      </c>
      <c r="M13" s="33">
        <v>3</v>
      </c>
      <c r="N13" s="33">
        <v>15</v>
      </c>
      <c r="O13" s="33">
        <v>15</v>
      </c>
      <c r="P13" s="33">
        <v>15</v>
      </c>
      <c r="Q13" s="33">
        <v>9</v>
      </c>
      <c r="R13" s="33">
        <v>9</v>
      </c>
      <c r="S13" s="33">
        <v>11</v>
      </c>
      <c r="T13" s="33">
        <v>9</v>
      </c>
      <c r="U13" s="33">
        <v>15</v>
      </c>
      <c r="V13" s="36">
        <f t="shared" si="0"/>
        <v>0.7533333333333333</v>
      </c>
      <c r="W13"/>
    </row>
    <row r="14" spans="1:23" s="6" customFormat="1" ht="29" customHeight="1" x14ac:dyDescent="0.15">
      <c r="A14" s="55">
        <v>3226</v>
      </c>
      <c r="B14" s="32">
        <v>15</v>
      </c>
      <c r="C14" s="32">
        <v>15</v>
      </c>
      <c r="D14" s="32">
        <v>15</v>
      </c>
      <c r="E14" s="32">
        <v>15</v>
      </c>
      <c r="F14" s="33">
        <v>15</v>
      </c>
      <c r="G14" s="33">
        <v>15</v>
      </c>
      <c r="H14" s="33">
        <v>15</v>
      </c>
      <c r="I14" s="33">
        <v>15</v>
      </c>
      <c r="J14" s="33">
        <v>15</v>
      </c>
      <c r="K14" s="33">
        <v>10</v>
      </c>
      <c r="L14" s="33">
        <v>15</v>
      </c>
      <c r="M14" s="33">
        <v>3</v>
      </c>
      <c r="N14" s="33">
        <v>15</v>
      </c>
      <c r="O14" s="33">
        <v>15</v>
      </c>
      <c r="P14" s="33">
        <v>15</v>
      </c>
      <c r="Q14" s="33">
        <v>15</v>
      </c>
      <c r="R14" s="33">
        <v>15</v>
      </c>
      <c r="S14" s="33">
        <v>11</v>
      </c>
      <c r="T14" s="33">
        <v>15</v>
      </c>
      <c r="U14" s="33">
        <v>15</v>
      </c>
      <c r="V14" s="36">
        <f t="shared" si="0"/>
        <v>0.93</v>
      </c>
    </row>
    <row r="15" spans="1:23" ht="29" customHeight="1" x14ac:dyDescent="0.15">
      <c r="A15" s="55">
        <v>3512</v>
      </c>
      <c r="B15" s="32">
        <v>9</v>
      </c>
      <c r="C15" s="32">
        <v>11</v>
      </c>
      <c r="D15" s="32">
        <v>15</v>
      </c>
      <c r="E15" s="32">
        <v>15</v>
      </c>
      <c r="F15" s="33">
        <v>15</v>
      </c>
      <c r="G15" s="33">
        <v>3</v>
      </c>
      <c r="H15" s="33">
        <v>7</v>
      </c>
      <c r="I15" s="33">
        <v>15</v>
      </c>
      <c r="J15" s="33">
        <v>15</v>
      </c>
      <c r="K15" s="33">
        <v>15</v>
      </c>
      <c r="L15" s="33">
        <v>15</v>
      </c>
      <c r="M15" s="33">
        <v>15</v>
      </c>
      <c r="N15" s="33">
        <v>15</v>
      </c>
      <c r="O15" s="33">
        <v>15</v>
      </c>
      <c r="P15" s="33">
        <v>15</v>
      </c>
      <c r="Q15" s="33">
        <v>15</v>
      </c>
      <c r="R15" s="33">
        <v>9</v>
      </c>
      <c r="S15" s="33">
        <v>15</v>
      </c>
      <c r="T15" s="33">
        <v>15</v>
      </c>
      <c r="U15" s="33">
        <v>15</v>
      </c>
      <c r="V15" s="36">
        <f t="shared" si="0"/>
        <v>0.88</v>
      </c>
      <c r="W15"/>
    </row>
    <row r="16" spans="1:23" ht="29" customHeight="1" x14ac:dyDescent="0.15">
      <c r="A16" s="55">
        <v>3517</v>
      </c>
      <c r="B16" s="32">
        <v>9</v>
      </c>
      <c r="C16" s="32">
        <v>0</v>
      </c>
      <c r="D16" s="32">
        <v>15</v>
      </c>
      <c r="E16" s="32">
        <v>3</v>
      </c>
      <c r="F16" s="33">
        <v>15</v>
      </c>
      <c r="G16" s="33">
        <v>3</v>
      </c>
      <c r="H16" s="33">
        <v>0</v>
      </c>
      <c r="I16" s="33">
        <v>3</v>
      </c>
      <c r="J16" s="33">
        <v>3</v>
      </c>
      <c r="K16" s="33">
        <v>8</v>
      </c>
      <c r="L16" s="33">
        <v>0</v>
      </c>
      <c r="M16" s="33">
        <v>0</v>
      </c>
      <c r="N16" s="33">
        <v>0</v>
      </c>
      <c r="O16" s="33">
        <v>9</v>
      </c>
      <c r="P16" s="33">
        <v>9</v>
      </c>
      <c r="Q16" s="33">
        <v>9</v>
      </c>
      <c r="R16" s="33">
        <v>0</v>
      </c>
      <c r="S16" s="33">
        <v>0</v>
      </c>
      <c r="T16" s="33">
        <v>0</v>
      </c>
      <c r="U16" s="33">
        <v>0</v>
      </c>
      <c r="V16" s="36">
        <f t="shared" si="0"/>
        <v>0.28666666666666668</v>
      </c>
      <c r="W16"/>
    </row>
    <row r="17" spans="1:23" ht="29" customHeight="1" x14ac:dyDescent="0.15">
      <c r="A17" s="55">
        <v>4216</v>
      </c>
      <c r="B17" s="32">
        <v>9</v>
      </c>
      <c r="C17" s="32">
        <v>11</v>
      </c>
      <c r="D17" s="32">
        <v>15</v>
      </c>
      <c r="E17" s="32">
        <v>8</v>
      </c>
      <c r="F17" s="33">
        <v>15</v>
      </c>
      <c r="G17" s="33">
        <v>3</v>
      </c>
      <c r="H17" s="33">
        <v>15</v>
      </c>
      <c r="I17" s="33">
        <v>3</v>
      </c>
      <c r="J17" s="33">
        <v>5</v>
      </c>
      <c r="K17" s="33">
        <v>3</v>
      </c>
      <c r="L17" s="33">
        <v>15</v>
      </c>
      <c r="M17" s="33">
        <v>15</v>
      </c>
      <c r="N17" s="33">
        <v>15</v>
      </c>
      <c r="O17" s="33">
        <v>15</v>
      </c>
      <c r="P17" s="33">
        <v>12</v>
      </c>
      <c r="Q17" s="33">
        <v>15</v>
      </c>
      <c r="R17" s="33">
        <v>9</v>
      </c>
      <c r="S17" s="33">
        <v>7</v>
      </c>
      <c r="T17" s="33">
        <v>9</v>
      </c>
      <c r="U17" s="33">
        <v>15</v>
      </c>
      <c r="V17" s="36">
        <f t="shared" si="0"/>
        <v>0.71333333333333337</v>
      </c>
      <c r="W17"/>
    </row>
    <row r="18" spans="1:23" ht="29" customHeight="1" x14ac:dyDescent="0.15">
      <c r="A18" s="55">
        <v>4490</v>
      </c>
      <c r="B18" s="32">
        <v>9</v>
      </c>
      <c r="C18" s="32">
        <v>15</v>
      </c>
      <c r="D18" s="32">
        <v>15</v>
      </c>
      <c r="E18" s="32">
        <v>8</v>
      </c>
      <c r="F18" s="33">
        <v>15</v>
      </c>
      <c r="G18" s="33">
        <v>3</v>
      </c>
      <c r="H18" s="33">
        <v>7</v>
      </c>
      <c r="I18" s="33">
        <v>9</v>
      </c>
      <c r="J18" s="33">
        <v>8</v>
      </c>
      <c r="K18" s="33">
        <v>8</v>
      </c>
      <c r="L18" s="33">
        <v>8</v>
      </c>
      <c r="M18" s="33">
        <v>3</v>
      </c>
      <c r="N18" s="33">
        <v>15</v>
      </c>
      <c r="O18" s="33">
        <v>15</v>
      </c>
      <c r="P18" s="33">
        <v>15</v>
      </c>
      <c r="Q18" s="33">
        <v>15</v>
      </c>
      <c r="R18" s="33">
        <v>15</v>
      </c>
      <c r="S18" s="33">
        <v>7</v>
      </c>
      <c r="T18" s="33">
        <v>12</v>
      </c>
      <c r="U18" s="33">
        <v>15</v>
      </c>
      <c r="V18" s="36">
        <f t="shared" si="0"/>
        <v>0.72333333333333338</v>
      </c>
      <c r="W18"/>
    </row>
    <row r="19" spans="1:23" ht="29" customHeight="1" x14ac:dyDescent="0.15">
      <c r="A19" s="55">
        <v>4582</v>
      </c>
      <c r="B19" s="32">
        <v>6</v>
      </c>
      <c r="C19" s="32">
        <v>0</v>
      </c>
      <c r="D19" s="32">
        <v>15</v>
      </c>
      <c r="E19" s="32">
        <v>3</v>
      </c>
      <c r="F19" s="33">
        <v>9</v>
      </c>
      <c r="G19" s="33">
        <v>0</v>
      </c>
      <c r="H19" s="33">
        <v>11</v>
      </c>
      <c r="I19" s="33">
        <v>0</v>
      </c>
      <c r="J19" s="33">
        <v>3</v>
      </c>
      <c r="K19" s="33">
        <v>0</v>
      </c>
      <c r="L19" s="33">
        <v>15</v>
      </c>
      <c r="M19" s="33">
        <v>3</v>
      </c>
      <c r="N19" s="33">
        <v>15</v>
      </c>
      <c r="O19" s="33">
        <v>9</v>
      </c>
      <c r="P19" s="33">
        <v>9</v>
      </c>
      <c r="Q19" s="33">
        <v>9</v>
      </c>
      <c r="R19" s="33">
        <v>3</v>
      </c>
      <c r="S19" s="33">
        <v>11</v>
      </c>
      <c r="T19" s="33">
        <v>9</v>
      </c>
      <c r="U19" s="33">
        <v>9</v>
      </c>
      <c r="V19" s="36">
        <f t="shared" si="0"/>
        <v>0.46333333333333332</v>
      </c>
      <c r="W19"/>
    </row>
    <row r="20" spans="1:23" ht="29" customHeight="1" x14ac:dyDescent="0.15">
      <c r="A20" s="55">
        <v>4628</v>
      </c>
      <c r="B20" s="32">
        <v>15</v>
      </c>
      <c r="C20" s="32">
        <v>15</v>
      </c>
      <c r="D20" s="32">
        <v>15</v>
      </c>
      <c r="E20" s="32">
        <v>15</v>
      </c>
      <c r="F20" s="33">
        <v>15</v>
      </c>
      <c r="G20" s="33">
        <v>15</v>
      </c>
      <c r="H20" s="33">
        <v>15</v>
      </c>
      <c r="I20" s="33">
        <v>15</v>
      </c>
      <c r="J20" s="33">
        <v>15</v>
      </c>
      <c r="K20" s="33">
        <v>15</v>
      </c>
      <c r="L20" s="33">
        <v>15</v>
      </c>
      <c r="M20" s="33">
        <v>15</v>
      </c>
      <c r="N20" s="33">
        <v>15</v>
      </c>
      <c r="O20" s="33">
        <v>15</v>
      </c>
      <c r="P20" s="33">
        <v>15</v>
      </c>
      <c r="Q20" s="33">
        <v>15</v>
      </c>
      <c r="R20" s="33">
        <v>15</v>
      </c>
      <c r="S20" s="33">
        <v>15</v>
      </c>
      <c r="T20" s="33">
        <v>15</v>
      </c>
      <c r="U20" s="33">
        <v>15</v>
      </c>
      <c r="V20" s="36">
        <f t="shared" si="0"/>
        <v>1</v>
      </c>
      <c r="W20"/>
    </row>
    <row r="21" spans="1:23" ht="29" customHeight="1" x14ac:dyDescent="0.15">
      <c r="A21" s="55">
        <v>5023</v>
      </c>
      <c r="B21" s="32">
        <v>6</v>
      </c>
      <c r="C21" s="32">
        <v>15</v>
      </c>
      <c r="D21" s="32">
        <v>15</v>
      </c>
      <c r="E21" s="32">
        <v>3</v>
      </c>
      <c r="F21" s="33">
        <v>9</v>
      </c>
      <c r="G21" s="33">
        <v>15</v>
      </c>
      <c r="H21" s="33">
        <v>15</v>
      </c>
      <c r="I21" s="33">
        <v>15</v>
      </c>
      <c r="J21" s="33">
        <v>3</v>
      </c>
      <c r="K21" s="33">
        <v>8</v>
      </c>
      <c r="L21" s="33">
        <v>15</v>
      </c>
      <c r="M21" s="33">
        <v>5</v>
      </c>
      <c r="N21" s="33">
        <v>15</v>
      </c>
      <c r="O21" s="33">
        <v>15</v>
      </c>
      <c r="P21" s="33">
        <v>9</v>
      </c>
      <c r="Q21" s="33">
        <v>3</v>
      </c>
      <c r="R21" s="33">
        <v>3</v>
      </c>
      <c r="S21" s="33">
        <v>11</v>
      </c>
      <c r="T21" s="33">
        <v>9</v>
      </c>
      <c r="U21" s="33">
        <v>15</v>
      </c>
      <c r="V21" s="36">
        <f t="shared" si="0"/>
        <v>0.68</v>
      </c>
      <c r="W21"/>
    </row>
    <row r="22" spans="1:23" ht="29" customHeight="1" x14ac:dyDescent="0.15">
      <c r="A22" s="55">
        <v>5154</v>
      </c>
      <c r="B22" s="32">
        <v>9</v>
      </c>
      <c r="C22" s="32">
        <v>11</v>
      </c>
      <c r="D22" s="32">
        <v>15</v>
      </c>
      <c r="E22" s="32">
        <v>15</v>
      </c>
      <c r="F22" s="33">
        <v>15</v>
      </c>
      <c r="G22" s="33">
        <v>15</v>
      </c>
      <c r="H22" s="33">
        <v>11</v>
      </c>
      <c r="I22" s="33">
        <v>15</v>
      </c>
      <c r="J22" s="33">
        <v>3</v>
      </c>
      <c r="K22" s="33">
        <v>3</v>
      </c>
      <c r="L22" s="33">
        <v>15</v>
      </c>
      <c r="M22" s="33">
        <v>3</v>
      </c>
      <c r="N22" s="33">
        <v>15</v>
      </c>
      <c r="O22" s="33">
        <v>15</v>
      </c>
      <c r="P22" s="33">
        <v>9</v>
      </c>
      <c r="Q22" s="33">
        <v>9</v>
      </c>
      <c r="R22" s="33">
        <v>0</v>
      </c>
      <c r="S22" s="33">
        <v>11</v>
      </c>
      <c r="T22" s="33">
        <v>12</v>
      </c>
      <c r="U22" s="33">
        <v>15</v>
      </c>
      <c r="V22" s="36">
        <f t="shared" si="0"/>
        <v>0.72</v>
      </c>
      <c r="W22"/>
    </row>
    <row r="23" spans="1:23" ht="29" customHeight="1" x14ac:dyDescent="0.15">
      <c r="A23" s="55">
        <v>5379</v>
      </c>
      <c r="B23" s="32">
        <v>9</v>
      </c>
      <c r="C23" s="32">
        <v>15</v>
      </c>
      <c r="D23" s="32">
        <v>0</v>
      </c>
      <c r="E23" s="32">
        <v>3</v>
      </c>
      <c r="F23" s="33">
        <v>3</v>
      </c>
      <c r="G23" s="33">
        <v>15</v>
      </c>
      <c r="H23" s="33">
        <v>11</v>
      </c>
      <c r="I23" s="33">
        <v>3</v>
      </c>
      <c r="J23" s="33">
        <v>8</v>
      </c>
      <c r="K23" s="33">
        <v>3</v>
      </c>
      <c r="L23" s="33">
        <v>8</v>
      </c>
      <c r="M23" s="33">
        <v>12</v>
      </c>
      <c r="N23" s="33">
        <v>3</v>
      </c>
      <c r="O23" s="33">
        <v>9</v>
      </c>
      <c r="P23" s="33">
        <v>3</v>
      </c>
      <c r="Q23" s="33">
        <v>9</v>
      </c>
      <c r="R23" s="33">
        <v>15</v>
      </c>
      <c r="S23" s="33">
        <v>3</v>
      </c>
      <c r="T23" s="33">
        <v>9</v>
      </c>
      <c r="U23" s="33">
        <v>15</v>
      </c>
      <c r="V23" s="36">
        <f t="shared" si="0"/>
        <v>0.52</v>
      </c>
      <c r="W23"/>
    </row>
    <row r="24" spans="1:23" ht="29" customHeight="1" x14ac:dyDescent="0.15">
      <c r="A24" s="55">
        <v>5423</v>
      </c>
      <c r="B24" s="32">
        <v>9</v>
      </c>
      <c r="C24" s="32">
        <v>15</v>
      </c>
      <c r="D24" s="32">
        <v>0</v>
      </c>
      <c r="E24" s="32">
        <v>3</v>
      </c>
      <c r="F24" s="33">
        <v>9</v>
      </c>
      <c r="G24" s="33">
        <v>10</v>
      </c>
      <c r="H24" s="33">
        <v>0</v>
      </c>
      <c r="I24" s="33">
        <v>15</v>
      </c>
      <c r="J24" s="33">
        <v>15</v>
      </c>
      <c r="K24" s="33">
        <v>3</v>
      </c>
      <c r="L24" s="33">
        <v>5</v>
      </c>
      <c r="M24" s="33">
        <v>0</v>
      </c>
      <c r="N24" s="33">
        <v>8</v>
      </c>
      <c r="O24" s="33">
        <v>0</v>
      </c>
      <c r="P24" s="33">
        <v>0</v>
      </c>
      <c r="Q24" s="33">
        <v>9</v>
      </c>
      <c r="R24" s="33">
        <v>0</v>
      </c>
      <c r="S24" s="33">
        <v>3</v>
      </c>
      <c r="T24" s="33">
        <v>9</v>
      </c>
      <c r="U24" s="33">
        <v>0</v>
      </c>
      <c r="V24" s="36">
        <f t="shared" si="0"/>
        <v>0.37666666666666665</v>
      </c>
      <c r="W24"/>
    </row>
    <row r="25" spans="1:23" ht="29" customHeight="1" x14ac:dyDescent="0.15">
      <c r="A25" s="55">
        <v>5477</v>
      </c>
      <c r="B25" s="32">
        <v>15</v>
      </c>
      <c r="C25" s="32">
        <v>15</v>
      </c>
      <c r="D25" s="32">
        <v>15</v>
      </c>
      <c r="E25" s="32">
        <v>15</v>
      </c>
      <c r="F25" s="33">
        <v>15</v>
      </c>
      <c r="G25" s="33">
        <v>15</v>
      </c>
      <c r="H25" s="33">
        <v>15</v>
      </c>
      <c r="I25" s="33">
        <v>15</v>
      </c>
      <c r="J25" s="33">
        <v>15</v>
      </c>
      <c r="K25" s="33">
        <v>10</v>
      </c>
      <c r="L25" s="33">
        <v>15</v>
      </c>
      <c r="M25" s="33">
        <v>15</v>
      </c>
      <c r="N25" s="33">
        <v>15</v>
      </c>
      <c r="O25" s="33">
        <v>15</v>
      </c>
      <c r="P25" s="33">
        <v>15</v>
      </c>
      <c r="Q25" s="33">
        <v>15</v>
      </c>
      <c r="R25" s="33">
        <v>15</v>
      </c>
      <c r="S25" s="33">
        <v>11</v>
      </c>
      <c r="T25" s="33">
        <v>15</v>
      </c>
      <c r="U25" s="33">
        <v>15</v>
      </c>
      <c r="V25" s="36">
        <f t="shared" si="0"/>
        <v>0.97</v>
      </c>
      <c r="W25"/>
    </row>
    <row r="26" spans="1:23" ht="29" customHeight="1" x14ac:dyDescent="0.15">
      <c r="A26" s="55">
        <v>6082</v>
      </c>
      <c r="B26" s="32">
        <v>9</v>
      </c>
      <c r="C26" s="32">
        <v>15</v>
      </c>
      <c r="D26" s="32">
        <v>15</v>
      </c>
      <c r="E26" s="32">
        <v>3</v>
      </c>
      <c r="F26" s="33">
        <v>9</v>
      </c>
      <c r="G26" s="33">
        <v>10</v>
      </c>
      <c r="H26" s="33">
        <v>7</v>
      </c>
      <c r="I26" s="33">
        <v>0</v>
      </c>
      <c r="J26" s="33">
        <v>15</v>
      </c>
      <c r="K26" s="33">
        <v>3</v>
      </c>
      <c r="L26" s="33">
        <v>0</v>
      </c>
      <c r="M26" s="33">
        <v>5</v>
      </c>
      <c r="N26" s="33">
        <v>3</v>
      </c>
      <c r="O26" s="33">
        <v>15</v>
      </c>
      <c r="P26" s="33">
        <v>9</v>
      </c>
      <c r="Q26" s="33">
        <v>3</v>
      </c>
      <c r="R26" s="33">
        <v>0</v>
      </c>
      <c r="S26" s="33">
        <v>3</v>
      </c>
      <c r="T26" s="33">
        <v>9</v>
      </c>
      <c r="U26" s="33">
        <v>3</v>
      </c>
      <c r="V26" s="36">
        <f t="shared" si="0"/>
        <v>0.45333333333333331</v>
      </c>
      <c r="W26"/>
    </row>
    <row r="27" spans="1:23" ht="29" customHeight="1" x14ac:dyDescent="0.15">
      <c r="A27" s="55">
        <v>6347</v>
      </c>
      <c r="B27" s="32">
        <v>12</v>
      </c>
      <c r="C27" s="32">
        <v>11</v>
      </c>
      <c r="D27" s="32">
        <v>15</v>
      </c>
      <c r="E27" s="32">
        <v>3</v>
      </c>
      <c r="F27" s="33">
        <v>15</v>
      </c>
      <c r="G27" s="33">
        <v>3</v>
      </c>
      <c r="H27" s="33">
        <v>11</v>
      </c>
      <c r="I27" s="33">
        <v>9</v>
      </c>
      <c r="J27" s="33">
        <v>3</v>
      </c>
      <c r="K27" s="33">
        <v>8</v>
      </c>
      <c r="L27" s="33">
        <v>15</v>
      </c>
      <c r="M27" s="33">
        <v>15</v>
      </c>
      <c r="N27" s="33">
        <v>15</v>
      </c>
      <c r="O27" s="33">
        <v>9</v>
      </c>
      <c r="P27" s="33">
        <v>12</v>
      </c>
      <c r="Q27" s="33">
        <v>9</v>
      </c>
      <c r="R27" s="33">
        <v>9</v>
      </c>
      <c r="S27" s="33">
        <v>7</v>
      </c>
      <c r="T27" s="33">
        <v>9</v>
      </c>
      <c r="U27" s="33">
        <v>9</v>
      </c>
      <c r="V27" s="36">
        <f t="shared" si="0"/>
        <v>0.66333333333333333</v>
      </c>
      <c r="W27"/>
    </row>
    <row r="28" spans="1:23" ht="29" customHeight="1" x14ac:dyDescent="0.15">
      <c r="A28" s="55">
        <v>7905</v>
      </c>
      <c r="B28" s="32">
        <v>9</v>
      </c>
      <c r="C28" s="32">
        <v>15</v>
      </c>
      <c r="D28" s="32">
        <v>0</v>
      </c>
      <c r="E28" s="32">
        <v>0</v>
      </c>
      <c r="F28" s="33">
        <v>0</v>
      </c>
      <c r="G28" s="33">
        <v>3</v>
      </c>
      <c r="H28" s="33">
        <v>11</v>
      </c>
      <c r="I28" s="33">
        <v>15</v>
      </c>
      <c r="J28" s="33">
        <v>3</v>
      </c>
      <c r="K28" s="33">
        <v>8</v>
      </c>
      <c r="L28" s="33">
        <v>15</v>
      </c>
      <c r="M28" s="33">
        <v>5</v>
      </c>
      <c r="N28" s="33">
        <v>3</v>
      </c>
      <c r="O28" s="33">
        <v>9</v>
      </c>
      <c r="P28" s="33">
        <v>9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6">
        <f t="shared" si="0"/>
        <v>0.35</v>
      </c>
      <c r="W28"/>
    </row>
    <row r="29" spans="1:23" ht="29" customHeight="1" x14ac:dyDescent="0.15">
      <c r="A29" s="55">
        <v>8431</v>
      </c>
      <c r="B29" s="32">
        <v>9</v>
      </c>
      <c r="C29" s="32">
        <v>11</v>
      </c>
      <c r="D29" s="32">
        <v>15</v>
      </c>
      <c r="E29" s="32">
        <v>8</v>
      </c>
      <c r="F29" s="33">
        <v>3</v>
      </c>
      <c r="G29" s="33">
        <v>3</v>
      </c>
      <c r="H29" s="33">
        <v>15</v>
      </c>
      <c r="I29" s="33">
        <v>9</v>
      </c>
      <c r="J29" s="33">
        <v>0</v>
      </c>
      <c r="K29" s="33">
        <v>3</v>
      </c>
      <c r="L29" s="33">
        <v>10</v>
      </c>
      <c r="M29" s="33">
        <v>5</v>
      </c>
      <c r="N29" s="33">
        <v>3</v>
      </c>
      <c r="O29" s="33">
        <v>15</v>
      </c>
      <c r="P29" s="33">
        <v>3</v>
      </c>
      <c r="Q29" s="33">
        <v>9</v>
      </c>
      <c r="R29" s="33">
        <v>9</v>
      </c>
      <c r="S29" s="33">
        <v>5</v>
      </c>
      <c r="T29" s="33">
        <v>15</v>
      </c>
      <c r="U29" s="33">
        <v>15</v>
      </c>
      <c r="V29" s="36">
        <f t="shared" si="0"/>
        <v>0.55000000000000004</v>
      </c>
      <c r="W29"/>
    </row>
    <row r="30" spans="1:23" ht="29" customHeight="1" x14ac:dyDescent="0.15">
      <c r="A30" s="55">
        <v>8743</v>
      </c>
      <c r="B30" s="32">
        <v>9</v>
      </c>
      <c r="C30" s="32">
        <v>11</v>
      </c>
      <c r="D30" s="32">
        <v>15</v>
      </c>
      <c r="E30" s="32">
        <v>3</v>
      </c>
      <c r="F30" s="33">
        <v>9</v>
      </c>
      <c r="G30" s="33">
        <v>3</v>
      </c>
      <c r="H30" s="33">
        <v>7</v>
      </c>
      <c r="I30" s="33">
        <v>0</v>
      </c>
      <c r="J30" s="33">
        <v>0</v>
      </c>
      <c r="K30" s="33">
        <v>3</v>
      </c>
      <c r="L30" s="33">
        <v>5</v>
      </c>
      <c r="M30" s="33">
        <v>3</v>
      </c>
      <c r="N30" s="33">
        <v>0</v>
      </c>
      <c r="O30" s="33">
        <v>3</v>
      </c>
      <c r="P30" s="33">
        <v>0</v>
      </c>
      <c r="Q30" s="33">
        <v>0</v>
      </c>
      <c r="R30" s="33">
        <v>15</v>
      </c>
      <c r="S30" s="33">
        <v>3</v>
      </c>
      <c r="T30" s="33">
        <v>6</v>
      </c>
      <c r="U30" s="33">
        <v>15</v>
      </c>
      <c r="V30" s="36">
        <f t="shared" si="0"/>
        <v>0.36666666666666664</v>
      </c>
      <c r="W30"/>
    </row>
    <row r="31" spans="1:23" ht="29" customHeight="1" x14ac:dyDescent="0.15">
      <c r="A31" s="55">
        <v>8745</v>
      </c>
      <c r="B31" s="32">
        <v>9</v>
      </c>
      <c r="C31" s="32">
        <v>11</v>
      </c>
      <c r="D31" s="32">
        <v>15</v>
      </c>
      <c r="E31" s="32">
        <v>3</v>
      </c>
      <c r="F31" s="33">
        <v>3</v>
      </c>
      <c r="G31" s="33">
        <v>3</v>
      </c>
      <c r="H31" s="33">
        <v>15</v>
      </c>
      <c r="I31" s="33">
        <v>9</v>
      </c>
      <c r="J31" s="33">
        <v>15</v>
      </c>
      <c r="K31" s="33">
        <v>3</v>
      </c>
      <c r="L31" s="33">
        <v>10</v>
      </c>
      <c r="M31" s="33">
        <v>5</v>
      </c>
      <c r="N31" s="33">
        <v>3</v>
      </c>
      <c r="O31" s="33">
        <v>5</v>
      </c>
      <c r="P31" s="33">
        <v>3</v>
      </c>
      <c r="Q31" s="33">
        <v>15</v>
      </c>
      <c r="R31" s="33">
        <v>3</v>
      </c>
      <c r="S31" s="33">
        <v>3</v>
      </c>
      <c r="T31" s="33">
        <v>15</v>
      </c>
      <c r="U31" s="33">
        <v>3</v>
      </c>
      <c r="V31" s="36">
        <f t="shared" si="0"/>
        <v>0.5033333333333333</v>
      </c>
      <c r="W31"/>
    </row>
    <row r="32" spans="1:23" ht="29" customHeight="1" x14ac:dyDescent="0.15">
      <c r="A32" s="55">
        <v>9253</v>
      </c>
      <c r="B32" s="32">
        <v>9</v>
      </c>
      <c r="C32" s="32">
        <v>15</v>
      </c>
      <c r="D32" s="32">
        <v>15</v>
      </c>
      <c r="E32" s="32">
        <v>3</v>
      </c>
      <c r="F32" s="33">
        <v>15</v>
      </c>
      <c r="G32" s="33">
        <v>3</v>
      </c>
      <c r="H32" s="33">
        <v>11</v>
      </c>
      <c r="I32" s="33">
        <v>15</v>
      </c>
      <c r="J32" s="33">
        <v>3</v>
      </c>
      <c r="K32" s="33">
        <v>8</v>
      </c>
      <c r="L32" s="33">
        <v>15</v>
      </c>
      <c r="M32" s="33">
        <v>5</v>
      </c>
      <c r="N32" s="33">
        <v>3</v>
      </c>
      <c r="O32" s="33">
        <v>9</v>
      </c>
      <c r="P32" s="33">
        <v>9</v>
      </c>
      <c r="Q32" s="33">
        <v>3</v>
      </c>
      <c r="R32" s="33">
        <v>0</v>
      </c>
      <c r="S32" s="33">
        <v>7</v>
      </c>
      <c r="T32" s="33">
        <v>0</v>
      </c>
      <c r="U32" s="33">
        <v>0</v>
      </c>
      <c r="V32" s="36">
        <f t="shared" si="0"/>
        <v>0.49333333333333335</v>
      </c>
      <c r="W32"/>
    </row>
    <row r="33" spans="1:23" ht="29" customHeight="1" x14ac:dyDescent="0.15">
      <c r="A33" s="55">
        <v>9448</v>
      </c>
      <c r="B33" s="32">
        <v>15</v>
      </c>
      <c r="C33" s="32">
        <v>11</v>
      </c>
      <c r="D33" s="32">
        <v>15</v>
      </c>
      <c r="E33" s="32">
        <v>3</v>
      </c>
      <c r="F33" s="33">
        <v>9</v>
      </c>
      <c r="G33" s="33">
        <v>10</v>
      </c>
      <c r="H33" s="33">
        <v>7</v>
      </c>
      <c r="I33" s="33">
        <v>9</v>
      </c>
      <c r="J33" s="33">
        <v>15</v>
      </c>
      <c r="K33" s="33">
        <v>3</v>
      </c>
      <c r="L33" s="33">
        <v>0</v>
      </c>
      <c r="M33" s="33">
        <v>5</v>
      </c>
      <c r="N33" s="33">
        <v>15</v>
      </c>
      <c r="O33" s="33">
        <v>15</v>
      </c>
      <c r="P33" s="33">
        <v>9</v>
      </c>
      <c r="Q33" s="33">
        <v>3</v>
      </c>
      <c r="R33" s="33">
        <v>0</v>
      </c>
      <c r="S33" s="33">
        <v>3</v>
      </c>
      <c r="T33" s="33">
        <v>9</v>
      </c>
      <c r="U33" s="33">
        <v>0</v>
      </c>
      <c r="V33" s="36">
        <f t="shared" si="0"/>
        <v>0.52</v>
      </c>
      <c r="W33"/>
    </row>
    <row r="34" spans="1:23" ht="29" customHeight="1" x14ac:dyDescent="0.15">
      <c r="A34" s="55">
        <v>9550</v>
      </c>
      <c r="B34" s="32">
        <v>15</v>
      </c>
      <c r="C34" s="32">
        <v>15</v>
      </c>
      <c r="D34" s="32">
        <v>15</v>
      </c>
      <c r="E34" s="32">
        <v>15</v>
      </c>
      <c r="F34" s="33">
        <v>9</v>
      </c>
      <c r="G34" s="33">
        <v>3</v>
      </c>
      <c r="H34" s="33">
        <v>15</v>
      </c>
      <c r="I34" s="33">
        <v>3</v>
      </c>
      <c r="J34" s="33">
        <v>8</v>
      </c>
      <c r="K34" s="33">
        <v>3</v>
      </c>
      <c r="L34" s="33">
        <v>5</v>
      </c>
      <c r="M34" s="33">
        <v>5</v>
      </c>
      <c r="N34" s="33">
        <v>3</v>
      </c>
      <c r="O34" s="33">
        <v>5</v>
      </c>
      <c r="P34" s="33">
        <v>6</v>
      </c>
      <c r="Q34" s="33">
        <v>3</v>
      </c>
      <c r="R34" s="33">
        <v>15</v>
      </c>
      <c r="S34" s="33">
        <v>3</v>
      </c>
      <c r="T34" s="33">
        <v>6</v>
      </c>
      <c r="U34" s="33">
        <v>15</v>
      </c>
      <c r="V34" s="36">
        <f t="shared" si="0"/>
        <v>0.55666666666666664</v>
      </c>
      <c r="W34"/>
    </row>
    <row r="35" spans="1:23" ht="29" customHeight="1" x14ac:dyDescent="0.15">
      <c r="A35" s="55">
        <v>9610</v>
      </c>
      <c r="B35" s="32">
        <v>6</v>
      </c>
      <c r="C35" s="32">
        <v>11</v>
      </c>
      <c r="D35" s="32">
        <v>15</v>
      </c>
      <c r="E35" s="32">
        <v>8</v>
      </c>
      <c r="F35" s="33">
        <v>9</v>
      </c>
      <c r="G35" s="33">
        <v>3</v>
      </c>
      <c r="H35" s="33">
        <v>11</v>
      </c>
      <c r="I35" s="33">
        <v>15</v>
      </c>
      <c r="J35" s="33">
        <v>3</v>
      </c>
      <c r="K35" s="33">
        <v>3</v>
      </c>
      <c r="L35" s="33">
        <v>8</v>
      </c>
      <c r="M35" s="33">
        <v>3</v>
      </c>
      <c r="N35" s="33">
        <v>8</v>
      </c>
      <c r="O35" s="33">
        <v>15</v>
      </c>
      <c r="P35" s="33">
        <v>15</v>
      </c>
      <c r="Q35" s="33">
        <v>9</v>
      </c>
      <c r="R35" s="33">
        <v>9</v>
      </c>
      <c r="S35" s="33">
        <v>7</v>
      </c>
      <c r="T35" s="33">
        <v>12</v>
      </c>
      <c r="U35" s="33">
        <v>12</v>
      </c>
      <c r="V35" s="36">
        <f t="shared" si="0"/>
        <v>0.60666666666666669</v>
      </c>
      <c r="W35"/>
    </row>
    <row r="36" spans="1:23" ht="29" customHeight="1" x14ac:dyDescent="0.15">
      <c r="A36" s="55">
        <v>9611</v>
      </c>
      <c r="B36" s="32">
        <v>6</v>
      </c>
      <c r="C36" s="32">
        <v>11</v>
      </c>
      <c r="D36" s="32">
        <v>15</v>
      </c>
      <c r="E36" s="32">
        <v>8</v>
      </c>
      <c r="F36" s="33">
        <v>9</v>
      </c>
      <c r="G36" s="33">
        <v>3</v>
      </c>
      <c r="H36" s="33">
        <v>11</v>
      </c>
      <c r="I36" s="33">
        <v>9</v>
      </c>
      <c r="J36" s="33">
        <v>3</v>
      </c>
      <c r="K36" s="33">
        <v>3</v>
      </c>
      <c r="L36" s="33">
        <v>8</v>
      </c>
      <c r="M36" s="33">
        <v>3</v>
      </c>
      <c r="N36" s="33">
        <v>8</v>
      </c>
      <c r="O36" s="33">
        <v>15</v>
      </c>
      <c r="P36" s="33">
        <v>15</v>
      </c>
      <c r="Q36" s="33">
        <v>9</v>
      </c>
      <c r="R36" s="33">
        <v>9</v>
      </c>
      <c r="S36" s="33">
        <v>7</v>
      </c>
      <c r="T36" s="33">
        <v>9</v>
      </c>
      <c r="U36" s="33">
        <v>12</v>
      </c>
      <c r="V36" s="36">
        <f t="shared" si="0"/>
        <v>0.57666666666666666</v>
      </c>
      <c r="W36"/>
    </row>
    <row r="37" spans="1:23" ht="29" customHeight="1" x14ac:dyDescent="0.15">
      <c r="A37" s="25"/>
      <c r="B37" s="2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  <c r="W37"/>
    </row>
    <row r="38" spans="1:23" ht="29" customHeight="1" x14ac:dyDescent="0.15">
      <c r="A38" s="17" t="s">
        <v>34</v>
      </c>
      <c r="B38" s="37">
        <v>15</v>
      </c>
      <c r="C38" s="37">
        <v>15</v>
      </c>
      <c r="D38" s="37">
        <v>15</v>
      </c>
      <c r="E38" s="37">
        <v>15</v>
      </c>
      <c r="F38" s="37">
        <v>15</v>
      </c>
      <c r="G38" s="37">
        <v>15</v>
      </c>
      <c r="H38" s="37">
        <v>15</v>
      </c>
      <c r="I38" s="37">
        <v>15</v>
      </c>
      <c r="J38" s="37">
        <v>15</v>
      </c>
      <c r="K38" s="37">
        <v>15</v>
      </c>
      <c r="L38" s="37">
        <v>15</v>
      </c>
      <c r="M38" s="37">
        <v>15</v>
      </c>
      <c r="N38" s="37">
        <v>15</v>
      </c>
      <c r="O38" s="37">
        <v>15</v>
      </c>
      <c r="P38" s="37">
        <v>15</v>
      </c>
      <c r="Q38" s="37">
        <v>15</v>
      </c>
      <c r="R38" s="37">
        <v>15</v>
      </c>
      <c r="S38" s="37">
        <v>15</v>
      </c>
      <c r="T38" s="37">
        <v>15</v>
      </c>
      <c r="U38" s="37">
        <v>15</v>
      </c>
      <c r="V38" s="39">
        <v>1</v>
      </c>
      <c r="W38"/>
    </row>
    <row r="39" spans="1:23" ht="29" customHeight="1" x14ac:dyDescent="0.15">
      <c r="A39" s="18" t="s">
        <v>35</v>
      </c>
      <c r="B39" s="40">
        <f t="shared" ref="B39:T39" si="1">AVERAGE(B$2:B$36)</f>
        <v>9.4285714285714288</v>
      </c>
      <c r="C39" s="40">
        <f t="shared" si="1"/>
        <v>11.685714285714285</v>
      </c>
      <c r="D39" s="40">
        <f t="shared" si="1"/>
        <v>13.285714285714286</v>
      </c>
      <c r="E39" s="40">
        <f t="shared" si="1"/>
        <v>6.7428571428571429</v>
      </c>
      <c r="F39" s="40">
        <f t="shared" si="1"/>
        <v>9.6</v>
      </c>
      <c r="G39" s="40">
        <f t="shared" si="1"/>
        <v>6</v>
      </c>
      <c r="H39" s="40">
        <f t="shared" si="1"/>
        <v>9.7714285714285722</v>
      </c>
      <c r="I39" s="40">
        <f t="shared" si="1"/>
        <v>8.5714285714285712</v>
      </c>
      <c r="J39" s="40">
        <f t="shared" si="1"/>
        <v>6.5714285714285712</v>
      </c>
      <c r="K39" s="40">
        <f t="shared" si="1"/>
        <v>5.7428571428571429</v>
      </c>
      <c r="L39" s="40">
        <f t="shared" si="1"/>
        <v>9.6571428571428566</v>
      </c>
      <c r="M39" s="40">
        <f t="shared" si="1"/>
        <v>5.2857142857142856</v>
      </c>
      <c r="N39" s="40">
        <f t="shared" si="1"/>
        <v>9.0857142857142854</v>
      </c>
      <c r="O39" s="40">
        <f t="shared" si="1"/>
        <v>11</v>
      </c>
      <c r="P39" s="40">
        <f t="shared" si="1"/>
        <v>8.5714285714285712</v>
      </c>
      <c r="Q39" s="40">
        <f t="shared" si="1"/>
        <v>8.0571428571428569</v>
      </c>
      <c r="R39" s="40">
        <f t="shared" si="1"/>
        <v>6.9428571428571431</v>
      </c>
      <c r="S39" s="40">
        <f t="shared" si="1"/>
        <v>5.8857142857142861</v>
      </c>
      <c r="T39" s="40">
        <f t="shared" si="1"/>
        <v>8.3142857142857149</v>
      </c>
      <c r="U39" s="40">
        <f>AVERAGE(U$2:U$36)</f>
        <v>9.4285714285714288</v>
      </c>
      <c r="V39" s="40">
        <f>AVERAGE(V$2:V$36)</f>
        <v>0.5654285714285715</v>
      </c>
      <c r="W39"/>
    </row>
    <row r="40" spans="1:23" ht="29" customHeight="1" x14ac:dyDescent="0.15">
      <c r="A40" s="19" t="s">
        <v>36</v>
      </c>
      <c r="B40" s="40">
        <f t="shared" ref="B40:T40" si="2">STDEV(B$2:B$36)</f>
        <v>4.0604673324610294</v>
      </c>
      <c r="C40" s="40">
        <f t="shared" si="2"/>
        <v>4.7636579405736015</v>
      </c>
      <c r="D40" s="40">
        <f t="shared" si="2"/>
        <v>4.8420427663601338</v>
      </c>
      <c r="E40" s="40">
        <f t="shared" si="2"/>
        <v>5.4683197609872236</v>
      </c>
      <c r="F40" s="40">
        <f t="shared" si="2"/>
        <v>5.6266174145228467</v>
      </c>
      <c r="G40" s="40">
        <f t="shared" si="2"/>
        <v>5.2859413987092436</v>
      </c>
      <c r="H40" s="40">
        <f t="shared" si="2"/>
        <v>5.0181184327436918</v>
      </c>
      <c r="I40" s="40">
        <f t="shared" si="2"/>
        <v>5.8273478695953367</v>
      </c>
      <c r="J40" s="40">
        <f t="shared" si="2"/>
        <v>5.5534076146501068</v>
      </c>
      <c r="K40" s="40">
        <f t="shared" si="2"/>
        <v>4.8769738516399528</v>
      </c>
      <c r="L40" s="40">
        <f t="shared" si="2"/>
        <v>5.9899074781367574</v>
      </c>
      <c r="M40" s="40">
        <f t="shared" si="2"/>
        <v>4.7314431859474695</v>
      </c>
      <c r="N40" s="40">
        <f t="shared" si="2"/>
        <v>6.4733454782417006</v>
      </c>
      <c r="O40" s="40">
        <f t="shared" si="2"/>
        <v>5.3467967320740417</v>
      </c>
      <c r="P40" s="40">
        <f t="shared" si="2"/>
        <v>5.5956165316922757</v>
      </c>
      <c r="Q40" s="40">
        <f t="shared" si="2"/>
        <v>5.2856234377838929</v>
      </c>
      <c r="R40" s="40">
        <f t="shared" si="2"/>
        <v>6.2494369494278406</v>
      </c>
      <c r="S40" s="40">
        <f t="shared" si="2"/>
        <v>4.7512934992448521</v>
      </c>
      <c r="T40" s="40">
        <f t="shared" si="2"/>
        <v>5.3013396118973803</v>
      </c>
      <c r="U40" s="40">
        <f>STDEV(U$2:U$36)</f>
        <v>6.75315052525906</v>
      </c>
      <c r="V40" s="40">
        <f>STDEV(V$2:V$36)</f>
        <v>0.24397455898960782</v>
      </c>
      <c r="W40"/>
    </row>
    <row r="41" spans="1:23" ht="29" customHeight="1" x14ac:dyDescent="0.15">
      <c r="A41" s="19" t="s">
        <v>37</v>
      </c>
      <c r="B41" s="40">
        <f t="shared" ref="B41:T41" si="3">MEDIAN(B$2:B$36)</f>
        <v>9</v>
      </c>
      <c r="C41" s="40">
        <f t="shared" si="3"/>
        <v>15</v>
      </c>
      <c r="D41" s="40">
        <f t="shared" si="3"/>
        <v>15</v>
      </c>
      <c r="E41" s="40">
        <f t="shared" si="3"/>
        <v>3</v>
      </c>
      <c r="F41" s="40">
        <f t="shared" si="3"/>
        <v>9</v>
      </c>
      <c r="G41" s="40">
        <f t="shared" si="3"/>
        <v>3</v>
      </c>
      <c r="H41" s="40">
        <f t="shared" si="3"/>
        <v>11</v>
      </c>
      <c r="I41" s="40">
        <f t="shared" si="3"/>
        <v>9</v>
      </c>
      <c r="J41" s="40">
        <f t="shared" si="3"/>
        <v>3</v>
      </c>
      <c r="K41" s="40">
        <f t="shared" si="3"/>
        <v>3</v>
      </c>
      <c r="L41" s="40">
        <f t="shared" si="3"/>
        <v>10</v>
      </c>
      <c r="M41" s="40">
        <f t="shared" si="3"/>
        <v>3</v>
      </c>
      <c r="N41" s="40">
        <f t="shared" si="3"/>
        <v>15</v>
      </c>
      <c r="O41" s="40">
        <f t="shared" si="3"/>
        <v>15</v>
      </c>
      <c r="P41" s="40">
        <f t="shared" si="3"/>
        <v>9</v>
      </c>
      <c r="Q41" s="40">
        <f t="shared" si="3"/>
        <v>9</v>
      </c>
      <c r="R41" s="40">
        <f t="shared" si="3"/>
        <v>9</v>
      </c>
      <c r="S41" s="40">
        <f t="shared" si="3"/>
        <v>5</v>
      </c>
      <c r="T41" s="40">
        <f t="shared" si="3"/>
        <v>9</v>
      </c>
      <c r="U41" s="40">
        <f>MEDIAN(U$2:U$36)</f>
        <v>15</v>
      </c>
      <c r="V41" s="40">
        <f>MEDIAN(V$2:V$36)</f>
        <v>0.55666666666666664</v>
      </c>
      <c r="W41"/>
    </row>
    <row r="42" spans="1:23" ht="29" customHeight="1" x14ac:dyDescent="0.15">
      <c r="A42" s="20" t="s">
        <v>38</v>
      </c>
      <c r="B42" s="41">
        <f>IF(SUM(B2:B36)&gt;0,1,0)</f>
        <v>1</v>
      </c>
      <c r="C42" s="41">
        <f t="shared" ref="C42:U42" si="4">IF(SUM(C2:C36)&gt;0,1,0)</f>
        <v>1</v>
      </c>
      <c r="D42" s="41">
        <f t="shared" si="4"/>
        <v>1</v>
      </c>
      <c r="E42" s="41">
        <f t="shared" si="4"/>
        <v>1</v>
      </c>
      <c r="F42" s="41">
        <f t="shared" si="4"/>
        <v>1</v>
      </c>
      <c r="G42" s="41">
        <f t="shared" si="4"/>
        <v>1</v>
      </c>
      <c r="H42" s="41">
        <f t="shared" si="4"/>
        <v>1</v>
      </c>
      <c r="I42" s="41">
        <f t="shared" si="4"/>
        <v>1</v>
      </c>
      <c r="J42" s="41">
        <f t="shared" si="4"/>
        <v>1</v>
      </c>
      <c r="K42" s="41">
        <f t="shared" si="4"/>
        <v>1</v>
      </c>
      <c r="L42" s="41">
        <f t="shared" si="4"/>
        <v>1</v>
      </c>
      <c r="M42" s="41">
        <f t="shared" si="4"/>
        <v>1</v>
      </c>
      <c r="N42" s="41">
        <f t="shared" si="4"/>
        <v>1</v>
      </c>
      <c r="O42" s="41">
        <f t="shared" si="4"/>
        <v>1</v>
      </c>
      <c r="P42" s="41">
        <f t="shared" si="4"/>
        <v>1</v>
      </c>
      <c r="Q42" s="41">
        <f t="shared" si="4"/>
        <v>1</v>
      </c>
      <c r="R42" s="41">
        <f t="shared" si="4"/>
        <v>1</v>
      </c>
      <c r="S42" s="41">
        <f t="shared" si="4"/>
        <v>1</v>
      </c>
      <c r="T42" s="41">
        <f t="shared" si="4"/>
        <v>1</v>
      </c>
      <c r="U42" s="41">
        <f t="shared" si="4"/>
        <v>1</v>
      </c>
      <c r="V42" s="38"/>
      <c r="W42"/>
    </row>
    <row r="43" spans="1:23" ht="29" customHeight="1" x14ac:dyDescent="0.15">
      <c r="A43" s="21" t="s">
        <v>39</v>
      </c>
      <c r="B43" s="22">
        <v>0</v>
      </c>
      <c r="V43" s="12"/>
      <c r="W43"/>
    </row>
    <row r="44" spans="1:23" ht="29" customHeight="1" x14ac:dyDescent="0.15">
      <c r="B44"/>
    </row>
    <row r="45" spans="1:23" ht="29" customHeight="1" x14ac:dyDescent="0.15"/>
    <row r="46" spans="1:23" ht="29" customHeight="1" x14ac:dyDescent="0.15"/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40" customHeight="1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</sheetData>
  <phoneticPr fontId="6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A2:A36" numberStoredAsText="1"/>
    <ignoredError sqref="V6:V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16" zoomScaleNormal="100" workbookViewId="0">
      <selection activeCell="M1" sqref="M1"/>
    </sheetView>
  </sheetViews>
  <sheetFormatPr baseColWidth="10" defaultRowHeight="13" x14ac:dyDescent="0.15"/>
  <cols>
    <col min="1" max="1" width="30.83203125" customWidth="1"/>
    <col min="2" max="2" width="10.83203125" customWidth="1"/>
    <col min="12" max="12" width="12.83203125" customWidth="1"/>
  </cols>
  <sheetData>
    <row r="1" spans="1:12" ht="24" customHeight="1" x14ac:dyDescent="0.15">
      <c r="A1" s="1" t="s">
        <v>5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4" t="s">
        <v>33</v>
      </c>
    </row>
    <row r="2" spans="1:12" ht="29" customHeight="1" x14ac:dyDescent="0.15">
      <c r="A2" s="54" t="s">
        <v>42</v>
      </c>
      <c r="B2" s="56">
        <v>0</v>
      </c>
      <c r="C2" s="49">
        <v>0</v>
      </c>
      <c r="D2" s="52">
        <v>0</v>
      </c>
      <c r="E2" s="32">
        <v>0</v>
      </c>
      <c r="F2" s="49">
        <v>0</v>
      </c>
      <c r="G2" s="49">
        <v>0</v>
      </c>
      <c r="H2" s="33">
        <v>0</v>
      </c>
      <c r="I2" s="49">
        <f>0</f>
        <v>0</v>
      </c>
      <c r="J2" s="49">
        <f>0</f>
        <v>0</v>
      </c>
      <c r="K2" s="49">
        <v>0</v>
      </c>
      <c r="L2" s="36">
        <f t="shared" ref="L2:L36" si="0">IF(SUM($B$42:$K$42)&gt;0,1.5*(B2/$B$38+C2/$C$38+D2/$D$38+E2/$E$38+F2/$F$38+G2/$G$38+H2/$H$38+I2/$I$38+J2/$J$38+K2/$K$38)/SUM($B$42:$K$42),0)</f>
        <v>0</v>
      </c>
    </row>
    <row r="3" spans="1:12" ht="29" customHeight="1" x14ac:dyDescent="0.15">
      <c r="A3" s="54" t="s">
        <v>43</v>
      </c>
      <c r="B3" s="56">
        <v>89.5</v>
      </c>
      <c r="C3" s="49">
        <f>3+1+2+1.5+2+3+3+3+1.5+3</f>
        <v>23</v>
      </c>
      <c r="D3" s="51">
        <f>(10+10+10+7.5+10+10+10+6+10+9)</f>
        <v>92.5</v>
      </c>
      <c r="E3" s="32">
        <f>(10+10+10+8+9+10+10+5+6+10)</f>
        <v>88</v>
      </c>
      <c r="F3" s="49">
        <f>10+10+7+10+10+10+10+5+10+1.5</f>
        <v>83.5</v>
      </c>
      <c r="G3" s="49">
        <f>10+10+10+10+10+9+10+10+10+10</f>
        <v>99</v>
      </c>
      <c r="H3" s="33">
        <v>93.5</v>
      </c>
      <c r="I3" s="49">
        <f>9+10+10+10+10+10+7+7.5+10+10</f>
        <v>93.5</v>
      </c>
      <c r="J3" s="49">
        <f>8.5+10+8+10+8.5+9+10+9+10+10</f>
        <v>93</v>
      </c>
      <c r="K3" s="49">
        <f>10+10+7.5+10+7+8+6+8.5+7.5+6.5</f>
        <v>81</v>
      </c>
      <c r="L3" s="36">
        <f t="shared" si="0"/>
        <v>1.33525</v>
      </c>
    </row>
    <row r="4" spans="1:12" ht="29" customHeight="1" x14ac:dyDescent="0.15">
      <c r="A4" s="54" t="s">
        <v>44</v>
      </c>
      <c r="B4" s="56">
        <v>43.5</v>
      </c>
      <c r="C4" s="49">
        <v>0</v>
      </c>
      <c r="D4" s="52">
        <v>0</v>
      </c>
      <c r="E4" s="32">
        <v>0</v>
      </c>
      <c r="F4" s="49">
        <v>0</v>
      </c>
      <c r="G4" s="49">
        <f>0</f>
        <v>0</v>
      </c>
      <c r="H4" s="33">
        <v>0</v>
      </c>
      <c r="I4" s="49">
        <v>0</v>
      </c>
      <c r="J4" s="49">
        <v>0</v>
      </c>
      <c r="K4" s="49">
        <v>0</v>
      </c>
      <c r="L4" s="36">
        <f t="shared" si="0"/>
        <v>6.5250000000000002E-2</v>
      </c>
    </row>
    <row r="5" spans="1:12" ht="29" customHeight="1" x14ac:dyDescent="0.15">
      <c r="A5" s="54" t="s">
        <v>45</v>
      </c>
      <c r="B5" s="56">
        <v>99</v>
      </c>
      <c r="C5" s="49">
        <f>(3+3+3+3+3+3+3+3+3+3)</f>
        <v>30</v>
      </c>
      <c r="D5" s="57">
        <f>10+10+10+10+10+10+7+7+10+10</f>
        <v>94</v>
      </c>
      <c r="E5" s="33">
        <f>10+10+10+10+10+10+10+10+6+10</f>
        <v>96</v>
      </c>
      <c r="F5" s="49">
        <f>10+10+10+10+10+10+10+9+10+2</f>
        <v>91</v>
      </c>
      <c r="G5" s="49">
        <f>10+10+10+10+10+10+10+10+10+10</f>
        <v>100</v>
      </c>
      <c r="H5" s="33">
        <v>98</v>
      </c>
      <c r="I5" s="49">
        <f>10+10+10+10+10+10+9.5+9.5+10+10</f>
        <v>99</v>
      </c>
      <c r="J5" s="49">
        <f>10+10+10+10+10+9+10+10+10+10</f>
        <v>99</v>
      </c>
      <c r="K5" s="49">
        <f>3+10+10+10+5+0+0+0+0+0</f>
        <v>38</v>
      </c>
      <c r="L5" s="36">
        <f t="shared" si="0"/>
        <v>1.371</v>
      </c>
    </row>
    <row r="6" spans="1:12" ht="29" customHeight="1" x14ac:dyDescent="0.15">
      <c r="A6" s="55">
        <v>1216</v>
      </c>
      <c r="B6" s="56">
        <v>18</v>
      </c>
      <c r="C6" s="49">
        <v>0</v>
      </c>
      <c r="D6" s="51">
        <v>0</v>
      </c>
      <c r="E6" s="32">
        <f>0</f>
        <v>0</v>
      </c>
      <c r="F6" s="49">
        <v>0</v>
      </c>
      <c r="G6" s="49">
        <f>10+10+10+10+10+10+0+10+10+10</f>
        <v>90</v>
      </c>
      <c r="H6" s="33">
        <v>65</v>
      </c>
      <c r="I6" s="49">
        <f>10+10+10+10+0+10+0+0+10+10</f>
        <v>70</v>
      </c>
      <c r="J6" s="49">
        <f>8.5+0+0+0+0+0+0+0+0+0</f>
        <v>8.5</v>
      </c>
      <c r="K6" s="49">
        <v>0</v>
      </c>
      <c r="L6" s="36">
        <f t="shared" si="0"/>
        <v>0.37724999999999997</v>
      </c>
    </row>
    <row r="7" spans="1:12" ht="29" customHeight="1" x14ac:dyDescent="0.15">
      <c r="A7" s="55">
        <v>1395</v>
      </c>
      <c r="B7" s="56">
        <v>62</v>
      </c>
      <c r="C7" s="49">
        <f>3+3+0+1+1+0+0+1+3</f>
        <v>12</v>
      </c>
      <c r="D7" s="33">
        <v>0</v>
      </c>
      <c r="E7" s="32">
        <f>9+3+6+10+4+10+10+2+1+10</f>
        <v>65</v>
      </c>
      <c r="F7" s="49">
        <f>5+0+7+9+10+0+0+0+0+0</f>
        <v>31</v>
      </c>
      <c r="G7" s="49">
        <f>10+8+6+10+10+5+10+9+8+10</f>
        <v>86</v>
      </c>
      <c r="H7" s="33">
        <v>72.5</v>
      </c>
      <c r="I7" s="49">
        <f>10+9+10+9+0+10+0+10+10+10</f>
        <v>78</v>
      </c>
      <c r="J7" s="49">
        <f>10+10+0+10+0+0+10+10+0+9.5</f>
        <v>59.5</v>
      </c>
      <c r="K7" s="49">
        <f>0</f>
        <v>0</v>
      </c>
      <c r="L7" s="36">
        <f t="shared" si="0"/>
        <v>0.74099999999999988</v>
      </c>
    </row>
    <row r="8" spans="1:12" ht="29" customHeight="1" x14ac:dyDescent="0.15">
      <c r="A8" s="55">
        <v>1448</v>
      </c>
      <c r="B8" s="56">
        <v>47</v>
      </c>
      <c r="C8" s="49">
        <v>0</v>
      </c>
      <c r="D8" s="52">
        <f>2+0+6+0.5+4+1+4+0+3+4</f>
        <v>24.5</v>
      </c>
      <c r="E8" s="32">
        <f>4+9+3+6+0+10+10+0+0+10</f>
        <v>52</v>
      </c>
      <c r="F8" s="49">
        <v>0</v>
      </c>
      <c r="G8" s="49">
        <v>0</v>
      </c>
      <c r="H8" s="33">
        <v>56</v>
      </c>
      <c r="I8" s="49">
        <f>7+1+10+8+10+10+0+0+8+10</f>
        <v>64</v>
      </c>
      <c r="J8" s="49">
        <f>2+10+4+10+8.5+0+10+0+6+0</f>
        <v>50.5</v>
      </c>
      <c r="K8" s="49">
        <f>0+4+0+10+0+0+0+0+0+0</f>
        <v>14</v>
      </c>
      <c r="L8" s="36">
        <f t="shared" si="0"/>
        <v>0.46200000000000002</v>
      </c>
    </row>
    <row r="9" spans="1:12" ht="29" customHeight="1" x14ac:dyDescent="0.15">
      <c r="A9" s="55">
        <v>1767</v>
      </c>
      <c r="B9" s="56">
        <v>67.5</v>
      </c>
      <c r="C9" s="49">
        <f>3+3+0+1+1+0+0+1+3</f>
        <v>12</v>
      </c>
      <c r="D9" s="52">
        <v>0</v>
      </c>
      <c r="E9" s="32">
        <f>10+6+6+10+6+10+0+2+1+10</f>
        <v>61</v>
      </c>
      <c r="F9" s="49">
        <v>0</v>
      </c>
      <c r="G9" s="49">
        <f>10+7+6+10+1+10+10+8.5+8+10</f>
        <v>80.5</v>
      </c>
      <c r="H9" s="33">
        <v>65</v>
      </c>
      <c r="I9" s="49">
        <f>0</f>
        <v>0</v>
      </c>
      <c r="J9" s="49">
        <v>0</v>
      </c>
      <c r="K9" s="49">
        <v>0</v>
      </c>
      <c r="L9" s="36">
        <f t="shared" si="0"/>
        <v>0.47099999999999997</v>
      </c>
    </row>
    <row r="10" spans="1:12" ht="29" customHeight="1" x14ac:dyDescent="0.15">
      <c r="A10" s="55">
        <v>2252</v>
      </c>
      <c r="B10" s="56">
        <v>0</v>
      </c>
      <c r="C10" s="49">
        <v>0</v>
      </c>
      <c r="D10" s="52">
        <v>0</v>
      </c>
      <c r="E10" s="32">
        <v>0</v>
      </c>
      <c r="F10" s="49">
        <v>0</v>
      </c>
      <c r="G10" s="49">
        <v>0</v>
      </c>
      <c r="H10" s="33">
        <v>0</v>
      </c>
      <c r="I10" s="49">
        <v>0</v>
      </c>
      <c r="J10" s="49">
        <f>0</f>
        <v>0</v>
      </c>
      <c r="K10" s="49">
        <v>0</v>
      </c>
      <c r="L10" s="36">
        <f t="shared" si="0"/>
        <v>0</v>
      </c>
    </row>
    <row r="11" spans="1:12" ht="29" customHeight="1" x14ac:dyDescent="0.15">
      <c r="A11" s="55">
        <v>2771</v>
      </c>
      <c r="B11" s="56">
        <v>0</v>
      </c>
      <c r="C11" s="49">
        <v>0</v>
      </c>
      <c r="D11" s="52">
        <v>0</v>
      </c>
      <c r="E11" s="32">
        <f>0</f>
        <v>0</v>
      </c>
      <c r="F11" s="49">
        <f>0</f>
        <v>0</v>
      </c>
      <c r="G11" s="33">
        <v>0</v>
      </c>
      <c r="H11" s="33">
        <v>0</v>
      </c>
      <c r="I11" s="49">
        <v>0</v>
      </c>
      <c r="J11" s="49">
        <v>0</v>
      </c>
      <c r="K11" s="49">
        <f>0</f>
        <v>0</v>
      </c>
      <c r="L11" s="36">
        <f t="shared" si="0"/>
        <v>0</v>
      </c>
    </row>
    <row r="12" spans="1:12" ht="29" customHeight="1" x14ac:dyDescent="0.15">
      <c r="A12" s="55">
        <v>2900</v>
      </c>
      <c r="B12" s="56">
        <v>52.5</v>
      </c>
      <c r="C12" s="49">
        <f>0+3+3+1+0.5+1.5+3+3+0+3</f>
        <v>18</v>
      </c>
      <c r="D12" s="52">
        <f>2+10+0+9+10+7.5+0+0+0+8</f>
        <v>46.5</v>
      </c>
      <c r="E12" s="32">
        <f>4+8+10+10+7+3+0+4+5+4</f>
        <v>55</v>
      </c>
      <c r="F12" s="49">
        <f>5+0+7.5+9.5+7.5+4+3+1+3+3</f>
        <v>43.5</v>
      </c>
      <c r="G12" s="49">
        <v>88.5</v>
      </c>
      <c r="H12" s="33">
        <v>93</v>
      </c>
      <c r="I12" s="49">
        <f>10+10+10+10+0+10+0+0+10+10</f>
        <v>70</v>
      </c>
      <c r="J12" s="49">
        <v>0</v>
      </c>
      <c r="K12" s="49">
        <f>0</f>
        <v>0</v>
      </c>
      <c r="L12" s="36">
        <f t="shared" si="0"/>
        <v>0.76349999999999996</v>
      </c>
    </row>
    <row r="13" spans="1:12" ht="29" customHeight="1" x14ac:dyDescent="0.15">
      <c r="A13" s="55">
        <v>2948</v>
      </c>
      <c r="B13" s="56">
        <v>53.5</v>
      </c>
      <c r="C13" s="49">
        <f>(3+1+1+1.5+0.5)</f>
        <v>7</v>
      </c>
      <c r="D13" s="51">
        <f>(0+0+0+7.5+10+1+4+0+0+4)</f>
        <v>26.5</v>
      </c>
      <c r="E13" s="32">
        <f>4+10+10+10+0+10+10+3+6+1</f>
        <v>64</v>
      </c>
      <c r="F13" s="49">
        <f>5+10+10+8.5+2.5+2+4+0+0+0</f>
        <v>42</v>
      </c>
      <c r="G13" s="49">
        <f>10+8+10+10+4+9+10+10+10+10</f>
        <v>91</v>
      </c>
      <c r="H13" s="33">
        <v>95</v>
      </c>
      <c r="I13" s="49">
        <f>7.5+4+10+10+10+10+7.5+9+10+10</f>
        <v>88</v>
      </c>
      <c r="J13" s="49">
        <f>6+10+6+10+10+10+10+10+8+9.5</f>
        <v>89.5</v>
      </c>
      <c r="K13" s="49">
        <f>10+10+10+10+7+8+4+3+0+0</f>
        <v>62</v>
      </c>
      <c r="L13" s="36">
        <f t="shared" si="0"/>
        <v>0.95225000000000004</v>
      </c>
    </row>
    <row r="14" spans="1:12" ht="29" customHeight="1" x14ac:dyDescent="0.15">
      <c r="A14" s="55">
        <v>3226</v>
      </c>
      <c r="B14" s="56">
        <v>67</v>
      </c>
      <c r="C14" s="49">
        <f>1.5+3+0+3+2+3+0+3+1.5+3</f>
        <v>20</v>
      </c>
      <c r="D14" s="51">
        <f>4+10+10+6+10+4+0+0+0+0</f>
        <v>44</v>
      </c>
      <c r="E14" s="32">
        <f>6+9+8+10+4+10+10+8.5+9+10</f>
        <v>84.5</v>
      </c>
      <c r="F14" s="49">
        <f>10+10+10+10+10+5+10+9+4+1.5</f>
        <v>79.5</v>
      </c>
      <c r="G14" s="49">
        <f>10+10+10+10+8+10+3+10+8+7</f>
        <v>86</v>
      </c>
      <c r="H14" s="33">
        <v>85</v>
      </c>
      <c r="I14" s="49">
        <f>8.5+10+10+10+10+10+6+10+10+10</f>
        <v>94.5</v>
      </c>
      <c r="J14" s="49">
        <f>10+10+6+10+7.5+10+10+10+5.5+10</f>
        <v>89</v>
      </c>
      <c r="K14" s="49">
        <f>5.5+9+10+7+3+6+0+7+4+5</f>
        <v>56.5</v>
      </c>
      <c r="L14" s="36">
        <f t="shared" si="0"/>
        <v>1.129</v>
      </c>
    </row>
    <row r="15" spans="1:12" ht="29" customHeight="1" x14ac:dyDescent="0.15">
      <c r="A15" s="55">
        <v>3512</v>
      </c>
      <c r="B15" s="56">
        <v>84.5</v>
      </c>
      <c r="C15" s="49">
        <f>3+3+3+3+3+2.75+3+3+2.75+3</f>
        <v>29.5</v>
      </c>
      <c r="D15" s="51">
        <f>7+10+10+9+10+10+7+4+10+4</f>
        <v>81</v>
      </c>
      <c r="E15" s="32">
        <f>6+9+5+10+10+10+10+10+10+10</f>
        <v>90</v>
      </c>
      <c r="F15" s="49">
        <f>10+10+10+9+10+7+9.25+9+0+0</f>
        <v>74.25</v>
      </c>
      <c r="G15" s="49">
        <f>10+10+10+10+10+8+9+8+10+10</f>
        <v>95</v>
      </c>
      <c r="H15" s="33">
        <v>97.5</v>
      </c>
      <c r="I15" s="49">
        <f>9+9+10+10+10+10+6+6.5+8+10</f>
        <v>88.5</v>
      </c>
      <c r="J15" s="49">
        <f>10+8.5+10+10+8.5+9+10+10+7.5+10</f>
        <v>93.5</v>
      </c>
      <c r="K15" s="49">
        <f>7+10+10+10+9+6+0+4+5+4</f>
        <v>65</v>
      </c>
      <c r="L15" s="36">
        <f t="shared" si="0"/>
        <v>1.3013749999999999</v>
      </c>
    </row>
    <row r="16" spans="1:12" ht="29" customHeight="1" x14ac:dyDescent="0.15">
      <c r="A16" s="55">
        <v>3517</v>
      </c>
      <c r="B16" s="56">
        <v>12.5</v>
      </c>
      <c r="C16" s="49">
        <v>0</v>
      </c>
      <c r="D16" s="33">
        <v>0</v>
      </c>
      <c r="E16" s="32">
        <f>7+5+6+0+0+0+0+0+0+0</f>
        <v>18</v>
      </c>
      <c r="F16" s="49">
        <v>0</v>
      </c>
      <c r="G16" s="49">
        <v>0</v>
      </c>
      <c r="H16" s="33">
        <v>0</v>
      </c>
      <c r="I16" s="49">
        <f>0</f>
        <v>0</v>
      </c>
      <c r="J16" s="49">
        <f>0</f>
        <v>0</v>
      </c>
      <c r="K16" s="49">
        <f>0</f>
        <v>0</v>
      </c>
      <c r="L16" s="36">
        <f t="shared" si="0"/>
        <v>4.5749999999999999E-2</v>
      </c>
    </row>
    <row r="17" spans="1:12" ht="29" customHeight="1" x14ac:dyDescent="0.15">
      <c r="A17" s="55">
        <v>4216</v>
      </c>
      <c r="B17" s="56">
        <v>59</v>
      </c>
      <c r="C17" s="49">
        <f>3+3+3+0+3+0+2.75</f>
        <v>14.75</v>
      </c>
      <c r="D17" s="52">
        <v>0</v>
      </c>
      <c r="E17" s="32">
        <f>4+8+6+0+4+10+0+0+0+0</f>
        <v>32</v>
      </c>
      <c r="F17" s="49">
        <f>5+8+9.5+10+3+0+0+0+0+0</f>
        <v>35.5</v>
      </c>
      <c r="G17" s="49">
        <f>10+7+0+10+7+10+10+10+0+0</f>
        <v>64</v>
      </c>
      <c r="H17" s="33">
        <v>89.5</v>
      </c>
      <c r="I17" s="49">
        <f>10+7+10+4+10+10+10+10+10+10</f>
        <v>91</v>
      </c>
      <c r="J17" s="49">
        <f>10+10+7+10+10+10+10+10+10+10</f>
        <v>97</v>
      </c>
      <c r="K17" s="49">
        <f>6.5+0+5+10+6+0+0+5+0+0</f>
        <v>32.5</v>
      </c>
      <c r="L17" s="36">
        <f t="shared" si="0"/>
        <v>0.8244999999999999</v>
      </c>
    </row>
    <row r="18" spans="1:12" ht="29" customHeight="1" x14ac:dyDescent="0.15">
      <c r="A18" s="55">
        <v>4490</v>
      </c>
      <c r="B18" s="56">
        <v>68</v>
      </c>
      <c r="C18" s="49">
        <f>3+0+0+3+1+1+3+1+0</f>
        <v>12</v>
      </c>
      <c r="D18" s="51">
        <v>0</v>
      </c>
      <c r="E18" s="32">
        <f>7+5+6+10+4+10+10+2+1+10</f>
        <v>65</v>
      </c>
      <c r="F18" s="49">
        <f>5+0+7+9+10+0+0+0+0+0</f>
        <v>31</v>
      </c>
      <c r="G18" s="49">
        <f>10+7+6+10+10+10+10+8.5+8+10</f>
        <v>89.5</v>
      </c>
      <c r="H18" s="33">
        <v>72</v>
      </c>
      <c r="I18" s="49">
        <f>10+9+10+10+0+10+0+10+10+10</f>
        <v>79</v>
      </c>
      <c r="J18" s="49">
        <f>10+10+0+10+0+0+10+10+0+9.5</f>
        <v>59.5</v>
      </c>
      <c r="K18" s="49">
        <f>0</f>
        <v>0</v>
      </c>
      <c r="L18" s="36">
        <f t="shared" si="0"/>
        <v>0.75600000000000001</v>
      </c>
    </row>
    <row r="19" spans="1:12" ht="29" customHeight="1" x14ac:dyDescent="0.15">
      <c r="A19" s="55">
        <v>4582</v>
      </c>
      <c r="B19" s="56">
        <v>44.5</v>
      </c>
      <c r="C19" s="49">
        <f>3+0+3+0+0+3+3+3+1.5+3</f>
        <v>19.5</v>
      </c>
      <c r="D19" s="52">
        <f>0+0+0+6.5+10+1+4+0+0+5</f>
        <v>26.5</v>
      </c>
      <c r="E19" s="32">
        <f>10+5+10+8+0+10+0+1+0+0</f>
        <v>44</v>
      </c>
      <c r="F19" s="49">
        <f>10+8+7+8.5+10+0+0+0+0+0</f>
        <v>43.5</v>
      </c>
      <c r="G19" s="49">
        <f>10+10+6+10+0+8+10+0+2+0</f>
        <v>56</v>
      </c>
      <c r="H19" s="33">
        <v>75.5</v>
      </c>
      <c r="I19" s="49">
        <f>3+10+10+10+0+10+0+0+10+10</f>
        <v>63</v>
      </c>
      <c r="J19" s="49">
        <f>0</f>
        <v>0</v>
      </c>
      <c r="K19" s="49">
        <f>6+2+8+8.5+7+3+0+1+0+0</f>
        <v>35.5</v>
      </c>
      <c r="L19" s="36">
        <f t="shared" si="0"/>
        <v>0.68025000000000002</v>
      </c>
    </row>
    <row r="20" spans="1:12" ht="29" customHeight="1" x14ac:dyDescent="0.15">
      <c r="A20" s="55">
        <v>4628</v>
      </c>
      <c r="B20" s="56">
        <v>99</v>
      </c>
      <c r="C20" s="49">
        <f>(3+3+3+3+3+3+3+3+3+3)</f>
        <v>30</v>
      </c>
      <c r="D20" s="51">
        <f>(10+10+10+9.5+10+10+5.5+10+10+10)</f>
        <v>95</v>
      </c>
      <c r="E20" s="32">
        <f>10+10+10+10+10+10+10+10+6+10</f>
        <v>96</v>
      </c>
      <c r="F20" s="49">
        <f>10+10+10+10+10+10+10+9+10+10</f>
        <v>99</v>
      </c>
      <c r="G20" s="49">
        <f>10+10+10+10+10+10+10+10+10+10</f>
        <v>100</v>
      </c>
      <c r="H20" s="33">
        <v>98</v>
      </c>
      <c r="I20" s="49">
        <f>10+10+10+10+10+10+7.5+10+10+10</f>
        <v>97.5</v>
      </c>
      <c r="J20" s="49">
        <f>10+10+10+10+10+10+10+10+9.5+10</f>
        <v>99.5</v>
      </c>
      <c r="K20" s="49">
        <f>10+10+10+10+10+10+10+10+10+10</f>
        <v>100</v>
      </c>
      <c r="L20" s="36">
        <f t="shared" si="0"/>
        <v>1.4759999999999998</v>
      </c>
    </row>
    <row r="21" spans="1:12" ht="29" customHeight="1" x14ac:dyDescent="0.15">
      <c r="A21" s="55">
        <v>5023</v>
      </c>
      <c r="B21" s="56">
        <v>49.5</v>
      </c>
      <c r="C21" s="49">
        <f>3+0+2+3+0+3+3+3+1.5+3</f>
        <v>21.5</v>
      </c>
      <c r="D21" s="52">
        <f>0+0+0+7.5+10+2+4+0+0+0</f>
        <v>23.5</v>
      </c>
      <c r="E21" s="32">
        <f>10+5+10+8+8+10+10+1+0+0</f>
        <v>62</v>
      </c>
      <c r="F21" s="49">
        <f>5+8+7+8.5+10+10+9.5+6+8+0</f>
        <v>72</v>
      </c>
      <c r="G21" s="49">
        <f>10+10+6+10+3+10+10+8.5+10+0</f>
        <v>77.5</v>
      </c>
      <c r="H21" s="33">
        <v>87</v>
      </c>
      <c r="I21" s="49">
        <f>7+10+10+10+0+10+7+10+10+10</f>
        <v>84</v>
      </c>
      <c r="J21" s="49">
        <f>8.5+10+0+10+10+9+10+10+0+0</f>
        <v>67.5</v>
      </c>
      <c r="K21" s="49">
        <f>5.5+4+10+7.5+10+10+0+0+4+0</f>
        <v>51</v>
      </c>
      <c r="L21" s="36">
        <f t="shared" si="0"/>
        <v>0.96849999999999992</v>
      </c>
    </row>
    <row r="22" spans="1:12" ht="29" customHeight="1" x14ac:dyDescent="0.15">
      <c r="A22" s="55">
        <v>5154</v>
      </c>
      <c r="B22" s="56">
        <v>68</v>
      </c>
      <c r="C22" s="49">
        <f>3+1+3+3+3+3+2+3+1.5+3</f>
        <v>25.5</v>
      </c>
      <c r="D22" s="51">
        <f>6+10+0+7+6+0+5.5+7.5+5+9</f>
        <v>56</v>
      </c>
      <c r="E22" s="32">
        <f>4+8+10+10+1+10+10+5+9+10</f>
        <v>77</v>
      </c>
      <c r="F22" s="49">
        <f>5+10+7+9+10+10+9.75+4+9+3</f>
        <v>76.75</v>
      </c>
      <c r="G22" s="49">
        <f>10+10+10+10+3+10+7+10+10+9</f>
        <v>89</v>
      </c>
      <c r="H22" s="33">
        <v>97.5</v>
      </c>
      <c r="I22" s="49">
        <f>10+10+10+10+10+10+6.5+10+10+10</f>
        <v>96.5</v>
      </c>
      <c r="J22" s="49">
        <f>8.5+10+6+10+10+10+10+10+8+10</f>
        <v>92.5</v>
      </c>
      <c r="K22" s="49">
        <f>3+4+10+7+10+5+0+1+3+6.5</f>
        <v>49.5</v>
      </c>
      <c r="L22" s="36">
        <f t="shared" si="0"/>
        <v>1.1816249999999999</v>
      </c>
    </row>
    <row r="23" spans="1:12" ht="29" customHeight="1" x14ac:dyDescent="0.15">
      <c r="A23" s="55">
        <v>5379</v>
      </c>
      <c r="B23" s="56">
        <v>38</v>
      </c>
      <c r="C23" s="49">
        <f>0+1+0+0+1+3</f>
        <v>5</v>
      </c>
      <c r="D23" s="51">
        <f>4+0+1+9+1+1+2+1+0+2</f>
        <v>21</v>
      </c>
      <c r="E23" s="32">
        <f>2+0+10+3+10+0+0+0+9+1</f>
        <v>35</v>
      </c>
      <c r="F23" s="49">
        <f>4+10+8+6+9+3+4.75+0+0+0</f>
        <v>44.75</v>
      </c>
      <c r="G23" s="49">
        <f>10+10+10+10+5+4+10+10+10+10</f>
        <v>89</v>
      </c>
      <c r="H23" s="33">
        <v>92</v>
      </c>
      <c r="I23" s="49">
        <f>10+10+10+10+0+10+6+0+10+10</f>
        <v>76</v>
      </c>
      <c r="J23" s="49">
        <f>10+10+0+10+10+0+0+0+0+10</f>
        <v>50</v>
      </c>
      <c r="K23" s="49">
        <f>0</f>
        <v>0</v>
      </c>
      <c r="L23" s="36">
        <f t="shared" si="0"/>
        <v>0.69362499999999994</v>
      </c>
    </row>
    <row r="24" spans="1:12" ht="29" customHeight="1" x14ac:dyDescent="0.15">
      <c r="A24" s="55">
        <v>5423</v>
      </c>
      <c r="B24" s="56">
        <v>48.5</v>
      </c>
      <c r="C24" s="49">
        <f>3+0+3+3+3+1+3+1+0+2</f>
        <v>19</v>
      </c>
      <c r="D24" s="52">
        <v>0</v>
      </c>
      <c r="E24" s="32">
        <f>4+4+9+2+6+10+4+3+8+3</f>
        <v>53</v>
      </c>
      <c r="F24" s="49">
        <v>0</v>
      </c>
      <c r="G24" s="49">
        <f>10+0+3+0+3+3+10+8.5+0+4</f>
        <v>41.5</v>
      </c>
      <c r="H24" s="33">
        <v>53.5</v>
      </c>
      <c r="I24" s="49">
        <f>0</f>
        <v>0</v>
      </c>
      <c r="J24" s="49">
        <f>0</f>
        <v>0</v>
      </c>
      <c r="K24" s="49">
        <f>0</f>
        <v>0</v>
      </c>
      <c r="L24" s="36">
        <f t="shared" si="0"/>
        <v>0.38974999999999999</v>
      </c>
    </row>
    <row r="25" spans="1:12" ht="29" customHeight="1" x14ac:dyDescent="0.15">
      <c r="A25" s="55">
        <v>5477</v>
      </c>
      <c r="B25" s="56">
        <v>85</v>
      </c>
      <c r="C25" s="49">
        <f>3+1+3+3+1+1.5+3+2.75+1+3</f>
        <v>22.25</v>
      </c>
      <c r="D25" s="51">
        <f>2+10+10+10+10+10+5+6+0+8</f>
        <v>71</v>
      </c>
      <c r="E25" s="32">
        <f>9+10+10+3+7+10+8+3+10+10</f>
        <v>80</v>
      </c>
      <c r="F25" s="49">
        <f>5+10+10+9+10+10+9.25+9+3+2</f>
        <v>77.25</v>
      </c>
      <c r="G25" s="49">
        <f>10+10+10+10+3+10+10+10+10+10</f>
        <v>93</v>
      </c>
      <c r="H25" s="33">
        <v>99</v>
      </c>
      <c r="I25" s="49">
        <f>8+10+10+8+10+10+10+3+7+10</f>
        <v>86</v>
      </c>
      <c r="J25" s="49">
        <f>10+10+5+10+10+10+10+10+7.5+10</f>
        <v>92.5</v>
      </c>
      <c r="K25" s="49">
        <f>5.5+10+7+10+10+8+5+7+7+3</f>
        <v>72.5</v>
      </c>
      <c r="L25" s="36">
        <f t="shared" si="0"/>
        <v>1.245625</v>
      </c>
    </row>
    <row r="26" spans="1:12" ht="29" customHeight="1" x14ac:dyDescent="0.15">
      <c r="A26" s="55">
        <v>6082</v>
      </c>
      <c r="B26" s="56">
        <v>51.5</v>
      </c>
      <c r="C26" s="49">
        <f>3+2+0+1+0.5+1+3+0.5+1+0.5</f>
        <v>12.5</v>
      </c>
      <c r="D26" s="52">
        <v>0</v>
      </c>
      <c r="E26" s="32">
        <f>4+4+10+2+3+10+4+2+8.5+3</f>
        <v>50.5</v>
      </c>
      <c r="F26" s="49">
        <v>0</v>
      </c>
      <c r="G26" s="49">
        <v>0</v>
      </c>
      <c r="H26" s="33">
        <v>0</v>
      </c>
      <c r="I26" s="49">
        <f>2+2+10+10+3+10+3+1+5+10</f>
        <v>56</v>
      </c>
      <c r="J26" s="49">
        <f>2+8+1+3+6.5+0+3+2+1+5</f>
        <v>31.5</v>
      </c>
      <c r="K26" s="49">
        <f>0</f>
        <v>0</v>
      </c>
      <c r="L26" s="36">
        <f t="shared" si="0"/>
        <v>0.34675</v>
      </c>
    </row>
    <row r="27" spans="1:12" ht="29" customHeight="1" x14ac:dyDescent="0.15">
      <c r="A27" s="55">
        <v>6347</v>
      </c>
      <c r="B27" s="56">
        <v>17</v>
      </c>
      <c r="C27" s="49">
        <f>0+3+0+0+0+0+1+0+0+1.5</f>
        <v>5.5</v>
      </c>
      <c r="D27" s="51">
        <v>0</v>
      </c>
      <c r="E27" s="32">
        <f>0+3+5+10+0+10+10+0+4+10</f>
        <v>52</v>
      </c>
      <c r="F27" s="49">
        <f>4+0+7+9+10+0+2.5+0+1+0</f>
        <v>33.5</v>
      </c>
      <c r="G27" s="49">
        <f>10+10+6+10+0+7+0+0.5+4+3</f>
        <v>50.5</v>
      </c>
      <c r="H27" s="33">
        <v>46.5</v>
      </c>
      <c r="I27" s="49">
        <f>7+5+0+10+10+10+0+0+0+10</f>
        <v>52</v>
      </c>
      <c r="J27" s="49">
        <f>8.5+10+0+10+0+5+10+0+2+0</f>
        <v>45.5</v>
      </c>
      <c r="K27" s="49">
        <f>0+4+0+8+7+0+0+0+0+0</f>
        <v>19</v>
      </c>
      <c r="L27" s="36">
        <f t="shared" si="0"/>
        <v>0.50149999999999995</v>
      </c>
    </row>
    <row r="28" spans="1:12" ht="29" customHeight="1" x14ac:dyDescent="0.15">
      <c r="A28" s="55">
        <v>7905</v>
      </c>
      <c r="B28" s="56">
        <v>0</v>
      </c>
      <c r="C28" s="49">
        <v>0</v>
      </c>
      <c r="D28" s="52">
        <v>0</v>
      </c>
      <c r="E28" s="32">
        <f>0</f>
        <v>0</v>
      </c>
      <c r="F28" s="49">
        <v>0</v>
      </c>
      <c r="G28" s="49">
        <v>0</v>
      </c>
      <c r="H28" s="33">
        <v>0</v>
      </c>
      <c r="I28" s="49">
        <v>0</v>
      </c>
      <c r="J28" s="49">
        <f>0</f>
        <v>0</v>
      </c>
      <c r="K28" s="49">
        <v>0</v>
      </c>
      <c r="L28" s="36">
        <f t="shared" si="0"/>
        <v>0</v>
      </c>
    </row>
    <row r="29" spans="1:12" ht="29" customHeight="1" x14ac:dyDescent="0.15">
      <c r="A29" s="55">
        <v>8431</v>
      </c>
      <c r="B29" s="56">
        <v>34</v>
      </c>
      <c r="C29" s="49">
        <f>(0.5+3+0+0+1+3+1+3+1.5+3)</f>
        <v>16</v>
      </c>
      <c r="D29" s="51">
        <f>2+0+1+6+1+0.5+5+5+5+2</f>
        <v>27.5</v>
      </c>
      <c r="E29" s="32">
        <f>2+8+7+5+6+10+2+2+8.5+10</f>
        <v>60.5</v>
      </c>
      <c r="F29" s="49">
        <f>5+10+8+3+10+4+7.5+4+4+1.5</f>
        <v>57</v>
      </c>
      <c r="G29" s="49">
        <f>10+2+10+5+5+7+10+8.5+0+5</f>
        <v>62.5</v>
      </c>
      <c r="H29" s="33">
        <v>46.5</v>
      </c>
      <c r="I29" s="49">
        <f>6.5+6+10+10+10+10+6+10+4+10</f>
        <v>82.5</v>
      </c>
      <c r="J29" s="49">
        <f>6+8.5+0+7.5+8.5+7.5+7+10+5+10</f>
        <v>70</v>
      </c>
      <c r="K29" s="49">
        <f>4+2+7+4+7+0+0+3+7+3</f>
        <v>37</v>
      </c>
      <c r="L29" s="36">
        <f t="shared" si="0"/>
        <v>0.79625000000000001</v>
      </c>
    </row>
    <row r="30" spans="1:12" ht="29" customHeight="1" x14ac:dyDescent="0.15">
      <c r="A30" s="55">
        <v>8743</v>
      </c>
      <c r="B30" s="56">
        <v>14</v>
      </c>
      <c r="C30" s="49">
        <f>0+1+3+0+0+1.5+1+1.5</f>
        <v>8</v>
      </c>
      <c r="D30" s="52">
        <f>0+1+2.5+8+6.5+0+4+1+6+4</f>
        <v>33</v>
      </c>
      <c r="E30" s="32">
        <v>0</v>
      </c>
      <c r="F30" s="49">
        <f>5+0+7.5+9.5+7.5+4+3+0+0+0</f>
        <v>36.5</v>
      </c>
      <c r="G30" s="49">
        <f>10+10+3+10+10+0+10+8+0+0</f>
        <v>61</v>
      </c>
      <c r="H30" s="33">
        <v>61.5</v>
      </c>
      <c r="I30" s="49">
        <v>0</v>
      </c>
      <c r="J30" s="49">
        <v>0</v>
      </c>
      <c r="K30" s="49">
        <f>0</f>
        <v>0</v>
      </c>
      <c r="L30" s="36">
        <f t="shared" si="0"/>
        <v>0.34899999999999992</v>
      </c>
    </row>
    <row r="31" spans="1:12" ht="29" customHeight="1" x14ac:dyDescent="0.15">
      <c r="A31" s="55">
        <v>8745</v>
      </c>
      <c r="B31" s="56">
        <v>26.5</v>
      </c>
      <c r="C31" s="49">
        <f>0+1+0+1+0+1+3+2.5</f>
        <v>8.5</v>
      </c>
      <c r="D31" s="33">
        <f>1+0+2.5+3+1+0+5+0+2+4</f>
        <v>18.5</v>
      </c>
      <c r="E31" s="32">
        <f>2+8+0+4+4+10+3+0+0+9.5</f>
        <v>40.5</v>
      </c>
      <c r="F31" s="49">
        <f>10+1.5+10+5+3+0+0+0+0+1</f>
        <v>30.5</v>
      </c>
      <c r="G31" s="49">
        <f>0+7+7+0+2+1+10+2+0+0</f>
        <v>29</v>
      </c>
      <c r="H31" s="33">
        <v>35</v>
      </c>
      <c r="I31" s="49">
        <f>10+4+10+10+10+10+6.5+9.5+4+10</f>
        <v>84</v>
      </c>
      <c r="J31" s="49">
        <f>2+8+1+8.5+0+0+10+10+6+2</f>
        <v>47.5</v>
      </c>
      <c r="K31" s="49">
        <f>0+0+4+5+0+0+0+2.5+0+0</f>
        <v>11.5</v>
      </c>
      <c r="L31" s="36">
        <f t="shared" si="0"/>
        <v>0.52700000000000002</v>
      </c>
    </row>
    <row r="32" spans="1:12" ht="29" customHeight="1" x14ac:dyDescent="0.15">
      <c r="A32" s="55">
        <v>9253</v>
      </c>
      <c r="B32" s="56">
        <v>55</v>
      </c>
      <c r="C32" s="49">
        <f>(3+2+3+0+3+3+3+2.75+1.5+3)</f>
        <v>24.25</v>
      </c>
      <c r="D32" s="52">
        <f>2+10+9.5+6+10+2+4+1+1+1</f>
        <v>46.5</v>
      </c>
      <c r="E32" s="32">
        <f>10+9+6+10+5+10+10+2+0+2</f>
        <v>64</v>
      </c>
      <c r="F32" s="49">
        <f>5+1+9+3+10+9+0+2+0+0</f>
        <v>39</v>
      </c>
      <c r="G32" s="49">
        <v>61</v>
      </c>
      <c r="H32" s="33">
        <v>57</v>
      </c>
      <c r="I32" s="49">
        <f>10+5+10+7+0+10+1+0+10+10</f>
        <v>63</v>
      </c>
      <c r="J32" s="49">
        <f>10+8.5+0+10+10+9.5+7+9.5+3+8</f>
        <v>75.5</v>
      </c>
      <c r="K32" s="49">
        <f>0</f>
        <v>0</v>
      </c>
      <c r="L32" s="36">
        <f t="shared" si="0"/>
        <v>0.81274999999999997</v>
      </c>
    </row>
    <row r="33" spans="1:24" ht="29" customHeight="1" x14ac:dyDescent="0.15">
      <c r="A33" s="55">
        <v>9448</v>
      </c>
      <c r="B33" s="56">
        <v>53.5</v>
      </c>
      <c r="C33" s="49">
        <f>3+3+3+3+3+0+3+1+0+1</f>
        <v>20</v>
      </c>
      <c r="D33" s="51">
        <v>0</v>
      </c>
      <c r="E33" s="32">
        <f>4+4+10+4+6+10+4+3+9+3</f>
        <v>57</v>
      </c>
      <c r="F33" s="49">
        <f>0</f>
        <v>0</v>
      </c>
      <c r="G33" s="49">
        <f>8+0+0+0+1+2+10+9+0+6</f>
        <v>36</v>
      </c>
      <c r="H33" s="33">
        <v>57.5</v>
      </c>
      <c r="I33" s="49">
        <f>4+3+10+8+4+10+3+0+5+7</f>
        <v>54</v>
      </c>
      <c r="J33" s="49">
        <f>0</f>
        <v>0</v>
      </c>
      <c r="K33" s="49">
        <f>0</f>
        <v>0</v>
      </c>
      <c r="L33" s="36">
        <f t="shared" si="0"/>
        <v>0.48699999999999993</v>
      </c>
    </row>
    <row r="34" spans="1:24" ht="29" customHeight="1" x14ac:dyDescent="0.15">
      <c r="A34" s="55">
        <v>9550</v>
      </c>
      <c r="B34" s="56">
        <v>27.5</v>
      </c>
      <c r="C34" s="49">
        <v>0</v>
      </c>
      <c r="D34" s="51">
        <f>3+0+0+0+0+0+0+0+0</f>
        <v>3</v>
      </c>
      <c r="E34" s="32">
        <f>0+10+4+8+0+4+3+0+0+0</f>
        <v>29</v>
      </c>
      <c r="F34" s="49">
        <v>0</v>
      </c>
      <c r="G34" s="49">
        <f>10+10+0+0+0+0+0+0+0+0</f>
        <v>20</v>
      </c>
      <c r="H34" s="33">
        <v>55.5</v>
      </c>
      <c r="I34" s="49">
        <f>8+6+10+10+10+10+7+0+6+0</f>
        <v>67</v>
      </c>
      <c r="J34" s="49">
        <f>10+5+0+0+0+0+9+0+0+0</f>
        <v>24</v>
      </c>
      <c r="K34" s="49">
        <f>0</f>
        <v>0</v>
      </c>
      <c r="L34" s="36">
        <f t="shared" si="0"/>
        <v>0.33899999999999997</v>
      </c>
    </row>
    <row r="35" spans="1:24" ht="29" customHeight="1" x14ac:dyDescent="0.15">
      <c r="A35" s="55">
        <v>9610</v>
      </c>
      <c r="B35" s="56">
        <v>36.5</v>
      </c>
      <c r="C35" s="49">
        <f>3+1+0+1+0+1+1+2.5+1.5+2</f>
        <v>13</v>
      </c>
      <c r="D35" s="52">
        <f>0+2.5+3.5+5.5+10+1+6+0+10+5</f>
        <v>43.5</v>
      </c>
      <c r="E35" s="32">
        <f>5+9+7+3+3+3+3+2+4.5+10</f>
        <v>49.5</v>
      </c>
      <c r="F35" s="49">
        <f>5+1+8+7.5+2+10+5.5+3+4+2.5</f>
        <v>48.5</v>
      </c>
      <c r="G35" s="49">
        <f>10+6+4+10+6+7+1+2+1+2</f>
        <v>49</v>
      </c>
      <c r="H35" s="33">
        <v>36</v>
      </c>
      <c r="I35" s="49">
        <f>10+4+10+6+5+10+6+4+7+10</f>
        <v>72</v>
      </c>
      <c r="J35" s="49">
        <f>10+10+1+10+10+5.5+10+4+7+4</f>
        <v>71.5</v>
      </c>
      <c r="K35" s="49">
        <f>5.5+10+7+10+10+3+1+8+7+3</f>
        <v>64.5</v>
      </c>
      <c r="L35" s="36">
        <f t="shared" si="0"/>
        <v>0.77149999999999985</v>
      </c>
    </row>
    <row r="36" spans="1:24" ht="29" customHeight="1" x14ac:dyDescent="0.15">
      <c r="A36" s="55">
        <v>9611</v>
      </c>
      <c r="B36" s="56">
        <v>38.5</v>
      </c>
      <c r="C36" s="49">
        <f>3+1+0+1+0+1+1+2.5+1.5+2</f>
        <v>13</v>
      </c>
      <c r="D36" s="52">
        <f>0+2.5+3.5+5.5+10+1+6+1+10+6</f>
        <v>45.5</v>
      </c>
      <c r="E36" s="32">
        <f>5+9+7+3+3+3+3+2+4.5+10</f>
        <v>49.5</v>
      </c>
      <c r="F36" s="49">
        <f>5+1+8+7.5+2+10+5.5+3+4+2.5</f>
        <v>48.5</v>
      </c>
      <c r="G36" s="49">
        <f>10+6+3+10+6+5+4+2+0+2</f>
        <v>48</v>
      </c>
      <c r="H36" s="33">
        <v>36</v>
      </c>
      <c r="I36" s="49">
        <f>9+4+10+6+5+10+6+4+7+10</f>
        <v>71</v>
      </c>
      <c r="J36" s="49">
        <f>10+10+1+10+10+6+10+4+7+4</f>
        <v>72</v>
      </c>
      <c r="K36" s="49">
        <f>5.5+10+7+10+10+3+1+8+7+3</f>
        <v>64.5</v>
      </c>
      <c r="L36" s="36">
        <f t="shared" si="0"/>
        <v>0.77524999999999999</v>
      </c>
    </row>
    <row r="37" spans="1:24" ht="29" customHeight="1" x14ac:dyDescent="0.15">
      <c r="A37" s="25"/>
      <c r="B37" s="2"/>
      <c r="C37" s="2"/>
      <c r="D37" s="2"/>
      <c r="E37" s="2"/>
      <c r="F37" s="2"/>
      <c r="H37" s="2"/>
      <c r="I37" s="2"/>
      <c r="J37" s="2"/>
      <c r="K37" s="2"/>
      <c r="L37" s="2"/>
    </row>
    <row r="38" spans="1:24" ht="29" customHeight="1" x14ac:dyDescent="0.15">
      <c r="A38" s="17" t="s">
        <v>34</v>
      </c>
      <c r="B38" s="38">
        <v>100</v>
      </c>
      <c r="C38" s="38">
        <v>30</v>
      </c>
      <c r="D38" s="38">
        <v>100</v>
      </c>
      <c r="E38" s="38">
        <v>100</v>
      </c>
      <c r="F38" s="38">
        <v>100</v>
      </c>
      <c r="G38" s="38">
        <v>100</v>
      </c>
      <c r="H38" s="38">
        <v>100</v>
      </c>
      <c r="I38" s="38">
        <v>100</v>
      </c>
      <c r="J38" s="38">
        <v>100</v>
      </c>
      <c r="K38" s="38">
        <v>100</v>
      </c>
      <c r="L38" s="39">
        <v>1.5</v>
      </c>
    </row>
    <row r="39" spans="1:24" ht="29" customHeight="1" x14ac:dyDescent="0.15">
      <c r="A39" s="18" t="s">
        <v>35</v>
      </c>
      <c r="B39" s="40">
        <f t="shared" ref="B39:L39" si="1">AVERAGE(B$2:B$36)</f>
        <v>46</v>
      </c>
      <c r="C39" s="40">
        <f t="shared" si="1"/>
        <v>12.621428571428572</v>
      </c>
      <c r="D39" s="40">
        <f t="shared" si="1"/>
        <v>26.271428571428572</v>
      </c>
      <c r="E39" s="40">
        <f t="shared" si="1"/>
        <v>47.714285714285715</v>
      </c>
      <c r="F39" s="40">
        <f t="shared" si="1"/>
        <v>34.799999999999997</v>
      </c>
      <c r="G39" s="40">
        <f t="shared" si="1"/>
        <v>55.214285714285715</v>
      </c>
      <c r="H39" s="40">
        <f t="shared" si="1"/>
        <v>57.6</v>
      </c>
      <c r="I39" s="40">
        <f t="shared" si="1"/>
        <v>57.714285714285715</v>
      </c>
      <c r="J39" s="40">
        <f t="shared" si="1"/>
        <v>45.1</v>
      </c>
      <c r="K39" s="40">
        <f t="shared" si="1"/>
        <v>24.4</v>
      </c>
      <c r="L39" s="40">
        <f t="shared" si="1"/>
        <v>0.65532857142857137</v>
      </c>
    </row>
    <row r="40" spans="1:24" ht="29" customHeight="1" x14ac:dyDescent="0.15">
      <c r="A40" s="19" t="s">
        <v>36</v>
      </c>
      <c r="B40" s="40">
        <f t="shared" ref="B40:L40" si="2">STDEV(B$2:B$36)</f>
        <v>27.873664568380459</v>
      </c>
      <c r="C40" s="40">
        <f t="shared" si="2"/>
        <v>9.8889739974725934</v>
      </c>
      <c r="D40" s="40">
        <f t="shared" si="2"/>
        <v>30.877448189944211</v>
      </c>
      <c r="E40" s="40">
        <f t="shared" si="2"/>
        <v>30.127983307072853</v>
      </c>
      <c r="F40" s="40">
        <f t="shared" si="2"/>
        <v>32.146653837393039</v>
      </c>
      <c r="G40" s="40">
        <f t="shared" si="2"/>
        <v>36.867067584348334</v>
      </c>
      <c r="H40" s="40">
        <f t="shared" si="2"/>
        <v>35.034604741765882</v>
      </c>
      <c r="I40" s="40">
        <f t="shared" si="2"/>
        <v>36.49562538536513</v>
      </c>
      <c r="J40" s="40">
        <f t="shared" si="2"/>
        <v>39.072105289639893</v>
      </c>
      <c r="K40" s="40">
        <f t="shared" si="2"/>
        <v>30.404817729703144</v>
      </c>
      <c r="L40" s="40">
        <f t="shared" si="2"/>
        <v>0.42868464933028405</v>
      </c>
    </row>
    <row r="41" spans="1:24" ht="29" customHeight="1" x14ac:dyDescent="0.15">
      <c r="A41" s="19" t="s">
        <v>37</v>
      </c>
      <c r="B41" s="40">
        <f t="shared" ref="B41:L41" si="3">MEDIAN(B$2:B$36)</f>
        <v>48.5</v>
      </c>
      <c r="C41" s="40">
        <f t="shared" si="3"/>
        <v>12.5</v>
      </c>
      <c r="D41" s="40">
        <f t="shared" si="3"/>
        <v>21</v>
      </c>
      <c r="E41" s="40">
        <f t="shared" si="3"/>
        <v>52</v>
      </c>
      <c r="F41" s="40">
        <f t="shared" si="3"/>
        <v>35.5</v>
      </c>
      <c r="G41" s="40">
        <f t="shared" si="3"/>
        <v>61</v>
      </c>
      <c r="H41" s="40">
        <f t="shared" si="3"/>
        <v>61.5</v>
      </c>
      <c r="I41" s="40">
        <f t="shared" si="3"/>
        <v>70</v>
      </c>
      <c r="J41" s="40">
        <f t="shared" si="3"/>
        <v>50</v>
      </c>
      <c r="K41" s="40">
        <f t="shared" si="3"/>
        <v>0</v>
      </c>
      <c r="L41" s="40">
        <f t="shared" si="3"/>
        <v>0.69362499999999994</v>
      </c>
    </row>
    <row r="42" spans="1:24" ht="29" customHeight="1" x14ac:dyDescent="0.15">
      <c r="A42" s="20" t="s">
        <v>38</v>
      </c>
      <c r="B42" s="41">
        <f t="shared" ref="B42:K42" si="4">IF(SUM(B2:B36)&gt;0,1,0)</f>
        <v>1</v>
      </c>
      <c r="C42" s="41">
        <f t="shared" si="4"/>
        <v>1</v>
      </c>
      <c r="D42" s="41">
        <f t="shared" si="4"/>
        <v>1</v>
      </c>
      <c r="E42" s="41">
        <f t="shared" si="4"/>
        <v>1</v>
      </c>
      <c r="F42" s="41">
        <f t="shared" si="4"/>
        <v>1</v>
      </c>
      <c r="G42" s="41">
        <f t="shared" si="4"/>
        <v>1</v>
      </c>
      <c r="H42" s="41">
        <f t="shared" si="4"/>
        <v>1</v>
      </c>
      <c r="I42" s="41">
        <f t="shared" si="4"/>
        <v>1</v>
      </c>
      <c r="J42" s="41">
        <f t="shared" si="4"/>
        <v>1</v>
      </c>
      <c r="K42" s="41">
        <f t="shared" si="4"/>
        <v>1</v>
      </c>
      <c r="L42" s="38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</row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4" customHeight="1" x14ac:dyDescent="0.15"/>
    <row r="57" ht="25" customHeight="1" x14ac:dyDescent="0.15"/>
    <row r="58" ht="25" customHeight="1" x14ac:dyDescent="0.15"/>
    <row r="59" ht="25" customHeight="1" x14ac:dyDescent="0.15"/>
    <row r="60" ht="25" customHeight="1" x14ac:dyDescent="0.15"/>
    <row r="61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36" numberStoredAsText="1"/>
    <ignoredError sqref="K17 K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0"/>
  <sheetViews>
    <sheetView tabSelected="1" workbookViewId="0">
      <selection activeCell="D1" sqref="D1"/>
    </sheetView>
  </sheetViews>
  <sheetFormatPr baseColWidth="10" defaultRowHeight="13" x14ac:dyDescent="0.15"/>
  <cols>
    <col min="1" max="1" width="30.83203125" customWidth="1"/>
    <col min="2" max="3" width="19.83203125" customWidth="1"/>
    <col min="4" max="4" width="18" customWidth="1"/>
    <col min="6" max="15" width="5.6640625" customWidth="1"/>
  </cols>
  <sheetData>
    <row r="1" spans="1:24" ht="25" customHeight="1" x14ac:dyDescent="0.15">
      <c r="A1" s="1" t="s">
        <v>5</v>
      </c>
      <c r="B1" s="3" t="s">
        <v>40</v>
      </c>
      <c r="C1" s="3" t="s">
        <v>1</v>
      </c>
      <c r="E1" s="59"/>
      <c r="F1" s="59"/>
      <c r="G1" s="59"/>
      <c r="H1" s="59"/>
      <c r="I1" s="59"/>
      <c r="J1" s="59"/>
      <c r="K1" s="59"/>
      <c r="L1" s="59"/>
      <c r="M1" s="59"/>
      <c r="N1" s="59"/>
      <c r="Q1" s="48"/>
      <c r="R1" s="48"/>
    </row>
    <row r="2" spans="1:24" ht="29" customHeight="1" x14ac:dyDescent="0.15">
      <c r="A2" s="54" t="s">
        <v>42</v>
      </c>
      <c r="B2" s="49">
        <f>12+3+1</f>
        <v>16</v>
      </c>
      <c r="C2" s="49">
        <v>57.5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Q2" s="45"/>
      <c r="R2" s="45"/>
    </row>
    <row r="3" spans="1:24" ht="29" customHeight="1" x14ac:dyDescent="0.15">
      <c r="A3" s="54" t="s">
        <v>43</v>
      </c>
      <c r="B3" s="49">
        <f>22+28+18</f>
        <v>68</v>
      </c>
      <c r="C3" s="49">
        <v>124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Q3" s="45"/>
      <c r="R3" s="45"/>
    </row>
    <row r="4" spans="1:24" ht="29" customHeight="1" x14ac:dyDescent="0.15">
      <c r="A4" s="54" t="s">
        <v>44</v>
      </c>
      <c r="B4" s="49">
        <f>18+1+0</f>
        <v>19</v>
      </c>
      <c r="C4" s="49">
        <v>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Q4" s="45"/>
      <c r="R4" s="45"/>
    </row>
    <row r="5" spans="1:24" ht="29" customHeight="1" x14ac:dyDescent="0.15">
      <c r="A5" s="54" t="s">
        <v>45</v>
      </c>
      <c r="B5" s="49">
        <f>30+29+30</f>
        <v>89</v>
      </c>
      <c r="C5" s="49">
        <v>171.5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Q5" s="45"/>
      <c r="R5" s="45"/>
    </row>
    <row r="6" spans="1:24" ht="29" customHeight="1" x14ac:dyDescent="0.15">
      <c r="A6" s="55">
        <v>1216</v>
      </c>
      <c r="B6" s="49">
        <f>28+26.5+22</f>
        <v>76.5</v>
      </c>
      <c r="C6" s="49">
        <v>127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Q6" s="45"/>
      <c r="R6" s="45"/>
    </row>
    <row r="7" spans="1:24" ht="29" customHeight="1" x14ac:dyDescent="0.15">
      <c r="A7" s="55">
        <v>1395</v>
      </c>
      <c r="B7" s="49">
        <f>20+5+1</f>
        <v>26</v>
      </c>
      <c r="C7" s="49">
        <v>44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Q7" s="45"/>
      <c r="R7" s="45"/>
    </row>
    <row r="8" spans="1:24" ht="29" customHeight="1" x14ac:dyDescent="0.15">
      <c r="A8" s="55">
        <v>1448</v>
      </c>
      <c r="B8" s="49">
        <f>22+21+12</f>
        <v>55</v>
      </c>
      <c r="C8" s="49">
        <v>107.5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Q8" s="45"/>
      <c r="R8" s="45"/>
    </row>
    <row r="9" spans="1:24" ht="29" customHeight="1" x14ac:dyDescent="0.15">
      <c r="A9" s="55">
        <v>1767</v>
      </c>
      <c r="B9" s="49">
        <f>14+5+0</f>
        <v>19</v>
      </c>
      <c r="C9" s="49">
        <v>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Q9" s="45"/>
      <c r="R9" s="45"/>
    </row>
    <row r="10" spans="1:24" ht="29" customHeight="1" x14ac:dyDescent="0.15">
      <c r="A10" s="55">
        <v>2252</v>
      </c>
      <c r="B10" s="49">
        <f>10+4+2</f>
        <v>16</v>
      </c>
      <c r="C10" s="49">
        <v>59.5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Q10" s="45"/>
      <c r="R10" s="45"/>
    </row>
    <row r="11" spans="1:24" ht="29" customHeight="1" x14ac:dyDescent="0.15">
      <c r="A11" s="55">
        <v>2771</v>
      </c>
      <c r="B11" s="49">
        <f>24+10+10</f>
        <v>44</v>
      </c>
      <c r="C11" s="49">
        <v>52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Q11" s="45"/>
      <c r="R11" s="45"/>
    </row>
    <row r="12" spans="1:24" ht="29" customHeight="1" x14ac:dyDescent="0.15">
      <c r="A12" s="55">
        <v>2900</v>
      </c>
      <c r="B12" s="49">
        <f>18+20+12</f>
        <v>50</v>
      </c>
      <c r="C12" s="49">
        <v>105.5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Q12" s="45"/>
      <c r="R12" s="45"/>
    </row>
    <row r="13" spans="1:24" ht="29" customHeight="1" x14ac:dyDescent="0.15">
      <c r="A13" s="55">
        <v>2948</v>
      </c>
      <c r="B13" s="49">
        <f>22+24.5+18</f>
        <v>64.5</v>
      </c>
      <c r="C13" s="49">
        <v>133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Q13" s="45"/>
      <c r="R13" s="45"/>
    </row>
    <row r="14" spans="1:24" ht="29" customHeight="1" x14ac:dyDescent="0.15">
      <c r="A14" s="55">
        <v>3226</v>
      </c>
      <c r="B14" s="49">
        <f>28+25+22.5</f>
        <v>75.5</v>
      </c>
      <c r="C14" s="49">
        <v>138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Q14" s="45"/>
      <c r="R14" s="45"/>
    </row>
    <row r="15" spans="1:24" ht="29" customHeight="1" x14ac:dyDescent="0.15">
      <c r="A15" s="55">
        <v>3512</v>
      </c>
      <c r="B15" s="49">
        <f>18+25.5+17</f>
        <v>60.5</v>
      </c>
      <c r="C15" s="49">
        <v>110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Q15" s="45"/>
      <c r="R15" s="45"/>
      <c r="X15" t="s">
        <v>41</v>
      </c>
    </row>
    <row r="16" spans="1:24" ht="29" customHeight="1" x14ac:dyDescent="0.15">
      <c r="A16" s="55">
        <v>3517</v>
      </c>
      <c r="B16" s="49">
        <f>14+3.5+1</f>
        <v>18.5</v>
      </c>
      <c r="C16" s="49">
        <v>0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Q16" s="45"/>
      <c r="R16" s="45"/>
    </row>
    <row r="17" spans="1:18" ht="29" customHeight="1" x14ac:dyDescent="0.15">
      <c r="A17" s="55">
        <v>4216</v>
      </c>
      <c r="B17" s="58">
        <f>24+21.5+16.5</f>
        <v>62</v>
      </c>
      <c r="C17" s="58">
        <v>126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45"/>
      <c r="R17" s="45"/>
    </row>
    <row r="18" spans="1:18" ht="29" customHeight="1" x14ac:dyDescent="0.15">
      <c r="A18" s="55">
        <v>4490</v>
      </c>
      <c r="B18" s="58">
        <f>18+6.5+4</f>
        <v>28.5</v>
      </c>
      <c r="C18" s="58">
        <v>70.5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1:18" ht="29" customHeight="1" x14ac:dyDescent="0.15">
      <c r="A19" s="55">
        <v>4582</v>
      </c>
      <c r="B19" s="49">
        <f>18+15+15</f>
        <v>48</v>
      </c>
      <c r="C19" s="49">
        <v>63.5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8" ht="29" customHeight="1" x14ac:dyDescent="0.15">
      <c r="A20" s="55">
        <v>4628</v>
      </c>
      <c r="B20" s="49">
        <f>34+28.5+30</f>
        <v>92.5</v>
      </c>
      <c r="C20" s="49">
        <v>180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8" ht="29" customHeight="1" x14ac:dyDescent="0.15">
      <c r="A21" s="55">
        <v>5023</v>
      </c>
      <c r="B21" s="49">
        <f>28+26+11</f>
        <v>65</v>
      </c>
      <c r="C21" s="49">
        <v>112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8" ht="29" customHeight="1" x14ac:dyDescent="0.15">
      <c r="A22" s="55">
        <v>5154</v>
      </c>
      <c r="B22" s="49">
        <f>30+25+15</f>
        <v>70</v>
      </c>
      <c r="C22" s="49">
        <v>150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1:18" ht="29" customHeight="1" x14ac:dyDescent="0.15">
      <c r="A23" s="55">
        <v>5379</v>
      </c>
      <c r="B23" s="49">
        <f>26+27.5+9</f>
        <v>62.5</v>
      </c>
      <c r="C23" s="49">
        <v>134.5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  <row r="24" spans="1:18" ht="29" customHeight="1" x14ac:dyDescent="0.15">
      <c r="A24" s="55">
        <v>5423</v>
      </c>
      <c r="B24" s="49">
        <f>12+11+5</f>
        <v>28</v>
      </c>
      <c r="C24" s="49">
        <v>45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8" ht="29" customHeight="1" x14ac:dyDescent="0.15">
      <c r="A25" s="55">
        <v>5477</v>
      </c>
      <c r="B25" s="49">
        <f>26+21+20</f>
        <v>67</v>
      </c>
      <c r="C25" s="49">
        <v>148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8" ht="29" customHeight="1" x14ac:dyDescent="0.15">
      <c r="A26" s="55">
        <v>6082</v>
      </c>
      <c r="B26" s="49">
        <f>22+21.5+18</f>
        <v>61.5</v>
      </c>
      <c r="C26" s="49">
        <v>85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</row>
    <row r="27" spans="1:18" ht="29" customHeight="1" x14ac:dyDescent="0.15">
      <c r="A27" s="55">
        <v>6347</v>
      </c>
      <c r="B27" s="49">
        <f>14+21.5+9</f>
        <v>44.5</v>
      </c>
      <c r="C27" s="49">
        <v>68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</row>
    <row r="28" spans="1:18" ht="29" customHeight="1" x14ac:dyDescent="0.15">
      <c r="A28" s="55">
        <v>7905</v>
      </c>
      <c r="B28" s="49">
        <f>6+7+1</f>
        <v>14</v>
      </c>
      <c r="C28" s="49">
        <v>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</row>
    <row r="29" spans="1:18" ht="29" customHeight="1" x14ac:dyDescent="0.15">
      <c r="A29" s="55">
        <v>8431</v>
      </c>
      <c r="B29" s="49">
        <f>14+9.5+4</f>
        <v>27.5</v>
      </c>
      <c r="C29" s="49">
        <v>76.5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</row>
    <row r="30" spans="1:18" ht="29" customHeight="1" x14ac:dyDescent="0.15">
      <c r="A30" s="55">
        <v>8743</v>
      </c>
      <c r="B30" s="49">
        <f>16+10+2</f>
        <v>28</v>
      </c>
      <c r="C30" s="49">
        <v>67.5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</row>
    <row r="31" spans="1:18" ht="29" customHeight="1" x14ac:dyDescent="0.15">
      <c r="A31" s="55">
        <v>8745</v>
      </c>
      <c r="B31" s="49">
        <f>12+16.5+4</f>
        <v>32.5</v>
      </c>
      <c r="C31" s="49">
        <v>80.5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8" ht="29" customHeight="1" x14ac:dyDescent="0.15">
      <c r="A32" s="55">
        <v>9253</v>
      </c>
      <c r="B32" s="49">
        <f>16+9+3</f>
        <v>28</v>
      </c>
      <c r="C32" s="49">
        <v>104.5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25" ht="29" customHeight="1" x14ac:dyDescent="0.15">
      <c r="A33" s="55">
        <v>9448</v>
      </c>
      <c r="B33" s="49">
        <f>8+17.5+17</f>
        <v>42.5</v>
      </c>
      <c r="C33" s="49">
        <v>99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</row>
    <row r="34" spans="1:25" ht="29" customHeight="1" x14ac:dyDescent="0.15">
      <c r="A34" s="55">
        <v>9550</v>
      </c>
      <c r="B34" s="49">
        <f>20+12+6</f>
        <v>38</v>
      </c>
      <c r="C34" s="49">
        <v>72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</row>
    <row r="35" spans="1:25" ht="29" customHeight="1" x14ac:dyDescent="0.15">
      <c r="A35" s="55">
        <v>9610</v>
      </c>
      <c r="B35" s="49">
        <f>10+12+3</f>
        <v>25</v>
      </c>
      <c r="C35" s="49">
        <v>64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</row>
    <row r="36" spans="1:25" ht="29" customHeight="1" x14ac:dyDescent="0.15">
      <c r="A36" s="55">
        <v>9611</v>
      </c>
      <c r="B36" s="49">
        <f>18+9+7</f>
        <v>34</v>
      </c>
      <c r="C36" s="49">
        <v>75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</row>
    <row r="37" spans="1:25" ht="29" customHeight="1" x14ac:dyDescent="0.15">
      <c r="A37" s="23"/>
      <c r="B37" s="26"/>
      <c r="C37" s="2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</row>
    <row r="38" spans="1:25" ht="29" customHeight="1" x14ac:dyDescent="0.15">
      <c r="A38" s="17" t="s">
        <v>34</v>
      </c>
      <c r="B38" s="42">
        <v>100</v>
      </c>
      <c r="C38" s="42">
        <v>180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</row>
    <row r="39" spans="1:25" ht="29" customHeight="1" x14ac:dyDescent="0.15">
      <c r="A39" s="18" t="s">
        <v>35</v>
      </c>
      <c r="B39" s="43">
        <f>AVERAGE(B$2:B$36)</f>
        <v>45.614285714285714</v>
      </c>
      <c r="C39" s="43">
        <f>AVERAGE(C$2:C$36)</f>
        <v>87.171428571428578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</row>
    <row r="40" spans="1:25" ht="29" customHeight="1" x14ac:dyDescent="0.15">
      <c r="A40" s="19" t="s">
        <v>36</v>
      </c>
      <c r="B40" s="43">
        <f>STDEV(B$2:B$36)</f>
        <v>22.360050284815909</v>
      </c>
      <c r="C40" s="43">
        <f>STDEV(C$2:C$36)</f>
        <v>47.486521749851931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1:25" ht="29" customHeight="1" x14ac:dyDescent="0.15">
      <c r="A41" s="19" t="s">
        <v>37</v>
      </c>
      <c r="B41" s="43">
        <f>MEDIAN(B$2:B$36)</f>
        <v>44</v>
      </c>
      <c r="C41" s="43">
        <f>MEDIAN(C$2:C$36)</f>
        <v>80.5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25" ht="29" customHeight="1" x14ac:dyDescent="0.2">
      <c r="E42" s="29"/>
      <c r="F42" s="46"/>
      <c r="G42" s="47"/>
      <c r="H42" s="47"/>
      <c r="I42" s="47"/>
      <c r="J42" s="47"/>
      <c r="K42" s="47"/>
      <c r="L42" s="47"/>
      <c r="M42" s="47"/>
      <c r="N42" s="47"/>
      <c r="O42" s="47"/>
      <c r="P42" s="45"/>
      <c r="Q42" s="30"/>
      <c r="R42" s="30"/>
      <c r="S42" s="30"/>
      <c r="T42" s="30"/>
      <c r="U42" s="30"/>
      <c r="V42" s="30"/>
      <c r="W42" s="30"/>
      <c r="X42" s="30"/>
      <c r="Y42" s="31"/>
    </row>
    <row r="43" spans="1:25" ht="29" customHeight="1" x14ac:dyDescent="0.15"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</row>
    <row r="44" spans="1:25" ht="29" customHeight="1" x14ac:dyDescent="0.15"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</row>
    <row r="45" spans="1:25" ht="29" customHeight="1" x14ac:dyDescent="0.15"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</row>
    <row r="46" spans="1:25" ht="29" customHeight="1" x14ac:dyDescent="0.15"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</row>
    <row r="47" spans="1:25" ht="29" customHeight="1" x14ac:dyDescent="0.15"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</row>
    <row r="48" spans="1:25" ht="29" customHeight="1" x14ac:dyDescent="0.15"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</row>
    <row r="49" spans="6:16" ht="29" customHeight="1" x14ac:dyDescent="0.15"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</row>
    <row r="50" spans="6:16" ht="29" customHeight="1" x14ac:dyDescent="0.15"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</row>
    <row r="51" spans="6:16" ht="29" customHeight="1" x14ac:dyDescent="0.15"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</row>
    <row r="52" spans="6:16" ht="29" customHeight="1" x14ac:dyDescent="0.15"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</row>
    <row r="53" spans="6:16" ht="29" customHeight="1" x14ac:dyDescent="0.15"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</row>
    <row r="54" spans="6:16" ht="29" customHeight="1" x14ac:dyDescent="0.15"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</row>
    <row r="55" spans="6:16" ht="29" customHeight="1" x14ac:dyDescent="0.15"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</row>
    <row r="56" spans="6:16" ht="25" customHeight="1" x14ac:dyDescent="0.15"/>
    <row r="57" spans="6:16" ht="25" customHeight="1" x14ac:dyDescent="0.15"/>
    <row r="58" spans="6:16" ht="25" customHeight="1" x14ac:dyDescent="0.15"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6:16" ht="25" customHeight="1" x14ac:dyDescent="0.15"/>
    <row r="60" spans="6:16" ht="25" customHeight="1" x14ac:dyDescent="0.15"/>
  </sheetData>
  <mergeCells count="1">
    <mergeCell ref="E1:N1"/>
  </mergeCells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7"/>
  <sheetViews>
    <sheetView zoomScaleNormal="100" workbookViewId="0">
      <selection activeCell="I1" sqref="I1"/>
    </sheetView>
  </sheetViews>
  <sheetFormatPr baseColWidth="10" defaultRowHeight="13" x14ac:dyDescent="0.15"/>
  <cols>
    <col min="1" max="1" width="30.83203125" customWidth="1"/>
    <col min="2" max="2" width="18.83203125" style="14" customWidth="1"/>
    <col min="3" max="7" width="18.83203125" customWidth="1"/>
    <col min="8" max="8" width="15.83203125" customWidth="1"/>
  </cols>
  <sheetData>
    <row r="1" spans="1:9" ht="24" customHeight="1" x14ac:dyDescent="0.15">
      <c r="A1" s="13" t="s">
        <v>5</v>
      </c>
      <c r="B1" s="9" t="s">
        <v>0</v>
      </c>
      <c r="C1" s="9" t="s">
        <v>22</v>
      </c>
      <c r="D1" s="9" t="s">
        <v>40</v>
      </c>
      <c r="E1" s="3" t="s">
        <v>1</v>
      </c>
      <c r="F1" s="3" t="s">
        <v>4</v>
      </c>
      <c r="G1" s="3" t="s">
        <v>2</v>
      </c>
      <c r="H1" s="3" t="s">
        <v>3</v>
      </c>
    </row>
    <row r="2" spans="1:9" ht="29" customHeight="1" x14ac:dyDescent="0.15">
      <c r="A2" s="54" t="s">
        <v>42</v>
      </c>
      <c r="B2" s="36">
        <f>Quiz!V2</f>
        <v>0.14666666666666667</v>
      </c>
      <c r="C2" s="35">
        <f>Homework!L2</f>
        <v>0</v>
      </c>
      <c r="D2" s="49">
        <f>Exams!B2</f>
        <v>16</v>
      </c>
      <c r="E2" s="33">
        <f>Exams!C2</f>
        <v>57.5</v>
      </c>
      <c r="F2" s="36">
        <f>$B2+$C2+($D2/$D$38)*3+($E2/$E$38)*4.5</f>
        <v>2.0641666666666669</v>
      </c>
      <c r="G2" s="36">
        <f>0.5*INT(F2/0.5)+INT( ((F2-INT(F2/0.5)*0.5)/0.25))*0.5</f>
        <v>2</v>
      </c>
      <c r="H2" s="34">
        <f>IF(G2&gt;4.75,1,0)</f>
        <v>0</v>
      </c>
      <c r="I2" s="53"/>
    </row>
    <row r="3" spans="1:9" ht="29" customHeight="1" x14ac:dyDescent="0.15">
      <c r="A3" s="54" t="s">
        <v>43</v>
      </c>
      <c r="B3" s="36">
        <f>Quiz!V3</f>
        <v>0.78333333333333333</v>
      </c>
      <c r="C3" s="35">
        <f>Homework!L3</f>
        <v>1.33525</v>
      </c>
      <c r="D3" s="49">
        <f>Exams!B3</f>
        <v>68</v>
      </c>
      <c r="E3" s="33">
        <f>Exams!C3</f>
        <v>124</v>
      </c>
      <c r="F3" s="36">
        <f t="shared" ref="F3:F36" si="0">$B3+$C3+($D3/$D$38)*3+($E3/$E$38)*4.5</f>
        <v>7.2585833333333341</v>
      </c>
      <c r="G3" s="36">
        <f t="shared" ref="G3:G19" si="1">0.5*INT(F3/0.5)+INT( ((F3-INT(F3/0.5)*0.5)/0.25))*0.5</f>
        <v>7.5</v>
      </c>
      <c r="H3" s="34">
        <f t="shared" ref="H3:H19" si="2">IF(G3&gt;4.75,1,0)</f>
        <v>1</v>
      </c>
    </row>
    <row r="4" spans="1:9" ht="29" customHeight="1" x14ac:dyDescent="0.15">
      <c r="A4" s="54" t="s">
        <v>44</v>
      </c>
      <c r="B4" s="36">
        <f>Quiz!V4</f>
        <v>9.3333333333333338E-2</v>
      </c>
      <c r="C4" s="35">
        <f>Homework!L4</f>
        <v>6.5250000000000002E-2</v>
      </c>
      <c r="D4" s="49">
        <f>Exams!B4</f>
        <v>19</v>
      </c>
      <c r="E4" s="33">
        <f>Exams!C4</f>
        <v>0</v>
      </c>
      <c r="F4" s="36">
        <f t="shared" si="0"/>
        <v>0.72858333333333336</v>
      </c>
      <c r="G4" s="36">
        <f t="shared" si="1"/>
        <v>0.5</v>
      </c>
      <c r="H4" s="34">
        <f t="shared" si="2"/>
        <v>0</v>
      </c>
    </row>
    <row r="5" spans="1:9" ht="29" customHeight="1" x14ac:dyDescent="0.15">
      <c r="A5" s="54" t="s">
        <v>45</v>
      </c>
      <c r="B5" s="36">
        <f>Quiz!V5</f>
        <v>0.95666666666666667</v>
      </c>
      <c r="C5" s="35">
        <f>Homework!L5</f>
        <v>1.371</v>
      </c>
      <c r="D5" s="49">
        <f>Exams!B5</f>
        <v>89</v>
      </c>
      <c r="E5" s="33">
        <f>Exams!C5</f>
        <v>171.5</v>
      </c>
      <c r="F5" s="36">
        <f t="shared" si="0"/>
        <v>9.2851666666666652</v>
      </c>
      <c r="G5" s="36">
        <f t="shared" si="1"/>
        <v>9.5</v>
      </c>
      <c r="H5" s="34">
        <f t="shared" si="2"/>
        <v>1</v>
      </c>
    </row>
    <row r="6" spans="1:9" ht="29" customHeight="1" x14ac:dyDescent="0.15">
      <c r="A6" s="55">
        <v>1216</v>
      </c>
      <c r="B6" s="36">
        <f>Quiz!V6</f>
        <v>0.62666666666666671</v>
      </c>
      <c r="C6" s="35">
        <f>Homework!L6</f>
        <v>0.37724999999999997</v>
      </c>
      <c r="D6" s="49">
        <f>Exams!B6</f>
        <v>76.5</v>
      </c>
      <c r="E6" s="33">
        <f>Exams!C6</f>
        <v>127</v>
      </c>
      <c r="F6" s="36">
        <f t="shared" si="0"/>
        <v>6.4739166666666668</v>
      </c>
      <c r="G6" s="36">
        <f t="shared" si="1"/>
        <v>6.5</v>
      </c>
      <c r="H6" s="34">
        <f t="shared" si="2"/>
        <v>1</v>
      </c>
    </row>
    <row r="7" spans="1:9" ht="29" customHeight="1" x14ac:dyDescent="0.15">
      <c r="A7" s="55">
        <v>1395</v>
      </c>
      <c r="B7" s="36">
        <f>Quiz!V7</f>
        <v>0.73333333333333328</v>
      </c>
      <c r="C7" s="35">
        <f>Homework!L7</f>
        <v>0.74099999999999988</v>
      </c>
      <c r="D7" s="49">
        <f>Exams!B7</f>
        <v>26</v>
      </c>
      <c r="E7" s="33">
        <f>Exams!C7</f>
        <v>44</v>
      </c>
      <c r="F7" s="36">
        <f t="shared" si="0"/>
        <v>3.3543333333333329</v>
      </c>
      <c r="G7" s="36">
        <f t="shared" si="1"/>
        <v>3.5</v>
      </c>
      <c r="H7" s="34">
        <f t="shared" si="2"/>
        <v>0</v>
      </c>
    </row>
    <row r="8" spans="1:9" ht="29" customHeight="1" x14ac:dyDescent="0.15">
      <c r="A8" s="55">
        <v>1448</v>
      </c>
      <c r="B8" s="36">
        <f>Quiz!V8</f>
        <v>0.59333333333333338</v>
      </c>
      <c r="C8" s="35">
        <f>Homework!L8</f>
        <v>0.46200000000000002</v>
      </c>
      <c r="D8" s="49">
        <f>Exams!B8</f>
        <v>55</v>
      </c>
      <c r="E8" s="33">
        <f>Exams!C8</f>
        <v>107.5</v>
      </c>
      <c r="F8" s="36">
        <f t="shared" si="0"/>
        <v>5.3928333333333338</v>
      </c>
      <c r="G8" s="36">
        <f t="shared" si="1"/>
        <v>5.5</v>
      </c>
      <c r="H8" s="34">
        <f t="shared" si="2"/>
        <v>1</v>
      </c>
    </row>
    <row r="9" spans="1:9" ht="29" customHeight="1" x14ac:dyDescent="0.15">
      <c r="A9" s="55">
        <v>1767</v>
      </c>
      <c r="B9" s="36">
        <f>Quiz!V9</f>
        <v>0.42</v>
      </c>
      <c r="C9" s="35">
        <f>Homework!L9</f>
        <v>0.47099999999999997</v>
      </c>
      <c r="D9" s="49">
        <f>Exams!B9</f>
        <v>19</v>
      </c>
      <c r="E9" s="33">
        <f>Exams!C9</f>
        <v>0</v>
      </c>
      <c r="F9" s="36">
        <f t="shared" si="0"/>
        <v>1.4610000000000001</v>
      </c>
      <c r="G9" s="36">
        <f t="shared" si="1"/>
        <v>1.5</v>
      </c>
      <c r="H9" s="34">
        <f t="shared" si="2"/>
        <v>0</v>
      </c>
    </row>
    <row r="10" spans="1:9" ht="29" customHeight="1" x14ac:dyDescent="0.15">
      <c r="A10" s="55">
        <v>2252</v>
      </c>
      <c r="B10" s="36">
        <f>Quiz!V10</f>
        <v>0.25</v>
      </c>
      <c r="C10" s="35">
        <f>Homework!L10</f>
        <v>0</v>
      </c>
      <c r="D10" s="49">
        <f>Exams!B10</f>
        <v>16</v>
      </c>
      <c r="E10" s="33">
        <f>Exams!C10</f>
        <v>59.5</v>
      </c>
      <c r="F10" s="36">
        <f t="shared" si="0"/>
        <v>2.2175000000000002</v>
      </c>
      <c r="G10" s="36">
        <f t="shared" si="1"/>
        <v>2</v>
      </c>
      <c r="H10" s="34">
        <f t="shared" si="2"/>
        <v>0</v>
      </c>
    </row>
    <row r="11" spans="1:9" ht="29" customHeight="1" x14ac:dyDescent="0.15">
      <c r="A11" s="55">
        <v>2771</v>
      </c>
      <c r="B11" s="36">
        <f>Quiz!V11</f>
        <v>0</v>
      </c>
      <c r="C11" s="35">
        <f>Homework!L11</f>
        <v>0</v>
      </c>
      <c r="D11" s="49">
        <f>Exams!B11</f>
        <v>44</v>
      </c>
      <c r="E11" s="33">
        <f>Exams!C11</f>
        <v>52</v>
      </c>
      <c r="F11" s="36">
        <f t="shared" si="0"/>
        <v>2.62</v>
      </c>
      <c r="G11" s="36">
        <f t="shared" si="1"/>
        <v>2.5</v>
      </c>
      <c r="H11" s="34">
        <f t="shared" si="2"/>
        <v>0</v>
      </c>
    </row>
    <row r="12" spans="1:9" ht="29" customHeight="1" x14ac:dyDescent="0.15">
      <c r="A12" s="55">
        <v>2900</v>
      </c>
      <c r="B12" s="36">
        <f>Quiz!V12</f>
        <v>0.53</v>
      </c>
      <c r="C12" s="35">
        <f>Homework!L12</f>
        <v>0.76349999999999996</v>
      </c>
      <c r="D12" s="49">
        <f>Exams!B12</f>
        <v>50</v>
      </c>
      <c r="E12" s="33">
        <f>Exams!C12</f>
        <v>105.5</v>
      </c>
      <c r="F12" s="36">
        <f t="shared" si="0"/>
        <v>5.431</v>
      </c>
      <c r="G12" s="36">
        <f t="shared" si="1"/>
        <v>5.5</v>
      </c>
      <c r="H12" s="34">
        <f t="shared" si="2"/>
        <v>1</v>
      </c>
    </row>
    <row r="13" spans="1:9" ht="29" customHeight="1" x14ac:dyDescent="0.15">
      <c r="A13" s="55">
        <v>2948</v>
      </c>
      <c r="B13" s="36">
        <f>Quiz!V13</f>
        <v>0.7533333333333333</v>
      </c>
      <c r="C13" s="35">
        <f>Homework!L13</f>
        <v>0.95225000000000004</v>
      </c>
      <c r="D13" s="49">
        <f>Exams!B13</f>
        <v>64.5</v>
      </c>
      <c r="E13" s="33">
        <f>Exams!C13</f>
        <v>133</v>
      </c>
      <c r="F13" s="36">
        <f t="shared" si="0"/>
        <v>6.965583333333333</v>
      </c>
      <c r="G13" s="36">
        <f t="shared" si="1"/>
        <v>7</v>
      </c>
      <c r="H13" s="34">
        <f t="shared" si="2"/>
        <v>1</v>
      </c>
    </row>
    <row r="14" spans="1:9" ht="29" customHeight="1" x14ac:dyDescent="0.15">
      <c r="A14" s="55">
        <v>3226</v>
      </c>
      <c r="B14" s="36">
        <f>Quiz!V14</f>
        <v>0.93</v>
      </c>
      <c r="C14" s="35">
        <f>Homework!L14</f>
        <v>1.129</v>
      </c>
      <c r="D14" s="49">
        <f>Exams!B14</f>
        <v>75.5</v>
      </c>
      <c r="E14" s="33">
        <f>Exams!C14</f>
        <v>138</v>
      </c>
      <c r="F14" s="36">
        <f t="shared" si="0"/>
        <v>7.774</v>
      </c>
      <c r="G14" s="36">
        <f t="shared" si="1"/>
        <v>8</v>
      </c>
      <c r="H14" s="34">
        <f t="shared" si="2"/>
        <v>1</v>
      </c>
    </row>
    <row r="15" spans="1:9" ht="29" customHeight="1" x14ac:dyDescent="0.15">
      <c r="A15" s="55">
        <v>3512</v>
      </c>
      <c r="B15" s="36">
        <f>Quiz!V15</f>
        <v>0.88</v>
      </c>
      <c r="C15" s="35">
        <f>Homework!L15</f>
        <v>1.3013749999999999</v>
      </c>
      <c r="D15" s="49">
        <f>Exams!B15</f>
        <v>60.5</v>
      </c>
      <c r="E15" s="33">
        <f>Exams!C15</f>
        <v>110</v>
      </c>
      <c r="F15" s="36">
        <f t="shared" si="0"/>
        <v>6.7463750000000005</v>
      </c>
      <c r="G15" s="36">
        <f t="shared" si="1"/>
        <v>6.5</v>
      </c>
      <c r="H15" s="34">
        <f t="shared" si="2"/>
        <v>1</v>
      </c>
    </row>
    <row r="16" spans="1:9" ht="29" customHeight="1" x14ac:dyDescent="0.15">
      <c r="A16" s="55">
        <v>3517</v>
      </c>
      <c r="B16" s="36">
        <f>Quiz!V16</f>
        <v>0.28666666666666668</v>
      </c>
      <c r="C16" s="35">
        <f>Homework!L16</f>
        <v>4.5749999999999999E-2</v>
      </c>
      <c r="D16" s="49">
        <f>Exams!B16</f>
        <v>18.5</v>
      </c>
      <c r="E16" s="33">
        <f>Exams!C16</f>
        <v>0</v>
      </c>
      <c r="F16" s="36">
        <f t="shared" si="0"/>
        <v>0.88741666666666663</v>
      </c>
      <c r="G16" s="36">
        <f t="shared" si="1"/>
        <v>1</v>
      </c>
      <c r="H16" s="34">
        <f t="shared" si="2"/>
        <v>0</v>
      </c>
    </row>
    <row r="17" spans="1:8" ht="29" customHeight="1" x14ac:dyDescent="0.15">
      <c r="A17" s="55">
        <v>4216</v>
      </c>
      <c r="B17" s="36">
        <f>Quiz!V17</f>
        <v>0.71333333333333337</v>
      </c>
      <c r="C17" s="35">
        <f>Homework!L17</f>
        <v>0.8244999999999999</v>
      </c>
      <c r="D17" s="49">
        <f>Exams!B17</f>
        <v>62</v>
      </c>
      <c r="E17" s="33">
        <f>Exams!C17</f>
        <v>126</v>
      </c>
      <c r="F17" s="36">
        <f t="shared" si="0"/>
        <v>6.5478333333333332</v>
      </c>
      <c r="G17" s="36">
        <f t="shared" si="1"/>
        <v>6.5</v>
      </c>
      <c r="H17" s="34">
        <f t="shared" si="2"/>
        <v>1</v>
      </c>
    </row>
    <row r="18" spans="1:8" ht="29" customHeight="1" x14ac:dyDescent="0.15">
      <c r="A18" s="55">
        <v>4490</v>
      </c>
      <c r="B18" s="36">
        <f>Quiz!V18</f>
        <v>0.72333333333333338</v>
      </c>
      <c r="C18" s="35">
        <f>Homework!L18</f>
        <v>0.75600000000000001</v>
      </c>
      <c r="D18" s="49">
        <f>Exams!B18</f>
        <v>28.5</v>
      </c>
      <c r="E18" s="33">
        <f>Exams!C18</f>
        <v>70.5</v>
      </c>
      <c r="F18" s="36">
        <f t="shared" si="0"/>
        <v>4.0968333333333335</v>
      </c>
      <c r="G18" s="36">
        <f t="shared" si="1"/>
        <v>4</v>
      </c>
      <c r="H18" s="34">
        <f t="shared" si="2"/>
        <v>0</v>
      </c>
    </row>
    <row r="19" spans="1:8" ht="29" customHeight="1" x14ac:dyDescent="0.15">
      <c r="A19" s="55">
        <v>4582</v>
      </c>
      <c r="B19" s="36">
        <f>Quiz!V19</f>
        <v>0.46333333333333332</v>
      </c>
      <c r="C19" s="35">
        <f>Homework!L19</f>
        <v>0.68025000000000002</v>
      </c>
      <c r="D19" s="49">
        <f>Exams!B19</f>
        <v>48</v>
      </c>
      <c r="E19" s="33">
        <f>Exams!C19</f>
        <v>63.5</v>
      </c>
      <c r="F19" s="36">
        <f t="shared" si="0"/>
        <v>4.1710833333333337</v>
      </c>
      <c r="G19" s="36">
        <f t="shared" si="1"/>
        <v>4</v>
      </c>
      <c r="H19" s="34">
        <f t="shared" si="2"/>
        <v>0</v>
      </c>
    </row>
    <row r="20" spans="1:8" ht="29" customHeight="1" x14ac:dyDescent="0.15">
      <c r="A20" s="55">
        <v>4628</v>
      </c>
      <c r="B20" s="36">
        <f>Quiz!V20</f>
        <v>1</v>
      </c>
      <c r="C20" s="35">
        <f>Homework!L20</f>
        <v>1.4759999999999998</v>
      </c>
      <c r="D20" s="49">
        <f>Exams!B20</f>
        <v>92.5</v>
      </c>
      <c r="E20" s="33">
        <f>Exams!C20</f>
        <v>180</v>
      </c>
      <c r="F20" s="36">
        <f t="shared" si="0"/>
        <v>9.7510000000000012</v>
      </c>
      <c r="G20" s="36">
        <f t="shared" ref="G20:G36" si="3">0.5*INT(F20/0.5)+INT( ((F20-INT(F20/0.5)*0.5)/0.25))*0.5</f>
        <v>10</v>
      </c>
      <c r="H20" s="34">
        <f t="shared" ref="H20:H36" si="4">IF(G20&gt;4.75,1,0)</f>
        <v>1</v>
      </c>
    </row>
    <row r="21" spans="1:8" ht="29" customHeight="1" x14ac:dyDescent="0.15">
      <c r="A21" s="55">
        <v>5023</v>
      </c>
      <c r="B21" s="36">
        <f>Quiz!V21</f>
        <v>0.68</v>
      </c>
      <c r="C21" s="35">
        <f>Homework!L21</f>
        <v>0.96849999999999992</v>
      </c>
      <c r="D21" s="49">
        <f>Exams!B21</f>
        <v>65</v>
      </c>
      <c r="E21" s="33">
        <f>Exams!C21</f>
        <v>112</v>
      </c>
      <c r="F21" s="36">
        <f t="shared" si="0"/>
        <v>6.3985000000000003</v>
      </c>
      <c r="G21" s="36">
        <f t="shared" si="3"/>
        <v>6.5</v>
      </c>
      <c r="H21" s="34">
        <f t="shared" si="4"/>
        <v>1</v>
      </c>
    </row>
    <row r="22" spans="1:8" ht="29" customHeight="1" x14ac:dyDescent="0.15">
      <c r="A22" s="55">
        <v>5154</v>
      </c>
      <c r="B22" s="36">
        <f>Quiz!V22</f>
        <v>0.72</v>
      </c>
      <c r="C22" s="35">
        <f>Homework!L22</f>
        <v>1.1816249999999999</v>
      </c>
      <c r="D22" s="49">
        <f>Exams!B22</f>
        <v>70</v>
      </c>
      <c r="E22" s="33">
        <f>Exams!C22</f>
        <v>150</v>
      </c>
      <c r="F22" s="36">
        <f t="shared" si="0"/>
        <v>7.7516249999999998</v>
      </c>
      <c r="G22" s="36">
        <f t="shared" si="3"/>
        <v>8</v>
      </c>
      <c r="H22" s="34">
        <f t="shared" si="4"/>
        <v>1</v>
      </c>
    </row>
    <row r="23" spans="1:8" ht="29" customHeight="1" x14ac:dyDescent="0.15">
      <c r="A23" s="55">
        <v>5379</v>
      </c>
      <c r="B23" s="36">
        <f>Quiz!V23</f>
        <v>0.52</v>
      </c>
      <c r="C23" s="35">
        <f>Homework!L23</f>
        <v>0.69362499999999994</v>
      </c>
      <c r="D23" s="49">
        <f>Exams!B23</f>
        <v>62.5</v>
      </c>
      <c r="E23" s="33">
        <f>Exams!C23</f>
        <v>134.5</v>
      </c>
      <c r="F23" s="36">
        <f t="shared" si="0"/>
        <v>6.4511249999999993</v>
      </c>
      <c r="G23" s="36">
        <f t="shared" si="3"/>
        <v>6.5</v>
      </c>
      <c r="H23" s="34">
        <f t="shared" si="4"/>
        <v>1</v>
      </c>
    </row>
    <row r="24" spans="1:8" ht="29" customHeight="1" x14ac:dyDescent="0.15">
      <c r="A24" s="55">
        <v>5423</v>
      </c>
      <c r="B24" s="36">
        <f>Quiz!V24</f>
        <v>0.37666666666666665</v>
      </c>
      <c r="C24" s="35">
        <f>Homework!L24</f>
        <v>0.38974999999999999</v>
      </c>
      <c r="D24" s="49">
        <f>Exams!B24</f>
        <v>28</v>
      </c>
      <c r="E24" s="33">
        <f>Exams!C24</f>
        <v>45</v>
      </c>
      <c r="F24" s="36">
        <f t="shared" si="0"/>
        <v>2.7314166666666666</v>
      </c>
      <c r="G24" s="36">
        <f t="shared" si="3"/>
        <v>2.5</v>
      </c>
      <c r="H24" s="34">
        <f t="shared" si="4"/>
        <v>0</v>
      </c>
    </row>
    <row r="25" spans="1:8" ht="29" customHeight="1" x14ac:dyDescent="0.15">
      <c r="A25" s="55">
        <v>5477</v>
      </c>
      <c r="B25" s="36">
        <f>Quiz!V25</f>
        <v>0.97</v>
      </c>
      <c r="C25" s="35">
        <f>Homework!L25</f>
        <v>1.245625</v>
      </c>
      <c r="D25" s="49">
        <f>Exams!B25</f>
        <v>67</v>
      </c>
      <c r="E25" s="33">
        <f>Exams!C25</f>
        <v>148</v>
      </c>
      <c r="F25" s="36">
        <f t="shared" si="0"/>
        <v>7.9256250000000001</v>
      </c>
      <c r="G25" s="36">
        <f t="shared" si="3"/>
        <v>8</v>
      </c>
      <c r="H25" s="34">
        <f t="shared" si="4"/>
        <v>1</v>
      </c>
    </row>
    <row r="26" spans="1:8" ht="29" customHeight="1" x14ac:dyDescent="0.15">
      <c r="A26" s="55">
        <v>6082</v>
      </c>
      <c r="B26" s="36">
        <f>Quiz!V26</f>
        <v>0.45333333333333331</v>
      </c>
      <c r="C26" s="35">
        <f>Homework!L26</f>
        <v>0.34675</v>
      </c>
      <c r="D26" s="49">
        <f>Exams!B26</f>
        <v>61.5</v>
      </c>
      <c r="E26" s="33">
        <f>Exams!C26</f>
        <v>85</v>
      </c>
      <c r="F26" s="36">
        <f t="shared" si="0"/>
        <v>4.770083333333333</v>
      </c>
      <c r="G26" s="36">
        <f t="shared" si="3"/>
        <v>5</v>
      </c>
      <c r="H26" s="34">
        <f t="shared" si="4"/>
        <v>1</v>
      </c>
    </row>
    <row r="27" spans="1:8" ht="29" customHeight="1" x14ac:dyDescent="0.15">
      <c r="A27" s="55">
        <v>6347</v>
      </c>
      <c r="B27" s="36">
        <f>Quiz!V27</f>
        <v>0.66333333333333333</v>
      </c>
      <c r="C27" s="35">
        <f>Homework!L27</f>
        <v>0.50149999999999995</v>
      </c>
      <c r="D27" s="49">
        <f>Exams!B27</f>
        <v>44.5</v>
      </c>
      <c r="E27" s="33">
        <f>Exams!C27</f>
        <v>68</v>
      </c>
      <c r="F27" s="36">
        <f t="shared" si="0"/>
        <v>4.1998333333333333</v>
      </c>
      <c r="G27" s="36">
        <f t="shared" si="3"/>
        <v>4</v>
      </c>
      <c r="H27" s="34">
        <f t="shared" si="4"/>
        <v>0</v>
      </c>
    </row>
    <row r="28" spans="1:8" ht="29" customHeight="1" x14ac:dyDescent="0.15">
      <c r="A28" s="55">
        <v>7905</v>
      </c>
      <c r="B28" s="36">
        <f>Quiz!V28</f>
        <v>0.35</v>
      </c>
      <c r="C28" s="35">
        <f>Homework!L28</f>
        <v>0</v>
      </c>
      <c r="D28" s="49">
        <f>Exams!B28</f>
        <v>14</v>
      </c>
      <c r="E28" s="33">
        <f>Exams!C28</f>
        <v>0</v>
      </c>
      <c r="F28" s="36">
        <f t="shared" si="0"/>
        <v>0.77</v>
      </c>
      <c r="G28" s="36">
        <f t="shared" si="3"/>
        <v>1</v>
      </c>
      <c r="H28" s="34">
        <f t="shared" si="4"/>
        <v>0</v>
      </c>
    </row>
    <row r="29" spans="1:8" ht="29" customHeight="1" x14ac:dyDescent="0.15">
      <c r="A29" s="55">
        <v>8431</v>
      </c>
      <c r="B29" s="36">
        <f>Quiz!V29</f>
        <v>0.55000000000000004</v>
      </c>
      <c r="C29" s="35">
        <f>Homework!L29</f>
        <v>0.79625000000000001</v>
      </c>
      <c r="D29" s="49">
        <f>Exams!B29</f>
        <v>27.5</v>
      </c>
      <c r="E29" s="33">
        <f>Exams!C29</f>
        <v>76.5</v>
      </c>
      <c r="F29" s="36">
        <f t="shared" si="0"/>
        <v>4.0837500000000002</v>
      </c>
      <c r="G29" s="36">
        <f t="shared" si="3"/>
        <v>4</v>
      </c>
      <c r="H29" s="34">
        <f t="shared" si="4"/>
        <v>0</v>
      </c>
    </row>
    <row r="30" spans="1:8" ht="29" customHeight="1" x14ac:dyDescent="0.15">
      <c r="A30" s="55">
        <v>8743</v>
      </c>
      <c r="B30" s="36">
        <f>Quiz!V30</f>
        <v>0.36666666666666664</v>
      </c>
      <c r="C30" s="35">
        <f>Homework!L30</f>
        <v>0.34899999999999992</v>
      </c>
      <c r="D30" s="49">
        <f>Exams!B30</f>
        <v>28</v>
      </c>
      <c r="E30" s="33">
        <f>Exams!C30</f>
        <v>67.5</v>
      </c>
      <c r="F30" s="36">
        <f t="shared" si="0"/>
        <v>3.2431666666666668</v>
      </c>
      <c r="G30" s="36">
        <f t="shared" si="3"/>
        <v>3</v>
      </c>
      <c r="H30" s="34">
        <f t="shared" si="4"/>
        <v>0</v>
      </c>
    </row>
    <row r="31" spans="1:8" ht="29" customHeight="1" x14ac:dyDescent="0.15">
      <c r="A31" s="55">
        <v>8745</v>
      </c>
      <c r="B31" s="36">
        <f>Quiz!V31</f>
        <v>0.5033333333333333</v>
      </c>
      <c r="C31" s="35">
        <f>Homework!L31</f>
        <v>0.52700000000000002</v>
      </c>
      <c r="D31" s="49">
        <f>Exams!B31</f>
        <v>32.5</v>
      </c>
      <c r="E31" s="33">
        <f>Exams!C31</f>
        <v>80.5</v>
      </c>
      <c r="F31" s="36">
        <f t="shared" si="0"/>
        <v>4.0178333333333338</v>
      </c>
      <c r="G31" s="36">
        <f t="shared" si="3"/>
        <v>4</v>
      </c>
      <c r="H31" s="34">
        <f t="shared" si="4"/>
        <v>0</v>
      </c>
    </row>
    <row r="32" spans="1:8" ht="29" customHeight="1" x14ac:dyDescent="0.15">
      <c r="A32" s="55">
        <v>9253</v>
      </c>
      <c r="B32" s="36">
        <f>Quiz!V32</f>
        <v>0.49333333333333335</v>
      </c>
      <c r="C32" s="35">
        <f>Homework!L32</f>
        <v>0.81274999999999997</v>
      </c>
      <c r="D32" s="49">
        <f>Exams!B32</f>
        <v>28</v>
      </c>
      <c r="E32" s="33">
        <f>Exams!C32</f>
        <v>104.5</v>
      </c>
      <c r="F32" s="36">
        <f t="shared" si="0"/>
        <v>4.7585833333333341</v>
      </c>
      <c r="G32" s="36">
        <f t="shared" si="3"/>
        <v>5</v>
      </c>
      <c r="H32" s="34">
        <f t="shared" si="4"/>
        <v>1</v>
      </c>
    </row>
    <row r="33" spans="1:8" ht="29" customHeight="1" x14ac:dyDescent="0.15">
      <c r="A33" s="55">
        <v>9448</v>
      </c>
      <c r="B33" s="36">
        <f>Quiz!V33</f>
        <v>0.52</v>
      </c>
      <c r="C33" s="35">
        <f>Homework!L33</f>
        <v>0.48699999999999993</v>
      </c>
      <c r="D33" s="49">
        <f>Exams!B33</f>
        <v>42.5</v>
      </c>
      <c r="E33" s="33">
        <f>Exams!C33</f>
        <v>99</v>
      </c>
      <c r="F33" s="36">
        <f t="shared" si="0"/>
        <v>4.7569999999999997</v>
      </c>
      <c r="G33" s="36">
        <f t="shared" si="3"/>
        <v>5</v>
      </c>
      <c r="H33" s="34">
        <f t="shared" si="4"/>
        <v>1</v>
      </c>
    </row>
    <row r="34" spans="1:8" ht="29" customHeight="1" x14ac:dyDescent="0.15">
      <c r="A34" s="55">
        <v>9550</v>
      </c>
      <c r="B34" s="36">
        <f>Quiz!V34</f>
        <v>0.55666666666666664</v>
      </c>
      <c r="C34" s="35">
        <f>Homework!L34</f>
        <v>0.33899999999999997</v>
      </c>
      <c r="D34" s="49">
        <f>Exams!B34</f>
        <v>38</v>
      </c>
      <c r="E34" s="33">
        <f>Exams!C34</f>
        <v>72</v>
      </c>
      <c r="F34" s="36">
        <f t="shared" si="0"/>
        <v>3.8356666666666666</v>
      </c>
      <c r="G34" s="36">
        <f t="shared" si="3"/>
        <v>4</v>
      </c>
      <c r="H34" s="34">
        <f t="shared" si="4"/>
        <v>0</v>
      </c>
    </row>
    <row r="35" spans="1:8" ht="29" customHeight="1" x14ac:dyDescent="0.15">
      <c r="A35" s="55">
        <v>9610</v>
      </c>
      <c r="B35" s="36">
        <f>Quiz!V35</f>
        <v>0.60666666666666669</v>
      </c>
      <c r="C35" s="35">
        <f>Homework!L35</f>
        <v>0.77149999999999985</v>
      </c>
      <c r="D35" s="49">
        <f>Exams!B35</f>
        <v>25</v>
      </c>
      <c r="E35" s="33">
        <f>Exams!C35</f>
        <v>64</v>
      </c>
      <c r="F35" s="36">
        <f t="shared" si="0"/>
        <v>3.7281666666666666</v>
      </c>
      <c r="G35" s="36">
        <f t="shared" si="3"/>
        <v>3.5</v>
      </c>
      <c r="H35" s="34">
        <f t="shared" si="4"/>
        <v>0</v>
      </c>
    </row>
    <row r="36" spans="1:8" ht="29" customHeight="1" x14ac:dyDescent="0.15">
      <c r="A36" s="55">
        <v>9611</v>
      </c>
      <c r="B36" s="36">
        <f>Quiz!V36</f>
        <v>0.57666666666666666</v>
      </c>
      <c r="C36" s="35">
        <f>Homework!L36</f>
        <v>0.77524999999999999</v>
      </c>
      <c r="D36" s="49">
        <f>Exams!B36</f>
        <v>34</v>
      </c>
      <c r="E36" s="33">
        <f>Exams!C36</f>
        <v>75</v>
      </c>
      <c r="F36" s="36">
        <f t="shared" si="0"/>
        <v>4.2469166666666665</v>
      </c>
      <c r="G36" s="36">
        <f t="shared" si="3"/>
        <v>4</v>
      </c>
      <c r="H36" s="34">
        <f t="shared" si="4"/>
        <v>0</v>
      </c>
    </row>
    <row r="37" spans="1:8" ht="29" customHeight="1" x14ac:dyDescent="0.15">
      <c r="A37" s="23"/>
      <c r="B37" s="27"/>
      <c r="C37" s="28"/>
      <c r="D37" s="28"/>
      <c r="E37" s="15"/>
      <c r="F37" s="8"/>
      <c r="G37" s="8"/>
      <c r="H37" s="7"/>
    </row>
    <row r="38" spans="1:8" ht="29" customHeight="1" x14ac:dyDescent="0.15">
      <c r="A38" s="17" t="s">
        <v>34</v>
      </c>
      <c r="B38" s="44">
        <f>Quiz!V38</f>
        <v>1</v>
      </c>
      <c r="C38" s="44">
        <f>Homework!L38</f>
        <v>1.5</v>
      </c>
      <c r="D38" s="37">
        <f>Exams!B38</f>
        <v>100</v>
      </c>
      <c r="E38" s="37">
        <v>180</v>
      </c>
      <c r="F38" s="38">
        <v>10</v>
      </c>
      <c r="G38" s="38">
        <v>10</v>
      </c>
      <c r="H38" s="38">
        <f>SUM(H2:H36)</f>
        <v>17</v>
      </c>
    </row>
    <row r="39" spans="1:8" ht="29" customHeight="1" x14ac:dyDescent="0.15">
      <c r="A39" s="18" t="s">
        <v>35</v>
      </c>
      <c r="B39" s="40">
        <f t="shared" ref="B39:H39" si="5">AVERAGE(B$2:B$36)</f>
        <v>0.5654285714285715</v>
      </c>
      <c r="C39" s="40">
        <f t="shared" si="5"/>
        <v>0.65532857142857137</v>
      </c>
      <c r="D39" s="40">
        <f t="shared" si="5"/>
        <v>45.614285714285714</v>
      </c>
      <c r="E39" s="40">
        <f t="shared" si="5"/>
        <v>87.171428571428578</v>
      </c>
      <c r="F39" s="40">
        <f t="shared" si="5"/>
        <v>4.7684714285714289</v>
      </c>
      <c r="G39" s="40">
        <f t="shared" si="5"/>
        <v>4.7857142857142856</v>
      </c>
      <c r="H39" s="40">
        <f t="shared" si="5"/>
        <v>0.48571428571428571</v>
      </c>
    </row>
    <row r="40" spans="1:8" ht="29" customHeight="1" x14ac:dyDescent="0.15">
      <c r="A40" s="19" t="s">
        <v>36</v>
      </c>
      <c r="B40" s="40">
        <f t="shared" ref="B40:H40" si="6">STDEV(B$2:B$36)</f>
        <v>0.24397455898960782</v>
      </c>
      <c r="C40" s="40">
        <f t="shared" si="6"/>
        <v>0.42868464933028405</v>
      </c>
      <c r="D40" s="40">
        <f t="shared" si="6"/>
        <v>22.360050284815909</v>
      </c>
      <c r="E40" s="40">
        <f t="shared" si="6"/>
        <v>47.486521749851931</v>
      </c>
      <c r="F40" s="40">
        <f t="shared" si="6"/>
        <v>2.3643753642622509</v>
      </c>
      <c r="G40" s="40">
        <f t="shared" si="6"/>
        <v>2.4443383390943212</v>
      </c>
      <c r="H40" s="40">
        <f t="shared" si="6"/>
        <v>0.50709255283710997</v>
      </c>
    </row>
    <row r="41" spans="1:8" ht="29" customHeight="1" x14ac:dyDescent="0.15">
      <c r="A41" s="19" t="s">
        <v>37</v>
      </c>
      <c r="B41" s="40">
        <f t="shared" ref="B41:H41" si="7">MEDIAN(B$2:B$36)</f>
        <v>0.55666666666666664</v>
      </c>
      <c r="C41" s="40">
        <f t="shared" si="7"/>
        <v>0.69362499999999994</v>
      </c>
      <c r="D41" s="40">
        <f t="shared" si="7"/>
        <v>44</v>
      </c>
      <c r="E41" s="40">
        <f t="shared" si="7"/>
        <v>80.5</v>
      </c>
      <c r="F41" s="40">
        <f t="shared" si="7"/>
        <v>4.2469166666666665</v>
      </c>
      <c r="G41" s="40">
        <f t="shared" si="7"/>
        <v>4</v>
      </c>
      <c r="H41" s="40">
        <f t="shared" si="7"/>
        <v>0</v>
      </c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ht="28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</sheetData>
  <phoneticPr fontId="6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A2:A5" numberStoredAsText="1"/>
    <ignoredError sqref="B2:H4 B6:H18 B5:D5 F5:H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2020-09-28T05:40:28Z</cp:lastPrinted>
  <dcterms:created xsi:type="dcterms:W3CDTF">2008-09-16T13:43:39Z</dcterms:created>
  <dcterms:modified xsi:type="dcterms:W3CDTF">2022-12-20T17:40:03Z</dcterms:modified>
</cp:coreProperties>
</file>