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40/2020/Grades/"/>
    </mc:Choice>
  </mc:AlternateContent>
  <xr:revisionPtr revIDLastSave="0" documentId="13_ncr:1_{BA9DFAB1-E2B6-4E40-AB8C-432B306CEAE3}" xr6:coauthVersionLast="46" xr6:coauthVersionMax="46" xr10:uidLastSave="{00000000-0000-0000-0000-000000000000}"/>
  <bookViews>
    <workbookView xWindow="10240" yWindow="1180" windowWidth="25600" windowHeight="16060" tabRatio="334" activeTab="3" xr2:uid="{00000000-000D-0000-FFFF-FFFF00000000}"/>
  </bookViews>
  <sheets>
    <sheet name="Labs" sheetId="1" r:id="rId1"/>
    <sheet name="Homework" sheetId="5" r:id="rId2"/>
    <sheet name="Exams" sheetId="3" r:id="rId3"/>
    <sheet name="Grades" sheetId="2" r:id="rId4"/>
  </sheets>
  <calcPr calcId="191029" iterateDelta="1E-4"/>
</workbook>
</file>

<file path=xl/calcChain.xml><?xml version="1.0" encoding="utf-8"?>
<calcChain xmlns="http://schemas.openxmlformats.org/spreadsheetml/2006/main">
  <c r="H32" i="5" l="1"/>
  <c r="F33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31" i="5"/>
  <c r="G30" i="5"/>
  <c r="G26" i="5"/>
  <c r="G22" i="5"/>
  <c r="G21" i="5"/>
  <c r="G16" i="5"/>
  <c r="G15" i="5"/>
  <c r="G11" i="5"/>
  <c r="G10" i="5"/>
  <c r="G8" i="5"/>
  <c r="G6" i="5"/>
  <c r="G5" i="5"/>
  <c r="G4" i="5"/>
  <c r="C33" i="3"/>
  <c r="B33" i="3"/>
  <c r="C32" i="3"/>
  <c r="B32" i="3"/>
  <c r="C31" i="3"/>
  <c r="B31" i="3"/>
  <c r="C30" i="3"/>
  <c r="B30" i="3"/>
  <c r="B29" i="3"/>
  <c r="C28" i="3"/>
  <c r="B28" i="3"/>
  <c r="C27" i="3"/>
  <c r="B27" i="3"/>
  <c r="C26" i="3"/>
  <c r="B26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B7" i="3"/>
  <c r="C6" i="3"/>
  <c r="B6" i="3"/>
  <c r="C5" i="3"/>
  <c r="B5" i="3"/>
  <c r="C4" i="3"/>
  <c r="B4" i="3"/>
  <c r="C3" i="3"/>
  <c r="B3" i="3"/>
  <c r="B2" i="3"/>
  <c r="E32" i="5"/>
  <c r="E31" i="5"/>
  <c r="E30" i="5"/>
  <c r="E28" i="5"/>
  <c r="E27" i="5"/>
  <c r="E26" i="5"/>
  <c r="E24" i="5"/>
  <c r="E22" i="5"/>
  <c r="E21" i="5"/>
  <c r="E20" i="5"/>
  <c r="E19" i="5"/>
  <c r="E18" i="5"/>
  <c r="E16" i="5"/>
  <c r="E15" i="5"/>
  <c r="E14" i="5"/>
  <c r="E13" i="5"/>
  <c r="E12" i="5"/>
  <c r="E11" i="5"/>
  <c r="E10" i="5"/>
  <c r="E9" i="5"/>
  <c r="E8" i="5"/>
  <c r="E7" i="5"/>
  <c r="E6" i="5"/>
  <c r="E5" i="5"/>
  <c r="E2" i="5"/>
  <c r="K39" i="1"/>
  <c r="J38" i="1"/>
  <c r="J37" i="1"/>
  <c r="J36" i="1"/>
  <c r="J32" i="1"/>
  <c r="J31" i="1"/>
  <c r="J30" i="1"/>
  <c r="J29" i="1"/>
  <c r="J28" i="1"/>
  <c r="J27" i="1"/>
  <c r="J26" i="1"/>
  <c r="J24" i="1"/>
  <c r="J23" i="1"/>
  <c r="J22" i="1"/>
  <c r="J21" i="1"/>
  <c r="J20" i="1"/>
  <c r="J19" i="1"/>
  <c r="J18" i="1"/>
  <c r="J17" i="1"/>
  <c r="J16" i="1"/>
  <c r="J15" i="1"/>
  <c r="J14" i="1"/>
  <c r="J12" i="1"/>
  <c r="J11" i="1"/>
  <c r="J10" i="1"/>
  <c r="J9" i="1"/>
  <c r="J8" i="1"/>
  <c r="J7" i="1"/>
  <c r="J6" i="1"/>
  <c r="J5" i="1"/>
  <c r="J4" i="1"/>
  <c r="J3" i="1"/>
  <c r="J2" i="1"/>
  <c r="F32" i="5"/>
  <c r="F31" i="5"/>
  <c r="F30" i="5"/>
  <c r="F28" i="5"/>
  <c r="F27" i="5"/>
  <c r="F26" i="5"/>
  <c r="F25" i="5"/>
  <c r="F24" i="5"/>
  <c r="F23" i="5"/>
  <c r="F22" i="5"/>
  <c r="F21" i="5"/>
  <c r="F18" i="5"/>
  <c r="F16" i="5"/>
  <c r="F15" i="5"/>
  <c r="F14" i="5"/>
  <c r="F13" i="5"/>
  <c r="F11" i="5"/>
  <c r="F10" i="5"/>
  <c r="F8" i="5"/>
  <c r="F7" i="5"/>
  <c r="F6" i="5"/>
  <c r="F5" i="5"/>
  <c r="F4" i="5"/>
  <c r="D14" i="5" l="1"/>
  <c r="D15" i="5"/>
  <c r="I32" i="1" l="1"/>
  <c r="I31" i="1"/>
  <c r="I30" i="1"/>
  <c r="I29" i="1"/>
  <c r="I28" i="1"/>
  <c r="I27" i="1"/>
  <c r="I26" i="1"/>
  <c r="I24" i="1"/>
  <c r="I23" i="1"/>
  <c r="I22" i="1"/>
  <c r="I21" i="1"/>
  <c r="I19" i="1"/>
  <c r="I18" i="1"/>
  <c r="I16" i="1"/>
  <c r="I15" i="1"/>
  <c r="I14" i="1"/>
  <c r="I13" i="1"/>
  <c r="I12" i="1"/>
  <c r="I10" i="1"/>
  <c r="I8" i="1"/>
  <c r="I6" i="1"/>
  <c r="I5" i="1"/>
  <c r="I4" i="1"/>
  <c r="I3" i="1"/>
  <c r="I2" i="1"/>
  <c r="D32" i="5" l="1"/>
  <c r="D31" i="5"/>
  <c r="D30" i="5"/>
  <c r="D28" i="5"/>
  <c r="D27" i="5"/>
  <c r="D26" i="5"/>
  <c r="D24" i="5"/>
  <c r="D23" i="5"/>
  <c r="D22" i="5"/>
  <c r="D21" i="5"/>
  <c r="D19" i="5"/>
  <c r="D18" i="5"/>
  <c r="D16" i="5"/>
  <c r="D13" i="5"/>
  <c r="D11" i="5"/>
  <c r="D10" i="5"/>
  <c r="D9" i="5"/>
  <c r="D8" i="5"/>
  <c r="D7" i="5"/>
  <c r="D6" i="5"/>
  <c r="D5" i="5"/>
  <c r="D4" i="5"/>
  <c r="D3" i="5"/>
  <c r="D37" i="5" s="1"/>
  <c r="D36" i="5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8" i="1"/>
  <c r="H17" i="1"/>
  <c r="H16" i="1"/>
  <c r="H15" i="1"/>
  <c r="H14" i="1"/>
  <c r="H13" i="1"/>
  <c r="H12" i="1"/>
  <c r="H10" i="1"/>
  <c r="H9" i="1"/>
  <c r="H8" i="1"/>
  <c r="H7" i="1"/>
  <c r="H6" i="1"/>
  <c r="H5" i="1"/>
  <c r="H4" i="1"/>
  <c r="H3" i="1"/>
  <c r="H2" i="1"/>
  <c r="G33" i="1" l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G7" i="1"/>
  <c r="G6" i="1"/>
  <c r="G5" i="1"/>
  <c r="G4" i="1"/>
  <c r="G3" i="1"/>
  <c r="G39" i="1" l="1"/>
  <c r="G38" i="1"/>
  <c r="G37" i="1"/>
  <c r="G36" i="1"/>
  <c r="B18" i="5" l="1"/>
  <c r="E24" i="2"/>
  <c r="D24" i="2"/>
  <c r="E23" i="2"/>
  <c r="D23" i="2"/>
  <c r="E22" i="2"/>
  <c r="D22" i="2"/>
  <c r="E21" i="2"/>
  <c r="D21" i="2"/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9" i="1" l="1"/>
  <c r="F36" i="1"/>
  <c r="F37" i="1"/>
  <c r="F38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2" i="5" l="1"/>
  <c r="C31" i="5"/>
  <c r="C30" i="5"/>
  <c r="C28" i="5"/>
  <c r="C27" i="5"/>
  <c r="C25" i="5"/>
  <c r="C24" i="5"/>
  <c r="C23" i="5"/>
  <c r="C22" i="5"/>
  <c r="C21" i="5"/>
  <c r="C20" i="5"/>
  <c r="C18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5" i="5" l="1"/>
  <c r="B24" i="5" l="1"/>
  <c r="B32" i="5" l="1"/>
  <c r="B31" i="5"/>
  <c r="B30" i="5"/>
  <c r="B28" i="5"/>
  <c r="B27" i="5"/>
  <c r="B26" i="5"/>
  <c r="B25" i="5"/>
  <c r="B23" i="5"/>
  <c r="B22" i="5"/>
  <c r="B21" i="5"/>
  <c r="B20" i="5"/>
  <c r="B19" i="5"/>
  <c r="B17" i="5"/>
  <c r="B16" i="5"/>
  <c r="B15" i="5"/>
  <c r="B14" i="5"/>
  <c r="B13" i="5"/>
  <c r="B12" i="5"/>
  <c r="B11" i="5"/>
  <c r="B10" i="5"/>
  <c r="B9" i="5"/>
  <c r="B8" i="5"/>
  <c r="B7" i="5"/>
  <c r="B6" i="5"/>
  <c r="B4" i="5"/>
  <c r="B3" i="5"/>
  <c r="B2" i="5"/>
  <c r="C33" i="1" l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C16" i="1"/>
  <c r="B16" i="1"/>
  <c r="C15" i="1"/>
  <c r="B15" i="1"/>
  <c r="C14" i="1"/>
  <c r="B14" i="1"/>
  <c r="C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E33" i="2" l="1"/>
  <c r="E32" i="2"/>
  <c r="E31" i="2"/>
  <c r="E30" i="2"/>
  <c r="E29" i="2"/>
  <c r="E28" i="2"/>
  <c r="E27" i="2"/>
  <c r="E26" i="2"/>
  <c r="E25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33" i="2" l="1"/>
  <c r="D32" i="2"/>
  <c r="D31" i="2"/>
  <c r="D30" i="2"/>
  <c r="D29" i="2"/>
  <c r="D28" i="2"/>
  <c r="D27" i="2"/>
  <c r="D26" i="2"/>
  <c r="D25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B35" i="2" l="1"/>
  <c r="C35" i="2"/>
  <c r="E35" i="2"/>
  <c r="D35" i="2"/>
  <c r="B39" i="1"/>
  <c r="C39" i="1"/>
  <c r="D39" i="1"/>
  <c r="E39" i="1"/>
  <c r="H39" i="1"/>
  <c r="I39" i="1"/>
  <c r="J39" i="1"/>
  <c r="B39" i="5"/>
  <c r="C39" i="5"/>
  <c r="D39" i="5"/>
  <c r="E39" i="5"/>
  <c r="F39" i="5"/>
  <c r="G39" i="5"/>
  <c r="K38" i="1"/>
  <c r="D2" i="2"/>
  <c r="G37" i="5"/>
  <c r="G36" i="5"/>
  <c r="B37" i="3"/>
  <c r="B38" i="3"/>
  <c r="B38" i="5"/>
  <c r="C38" i="3"/>
  <c r="C37" i="3"/>
  <c r="C36" i="3"/>
  <c r="B36" i="3"/>
  <c r="I38" i="1"/>
  <c r="H38" i="1"/>
  <c r="E38" i="1"/>
  <c r="D38" i="1"/>
  <c r="K37" i="1"/>
  <c r="I37" i="1"/>
  <c r="H37" i="1"/>
  <c r="E37" i="1"/>
  <c r="D37" i="1"/>
  <c r="K36" i="1"/>
  <c r="I36" i="1"/>
  <c r="H36" i="1"/>
  <c r="E36" i="1"/>
  <c r="D36" i="1"/>
  <c r="B38" i="1"/>
  <c r="B37" i="1"/>
  <c r="B36" i="1"/>
  <c r="C38" i="1"/>
  <c r="C37" i="1"/>
  <c r="C36" i="1"/>
  <c r="G38" i="5"/>
  <c r="F38" i="5"/>
  <c r="E38" i="5"/>
  <c r="D38" i="5"/>
  <c r="C38" i="5"/>
  <c r="F37" i="5"/>
  <c r="E37" i="5"/>
  <c r="C37" i="5"/>
  <c r="F36" i="5"/>
  <c r="E36" i="5"/>
  <c r="C36" i="5"/>
  <c r="B37" i="5"/>
  <c r="B36" i="5"/>
  <c r="L23" i="1" l="1"/>
  <c r="B23" i="2" s="1"/>
  <c r="L22" i="1"/>
  <c r="L10" i="1"/>
  <c r="B10" i="2" s="1"/>
  <c r="L32" i="1"/>
  <c r="B32" i="2" s="1"/>
  <c r="L8" i="1"/>
  <c r="B8" i="2" s="1"/>
  <c r="L19" i="1"/>
  <c r="L30" i="1"/>
  <c r="B30" i="2" s="1"/>
  <c r="L6" i="1"/>
  <c r="B6" i="2" s="1"/>
  <c r="L17" i="1"/>
  <c r="B17" i="2" s="1"/>
  <c r="L28" i="1"/>
  <c r="B28" i="2" s="1"/>
  <c r="L4" i="1"/>
  <c r="B4" i="2" s="1"/>
  <c r="L15" i="1"/>
  <c r="B15" i="2" s="1"/>
  <c r="L26" i="1"/>
  <c r="B26" i="2" s="1"/>
  <c r="L2" i="1"/>
  <c r="L13" i="1"/>
  <c r="B13" i="2" s="1"/>
  <c r="L12" i="1"/>
  <c r="L33" i="1"/>
  <c r="L21" i="1"/>
  <c r="L9" i="1"/>
  <c r="B9" i="2" s="1"/>
  <c r="L20" i="1"/>
  <c r="B20" i="2" s="1"/>
  <c r="L31" i="1"/>
  <c r="B31" i="2" s="1"/>
  <c r="L7" i="1"/>
  <c r="B7" i="2" s="1"/>
  <c r="L18" i="1"/>
  <c r="B18" i="2" s="1"/>
  <c r="L29" i="1"/>
  <c r="B29" i="2" s="1"/>
  <c r="L5" i="1"/>
  <c r="B5" i="2" s="1"/>
  <c r="L16" i="1"/>
  <c r="L27" i="1"/>
  <c r="B27" i="2" s="1"/>
  <c r="L3" i="1"/>
  <c r="L14" i="1"/>
  <c r="B14" i="2" s="1"/>
  <c r="L25" i="1"/>
  <c r="B25" i="2" s="1"/>
  <c r="L24" i="1"/>
  <c r="B24" i="2" s="1"/>
  <c r="L11" i="1"/>
  <c r="B11" i="2" s="1"/>
  <c r="H22" i="5"/>
  <c r="C22" i="2" s="1"/>
  <c r="H10" i="5"/>
  <c r="C10" i="2" s="1"/>
  <c r="H20" i="5"/>
  <c r="C20" i="2" s="1"/>
  <c r="H16" i="5"/>
  <c r="C16" i="2" s="1"/>
  <c r="H15" i="5"/>
  <c r="C15" i="2" s="1"/>
  <c r="H25" i="5"/>
  <c r="C25" i="2" s="1"/>
  <c r="H11" i="5"/>
  <c r="C11" i="2" s="1"/>
  <c r="H33" i="5"/>
  <c r="C33" i="2" s="1"/>
  <c r="H21" i="5"/>
  <c r="C21" i="2" s="1"/>
  <c r="H9" i="5"/>
  <c r="C9" i="2" s="1"/>
  <c r="H8" i="5"/>
  <c r="C8" i="2" s="1"/>
  <c r="H28" i="5"/>
  <c r="C28" i="2" s="1"/>
  <c r="H14" i="5"/>
  <c r="C14" i="2" s="1"/>
  <c r="H12" i="5"/>
  <c r="C12" i="2" s="1"/>
  <c r="C32" i="2"/>
  <c r="F32" i="2" s="1"/>
  <c r="H31" i="5"/>
  <c r="C31" i="2" s="1"/>
  <c r="H19" i="5"/>
  <c r="C19" i="2" s="1"/>
  <c r="H7" i="5"/>
  <c r="C7" i="2" s="1"/>
  <c r="H4" i="5"/>
  <c r="C4" i="2" s="1"/>
  <c r="H26" i="5"/>
  <c r="C26" i="2" s="1"/>
  <c r="H24" i="5"/>
  <c r="C24" i="2" s="1"/>
  <c r="H30" i="5"/>
  <c r="C30" i="2" s="1"/>
  <c r="H18" i="5"/>
  <c r="C18" i="2" s="1"/>
  <c r="H6" i="5"/>
  <c r="C6" i="2" s="1"/>
  <c r="H29" i="5"/>
  <c r="C29" i="2" s="1"/>
  <c r="H17" i="5"/>
  <c r="C17" i="2" s="1"/>
  <c r="H5" i="5"/>
  <c r="C5" i="2" s="1"/>
  <c r="H27" i="5"/>
  <c r="C27" i="2" s="1"/>
  <c r="H2" i="5"/>
  <c r="H13" i="5"/>
  <c r="C13" i="2" s="1"/>
  <c r="H23" i="5"/>
  <c r="C23" i="2" s="1"/>
  <c r="H3" i="5"/>
  <c r="C3" i="2" s="1"/>
  <c r="B16" i="2"/>
  <c r="B3" i="2"/>
  <c r="B22" i="2"/>
  <c r="B12" i="2"/>
  <c r="B33" i="2"/>
  <c r="B19" i="2"/>
  <c r="B2" i="2"/>
  <c r="E38" i="2"/>
  <c r="D37" i="2"/>
  <c r="E36" i="2"/>
  <c r="D38" i="2"/>
  <c r="E37" i="2"/>
  <c r="D36" i="2"/>
  <c r="B21" i="2"/>
  <c r="G22" i="2" l="1"/>
  <c r="H22" i="2" s="1"/>
  <c r="G21" i="2"/>
  <c r="H21" i="2" s="1"/>
  <c r="G24" i="2"/>
  <c r="H24" i="2" s="1"/>
  <c r="G23" i="2"/>
  <c r="H23" i="2" s="1"/>
  <c r="G18" i="2"/>
  <c r="H18" i="2" s="1"/>
  <c r="G14" i="2"/>
  <c r="H14" i="2" s="1"/>
  <c r="G15" i="2"/>
  <c r="H15" i="2" s="1"/>
  <c r="G9" i="2"/>
  <c r="H9" i="2" s="1"/>
  <c r="G33" i="2"/>
  <c r="H33" i="2" s="1"/>
  <c r="G12" i="2"/>
  <c r="H12" i="2" s="1"/>
  <c r="G29" i="2"/>
  <c r="H29" i="2" s="1"/>
  <c r="G10" i="2"/>
  <c r="H10" i="2" s="1"/>
  <c r="G27" i="2"/>
  <c r="H27" i="2" s="1"/>
  <c r="G28" i="2"/>
  <c r="H28" i="2" s="1"/>
  <c r="G31" i="2"/>
  <c r="H31" i="2" s="1"/>
  <c r="G13" i="2"/>
  <c r="H13" i="2" s="1"/>
  <c r="G32" i="2"/>
  <c r="H32" i="2" s="1"/>
  <c r="G19" i="2"/>
  <c r="H19" i="2" s="1"/>
  <c r="G7" i="2"/>
  <c r="H7" i="2" s="1"/>
  <c r="G17" i="2"/>
  <c r="H17" i="2" s="1"/>
  <c r="G8" i="2"/>
  <c r="H8" i="2" s="1"/>
  <c r="G30" i="2"/>
  <c r="H30" i="2" s="1"/>
  <c r="G25" i="2"/>
  <c r="H25" i="2" s="1"/>
  <c r="G26" i="2"/>
  <c r="H26" i="2" s="1"/>
  <c r="G11" i="2"/>
  <c r="H11" i="2" s="1"/>
  <c r="G16" i="2"/>
  <c r="H16" i="2" s="1"/>
  <c r="G20" i="2"/>
  <c r="H20" i="2" s="1"/>
  <c r="G6" i="2"/>
  <c r="H6" i="2" s="1"/>
  <c r="G5" i="2"/>
  <c r="H5" i="2" s="1"/>
  <c r="G3" i="2"/>
  <c r="H3" i="2" s="1"/>
  <c r="G4" i="2"/>
  <c r="H4" i="2" s="1"/>
  <c r="H38" i="5"/>
  <c r="C2" i="2"/>
  <c r="H36" i="5"/>
  <c r="H37" i="5"/>
  <c r="L38" i="1"/>
  <c r="L37" i="1"/>
  <c r="L36" i="1"/>
  <c r="C37" i="2" l="1"/>
  <c r="C38" i="2"/>
  <c r="C36" i="2"/>
  <c r="B38" i="2"/>
  <c r="B37" i="2"/>
  <c r="B36" i="2"/>
  <c r="F38" i="2" l="1"/>
  <c r="G2" i="2"/>
  <c r="F37" i="2"/>
  <c r="F36" i="2"/>
  <c r="G36" i="2" l="1"/>
  <c r="G38" i="2"/>
  <c r="H2" i="2"/>
  <c r="H36" i="2" s="1"/>
  <c r="G37" i="2"/>
</calcChain>
</file>

<file path=xl/sharedStrings.xml><?xml version="1.0" encoding="utf-8"?>
<sst xmlns="http://schemas.openxmlformats.org/spreadsheetml/2006/main" count="54" uniqueCount="35">
  <si>
    <t>Τελική Εξέταση</t>
    <phoneticPr fontId="6"/>
  </si>
  <si>
    <t>Βαθμός</t>
    <phoneticPr fontId="6"/>
  </si>
  <si>
    <t>Passed</t>
    <phoneticPr fontId="6"/>
  </si>
  <si>
    <t>Τελικός Βαθμός</t>
    <phoneticPr fontId="6"/>
  </si>
  <si>
    <t>Αρ. Ταυτότητας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</si>
  <si>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</si>
  <si>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</si>
  <si>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</si>
  <si>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</si>
  <si>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</si>
  <si>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</si>
  <si>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</si>
  <si>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Total</t>
  </si>
  <si>
    <t xml:space="preserve">Max Score </t>
  </si>
  <si>
    <t>Average</t>
  </si>
  <si>
    <t>Std. Dev.</t>
  </si>
  <si>
    <t>Median</t>
    <phoneticPr fontId="6"/>
  </si>
  <si>
    <t>Valid</t>
  </si>
  <si>
    <t>Quizzes  not counted</t>
  </si>
  <si>
    <t>Πρόοδος</t>
  </si>
  <si>
    <t xml:space="preserve">Σκορ στις ασκήσεις ενδιάμεσης </t>
  </si>
  <si>
    <t>Bin limits</t>
  </si>
  <si>
    <t>Frequency</t>
  </si>
  <si>
    <t xml:space="preserve"> 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</si>
  <si>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</si>
  <si>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</si>
  <si>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</si>
  <si>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</si>
  <si>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</si>
  <si>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</si>
  <si>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</si>
  <si>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</si>
  <si>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Lab11</t>
  </si>
  <si>
    <t>Lab12</t>
  </si>
  <si>
    <t>Labs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</si>
</sst>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11"/>
      <name val="Verdana"/>
      <family val="2"/>
    </font>
    <font>
      <b/>
      <sz val="12"/>
      <color indexed="10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b/>
      <sz val="12"/>
      <color indexed="17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3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B5FEC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8" fillId="0" borderId="0" xfId="0" applyFont="1"/>
    <xf numFmtId="2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1" fontId="3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0" fillId="0" borderId="3" xfId="0" applyBorder="1"/>
    <xf numFmtId="2" fontId="4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14" fillId="0" borderId="0" xfId="0" applyFont="1" applyBorder="1"/>
    <xf numFmtId="1" fontId="7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" fontId="11" fillId="7" borderId="3" xfId="0" applyNumberFormat="1" applyFont="1" applyFill="1" applyBorder="1" applyAlignment="1">
      <alignment horizontal="center" vertical="center"/>
    </xf>
    <xf numFmtId="164" fontId="11" fillId="8" borderId="4" xfId="0" applyNumberFormat="1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" fontId="11" fillId="9" borderId="1" xfId="0" applyNumberFormat="1" applyFont="1" applyFill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2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15" fillId="0" borderId="3" xfId="0" applyNumberFormat="1" applyFont="1" applyBorder="1" applyAlignment="1">
      <alignment horizontal="center" vertical="center"/>
    </xf>
    <xf numFmtId="164" fontId="15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5FEC9"/>
      <color rgb="FF00FFA6"/>
      <color rgb="FF00FF9D"/>
      <color rgb="FFB0FF63"/>
      <color rgb="FF8EF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5"/>
  <sheetViews>
    <sheetView zoomScaleNormal="100" workbookViewId="0">
      <selection activeCell="M1" sqref="M1"/>
    </sheetView>
  </sheetViews>
  <sheetFormatPr baseColWidth="10" defaultRowHeight="16" x14ac:dyDescent="0.15"/>
  <cols>
    <col min="1" max="1" width="20.83203125" customWidth="1"/>
    <col min="2" max="2" width="8.83203125" style="9" customWidth="1"/>
    <col min="3" max="11" width="8.83203125" style="10" customWidth="1"/>
    <col min="12" max="12" width="12.5" style="10" customWidth="1"/>
    <col min="13" max="13" width="12.6640625" style="11" customWidth="1"/>
  </cols>
  <sheetData>
    <row r="1" spans="1:13" ht="29" customHeight="1" x14ac:dyDescent="0.15">
      <c r="A1" s="15" t="s">
        <v>4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4" t="s">
        <v>34</v>
      </c>
      <c r="M1" s="56"/>
    </row>
    <row r="2" spans="1:13" ht="29" customHeight="1" x14ac:dyDescent="0.15">
      <c r="A2" s="22">
        <v>22166</v>
      </c>
      <c r="B2" s="31">
        <f>6+7+7+7+9+10+0+0+10</f>
        <v>56</v>
      </c>
      <c r="C2" s="31">
        <f>(0+0+0+0+0)</f>
        <v>0</v>
      </c>
      <c r="D2" s="31">
        <f>(0+0+0+0)</f>
        <v>0</v>
      </c>
      <c r="E2" s="31">
        <f>0+0+0+0+0+0</f>
        <v>0</v>
      </c>
      <c r="F2" s="32">
        <f>0+0+0+0+0+0</f>
        <v>0</v>
      </c>
      <c r="G2" s="32">
        <v>0</v>
      </c>
      <c r="H2" s="32">
        <f>0</f>
        <v>0</v>
      </c>
      <c r="I2" s="32">
        <f>0</f>
        <v>0</v>
      </c>
      <c r="J2" s="32">
        <f>0</f>
        <v>0</v>
      </c>
      <c r="K2" s="32">
        <v>0</v>
      </c>
      <c r="L2" s="36">
        <f>IF(SUM($B$39:$K$39)&gt;0,$L$35*(B2/$B$35+C2/$C$35+D2/$D$35+E2/$E$35+F2/$F$35+G2/$G$35+H2/$H$35+I2/$I$35+J2/$J$35+K2/$K$35)/SUM($B$39:$K$39),0)</f>
        <v>6.222222222222222E-2</v>
      </c>
      <c r="M2"/>
    </row>
    <row r="3" spans="1:13" ht="29" customHeight="1" x14ac:dyDescent="0.15">
      <c r="A3" s="22">
        <v>28431</v>
      </c>
      <c r="B3" s="31">
        <f>(10+10+10+10+9+10+10+10+10)</f>
        <v>89</v>
      </c>
      <c r="C3" s="31">
        <f>(0+0+0+0+0)</f>
        <v>0</v>
      </c>
      <c r="D3" s="31">
        <f>9+0+10+2</f>
        <v>21</v>
      </c>
      <c r="E3" s="31">
        <f>9+0+0+0+0+0</f>
        <v>9</v>
      </c>
      <c r="F3" s="32">
        <f>0+0+3+0+0+0</f>
        <v>3</v>
      </c>
      <c r="G3" s="32">
        <f>10+9</f>
        <v>19</v>
      </c>
      <c r="H3" s="32">
        <f>0+0+0</f>
        <v>0</v>
      </c>
      <c r="I3" s="32">
        <f>10+8</f>
        <v>18</v>
      </c>
      <c r="J3" s="32">
        <f>0</f>
        <v>0</v>
      </c>
      <c r="K3" s="54">
        <v>0</v>
      </c>
      <c r="L3" s="36">
        <f t="shared" ref="L3:L33" si="0">IF(SUM($B$39:$K$39)&gt;0,$L$35*(B3/$B$35+C3/$C$35+D3/$D$35+E3/$E$35+F3/$F$35+G3/$G$35+H3/$H$35+I3/$I$35+J3/$J$35+K3/$K$35)/SUM($B$39:$K$39),0)</f>
        <v>0.35638888888888887</v>
      </c>
      <c r="M3"/>
    </row>
    <row r="4" spans="1:13" ht="29" customHeight="1" x14ac:dyDescent="0.15">
      <c r="A4" s="22">
        <v>28745</v>
      </c>
      <c r="B4" s="31">
        <f>(10+10+10+5+3+5+10+5+3)</f>
        <v>61</v>
      </c>
      <c r="C4" s="31">
        <f>(10+10+0+5+5)</f>
        <v>30</v>
      </c>
      <c r="D4" s="31">
        <f>10+10+8+2</f>
        <v>30</v>
      </c>
      <c r="E4" s="31">
        <f>(10+5+0+2+7+5)</f>
        <v>29</v>
      </c>
      <c r="F4" s="32">
        <f>(3+0+3+2+3+0)</f>
        <v>11</v>
      </c>
      <c r="G4" s="32">
        <f>5+3</f>
        <v>8</v>
      </c>
      <c r="H4" s="32">
        <f>9+5+0</f>
        <v>14</v>
      </c>
      <c r="I4" s="32">
        <f>7+0</f>
        <v>7</v>
      </c>
      <c r="J4" s="32">
        <f>5+5+3+5</f>
        <v>18</v>
      </c>
      <c r="K4" s="54">
        <v>13</v>
      </c>
      <c r="L4" s="36">
        <f t="shared" si="0"/>
        <v>0.47944444444444445</v>
      </c>
      <c r="M4"/>
    </row>
    <row r="5" spans="1:13" ht="29" customHeight="1" x14ac:dyDescent="0.15">
      <c r="A5" s="22">
        <v>32418</v>
      </c>
      <c r="B5" s="31">
        <f>(10+10+10+10+9+10+10+10+10)</f>
        <v>89</v>
      </c>
      <c r="C5" s="31">
        <f>(10+10+10+10+10)</f>
        <v>50</v>
      </c>
      <c r="D5" s="31">
        <f>10+10+10+8</f>
        <v>38</v>
      </c>
      <c r="E5" s="31">
        <f>(10+10+10+10+10+10)</f>
        <v>60</v>
      </c>
      <c r="F5" s="32">
        <f>(10+10+9+10+10+10)</f>
        <v>59</v>
      </c>
      <c r="G5" s="32">
        <f>10+10</f>
        <v>20</v>
      </c>
      <c r="H5" s="32">
        <f>10+10+10</f>
        <v>30</v>
      </c>
      <c r="I5" s="32">
        <f>10+9</f>
        <v>19</v>
      </c>
      <c r="J5" s="32">
        <f>10+10+10+9</f>
        <v>39</v>
      </c>
      <c r="K5" s="54">
        <v>30</v>
      </c>
      <c r="L5" s="36">
        <f t="shared" si="0"/>
        <v>0.98472222222222228</v>
      </c>
      <c r="M5"/>
    </row>
    <row r="6" spans="1:13" ht="29" customHeight="1" x14ac:dyDescent="0.15">
      <c r="A6" s="22">
        <v>37701</v>
      </c>
      <c r="B6" s="31">
        <f>(10+10+10+10+9+10+10+10+10)</f>
        <v>89</v>
      </c>
      <c r="C6" s="31">
        <f>(10+10+10+10+10)</f>
        <v>50</v>
      </c>
      <c r="D6" s="31">
        <f>(10+10+10+10)</f>
        <v>40</v>
      </c>
      <c r="E6" s="31">
        <f>10+5+10+10+9+10</f>
        <v>54</v>
      </c>
      <c r="F6" s="32">
        <f>10+10+10+10+10+10</f>
        <v>60</v>
      </c>
      <c r="G6" s="32">
        <f>10+10</f>
        <v>20</v>
      </c>
      <c r="H6" s="32">
        <f>10+10+10</f>
        <v>30</v>
      </c>
      <c r="I6" s="32">
        <f>10+9</f>
        <v>19</v>
      </c>
      <c r="J6" s="32">
        <f>10+10+10+10</f>
        <v>40</v>
      </c>
      <c r="K6" s="54">
        <v>25</v>
      </c>
      <c r="L6" s="36">
        <f t="shared" si="0"/>
        <v>0.96722222222222221</v>
      </c>
      <c r="M6"/>
    </row>
    <row r="7" spans="1:13" ht="29" customHeight="1" x14ac:dyDescent="0.15">
      <c r="A7" s="22">
        <v>37840</v>
      </c>
      <c r="B7" s="31">
        <f>(10+10+10+10+10+10+0+0+0)</f>
        <v>60</v>
      </c>
      <c r="C7" s="31">
        <f>(10+10+10+5+10)</f>
        <v>45</v>
      </c>
      <c r="D7" s="31">
        <f>8+0+0+0</f>
        <v>8</v>
      </c>
      <c r="E7" s="31">
        <f>0+0+0+0+0+0</f>
        <v>0</v>
      </c>
      <c r="F7" s="32">
        <f>0+0+0+0+0+0</f>
        <v>0</v>
      </c>
      <c r="G7" s="32">
        <f>0+0</f>
        <v>0</v>
      </c>
      <c r="H7" s="32">
        <f>0+0+0</f>
        <v>0</v>
      </c>
      <c r="I7" s="32">
        <v>0</v>
      </c>
      <c r="J7" s="32">
        <f>0</f>
        <v>0</v>
      </c>
      <c r="K7" s="54">
        <v>0</v>
      </c>
      <c r="L7" s="36">
        <f t="shared" si="0"/>
        <v>0.17666666666666667</v>
      </c>
      <c r="M7"/>
    </row>
    <row r="8" spans="1:13" ht="29" customHeight="1" x14ac:dyDescent="0.15">
      <c r="A8" s="22">
        <v>39304</v>
      </c>
      <c r="B8" s="31">
        <f>(10+5+5+10+9+10+6+7+10)</f>
        <v>72</v>
      </c>
      <c r="C8" s="31">
        <f>(10+10+10+5+10)</f>
        <v>45</v>
      </c>
      <c r="D8" s="31">
        <f>7+6+5+10</f>
        <v>28</v>
      </c>
      <c r="E8" s="31">
        <f>10+2+2+2+0+0</f>
        <v>16</v>
      </c>
      <c r="F8" s="32">
        <f>10+10+5+5+10+3</f>
        <v>43</v>
      </c>
      <c r="G8" s="32">
        <f>10+10</f>
        <v>20</v>
      </c>
      <c r="H8" s="32">
        <f>5+6+6</f>
        <v>17</v>
      </c>
      <c r="I8" s="32">
        <f>10+10</f>
        <v>20</v>
      </c>
      <c r="J8" s="32">
        <f>10+10+10+10</f>
        <v>40</v>
      </c>
      <c r="K8" s="54">
        <v>21</v>
      </c>
      <c r="L8" s="36">
        <f t="shared" si="0"/>
        <v>0.76500000000000001</v>
      </c>
      <c r="M8"/>
    </row>
    <row r="9" spans="1:13" ht="29" customHeight="1" x14ac:dyDescent="0.15">
      <c r="A9" s="22">
        <v>41772</v>
      </c>
      <c r="B9" s="31">
        <f>9+0+10+10+10+0+6+8+10</f>
        <v>63</v>
      </c>
      <c r="C9" s="31">
        <f>(0+0+0+0+0)</f>
        <v>0</v>
      </c>
      <c r="D9" s="31">
        <f>(0+0+0+0)</f>
        <v>0</v>
      </c>
      <c r="E9" s="31">
        <f>0+0+0+0+0+0</f>
        <v>0</v>
      </c>
      <c r="F9" s="32">
        <f>0+0+0+0+0+0</f>
        <v>0</v>
      </c>
      <c r="G9" s="32">
        <v>0</v>
      </c>
      <c r="H9" s="32">
        <f>0+0+0</f>
        <v>0</v>
      </c>
      <c r="I9" s="32">
        <v>0</v>
      </c>
      <c r="J9" s="32">
        <f>8+7+0+0</f>
        <v>15</v>
      </c>
      <c r="K9" s="54">
        <v>0</v>
      </c>
      <c r="L9" s="36">
        <f t="shared" si="0"/>
        <v>0.1075</v>
      </c>
      <c r="M9"/>
    </row>
    <row r="10" spans="1:13" ht="29" customHeight="1" x14ac:dyDescent="0.15">
      <c r="A10" s="22">
        <v>41850</v>
      </c>
      <c r="B10" s="31">
        <f>(10+10+10+10+9+10+10+10+10)</f>
        <v>89</v>
      </c>
      <c r="C10" s="31">
        <f>(10+10+10+5+10)</f>
        <v>45</v>
      </c>
      <c r="D10" s="31">
        <f>10+2+10+10</f>
        <v>32</v>
      </c>
      <c r="E10" s="31">
        <f>10+6+5+5+6+5</f>
        <v>37</v>
      </c>
      <c r="F10" s="32">
        <f>(10+10+5+3+8+0)</f>
        <v>36</v>
      </c>
      <c r="G10" s="32">
        <f>10+9</f>
        <v>19</v>
      </c>
      <c r="H10" s="32">
        <f>(10+8+8)</f>
        <v>26</v>
      </c>
      <c r="I10" s="32">
        <f>10+9</f>
        <v>19</v>
      </c>
      <c r="J10" s="32">
        <f>10+10+0+7</f>
        <v>27</v>
      </c>
      <c r="K10" s="54">
        <v>28.5</v>
      </c>
      <c r="L10" s="36">
        <f t="shared" si="0"/>
        <v>0.82972222222222225</v>
      </c>
      <c r="M10"/>
    </row>
    <row r="11" spans="1:13" ht="29" customHeight="1" x14ac:dyDescent="0.15">
      <c r="A11" s="22">
        <v>42057</v>
      </c>
      <c r="B11" s="31">
        <f>(10+10+10+10+9+10+10+10+10)</f>
        <v>89</v>
      </c>
      <c r="C11" s="31">
        <f>(10+7+10+10+10)</f>
        <v>47</v>
      </c>
      <c r="D11" s="31">
        <f>9+10+10+10</f>
        <v>39</v>
      </c>
      <c r="E11" s="31">
        <f>(10+4+0+0+9+10)</f>
        <v>33</v>
      </c>
      <c r="F11" s="32">
        <f>(5+10+5+5+10+0)</f>
        <v>35</v>
      </c>
      <c r="G11" s="32">
        <f>10+9</f>
        <v>19</v>
      </c>
      <c r="H11" s="32">
        <v>0</v>
      </c>
      <c r="I11" s="32">
        <v>0</v>
      </c>
      <c r="J11" s="32">
        <f>7+10+10+10</f>
        <v>37</v>
      </c>
      <c r="K11" s="54">
        <v>26</v>
      </c>
      <c r="L11" s="36">
        <f t="shared" si="0"/>
        <v>0.67788888888888876</v>
      </c>
      <c r="M11"/>
    </row>
    <row r="12" spans="1:13" ht="29" customHeight="1" x14ac:dyDescent="0.15">
      <c r="A12" s="22">
        <v>43868</v>
      </c>
      <c r="B12" s="31">
        <f>(9+10+10+10+9+10+0+10+10)</f>
        <v>78</v>
      </c>
      <c r="C12" s="31">
        <f>(10+10+2+5+10)</f>
        <v>37</v>
      </c>
      <c r="D12" s="31">
        <f>10+5+6+4</f>
        <v>25</v>
      </c>
      <c r="E12" s="31">
        <f>0+0+0+0+0+0</f>
        <v>0</v>
      </c>
      <c r="F12" s="32">
        <f>10+10+5+0+0+0</f>
        <v>25</v>
      </c>
      <c r="G12" s="32">
        <f>10+9</f>
        <v>19</v>
      </c>
      <c r="H12" s="32">
        <f>0+0+0</f>
        <v>0</v>
      </c>
      <c r="I12" s="32">
        <f>0</f>
        <v>0</v>
      </c>
      <c r="J12" s="32">
        <f>10+10+10+6</f>
        <v>36</v>
      </c>
      <c r="K12" s="54">
        <v>0</v>
      </c>
      <c r="L12" s="36">
        <f t="shared" si="0"/>
        <v>0.44983333333333331</v>
      </c>
      <c r="M12"/>
    </row>
    <row r="13" spans="1:13" ht="29" customHeight="1" x14ac:dyDescent="0.15">
      <c r="A13" s="22">
        <v>46234</v>
      </c>
      <c r="B13" s="31">
        <v>0</v>
      </c>
      <c r="C13" s="31">
        <f>(10+10+2+1+0)</f>
        <v>23</v>
      </c>
      <c r="D13" s="31">
        <f>(0+0+7+0)</f>
        <v>7</v>
      </c>
      <c r="E13" s="31">
        <f>1+0+0+0+0+0</f>
        <v>1</v>
      </c>
      <c r="F13" s="32">
        <f>10+0+2+0+0+0</f>
        <v>12</v>
      </c>
      <c r="G13" s="32">
        <f>10+0</f>
        <v>10</v>
      </c>
      <c r="H13" s="32">
        <f>9+0+0</f>
        <v>9</v>
      </c>
      <c r="I13" s="32">
        <f>7+0</f>
        <v>7</v>
      </c>
      <c r="J13" s="32">
        <v>0</v>
      </c>
      <c r="K13" s="54">
        <v>0</v>
      </c>
      <c r="L13" s="36">
        <f t="shared" si="0"/>
        <v>0.20016666666666669</v>
      </c>
      <c r="M13"/>
    </row>
    <row r="14" spans="1:13" s="6" customFormat="1" ht="29" customHeight="1" x14ac:dyDescent="0.15">
      <c r="A14" s="22">
        <v>48461</v>
      </c>
      <c r="B14" s="31">
        <f>(10+10+10+10+7+10+10+10+10)</f>
        <v>87</v>
      </c>
      <c r="C14" s="31">
        <f>(10+10+10+9+10)</f>
        <v>49</v>
      </c>
      <c r="D14" s="31">
        <f>10+10+10+10</f>
        <v>40</v>
      </c>
      <c r="E14" s="31">
        <f>10+7+7+10+9+10</f>
        <v>53</v>
      </c>
      <c r="F14" s="32">
        <f>(10+0+10+10+10+10)</f>
        <v>50</v>
      </c>
      <c r="G14" s="32">
        <f>(10+8)</f>
        <v>18</v>
      </c>
      <c r="H14" s="32">
        <f>9+10+10</f>
        <v>29</v>
      </c>
      <c r="I14" s="32">
        <f>10+10</f>
        <v>20</v>
      </c>
      <c r="J14" s="32">
        <f>10+10+10+10</f>
        <v>40</v>
      </c>
      <c r="K14" s="54">
        <v>25.5</v>
      </c>
      <c r="L14" s="36">
        <f t="shared" si="0"/>
        <v>0.93800000000000006</v>
      </c>
    </row>
    <row r="15" spans="1:13" ht="29" customHeight="1" x14ac:dyDescent="0.15">
      <c r="A15" s="22">
        <v>48462</v>
      </c>
      <c r="B15" s="31">
        <f>(10+10+10+10+10+10+10+10+10)</f>
        <v>90</v>
      </c>
      <c r="C15" s="31">
        <f>(10+10+10+9+10)</f>
        <v>49</v>
      </c>
      <c r="D15" s="31">
        <f>10+10+10+10</f>
        <v>40</v>
      </c>
      <c r="E15" s="31">
        <f>(10+8+8+10+9+9)</f>
        <v>54</v>
      </c>
      <c r="F15" s="32">
        <f>(10+10+10+10+10+10)</f>
        <v>60</v>
      </c>
      <c r="G15" s="32">
        <f>10+8</f>
        <v>18</v>
      </c>
      <c r="H15" s="32">
        <f>9+9+10</f>
        <v>28</v>
      </c>
      <c r="I15" s="32">
        <f>10+9.5</f>
        <v>19.5</v>
      </c>
      <c r="J15" s="32">
        <f>10+10+10+10</f>
        <v>40</v>
      </c>
      <c r="K15" s="54">
        <v>24</v>
      </c>
      <c r="L15" s="36">
        <f t="shared" si="0"/>
        <v>0.94883333333333331</v>
      </c>
      <c r="M15"/>
    </row>
    <row r="16" spans="1:13" ht="29" customHeight="1" x14ac:dyDescent="0.15">
      <c r="A16" s="22">
        <v>48666</v>
      </c>
      <c r="B16" s="31">
        <f>(9+10+10+10+9+10+5+10+10)</f>
        <v>83</v>
      </c>
      <c r="C16" s="31">
        <f>(10+10+10+5+10)</f>
        <v>45</v>
      </c>
      <c r="D16" s="31">
        <f>9+5+10+2</f>
        <v>26</v>
      </c>
      <c r="E16" s="31">
        <f>10+7+5+5+0+0</f>
        <v>27</v>
      </c>
      <c r="F16" s="32">
        <f>10+8+5+4+1+0</f>
        <v>28</v>
      </c>
      <c r="G16" s="32">
        <f>10+10</f>
        <v>20</v>
      </c>
      <c r="H16" s="32">
        <f>4+4+4</f>
        <v>12</v>
      </c>
      <c r="I16" s="32">
        <f>10+10</f>
        <v>20</v>
      </c>
      <c r="J16" s="32">
        <f>6+6+3+6</f>
        <v>21</v>
      </c>
      <c r="K16" s="54">
        <v>15</v>
      </c>
      <c r="L16" s="36">
        <f t="shared" si="0"/>
        <v>0.68138888888888904</v>
      </c>
      <c r="M16"/>
    </row>
    <row r="17" spans="1:13" ht="29" customHeight="1" x14ac:dyDescent="0.15">
      <c r="A17" s="22">
        <v>50098</v>
      </c>
      <c r="B17" s="31">
        <v>0</v>
      </c>
      <c r="C17" s="31">
        <f>(10+10+10+5+0)</f>
        <v>35</v>
      </c>
      <c r="D17" s="31">
        <f>6+1+0+0</f>
        <v>7</v>
      </c>
      <c r="E17" s="31">
        <f>8+0+0+0+0+0</f>
        <v>8</v>
      </c>
      <c r="F17" s="32">
        <f>10+5+10+0+0+0</f>
        <v>25</v>
      </c>
      <c r="G17" s="32">
        <f>0</f>
        <v>0</v>
      </c>
      <c r="H17" s="32">
        <f>0</f>
        <v>0</v>
      </c>
      <c r="I17" s="32">
        <v>0</v>
      </c>
      <c r="J17" s="32">
        <f>8+0+0+0</f>
        <v>8</v>
      </c>
      <c r="K17" s="54">
        <v>0</v>
      </c>
      <c r="L17" s="36">
        <f t="shared" si="0"/>
        <v>0.16250000000000001</v>
      </c>
      <c r="M17"/>
    </row>
    <row r="18" spans="1:13" ht="29" customHeight="1" x14ac:dyDescent="0.15">
      <c r="A18" s="22">
        <v>50108</v>
      </c>
      <c r="B18" s="31">
        <f>10+8+10+10+9+10+7+10+10</f>
        <v>84</v>
      </c>
      <c r="C18" s="31">
        <f>(10+10+2+5+10)</f>
        <v>37</v>
      </c>
      <c r="D18" s="31">
        <f>9+4+9+0</f>
        <v>22</v>
      </c>
      <c r="E18" s="31">
        <f>10+5+0+0+0+0</f>
        <v>15</v>
      </c>
      <c r="F18" s="32">
        <f>(10+6+9+6+0+0)</f>
        <v>31</v>
      </c>
      <c r="G18" s="32">
        <f>(10+0)</f>
        <v>10</v>
      </c>
      <c r="H18" s="32">
        <f>8+0+0</f>
        <v>8</v>
      </c>
      <c r="I18" s="32">
        <f>10+0</f>
        <v>10</v>
      </c>
      <c r="J18" s="32">
        <f>10+10+0+0</f>
        <v>20</v>
      </c>
      <c r="K18" s="54">
        <v>0</v>
      </c>
      <c r="L18" s="36">
        <f t="shared" si="0"/>
        <v>0.47566666666666668</v>
      </c>
      <c r="M18"/>
    </row>
    <row r="19" spans="1:13" ht="29" customHeight="1" x14ac:dyDescent="0.15">
      <c r="A19" s="22">
        <v>50925</v>
      </c>
      <c r="B19" s="31">
        <f>(10+10+10+0+0+0+0+0+0)</f>
        <v>30</v>
      </c>
      <c r="C19" s="31">
        <f>(0+0+0+0+0)</f>
        <v>0</v>
      </c>
      <c r="D19" s="31">
        <f>(6+1+0+0)</f>
        <v>7</v>
      </c>
      <c r="E19" s="31">
        <f t="shared" ref="E19:F20" si="1">0+0+0+0+0+0</f>
        <v>0</v>
      </c>
      <c r="F19" s="32">
        <f t="shared" si="1"/>
        <v>0</v>
      </c>
      <c r="G19" s="32">
        <f>0+0</f>
        <v>0</v>
      </c>
      <c r="H19" s="32">
        <v>0</v>
      </c>
      <c r="I19" s="32">
        <f>6+5</f>
        <v>11</v>
      </c>
      <c r="J19" s="32">
        <f>6+0+0+0</f>
        <v>6</v>
      </c>
      <c r="K19" s="54">
        <v>4</v>
      </c>
      <c r="L19" s="36">
        <f t="shared" si="0"/>
        <v>0.13416666666666666</v>
      </c>
      <c r="M19"/>
    </row>
    <row r="20" spans="1:13" ht="29" customHeight="1" x14ac:dyDescent="0.15">
      <c r="A20" s="22">
        <v>52252</v>
      </c>
      <c r="B20" s="31">
        <f>(10+10+10+5+1+6+7+0+0)</f>
        <v>49</v>
      </c>
      <c r="C20" s="31">
        <f>(8+10+2+8+0)</f>
        <v>28</v>
      </c>
      <c r="D20" s="31">
        <f>(0+0+0+0)</f>
        <v>0</v>
      </c>
      <c r="E20" s="31">
        <f t="shared" si="1"/>
        <v>0</v>
      </c>
      <c r="F20" s="32">
        <f t="shared" si="1"/>
        <v>0</v>
      </c>
      <c r="G20" s="32">
        <f>10+10</f>
        <v>20</v>
      </c>
      <c r="H20" s="32">
        <f>10+8+0</f>
        <v>18</v>
      </c>
      <c r="I20" s="32">
        <v>0</v>
      </c>
      <c r="J20" s="32">
        <f>6+1+0+0</f>
        <v>7</v>
      </c>
      <c r="K20" s="54">
        <v>0</v>
      </c>
      <c r="L20" s="36">
        <f t="shared" si="0"/>
        <v>0.28794444444444445</v>
      </c>
      <c r="M20"/>
    </row>
    <row r="21" spans="1:13" ht="29" customHeight="1" x14ac:dyDescent="0.15">
      <c r="A21" s="22">
        <v>53915</v>
      </c>
      <c r="B21" s="31">
        <f>(10+10+10+10+9+10+10+10+10)</f>
        <v>89</v>
      </c>
      <c r="C21" s="31">
        <f>(10+10+10+10+10)</f>
        <v>50</v>
      </c>
      <c r="D21" s="31">
        <f>(10+10+10+1)</f>
        <v>31</v>
      </c>
      <c r="E21" s="31">
        <f>10+7+5+5+9+5</f>
        <v>41</v>
      </c>
      <c r="F21" s="32">
        <f>7+7+5+10+0+2</f>
        <v>31</v>
      </c>
      <c r="G21" s="32">
        <f>10+10</f>
        <v>20</v>
      </c>
      <c r="H21" s="32">
        <f>8+10+10</f>
        <v>28</v>
      </c>
      <c r="I21" s="32">
        <f>10+8</f>
        <v>18</v>
      </c>
      <c r="J21" s="32">
        <f>10+10+10+10</f>
        <v>40</v>
      </c>
      <c r="K21" s="54">
        <v>15</v>
      </c>
      <c r="L21" s="36">
        <f t="shared" si="0"/>
        <v>0.82972222222222225</v>
      </c>
      <c r="M21"/>
    </row>
    <row r="22" spans="1:13" ht="29" customHeight="1" x14ac:dyDescent="0.15">
      <c r="A22" s="22">
        <v>56433</v>
      </c>
      <c r="B22" s="31">
        <f>(9+10+10+10+9+8+10+10+10)</f>
        <v>86</v>
      </c>
      <c r="C22" s="31">
        <f>(10+10+10+5+5)</f>
        <v>40</v>
      </c>
      <c r="D22" s="31">
        <f>9+10+8+5</f>
        <v>32</v>
      </c>
      <c r="E22" s="31">
        <f>10+4+1+1+0+0</f>
        <v>16</v>
      </c>
      <c r="F22" s="32">
        <f>4+4+3+2+8+0</f>
        <v>21</v>
      </c>
      <c r="G22" s="32">
        <f>10+7</f>
        <v>17</v>
      </c>
      <c r="H22" s="32">
        <f>5+8+7</f>
        <v>20</v>
      </c>
      <c r="I22" s="32">
        <f>10+10</f>
        <v>20</v>
      </c>
      <c r="J22" s="32">
        <f>8+8+8+7</f>
        <v>31</v>
      </c>
      <c r="K22" s="54">
        <v>18</v>
      </c>
      <c r="L22" s="36">
        <f t="shared" si="0"/>
        <v>0.70638888888888896</v>
      </c>
      <c r="M22"/>
    </row>
    <row r="23" spans="1:13" ht="29" customHeight="1" x14ac:dyDescent="0.15">
      <c r="A23" s="22">
        <v>58506</v>
      </c>
      <c r="B23" s="31">
        <f>(10+10+10+10+9+10+10+10+10)</f>
        <v>89</v>
      </c>
      <c r="C23" s="31">
        <f>(10+0+0+0+0)</f>
        <v>10</v>
      </c>
      <c r="D23" s="31">
        <f>0+0+7+0</f>
        <v>7</v>
      </c>
      <c r="E23" s="31">
        <f>0+0+0+0+0+0</f>
        <v>0</v>
      </c>
      <c r="F23" s="32">
        <f>0+0+0+0+0+0</f>
        <v>0</v>
      </c>
      <c r="G23" s="32">
        <f>10+10</f>
        <v>20</v>
      </c>
      <c r="H23" s="32">
        <f>9+8+7</f>
        <v>24</v>
      </c>
      <c r="I23" s="32">
        <f>7+5</f>
        <v>12</v>
      </c>
      <c r="J23" s="32">
        <f>0</f>
        <v>0</v>
      </c>
      <c r="K23" s="54">
        <v>0</v>
      </c>
      <c r="L23" s="36">
        <f t="shared" si="0"/>
        <v>0.37638888888888888</v>
      </c>
      <c r="M23"/>
    </row>
    <row r="24" spans="1:13" ht="29" customHeight="1" x14ac:dyDescent="0.15">
      <c r="A24" s="22">
        <v>59392</v>
      </c>
      <c r="B24" s="31">
        <f>(10+8+10+8+9+8+7+10+10)</f>
        <v>80</v>
      </c>
      <c r="C24" s="31">
        <f>(10+10+10+5+10)</f>
        <v>45</v>
      </c>
      <c r="D24" s="31">
        <f>(9+4+8+4)</f>
        <v>25</v>
      </c>
      <c r="E24" s="31">
        <f>9+9+0+0+0+0+0</f>
        <v>18</v>
      </c>
      <c r="F24" s="32">
        <f>9+5+10+0+0+0</f>
        <v>24</v>
      </c>
      <c r="G24" s="32">
        <f>10+10</f>
        <v>20</v>
      </c>
      <c r="H24" s="32">
        <f>7+0+0</f>
        <v>7</v>
      </c>
      <c r="I24" s="32">
        <f>10+5</f>
        <v>15</v>
      </c>
      <c r="J24" s="32">
        <f>6+6+0+5</f>
        <v>17</v>
      </c>
      <c r="K24" s="54">
        <v>0</v>
      </c>
      <c r="L24" s="36">
        <f t="shared" si="0"/>
        <v>0.55222222222222217</v>
      </c>
      <c r="M24"/>
    </row>
    <row r="25" spans="1:13" ht="29" customHeight="1" x14ac:dyDescent="0.15">
      <c r="A25" s="22">
        <v>61767</v>
      </c>
      <c r="B25" s="31">
        <f>(10+10+10+10+10+8+6+8+3)</f>
        <v>75</v>
      </c>
      <c r="C25" s="31">
        <f>(10+10+0+0+0)</f>
        <v>20</v>
      </c>
      <c r="D25" s="31">
        <f>(8+0+0+0)</f>
        <v>8</v>
      </c>
      <c r="E25" s="31">
        <f>9+0+0+0+0+0</f>
        <v>9</v>
      </c>
      <c r="F25" s="32">
        <f>4+3+10+0+0+0</f>
        <v>17</v>
      </c>
      <c r="G25" s="32">
        <f>10+0</f>
        <v>10</v>
      </c>
      <c r="H25" s="32">
        <f>0</f>
        <v>0</v>
      </c>
      <c r="I25" s="32">
        <v>0</v>
      </c>
      <c r="J25" s="32">
        <v>0</v>
      </c>
      <c r="K25" s="54">
        <v>0</v>
      </c>
      <c r="L25" s="36">
        <f t="shared" si="0"/>
        <v>0.23666666666666666</v>
      </c>
      <c r="M25"/>
    </row>
    <row r="26" spans="1:13" ht="29" customHeight="1" x14ac:dyDescent="0.15">
      <c r="A26" s="22">
        <v>62166</v>
      </c>
      <c r="B26" s="31">
        <f>(10+10+10+10+9+7+10+5+10)</f>
        <v>81</v>
      </c>
      <c r="C26" s="31">
        <f>(10+7+10+5+10)</f>
        <v>42</v>
      </c>
      <c r="D26" s="31">
        <f>8+0+0+0</f>
        <v>8</v>
      </c>
      <c r="E26" s="31">
        <f>10+5+5+0+0+9</f>
        <v>29</v>
      </c>
      <c r="F26" s="32">
        <f>10+5+7+2+0+0</f>
        <v>24</v>
      </c>
      <c r="G26" s="32">
        <f>10+5</f>
        <v>15</v>
      </c>
      <c r="H26" s="32">
        <f>5+3.5+0</f>
        <v>8.5</v>
      </c>
      <c r="I26" s="32">
        <f>10+8</f>
        <v>18</v>
      </c>
      <c r="J26" s="32">
        <f>10+10+0+8</f>
        <v>28</v>
      </c>
      <c r="K26" s="54">
        <v>8</v>
      </c>
      <c r="L26" s="36">
        <f t="shared" si="0"/>
        <v>0.57233333333333336</v>
      </c>
      <c r="M26"/>
    </row>
    <row r="27" spans="1:13" ht="29" customHeight="1" x14ac:dyDescent="0.15">
      <c r="A27" s="22">
        <v>62943</v>
      </c>
      <c r="B27" s="31">
        <f>(10+10+10+10+9+8+0+8+0)</f>
        <v>65</v>
      </c>
      <c r="C27" s="31">
        <f>(0+0+0+0+0)</f>
        <v>0</v>
      </c>
      <c r="D27" s="31">
        <f>5+0+8+0</f>
        <v>13</v>
      </c>
      <c r="E27" s="31">
        <f>10+0+0+0+0+0</f>
        <v>10</v>
      </c>
      <c r="F27" s="32">
        <f>10+4+10+0+0+0</f>
        <v>24</v>
      </c>
      <c r="G27" s="32">
        <f>10+0</f>
        <v>10</v>
      </c>
      <c r="H27" s="32">
        <f>4+3+0</f>
        <v>7</v>
      </c>
      <c r="I27" s="32">
        <f>6+0</f>
        <v>6</v>
      </c>
      <c r="J27" s="32">
        <f>7+3+0+0</f>
        <v>10</v>
      </c>
      <c r="K27" s="54">
        <v>0</v>
      </c>
      <c r="L27" s="36">
        <f t="shared" si="0"/>
        <v>0.28972222222222221</v>
      </c>
      <c r="M27"/>
    </row>
    <row r="28" spans="1:13" ht="29" customHeight="1" x14ac:dyDescent="0.15">
      <c r="A28" s="22">
        <v>64244</v>
      </c>
      <c r="B28" s="31">
        <f>(9+10+10+6+10+8+7+10+10)</f>
        <v>80</v>
      </c>
      <c r="C28" s="31">
        <f>(10+10+10+5+7)</f>
        <v>42</v>
      </c>
      <c r="D28" s="31">
        <f>6+0+9+0</f>
        <v>15</v>
      </c>
      <c r="E28" s="31">
        <f>(3+6+0+0+0+0)</f>
        <v>9</v>
      </c>
      <c r="F28" s="32">
        <f>(9+5+10+0+0+0)</f>
        <v>24</v>
      </c>
      <c r="G28" s="32">
        <f>10+5</f>
        <v>15</v>
      </c>
      <c r="H28" s="32">
        <f>7+0+0</f>
        <v>7</v>
      </c>
      <c r="I28" s="32">
        <f>10+9</f>
        <v>19</v>
      </c>
      <c r="J28" s="32">
        <f>7+3+0+0</f>
        <v>10</v>
      </c>
      <c r="K28" s="54">
        <v>0</v>
      </c>
      <c r="L28" s="36">
        <f t="shared" si="0"/>
        <v>0.48372222222222216</v>
      </c>
      <c r="M28"/>
    </row>
    <row r="29" spans="1:13" ht="29" customHeight="1" x14ac:dyDescent="0.15">
      <c r="A29" s="22">
        <v>64826</v>
      </c>
      <c r="B29" s="31">
        <f>(0+0+0+0+0)</f>
        <v>0</v>
      </c>
      <c r="C29" s="31">
        <f>(0+0+0+0+0)</f>
        <v>0</v>
      </c>
      <c r="D29" s="31">
        <f>(0+0+0+0)</f>
        <v>0</v>
      </c>
      <c r="E29" s="31">
        <f>0+0+0+0+0+0</f>
        <v>0</v>
      </c>
      <c r="F29" s="32">
        <f>0+0+0+0+0+0</f>
        <v>0</v>
      </c>
      <c r="G29" s="32">
        <v>0</v>
      </c>
      <c r="H29" s="32">
        <f>0+0+0</f>
        <v>0</v>
      </c>
      <c r="I29" s="32">
        <f>0</f>
        <v>0</v>
      </c>
      <c r="J29" s="32">
        <f>0</f>
        <v>0</v>
      </c>
      <c r="K29" s="54">
        <v>0</v>
      </c>
      <c r="L29" s="36">
        <f t="shared" si="0"/>
        <v>0</v>
      </c>
      <c r="M29"/>
    </row>
    <row r="30" spans="1:13" ht="29" customHeight="1" x14ac:dyDescent="0.15">
      <c r="A30" s="22">
        <v>65878</v>
      </c>
      <c r="B30" s="31">
        <f>(10+10+10+10+9+10+5+10+10)</f>
        <v>84</v>
      </c>
      <c r="C30" s="31">
        <f>(10+10+10+5+5)</f>
        <v>40</v>
      </c>
      <c r="D30" s="31">
        <f>6+0+7+0</f>
        <v>13</v>
      </c>
      <c r="E30" s="31">
        <f>10+6+5+4+2+0</f>
        <v>27</v>
      </c>
      <c r="F30" s="32">
        <f>10+10+5+4+1+4</f>
        <v>34</v>
      </c>
      <c r="G30" s="32">
        <f>10+10</f>
        <v>20</v>
      </c>
      <c r="H30" s="32">
        <f>9+6.5+5</f>
        <v>20.5</v>
      </c>
      <c r="I30" s="32">
        <f>10+6</f>
        <v>16</v>
      </c>
      <c r="J30" s="32">
        <f>6+6+3+5</f>
        <v>20</v>
      </c>
      <c r="K30" s="54">
        <v>15</v>
      </c>
      <c r="L30" s="36">
        <f t="shared" si="0"/>
        <v>0.65583333333333338</v>
      </c>
      <c r="M30"/>
    </row>
    <row r="31" spans="1:13" ht="29" customHeight="1" x14ac:dyDescent="0.15">
      <c r="A31" s="22">
        <v>65882</v>
      </c>
      <c r="B31" s="31">
        <f>10+8+10+10+10+8+10+10+10</f>
        <v>86</v>
      </c>
      <c r="C31" s="31">
        <f>(10+10+10+10+10)</f>
        <v>50</v>
      </c>
      <c r="D31" s="31">
        <f>(10+10+10+10)</f>
        <v>40</v>
      </c>
      <c r="E31" s="31">
        <f>10+10+10+10+10+10</f>
        <v>60</v>
      </c>
      <c r="F31" s="32">
        <f>(10+8+10+10+10+9)</f>
        <v>57</v>
      </c>
      <c r="G31" s="32">
        <f>10+10</f>
        <v>20</v>
      </c>
      <c r="H31" s="32">
        <f>10+10+10</f>
        <v>30</v>
      </c>
      <c r="I31" s="32">
        <f>10+10</f>
        <v>20</v>
      </c>
      <c r="J31" s="32">
        <f>10+10+10+10</f>
        <v>40</v>
      </c>
      <c r="K31" s="54">
        <v>30</v>
      </c>
      <c r="L31" s="36">
        <f t="shared" si="0"/>
        <v>0.99055555555555552</v>
      </c>
      <c r="M31"/>
    </row>
    <row r="32" spans="1:13" ht="29" customHeight="1" x14ac:dyDescent="0.15">
      <c r="A32" s="22">
        <v>98422</v>
      </c>
      <c r="B32" s="31">
        <f>(10+10+10+10+9+10+10+10+10)</f>
        <v>89</v>
      </c>
      <c r="C32" s="31">
        <f>(10+10+10+10+10)</f>
        <v>50</v>
      </c>
      <c r="D32" s="31">
        <f>10+10+10+8</f>
        <v>38</v>
      </c>
      <c r="E32" s="31">
        <f>10+9+9+10+10+10</f>
        <v>58</v>
      </c>
      <c r="F32" s="32">
        <f>10+10+10+10+10+10</f>
        <v>60</v>
      </c>
      <c r="G32" s="32">
        <f>10+10</f>
        <v>20</v>
      </c>
      <c r="H32" s="32">
        <f>10+10+10</f>
        <v>30</v>
      </c>
      <c r="I32" s="32">
        <f>10+10</f>
        <v>20</v>
      </c>
      <c r="J32" s="32">
        <f>10+10+10+10</f>
        <v>40</v>
      </c>
      <c r="K32" s="54">
        <v>22</v>
      </c>
      <c r="L32" s="36">
        <f t="shared" si="0"/>
        <v>0.9638888888888888</v>
      </c>
      <c r="M32"/>
    </row>
    <row r="33" spans="1:13" ht="29" customHeight="1" x14ac:dyDescent="0.15">
      <c r="A33" s="22">
        <v>98812</v>
      </c>
      <c r="B33" s="31">
        <f>(10+10+10+7+0+0+0+0+0)</f>
        <v>37</v>
      </c>
      <c r="C33" s="31">
        <f>(10+10+10+0+5)</f>
        <v>35</v>
      </c>
      <c r="D33" s="31">
        <f>6+0+3+0</f>
        <v>9</v>
      </c>
      <c r="E33" s="31">
        <f>(0+0+0+0+0+0)</f>
        <v>0</v>
      </c>
      <c r="F33" s="32">
        <f>9+10+0+0+0+0</f>
        <v>19</v>
      </c>
      <c r="G33" s="32">
        <f>(7+0)</f>
        <v>7</v>
      </c>
      <c r="H33" s="32">
        <v>0</v>
      </c>
      <c r="I33" s="32">
        <v>0</v>
      </c>
      <c r="J33" s="32">
        <v>0</v>
      </c>
      <c r="K33" s="54">
        <v>0</v>
      </c>
      <c r="L33" s="36">
        <f t="shared" si="0"/>
        <v>0.20027777777777778</v>
      </c>
      <c r="M33"/>
    </row>
    <row r="34" spans="1:13" ht="29" customHeight="1" x14ac:dyDescent="0.15">
      <c r="A34" s="24"/>
      <c r="B34" s="22"/>
      <c r="C34" s="23"/>
      <c r="D34" s="2"/>
      <c r="E34" s="2"/>
      <c r="F34" s="2"/>
      <c r="G34" s="2"/>
      <c r="H34" s="2"/>
      <c r="I34" s="2"/>
      <c r="J34" s="2"/>
      <c r="K34" s="2"/>
      <c r="L34" s="2"/>
    </row>
    <row r="35" spans="1:13" ht="29" customHeight="1" x14ac:dyDescent="0.15">
      <c r="A35" s="16" t="s">
        <v>13</v>
      </c>
      <c r="B35" s="37">
        <v>90</v>
      </c>
      <c r="C35" s="38">
        <v>50</v>
      </c>
      <c r="D35" s="38">
        <v>40</v>
      </c>
      <c r="E35" s="38">
        <v>60</v>
      </c>
      <c r="F35" s="38">
        <v>60</v>
      </c>
      <c r="G35" s="38">
        <v>20</v>
      </c>
      <c r="H35" s="38">
        <v>30</v>
      </c>
      <c r="I35" s="38">
        <v>20</v>
      </c>
      <c r="J35" s="38">
        <v>40</v>
      </c>
      <c r="K35" s="38">
        <v>30</v>
      </c>
      <c r="L35" s="39">
        <v>1</v>
      </c>
      <c r="M35"/>
    </row>
    <row r="36" spans="1:13" ht="29" customHeight="1" x14ac:dyDescent="0.15">
      <c r="A36" s="17" t="s">
        <v>14</v>
      </c>
      <c r="B36" s="40">
        <f t="shared" ref="B36:G36" si="2">AVERAGE(B$3:B$33)</f>
        <v>69.129032258064512</v>
      </c>
      <c r="C36" s="40">
        <f t="shared" si="2"/>
        <v>33.516129032258064</v>
      </c>
      <c r="D36" s="40">
        <f t="shared" si="2"/>
        <v>20.93548387096774</v>
      </c>
      <c r="E36" s="40">
        <f t="shared" si="2"/>
        <v>21.70967741935484</v>
      </c>
      <c r="F36" s="40">
        <f t="shared" si="2"/>
        <v>26.225806451612904</v>
      </c>
      <c r="G36" s="40">
        <f t="shared" si="2"/>
        <v>14</v>
      </c>
      <c r="H36" s="40">
        <f t="shared" ref="H36:L36" si="3">AVERAGE(H$3:H$33)</f>
        <v>13</v>
      </c>
      <c r="I36" s="40">
        <f t="shared" si="3"/>
        <v>11.403225806451612</v>
      </c>
      <c r="J36" s="40">
        <f>AVERAGE(J$3:J$33)</f>
        <v>20.322580645161292</v>
      </c>
      <c r="K36" s="40">
        <f t="shared" si="3"/>
        <v>10.32258064516129</v>
      </c>
      <c r="L36" s="40">
        <f t="shared" si="3"/>
        <v>0.53163799283154123</v>
      </c>
      <c r="M36"/>
    </row>
    <row r="37" spans="1:13" ht="29" customHeight="1" x14ac:dyDescent="0.15">
      <c r="A37" s="18" t="s">
        <v>15</v>
      </c>
      <c r="B37" s="40">
        <f t="shared" ref="B37:G37" si="4">STDEV(B$3:B$33)</f>
        <v>27.764175881260925</v>
      </c>
      <c r="C37" s="40">
        <f t="shared" si="4"/>
        <v>17.740482833981599</v>
      </c>
      <c r="D37" s="40">
        <f t="shared" si="4"/>
        <v>13.901883526752693</v>
      </c>
      <c r="E37" s="40">
        <f t="shared" si="4"/>
        <v>21.089007481603769</v>
      </c>
      <c r="F37" s="40">
        <f t="shared" si="4"/>
        <v>19.882504331563055</v>
      </c>
      <c r="G37" s="40">
        <f t="shared" si="4"/>
        <v>7.4565407529228995</v>
      </c>
      <c r="H37" s="40">
        <f t="shared" ref="H37:L37" si="5">STDEV(H$3:H$33)</f>
        <v>11.77497346069196</v>
      </c>
      <c r="I37" s="40">
        <f t="shared" si="5"/>
        <v>8.4561805354020105</v>
      </c>
      <c r="J37" s="40">
        <f>STDEV(J$3:J$33)</f>
        <v>15.795330737856665</v>
      </c>
      <c r="K37" s="40">
        <f t="shared" si="5"/>
        <v>11.560383779022199</v>
      </c>
      <c r="L37" s="40">
        <f t="shared" si="5"/>
        <v>0.30728397707339505</v>
      </c>
      <c r="M37"/>
    </row>
    <row r="38" spans="1:13" ht="29" customHeight="1" x14ac:dyDescent="0.15">
      <c r="A38" s="18" t="s">
        <v>16</v>
      </c>
      <c r="B38" s="40">
        <f t="shared" ref="B38:G38" si="6">MEDIAN(B$3:B$33)</f>
        <v>81</v>
      </c>
      <c r="C38" s="40">
        <f t="shared" si="6"/>
        <v>40</v>
      </c>
      <c r="D38" s="40">
        <f t="shared" si="6"/>
        <v>22</v>
      </c>
      <c r="E38" s="40">
        <f t="shared" si="6"/>
        <v>16</v>
      </c>
      <c r="F38" s="40">
        <f t="shared" si="6"/>
        <v>24</v>
      </c>
      <c r="G38" s="40">
        <f t="shared" si="6"/>
        <v>18</v>
      </c>
      <c r="H38" s="40">
        <f t="shared" ref="H38:L38" si="7">MEDIAN(H$3:H$33)</f>
        <v>9</v>
      </c>
      <c r="I38" s="40">
        <f t="shared" si="7"/>
        <v>15</v>
      </c>
      <c r="J38" s="40">
        <f>MEDIAN(J$3:J$33)</f>
        <v>20</v>
      </c>
      <c r="K38" s="40">
        <f t="shared" si="7"/>
        <v>4</v>
      </c>
      <c r="L38" s="40">
        <f t="shared" si="7"/>
        <v>0.48372222222222216</v>
      </c>
      <c r="M38"/>
    </row>
    <row r="39" spans="1:13" ht="29" customHeight="1" x14ac:dyDescent="0.15">
      <c r="A39" s="19" t="s">
        <v>17</v>
      </c>
      <c r="B39" s="41">
        <f t="shared" ref="B39:G39" si="8">IF(SUM(B3:B33)&gt;0,1,0)</f>
        <v>1</v>
      </c>
      <c r="C39" s="41">
        <f t="shared" si="8"/>
        <v>1</v>
      </c>
      <c r="D39" s="41">
        <f t="shared" si="8"/>
        <v>1</v>
      </c>
      <c r="E39" s="41">
        <f t="shared" si="8"/>
        <v>1</v>
      </c>
      <c r="F39" s="41">
        <f t="shared" si="8"/>
        <v>1</v>
      </c>
      <c r="G39" s="41">
        <f t="shared" si="8"/>
        <v>1</v>
      </c>
      <c r="H39" s="41">
        <f t="shared" ref="H39:J39" si="9">IF(SUM(H3:H33)&gt;0,1,0)</f>
        <v>1</v>
      </c>
      <c r="I39" s="41">
        <f t="shared" si="9"/>
        <v>1</v>
      </c>
      <c r="J39" s="41">
        <f t="shared" si="9"/>
        <v>1</v>
      </c>
      <c r="K39" s="41">
        <f>IF(SUM(K3:K33)&gt;0,1,0)</f>
        <v>1</v>
      </c>
      <c r="L39" s="38"/>
      <c r="M39"/>
    </row>
    <row r="40" spans="1:13" ht="40" customHeight="1" x14ac:dyDescent="0.15">
      <c r="A40" s="20" t="s">
        <v>18</v>
      </c>
      <c r="B40" s="21">
        <v>0</v>
      </c>
      <c r="L40" s="11"/>
      <c r="M40"/>
    </row>
    <row r="41" spans="1:13" ht="14" x14ac:dyDescent="0.15">
      <c r="B41"/>
    </row>
    <row r="44" spans="1:13" ht="14" x14ac:dyDescent="0.15">
      <c r="B44"/>
    </row>
    <row r="45" spans="1:13" ht="14" x14ac:dyDescent="0.15">
      <c r="B45"/>
    </row>
    <row r="46" spans="1:13" ht="14" x14ac:dyDescent="0.15">
      <c r="B46"/>
    </row>
    <row r="47" spans="1:13" ht="14" x14ac:dyDescent="0.15">
      <c r="B47"/>
    </row>
    <row r="48" spans="1:13" ht="14" x14ac:dyDescent="0.15">
      <c r="B48"/>
    </row>
    <row r="49" spans="2:2" ht="14" x14ac:dyDescent="0.15">
      <c r="B49"/>
    </row>
    <row r="50" spans="2:2" ht="14" x14ac:dyDescent="0.15">
      <c r="B50"/>
    </row>
    <row r="51" spans="2:2" ht="14" x14ac:dyDescent="0.15">
      <c r="B51"/>
    </row>
    <row r="52" spans="2:2" ht="14" x14ac:dyDescent="0.15">
      <c r="B52"/>
    </row>
    <row r="53" spans="2:2" ht="14" x14ac:dyDescent="0.15">
      <c r="B53"/>
    </row>
    <row r="54" spans="2:2" ht="14" x14ac:dyDescent="0.15">
      <c r="B54"/>
    </row>
    <row r="55" spans="2:2" ht="14" x14ac:dyDescent="0.15">
      <c r="B55"/>
    </row>
    <row r="56" spans="2:2" ht="14" x14ac:dyDescent="0.15">
      <c r="B56"/>
    </row>
    <row r="57" spans="2:2" ht="14" x14ac:dyDescent="0.15">
      <c r="B57"/>
    </row>
    <row r="58" spans="2:2" ht="14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</sheetData>
  <phoneticPr fontId="6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  <ignoredErrors>
    <ignoredError sqref="C28 B22 E8:F8 C9 B4 G22 G26:G27 G7 H8 I15 H16 H10 H31:H32 J7" formula="1"/>
    <ignoredError sqref="K3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9"/>
  <sheetViews>
    <sheetView zoomScaleNormal="100" workbookViewId="0">
      <selection activeCell="I1" sqref="I1"/>
    </sheetView>
  </sheetViews>
  <sheetFormatPr baseColWidth="10" defaultRowHeight="13" x14ac:dyDescent="0.15"/>
  <cols>
    <col min="1" max="1" width="20.83203125" customWidth="1"/>
    <col min="2" max="2" width="10.83203125" customWidth="1"/>
    <col min="3" max="3" width="11" customWidth="1"/>
    <col min="5" max="5" width="10.83203125" customWidth="1"/>
  </cols>
  <sheetData>
    <row r="1" spans="1:8" ht="24" customHeight="1" x14ac:dyDescent="0.15">
      <c r="A1" s="1" t="s">
        <v>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4" t="s">
        <v>12</v>
      </c>
    </row>
    <row r="2" spans="1:8" ht="29" customHeight="1" x14ac:dyDescent="0.15">
      <c r="A2" s="22">
        <v>22166</v>
      </c>
      <c r="B2" s="54">
        <f>(10+7+10+10)</f>
        <v>37</v>
      </c>
      <c r="C2" s="49">
        <f>8.5+10+4+8</f>
        <v>30.5</v>
      </c>
      <c r="D2" s="32">
        <v>0</v>
      </c>
      <c r="E2" s="58">
        <f>0</f>
        <v>0</v>
      </c>
      <c r="F2" s="49">
        <v>0</v>
      </c>
      <c r="G2" s="49">
        <v>0</v>
      </c>
      <c r="H2" s="36">
        <f>IF(SUM($B$39:$G$39)&gt;0,$H$35*(B2/$B$35+C2/$C$35+D2/$D$35+E2/$E$35+F2/$F$35+G2/$G$35)/SUM($B$39:$G$39),0)</f>
        <v>0.421875</v>
      </c>
    </row>
    <row r="3" spans="1:8" ht="29" customHeight="1" x14ac:dyDescent="0.15">
      <c r="A3" s="22">
        <v>28431</v>
      </c>
      <c r="B3" s="54">
        <f>(10+5+7+8)</f>
        <v>30</v>
      </c>
      <c r="C3" s="49">
        <f>10+10+6+10</f>
        <v>36</v>
      </c>
      <c r="D3" s="58">
        <f>(7+4+4)</f>
        <v>15</v>
      </c>
      <c r="E3" s="58">
        <v>0</v>
      </c>
      <c r="F3" s="49">
        <v>0</v>
      </c>
      <c r="G3" s="49">
        <v>0</v>
      </c>
      <c r="H3" s="36">
        <f t="shared" ref="H3:H33" si="0">IF(SUM($B$39:$G$39)&gt;0,$H$35*(B3/$B$35+C3/$C$35+D3/$D$35+E3/$E$35+F3/$F$35+G3/$G$35)/SUM($B$39:$G$39),0)</f>
        <v>0.53749999999999998</v>
      </c>
    </row>
    <row r="4" spans="1:8" ht="29" customHeight="1" x14ac:dyDescent="0.15">
      <c r="A4" s="22">
        <v>28745</v>
      </c>
      <c r="B4" s="54">
        <f>(7+3+4+0)</f>
        <v>14</v>
      </c>
      <c r="C4" s="49">
        <f>10+10+7.5+0</f>
        <v>27.5</v>
      </c>
      <c r="D4" s="58">
        <f>(10+9+3)</f>
        <v>22</v>
      </c>
      <c r="E4" s="58">
        <v>0</v>
      </c>
      <c r="F4" s="49">
        <f>6+1+6+1</f>
        <v>14</v>
      </c>
      <c r="G4" s="49">
        <f>(4+2+3+0+10+6+0)</f>
        <v>25</v>
      </c>
      <c r="H4" s="36">
        <f t="shared" si="0"/>
        <v>0.61949404761904769</v>
      </c>
    </row>
    <row r="5" spans="1:8" ht="29" customHeight="1" x14ac:dyDescent="0.15">
      <c r="A5" s="22">
        <v>32418</v>
      </c>
      <c r="B5" s="54">
        <f>(10+10+10+10)</f>
        <v>40</v>
      </c>
      <c r="C5" s="49">
        <f>10+10+10+10</f>
        <v>40</v>
      </c>
      <c r="D5" s="59">
        <f>10+10+6</f>
        <v>26</v>
      </c>
      <c r="E5" s="58">
        <f>10+10+10+10+10+10</f>
        <v>60</v>
      </c>
      <c r="F5" s="49">
        <f>10+10+10+10</f>
        <v>40</v>
      </c>
      <c r="G5" s="49">
        <f>10+10+10+10+10+10+10</f>
        <v>70</v>
      </c>
      <c r="H5" s="36">
        <f t="shared" si="0"/>
        <v>1.4666666666666668</v>
      </c>
    </row>
    <row r="6" spans="1:8" ht="29" customHeight="1" x14ac:dyDescent="0.15">
      <c r="A6" s="22">
        <v>37701</v>
      </c>
      <c r="B6" s="54">
        <f>(10+10+7+10)</f>
        <v>37</v>
      </c>
      <c r="C6" s="49">
        <f>10+10+10+10</f>
        <v>40</v>
      </c>
      <c r="D6" s="58">
        <f>10+5+5</f>
        <v>20</v>
      </c>
      <c r="E6" s="58">
        <f>7+9+10+10+8+0</f>
        <v>44</v>
      </c>
      <c r="F6" s="49">
        <f>10+10+10+10</f>
        <v>40</v>
      </c>
      <c r="G6" s="49">
        <f>(10+6+7+7+5+9+10)</f>
        <v>54</v>
      </c>
      <c r="H6" s="36">
        <f t="shared" si="0"/>
        <v>1.2741071428571429</v>
      </c>
    </row>
    <row r="7" spans="1:8" ht="29" customHeight="1" x14ac:dyDescent="0.15">
      <c r="A7" s="22">
        <v>37840</v>
      </c>
      <c r="B7" s="54">
        <f>(10+10+0+0)</f>
        <v>20</v>
      </c>
      <c r="C7" s="49">
        <f>(8.5+10+0.5+0)</f>
        <v>19</v>
      </c>
      <c r="D7" s="58">
        <f>0</f>
        <v>0</v>
      </c>
      <c r="E7" s="58">
        <f>0</f>
        <v>0</v>
      </c>
      <c r="F7" s="49">
        <f>0+0+0+0</f>
        <v>0</v>
      </c>
      <c r="G7" s="49">
        <v>0</v>
      </c>
      <c r="H7" s="36">
        <f t="shared" si="0"/>
        <v>0.24374999999999999</v>
      </c>
    </row>
    <row r="8" spans="1:8" ht="29" customHeight="1" x14ac:dyDescent="0.15">
      <c r="A8" s="22">
        <v>39304</v>
      </c>
      <c r="B8" s="54">
        <f>(10+7+7+10)</f>
        <v>34</v>
      </c>
      <c r="C8" s="49">
        <f>8+2+4+7</f>
        <v>21</v>
      </c>
      <c r="D8" s="32">
        <f>5+8+5</f>
        <v>18</v>
      </c>
      <c r="E8" s="58">
        <f>10+8+6+9+8+7</f>
        <v>48</v>
      </c>
      <c r="F8" s="49">
        <f>10+8+10+10</f>
        <v>38</v>
      </c>
      <c r="G8" s="49">
        <f>6+5+7+6+5+10+10</f>
        <v>49</v>
      </c>
      <c r="H8" s="36">
        <f t="shared" si="0"/>
        <v>1.1062500000000002</v>
      </c>
    </row>
    <row r="9" spans="1:8" ht="29" customHeight="1" x14ac:dyDescent="0.15">
      <c r="A9" s="22">
        <v>41772</v>
      </c>
      <c r="B9" s="54">
        <f>(0)</f>
        <v>0</v>
      </c>
      <c r="C9" s="49">
        <f>0</f>
        <v>0</v>
      </c>
      <c r="D9" s="32">
        <f>8+0+0</f>
        <v>8</v>
      </c>
      <c r="E9" s="58">
        <f>0</f>
        <v>0</v>
      </c>
      <c r="F9" s="49">
        <v>0</v>
      </c>
      <c r="G9" s="49">
        <v>0</v>
      </c>
      <c r="H9" s="36">
        <f t="shared" si="0"/>
        <v>6.6666666666666666E-2</v>
      </c>
    </row>
    <row r="10" spans="1:8" ht="29" customHeight="1" x14ac:dyDescent="0.15">
      <c r="A10" s="22">
        <v>41850</v>
      </c>
      <c r="B10" s="54">
        <f>(10+7+8+10)</f>
        <v>35</v>
      </c>
      <c r="C10" s="49">
        <f>10+10+10+10</f>
        <v>40</v>
      </c>
      <c r="D10" s="58">
        <f>8+8+8</f>
        <v>24</v>
      </c>
      <c r="E10" s="58">
        <f>8+9+10+10+10+10</f>
        <v>57</v>
      </c>
      <c r="F10" s="49">
        <f>9+10+10+7</f>
        <v>36</v>
      </c>
      <c r="G10" s="49">
        <f>10+0+7+4+10+10+10</f>
        <v>51</v>
      </c>
      <c r="H10" s="36">
        <f t="shared" si="0"/>
        <v>1.3133928571428573</v>
      </c>
    </row>
    <row r="11" spans="1:8" ht="29" customHeight="1" x14ac:dyDescent="0.15">
      <c r="A11" s="22">
        <v>42057</v>
      </c>
      <c r="B11" s="54">
        <f>(10+10+10+10)</f>
        <v>40</v>
      </c>
      <c r="C11" s="49">
        <f>10+10+10+10</f>
        <v>40</v>
      </c>
      <c r="D11" s="58">
        <f>10+9+5</f>
        <v>24</v>
      </c>
      <c r="E11" s="58">
        <f>7+6+10+10+10+9</f>
        <v>52</v>
      </c>
      <c r="F11" s="49">
        <f>10+0+10+0</f>
        <v>20</v>
      </c>
      <c r="G11" s="49">
        <f>10+4+5+10+10+10+10</f>
        <v>59</v>
      </c>
      <c r="H11" s="36">
        <f t="shared" si="0"/>
        <v>1.2523809523809522</v>
      </c>
    </row>
    <row r="12" spans="1:8" ht="29" customHeight="1" x14ac:dyDescent="0.15">
      <c r="A12" s="22">
        <v>43868</v>
      </c>
      <c r="B12" s="54">
        <f>(10+5+10+10)</f>
        <v>35</v>
      </c>
      <c r="C12" s="49">
        <f>10+10+6+0</f>
        <v>26</v>
      </c>
      <c r="D12" s="60">
        <v>0</v>
      </c>
      <c r="E12" s="58">
        <f>0</f>
        <v>0</v>
      </c>
      <c r="F12" s="49">
        <v>0</v>
      </c>
      <c r="G12" s="49">
        <v>0</v>
      </c>
      <c r="H12" s="36">
        <f t="shared" si="0"/>
        <v>0.38124999999999992</v>
      </c>
    </row>
    <row r="13" spans="1:8" ht="29" customHeight="1" x14ac:dyDescent="0.15">
      <c r="A13" s="22">
        <v>46234</v>
      </c>
      <c r="B13" s="54">
        <f>(0)</f>
        <v>0</v>
      </c>
      <c r="C13" s="49">
        <f>8.5+10+0+0</f>
        <v>18.5</v>
      </c>
      <c r="D13" s="58">
        <f>5+4+2</f>
        <v>11</v>
      </c>
      <c r="E13" s="58">
        <f>6+6+10+0+0+0</f>
        <v>22</v>
      </c>
      <c r="F13" s="49">
        <f>6+0+7+0</f>
        <v>13</v>
      </c>
      <c r="G13" s="49">
        <v>0</v>
      </c>
      <c r="H13" s="36">
        <f t="shared" si="0"/>
        <v>0.38020833333333331</v>
      </c>
    </row>
    <row r="14" spans="1:8" ht="29" customHeight="1" x14ac:dyDescent="0.15">
      <c r="A14" s="22">
        <v>48461</v>
      </c>
      <c r="B14" s="54">
        <f>(8+10+8+10)</f>
        <v>36</v>
      </c>
      <c r="C14" s="49">
        <f>(10+10+2.5+10)</f>
        <v>32.5</v>
      </c>
      <c r="D14" s="32">
        <f>0+0+0</f>
        <v>0</v>
      </c>
      <c r="E14" s="58">
        <f>8.5+8+7+7+10+9</f>
        <v>49.5</v>
      </c>
      <c r="F14" s="49">
        <f>8+7+10+10</f>
        <v>35</v>
      </c>
      <c r="G14" s="49">
        <v>0</v>
      </c>
      <c r="H14" s="36">
        <f t="shared" si="0"/>
        <v>0.85312499999999991</v>
      </c>
    </row>
    <row r="15" spans="1:8" ht="29" customHeight="1" x14ac:dyDescent="0.15">
      <c r="A15" s="22">
        <v>48462</v>
      </c>
      <c r="B15" s="54">
        <f>(8+10+10+10)</f>
        <v>38</v>
      </c>
      <c r="C15" s="49">
        <f>10+10+7.5+10</f>
        <v>37.5</v>
      </c>
      <c r="D15" s="32">
        <f>10+9+5</f>
        <v>24</v>
      </c>
      <c r="E15" s="58">
        <f>8.5+8+7+7+10+9</f>
        <v>49.5</v>
      </c>
      <c r="F15" s="49">
        <f>8+7+10+10</f>
        <v>35</v>
      </c>
      <c r="G15" s="49">
        <f>10+4+10+10+10+10+10</f>
        <v>64</v>
      </c>
      <c r="H15" s="36">
        <f t="shared" si="0"/>
        <v>1.3254464285714287</v>
      </c>
    </row>
    <row r="16" spans="1:8" ht="29" customHeight="1" x14ac:dyDescent="0.15">
      <c r="A16" s="22">
        <v>48666</v>
      </c>
      <c r="B16" s="54">
        <f>(10+3+8+10)</f>
        <v>31</v>
      </c>
      <c r="C16" s="49">
        <f>10+10+6+7</f>
        <v>33</v>
      </c>
      <c r="D16" s="58">
        <f>3+5+3</f>
        <v>11</v>
      </c>
      <c r="E16" s="58">
        <f>6+5+7+6+6+0</f>
        <v>30</v>
      </c>
      <c r="F16" s="49">
        <f>4+5+4+4</f>
        <v>17</v>
      </c>
      <c r="G16" s="49">
        <f>8+4+5+5+5+5+5</f>
        <v>37</v>
      </c>
      <c r="H16" s="36">
        <f t="shared" si="0"/>
        <v>0.85505952380952388</v>
      </c>
    </row>
    <row r="17" spans="1:20" ht="29" customHeight="1" x14ac:dyDescent="0.15">
      <c r="A17" s="22">
        <v>50098</v>
      </c>
      <c r="B17" s="54">
        <f>(0)</f>
        <v>0</v>
      </c>
      <c r="C17" s="49">
        <v>0</v>
      </c>
      <c r="D17" s="32">
        <v>0</v>
      </c>
      <c r="E17" s="58">
        <v>0</v>
      </c>
      <c r="F17" s="49">
        <v>0</v>
      </c>
      <c r="G17" s="49">
        <v>0</v>
      </c>
      <c r="H17" s="36">
        <f t="shared" si="0"/>
        <v>0</v>
      </c>
    </row>
    <row r="18" spans="1:20" ht="29" customHeight="1" x14ac:dyDescent="0.15">
      <c r="A18" s="22">
        <v>50108</v>
      </c>
      <c r="B18" s="54">
        <f>(10+0+8+10)</f>
        <v>28</v>
      </c>
      <c r="C18" s="49">
        <f>(10+10+6+10)</f>
        <v>36</v>
      </c>
      <c r="D18" s="58">
        <f>10+0+3</f>
        <v>13</v>
      </c>
      <c r="E18" s="58">
        <f>6+8+10+0+0+0</f>
        <v>24</v>
      </c>
      <c r="F18" s="49">
        <f>10+0+7+0</f>
        <v>17</v>
      </c>
      <c r="G18" s="49">
        <v>0</v>
      </c>
      <c r="H18" s="36">
        <f t="shared" si="0"/>
        <v>0.71458333333333324</v>
      </c>
    </row>
    <row r="19" spans="1:20" ht="29" customHeight="1" x14ac:dyDescent="0.15">
      <c r="A19" s="22">
        <v>50925</v>
      </c>
      <c r="B19" s="54">
        <f>(0)</f>
        <v>0</v>
      </c>
      <c r="C19" s="49">
        <v>0</v>
      </c>
      <c r="D19" s="32">
        <f>0+2+0</f>
        <v>2</v>
      </c>
      <c r="E19" s="58">
        <f>0+6+0+0+0+6</f>
        <v>12</v>
      </c>
      <c r="F19" s="49">
        <v>0</v>
      </c>
      <c r="G19" s="49">
        <v>0</v>
      </c>
      <c r="H19" s="36">
        <f t="shared" si="0"/>
        <v>6.6666666666666666E-2</v>
      </c>
    </row>
    <row r="20" spans="1:20" ht="29" customHeight="1" x14ac:dyDescent="0.15">
      <c r="A20" s="22">
        <v>52252</v>
      </c>
      <c r="B20" s="54">
        <f>(10+10+7+9)</f>
        <v>36</v>
      </c>
      <c r="C20" s="49">
        <f>8.5+10+2+4</f>
        <v>24.5</v>
      </c>
      <c r="D20" s="32">
        <v>0</v>
      </c>
      <c r="E20" s="58">
        <f>0</f>
        <v>0</v>
      </c>
      <c r="F20" s="49">
        <v>0</v>
      </c>
      <c r="G20" s="49">
        <v>0</v>
      </c>
      <c r="H20" s="36">
        <f t="shared" si="0"/>
        <v>0.37812500000000004</v>
      </c>
    </row>
    <row r="21" spans="1:20" ht="29" customHeight="1" x14ac:dyDescent="0.15">
      <c r="A21" s="22">
        <v>53915</v>
      </c>
      <c r="B21" s="54">
        <f>(10+5+10+9)</f>
        <v>34</v>
      </c>
      <c r="C21" s="49">
        <f>10+10+5+10</f>
        <v>35</v>
      </c>
      <c r="D21" s="58">
        <f>7+5+3</f>
        <v>15</v>
      </c>
      <c r="E21" s="58">
        <f>7+7+7+8+8+10</f>
        <v>47</v>
      </c>
      <c r="F21" s="49">
        <f>10+0+10+6</f>
        <v>26</v>
      </c>
      <c r="G21" s="49">
        <f>(10+10+10+10+10+10+10)</f>
        <v>70</v>
      </c>
      <c r="H21" s="36">
        <f t="shared" si="0"/>
        <v>1.1645833333333333</v>
      </c>
    </row>
    <row r="22" spans="1:20" ht="29" customHeight="1" x14ac:dyDescent="0.15">
      <c r="A22" s="22">
        <v>56433</v>
      </c>
      <c r="B22" s="55">
        <f>(10+5+10+10)</f>
        <v>35</v>
      </c>
      <c r="C22" s="53">
        <f>8+6+2+6</f>
        <v>22</v>
      </c>
      <c r="D22" s="31">
        <f>10+8.5+5</f>
        <v>23.5</v>
      </c>
      <c r="E22" s="58">
        <f>6+6+6+10+6+7</f>
        <v>41</v>
      </c>
      <c r="F22" s="49">
        <f>6+0+4+2</f>
        <v>12</v>
      </c>
      <c r="G22" s="49">
        <f>4+4+3+0+4+10+3</f>
        <v>28</v>
      </c>
      <c r="H22" s="36">
        <f t="shared" si="0"/>
        <v>0.89791666666666659</v>
      </c>
    </row>
    <row r="23" spans="1:20" ht="29" customHeight="1" x14ac:dyDescent="0.15">
      <c r="A23" s="22">
        <v>58506</v>
      </c>
      <c r="B23" s="54">
        <f>(10+10+10+10)</f>
        <v>40</v>
      </c>
      <c r="C23" s="49">
        <f>10+10+4+8</f>
        <v>32</v>
      </c>
      <c r="D23" s="58">
        <f>7+0+0</f>
        <v>7</v>
      </c>
      <c r="E23" s="58">
        <v>0</v>
      </c>
      <c r="F23" s="49">
        <f>0+0+10+0</f>
        <v>10</v>
      </c>
      <c r="G23" s="32">
        <v>0</v>
      </c>
      <c r="H23" s="36">
        <f t="shared" si="0"/>
        <v>0.5708333333333333</v>
      </c>
    </row>
    <row r="24" spans="1:20" ht="29" customHeight="1" x14ac:dyDescent="0.15">
      <c r="A24" s="22">
        <v>59392</v>
      </c>
      <c r="B24" s="32">
        <f>(9+5+10+10)</f>
        <v>34</v>
      </c>
      <c r="C24" s="32">
        <f>10+10+6+10</f>
        <v>36</v>
      </c>
      <c r="D24" s="49">
        <f>10+7+2</f>
        <v>19</v>
      </c>
      <c r="E24" s="58">
        <f>7+4+7+5+0+0</f>
        <v>23</v>
      </c>
      <c r="F24" s="49">
        <f>7+0+9+0</f>
        <v>16</v>
      </c>
      <c r="G24" s="49">
        <v>0</v>
      </c>
      <c r="H24" s="36">
        <f t="shared" si="0"/>
        <v>0.79166666666666663</v>
      </c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30"/>
    </row>
    <row r="25" spans="1:20" ht="29" customHeight="1" x14ac:dyDescent="0.15">
      <c r="A25" s="22">
        <v>61767</v>
      </c>
      <c r="B25" s="54">
        <f>(5+3+0+5)</f>
        <v>13</v>
      </c>
      <c r="C25" s="49">
        <f>10+10+8+6</f>
        <v>34</v>
      </c>
      <c r="D25" s="58">
        <v>0</v>
      </c>
      <c r="E25" s="32">
        <v>0</v>
      </c>
      <c r="F25" s="57">
        <f>0+0+0+0</f>
        <v>0</v>
      </c>
      <c r="G25" s="32">
        <v>0</v>
      </c>
      <c r="H25" s="36">
        <f t="shared" si="0"/>
        <v>0.29375000000000001</v>
      </c>
    </row>
    <row r="26" spans="1:20" ht="29" customHeight="1" x14ac:dyDescent="0.15">
      <c r="A26" s="22">
        <v>62166</v>
      </c>
      <c r="B26" s="54">
        <f>(10+10+6+10)</f>
        <v>36</v>
      </c>
      <c r="C26" s="49">
        <v>0</v>
      </c>
      <c r="D26" s="59">
        <f>9+0+0</f>
        <v>9</v>
      </c>
      <c r="E26" s="32">
        <f>6+0+0+0+6+0</f>
        <v>12</v>
      </c>
      <c r="F26" s="49">
        <f>10+0+0+0</f>
        <v>10</v>
      </c>
      <c r="G26" s="49">
        <f>4+0+7+0+0+0+0</f>
        <v>11</v>
      </c>
      <c r="H26" s="36">
        <f t="shared" si="0"/>
        <v>0.45178571428571423</v>
      </c>
    </row>
    <row r="27" spans="1:20" ht="29" customHeight="1" x14ac:dyDescent="0.15">
      <c r="A27" s="22">
        <v>62943</v>
      </c>
      <c r="B27" s="32">
        <f>(8+6+0+8)</f>
        <v>22</v>
      </c>
      <c r="C27" s="32">
        <f>7+6+2.5+6</f>
        <v>21.5</v>
      </c>
      <c r="D27" s="49">
        <f>3+0+3</f>
        <v>6</v>
      </c>
      <c r="E27" s="32">
        <f>0</f>
        <v>0</v>
      </c>
      <c r="F27" s="49">
        <f>3+0+0+0</f>
        <v>3</v>
      </c>
      <c r="G27" s="32">
        <v>0</v>
      </c>
      <c r="H27" s="36">
        <f t="shared" si="0"/>
        <v>0.34062499999999996</v>
      </c>
    </row>
    <row r="28" spans="1:20" ht="29" customHeight="1" x14ac:dyDescent="0.15">
      <c r="A28" s="22">
        <v>64244</v>
      </c>
      <c r="B28" s="32">
        <f>(10+2+8+0)</f>
        <v>20</v>
      </c>
      <c r="C28" s="32">
        <f>10+10+2+0</f>
        <v>22</v>
      </c>
      <c r="D28" s="32">
        <f>7+2.5+2</f>
        <v>11.5</v>
      </c>
      <c r="E28" s="58">
        <f>6+6+3+0+0+0</f>
        <v>15</v>
      </c>
      <c r="F28" s="57">
        <f>7+0+7+0</f>
        <v>14</v>
      </c>
      <c r="G28" s="62">
        <v>0</v>
      </c>
      <c r="H28" s="36">
        <f t="shared" si="0"/>
        <v>0.5083333333333333</v>
      </c>
    </row>
    <row r="29" spans="1:20" ht="29" customHeight="1" x14ac:dyDescent="0.15">
      <c r="A29" s="22">
        <v>64826</v>
      </c>
      <c r="B29" s="32">
        <v>0</v>
      </c>
      <c r="C29" s="32">
        <v>0</v>
      </c>
      <c r="D29" s="58">
        <v>0</v>
      </c>
      <c r="E29" s="58">
        <v>0</v>
      </c>
      <c r="F29" s="57">
        <v>0</v>
      </c>
      <c r="G29" s="32">
        <v>0</v>
      </c>
      <c r="H29" s="36">
        <f t="shared" si="0"/>
        <v>0</v>
      </c>
    </row>
    <row r="30" spans="1:20" ht="29" customHeight="1" x14ac:dyDescent="0.15">
      <c r="A30" s="22">
        <v>65878</v>
      </c>
      <c r="B30" s="32">
        <f>(10+7+10+10)</f>
        <v>37</v>
      </c>
      <c r="C30" s="32">
        <f>10+10+6+7</f>
        <v>33</v>
      </c>
      <c r="D30" s="58">
        <f>2+6+2</f>
        <v>10</v>
      </c>
      <c r="E30" s="58">
        <f>6+5+7+6+6+0</f>
        <v>30</v>
      </c>
      <c r="F30" s="57">
        <f>4+5+4+4</f>
        <v>17</v>
      </c>
      <c r="G30" s="32">
        <f>8+4+5+5+5+5+5</f>
        <v>37</v>
      </c>
      <c r="H30" s="36">
        <f t="shared" si="0"/>
        <v>0.88422619047619044</v>
      </c>
    </row>
    <row r="31" spans="1:20" ht="29" customHeight="1" x14ac:dyDescent="0.15">
      <c r="A31" s="22">
        <v>65882</v>
      </c>
      <c r="B31" s="32">
        <f>(10+10+10+10)</f>
        <v>40</v>
      </c>
      <c r="C31" s="32">
        <f>10+10+8+10</f>
        <v>38</v>
      </c>
      <c r="D31" s="32">
        <f>10+9+3</f>
        <v>22</v>
      </c>
      <c r="E31" s="58">
        <f>9+9+10+10+10+10</f>
        <v>58</v>
      </c>
      <c r="F31" s="57">
        <f>10+10+10+10</f>
        <v>40</v>
      </c>
      <c r="G31" s="32">
        <f>8+10+9+10+10+10+10</f>
        <v>67</v>
      </c>
      <c r="H31" s="36">
        <f t="shared" si="0"/>
        <v>1.4017857142857144</v>
      </c>
    </row>
    <row r="32" spans="1:20" ht="29" customHeight="1" x14ac:dyDescent="0.15">
      <c r="A32" s="22">
        <v>98422</v>
      </c>
      <c r="B32" s="32">
        <f>(10+10+10+9)</f>
        <v>39</v>
      </c>
      <c r="C32" s="32">
        <f>10+10+10+0</f>
        <v>30</v>
      </c>
      <c r="D32" s="58">
        <f>10+10+5</f>
        <v>25</v>
      </c>
      <c r="E32" s="58">
        <f>10+7+8+10+10+10</f>
        <v>55</v>
      </c>
      <c r="F32" s="57">
        <f>10+10+10+9</f>
        <v>39</v>
      </c>
      <c r="G32" s="32">
        <v>70</v>
      </c>
      <c r="H32" s="36">
        <f>IF(SUM($B$39:$G$39)&gt;0,$H$35*(B32/$B$35+C32/$D$35+D32/$D$35+E32/$E$35+F32/$F$35+G32/$G$35)/SUM($B$39:$G$39),0)</f>
        <v>1.425</v>
      </c>
    </row>
    <row r="33" spans="1:8" ht="29" customHeight="1" x14ac:dyDescent="0.15">
      <c r="A33" s="22">
        <v>98812</v>
      </c>
      <c r="B33" s="32">
        <v>0</v>
      </c>
      <c r="C33" s="32">
        <v>0</v>
      </c>
      <c r="D33" s="58">
        <v>0</v>
      </c>
      <c r="E33" s="58">
        <v>0</v>
      </c>
      <c r="F33" s="57">
        <v>0</v>
      </c>
      <c r="G33" s="32">
        <v>0</v>
      </c>
      <c r="H33" s="36">
        <f t="shared" si="0"/>
        <v>0</v>
      </c>
    </row>
    <row r="34" spans="1:8" ht="24" customHeight="1" x14ac:dyDescent="0.15">
      <c r="A34" s="24"/>
      <c r="B34" s="22"/>
      <c r="C34" s="2"/>
      <c r="D34" s="2"/>
      <c r="E34" s="2"/>
      <c r="F34" s="2"/>
      <c r="G34" s="2"/>
      <c r="H34" s="2"/>
    </row>
    <row r="35" spans="1:8" ht="25" customHeight="1" x14ac:dyDescent="0.15">
      <c r="A35" s="16" t="s">
        <v>13</v>
      </c>
      <c r="B35" s="38">
        <v>40</v>
      </c>
      <c r="C35" s="38">
        <v>40</v>
      </c>
      <c r="D35" s="38">
        <v>30</v>
      </c>
      <c r="E35" s="38">
        <v>60</v>
      </c>
      <c r="F35" s="38">
        <v>40</v>
      </c>
      <c r="G35" s="38">
        <v>70</v>
      </c>
      <c r="H35" s="39">
        <v>1.5</v>
      </c>
    </row>
    <row r="36" spans="1:8" ht="25" customHeight="1" x14ac:dyDescent="0.15">
      <c r="A36" s="17" t="s">
        <v>14</v>
      </c>
      <c r="B36" s="40">
        <f t="shared" ref="B36:H36" si="1">AVERAGE(B$2:B$33)</f>
        <v>26.28125</v>
      </c>
      <c r="C36" s="40">
        <f t="shared" si="1"/>
        <v>25.171875</v>
      </c>
      <c r="D36" s="40">
        <f>AVERAGE(D$2:D$33)</f>
        <v>11.4375</v>
      </c>
      <c r="E36" s="40">
        <f t="shared" si="1"/>
        <v>22.78125</v>
      </c>
      <c r="F36" s="40">
        <f t="shared" si="1"/>
        <v>15.375</v>
      </c>
      <c r="G36" s="40">
        <f t="shared" si="1"/>
        <v>21.625</v>
      </c>
      <c r="H36" s="40">
        <f t="shared" si="1"/>
        <v>0.68709542410714297</v>
      </c>
    </row>
    <row r="37" spans="1:8" ht="25" customHeight="1" x14ac:dyDescent="0.15">
      <c r="A37" s="18" t="s">
        <v>15</v>
      </c>
      <c r="B37" s="40">
        <f t="shared" ref="B37:H37" si="2">STDEV(B$2:B$33)</f>
        <v>14.695257903102949</v>
      </c>
      <c r="C37" s="40">
        <f t="shared" si="2"/>
        <v>13.841038427735995</v>
      </c>
      <c r="D37" s="40">
        <f>STDEV(D$2:D$33)</f>
        <v>9.4619356268393418</v>
      </c>
      <c r="E37" s="40">
        <f t="shared" si="2"/>
        <v>22.907224349959009</v>
      </c>
      <c r="F37" s="40">
        <f t="shared" si="2"/>
        <v>15.090586683479636</v>
      </c>
      <c r="G37" s="40">
        <f t="shared" si="2"/>
        <v>27.817086881638868</v>
      </c>
      <c r="H37" s="40">
        <f t="shared" si="2"/>
        <v>0.46904663101538763</v>
      </c>
    </row>
    <row r="38" spans="1:8" ht="25" customHeight="1" x14ac:dyDescent="0.15">
      <c r="A38" s="18" t="s">
        <v>16</v>
      </c>
      <c r="B38" s="40">
        <f t="shared" ref="B38:H38" si="3">MEDIAN(B$2:B$33)</f>
        <v>34</v>
      </c>
      <c r="C38" s="40">
        <f t="shared" si="3"/>
        <v>30.25</v>
      </c>
      <c r="D38" s="40">
        <f t="shared" si="3"/>
        <v>11</v>
      </c>
      <c r="E38" s="40">
        <f t="shared" si="3"/>
        <v>18.5</v>
      </c>
      <c r="F38" s="40">
        <f t="shared" si="3"/>
        <v>13.5</v>
      </c>
      <c r="G38" s="40">
        <f t="shared" si="3"/>
        <v>0</v>
      </c>
      <c r="H38" s="40">
        <f t="shared" si="3"/>
        <v>0.59516369047619055</v>
      </c>
    </row>
    <row r="39" spans="1:8" ht="25" customHeight="1" x14ac:dyDescent="0.15">
      <c r="A39" s="19" t="s">
        <v>17</v>
      </c>
      <c r="B39" s="41">
        <f t="shared" ref="B39:G39" si="4">IF(SUM(B2:B33)&gt;0,1,0)</f>
        <v>1</v>
      </c>
      <c r="C39" s="41">
        <f t="shared" si="4"/>
        <v>1</v>
      </c>
      <c r="D39" s="41">
        <f t="shared" si="4"/>
        <v>1</v>
      </c>
      <c r="E39" s="41">
        <f t="shared" si="4"/>
        <v>1</v>
      </c>
      <c r="F39" s="41">
        <f t="shared" si="4"/>
        <v>1</v>
      </c>
      <c r="G39" s="41">
        <f t="shared" si="4"/>
        <v>1</v>
      </c>
      <c r="H39" s="38"/>
    </row>
  </sheetData>
  <pageMargins left="0.75" right="0.75" top="1" bottom="1" header="0.5" footer="0.5"/>
  <pageSetup orientation="portrait" horizontalDpi="4294967292" verticalDpi="4294967292"/>
  <headerFooter alignWithMargins="0"/>
  <ignoredErrors>
    <ignoredError sqref="B18 D5:D6 E8 D9 H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8"/>
  <sheetViews>
    <sheetView workbookViewId="0">
      <selection activeCell="D1" sqref="D1"/>
    </sheetView>
  </sheetViews>
  <sheetFormatPr baseColWidth="10" defaultRowHeight="13" x14ac:dyDescent="0.15"/>
  <cols>
    <col min="1" max="1" width="20.83203125" customWidth="1"/>
    <col min="2" max="2" width="17.33203125" customWidth="1"/>
    <col min="3" max="3" width="18.83203125" customWidth="1"/>
    <col min="4" max="4" width="18" customWidth="1"/>
    <col min="6" max="15" width="5.6640625" customWidth="1"/>
  </cols>
  <sheetData>
    <row r="1" spans="1:24" ht="25" customHeight="1" x14ac:dyDescent="0.15">
      <c r="A1" s="1" t="s">
        <v>4</v>
      </c>
      <c r="B1" s="3" t="s">
        <v>19</v>
      </c>
      <c r="C1" s="5" t="s">
        <v>0</v>
      </c>
      <c r="E1" s="61" t="s">
        <v>20</v>
      </c>
      <c r="F1" s="61"/>
      <c r="G1" s="61"/>
      <c r="H1" s="61"/>
      <c r="I1" s="61"/>
      <c r="J1" s="61"/>
      <c r="K1" s="61"/>
      <c r="L1" s="61"/>
      <c r="M1" s="61"/>
      <c r="N1" s="61"/>
      <c r="Q1" s="48" t="s">
        <v>21</v>
      </c>
      <c r="R1" s="48" t="s">
        <v>22</v>
      </c>
    </row>
    <row r="2" spans="1:24" ht="29" customHeight="1" x14ac:dyDescent="0.15">
      <c r="A2" s="22">
        <v>22166</v>
      </c>
      <c r="B2" s="49">
        <f>7+0+0+3</f>
        <v>10</v>
      </c>
      <c r="C2" s="49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Q2" s="45"/>
      <c r="R2" s="45"/>
    </row>
    <row r="3" spans="1:24" ht="29" customHeight="1" x14ac:dyDescent="0.15">
      <c r="A3" s="22">
        <v>28431</v>
      </c>
      <c r="B3" s="49">
        <f>1+12+23+4</f>
        <v>40</v>
      </c>
      <c r="C3" s="49">
        <f>(0+0+0+0)+0+0+2+8</f>
        <v>10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Q3" s="45"/>
      <c r="R3" s="45"/>
    </row>
    <row r="4" spans="1:24" ht="29" customHeight="1" x14ac:dyDescent="0.15">
      <c r="A4" s="22">
        <v>28745</v>
      </c>
      <c r="B4" s="49">
        <f>9+18+20+4</f>
        <v>51</v>
      </c>
      <c r="C4" s="49">
        <f>(1+1+0+0)+8+2+8+4</f>
        <v>24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Q4" s="45"/>
      <c r="R4" s="45"/>
    </row>
    <row r="5" spans="1:24" ht="29" customHeight="1" x14ac:dyDescent="0.15">
      <c r="A5" s="22">
        <v>32418</v>
      </c>
      <c r="B5" s="49">
        <f>14+23+25+32</f>
        <v>94</v>
      </c>
      <c r="C5" s="49">
        <f>(5+5+5+5)+20+(12+2+4)+20+16</f>
        <v>94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Q5" s="45"/>
      <c r="R5" s="45"/>
    </row>
    <row r="6" spans="1:24" ht="29" customHeight="1" x14ac:dyDescent="0.15">
      <c r="A6" s="22">
        <v>37701</v>
      </c>
      <c r="B6" s="49">
        <f>4+10+4+4</f>
        <v>22</v>
      </c>
      <c r="C6" s="49">
        <f>(0+5+3+0)+(3+1+0+0)+13+12+0</f>
        <v>37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Q6" s="45"/>
      <c r="R6" s="45"/>
    </row>
    <row r="7" spans="1:24" ht="29" customHeight="1" x14ac:dyDescent="0.15">
      <c r="A7" s="22">
        <v>37840</v>
      </c>
      <c r="B7" s="49">
        <f>1+13+8+0</f>
        <v>22</v>
      </c>
      <c r="C7" s="49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Q7" s="45"/>
      <c r="R7" s="45"/>
    </row>
    <row r="8" spans="1:24" ht="29" customHeight="1" x14ac:dyDescent="0.15">
      <c r="A8" s="22">
        <v>39304</v>
      </c>
      <c r="B8" s="49">
        <f>14+17+25+14</f>
        <v>70</v>
      </c>
      <c r="C8" s="49">
        <f>(5+0+2+5)+4+(4+1+0)+5+5</f>
        <v>31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Q8" s="45"/>
      <c r="R8" s="45"/>
    </row>
    <row r="9" spans="1:24" ht="29" customHeight="1" x14ac:dyDescent="0.15">
      <c r="A9" s="22">
        <v>41772</v>
      </c>
      <c r="B9" s="49">
        <f>7+0+21+0</f>
        <v>28</v>
      </c>
      <c r="C9" s="49">
        <f>(0+0+4+0)+(0+0+0+0)+(5+0+3)+0+0</f>
        <v>12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Q9" s="45"/>
      <c r="R9" s="45"/>
    </row>
    <row r="10" spans="1:24" ht="29" customHeight="1" x14ac:dyDescent="0.15">
      <c r="A10" s="22">
        <v>41850</v>
      </c>
      <c r="B10" s="49">
        <f>9+17+21+15</f>
        <v>62</v>
      </c>
      <c r="C10" s="49">
        <f>(5+5+5+5)+20+(12+2+1)+14+8</f>
        <v>77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Q10" s="45"/>
      <c r="R10" s="45"/>
    </row>
    <row r="11" spans="1:24" ht="29" customHeight="1" x14ac:dyDescent="0.15">
      <c r="A11" s="22">
        <v>42057</v>
      </c>
      <c r="B11" s="49">
        <f>(8+10+5+8)</f>
        <v>31</v>
      </c>
      <c r="C11" s="49">
        <f>(5+4+4+2)+11+4+10</f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Q11" s="45"/>
      <c r="R11" s="45"/>
    </row>
    <row r="12" spans="1:24" ht="29" customHeight="1" x14ac:dyDescent="0.15">
      <c r="A12" s="22">
        <v>43868</v>
      </c>
      <c r="B12" s="49">
        <f>9+18+16+3</f>
        <v>46</v>
      </c>
      <c r="C12" s="32">
        <f>(5+5+5+5)+(4+2+4+2)+(1+0+0)+20+0</f>
        <v>53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Q12" s="45"/>
      <c r="R12" s="45"/>
    </row>
    <row r="13" spans="1:24" ht="29" customHeight="1" x14ac:dyDescent="0.15">
      <c r="A13" s="22">
        <v>46234</v>
      </c>
      <c r="B13" s="49">
        <f>2+12+17+0</f>
        <v>31</v>
      </c>
      <c r="C13" s="49">
        <f>(0+0+0+0)+(0+0+0+0)+(0+0+1) + 1+1</f>
        <v>3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Q13" s="45"/>
      <c r="R13" s="45"/>
    </row>
    <row r="14" spans="1:24" ht="29" customHeight="1" x14ac:dyDescent="0.15">
      <c r="A14" s="22">
        <v>48461</v>
      </c>
      <c r="B14" s="49">
        <f>13+19+24+18</f>
        <v>74</v>
      </c>
      <c r="C14" s="49">
        <f>(5+5+0+4)+18+(12+2+0)+8+14</f>
        <v>68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Q14" s="45"/>
      <c r="R14" s="45"/>
    </row>
    <row r="15" spans="1:24" ht="29" customHeight="1" x14ac:dyDescent="0.15">
      <c r="A15" s="22">
        <v>48462</v>
      </c>
      <c r="B15" s="49">
        <f>14+22+23+30</f>
        <v>89</v>
      </c>
      <c r="C15" s="49">
        <f>(5+3+2+5)+20+(12+2+2)+20+16</f>
        <v>87</v>
      </c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Q15" s="45"/>
      <c r="R15" s="45"/>
      <c r="X15" t="s">
        <v>23</v>
      </c>
    </row>
    <row r="16" spans="1:24" ht="29" customHeight="1" x14ac:dyDescent="0.15">
      <c r="A16" s="22">
        <v>48666</v>
      </c>
      <c r="B16" s="49">
        <f>(4+15+5+2)</f>
        <v>26</v>
      </c>
      <c r="C16" s="49">
        <f>(3+0+0+3)+0+1+0</f>
        <v>7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Q16" s="45"/>
      <c r="R16" s="45"/>
    </row>
    <row r="17" spans="1:24" ht="29" customHeight="1" x14ac:dyDescent="0.15">
      <c r="A17" s="22">
        <v>50098</v>
      </c>
      <c r="B17" s="32">
        <f>4+8+4+0</f>
        <v>16</v>
      </c>
      <c r="C17" s="49">
        <f>(1+0+0+0)+1+0+0+0</f>
        <v>2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Q17" s="45"/>
      <c r="R17" s="45"/>
    </row>
    <row r="18" spans="1:24" ht="29" customHeight="1" x14ac:dyDescent="0.15">
      <c r="A18" s="22">
        <v>50108</v>
      </c>
      <c r="B18" s="49">
        <f>4+12+0+0</f>
        <v>16</v>
      </c>
      <c r="C18" s="49">
        <f>(1+1+1+0)+0+3+1+0</f>
        <v>7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</row>
    <row r="19" spans="1:24" ht="29" customHeight="1" x14ac:dyDescent="0.15">
      <c r="A19" s="22">
        <v>50925</v>
      </c>
      <c r="B19" s="49">
        <f>(1+0+0+0)</f>
        <v>1</v>
      </c>
      <c r="C19" s="49">
        <f>(1+1+0+0)+0+1+0+1</f>
        <v>4</v>
      </c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</row>
    <row r="20" spans="1:24" ht="29" customHeight="1" x14ac:dyDescent="0.15">
      <c r="A20" s="22">
        <v>52252</v>
      </c>
      <c r="B20" s="49">
        <f>2+10+0+2</f>
        <v>14</v>
      </c>
      <c r="C20" s="49">
        <f>(2+0+0+0)+0+(3+2+0)+0+1</f>
        <v>8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</row>
    <row r="21" spans="1:24" ht="29" customHeight="1" x14ac:dyDescent="0.15">
      <c r="A21" s="22">
        <v>53915</v>
      </c>
      <c r="B21" s="49">
        <f>4+25+24+14</f>
        <v>67</v>
      </c>
      <c r="C21" s="49">
        <f>(5+5+4+3)+20+(12+3+1)+16+16</f>
        <v>85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</row>
    <row r="22" spans="1:24" ht="29" customHeight="1" x14ac:dyDescent="0.15">
      <c r="A22" s="22">
        <v>56433</v>
      </c>
      <c r="B22" s="53">
        <f>9+18+4+8</f>
        <v>39</v>
      </c>
      <c r="C22" s="53">
        <f>(4+2+3+3)+(4+1+6+0)+(6+0+4)+10+7</f>
        <v>50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</row>
    <row r="23" spans="1:24" ht="29" customHeight="1" x14ac:dyDescent="0.15">
      <c r="A23" s="22">
        <v>58506</v>
      </c>
      <c r="B23" s="49">
        <f>(0+15+3+0)</f>
        <v>18</v>
      </c>
      <c r="C23" s="49">
        <f>(4+2+4+4)+0+0+2+0</f>
        <v>16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</row>
    <row r="24" spans="1:24" ht="29" customHeight="1" x14ac:dyDescent="0.2">
      <c r="A24" s="22">
        <v>59392</v>
      </c>
      <c r="B24" s="49">
        <f>4+11+0+0</f>
        <v>15</v>
      </c>
      <c r="C24" s="49">
        <f>(0+1+0+2)+0+0+0+4</f>
        <v>7</v>
      </c>
      <c r="D24" s="28"/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5"/>
      <c r="P24" s="29"/>
      <c r="Q24" s="29"/>
      <c r="R24" s="29"/>
      <c r="S24" s="29"/>
      <c r="T24" s="29"/>
      <c r="U24" s="29"/>
      <c r="V24" s="29"/>
      <c r="W24" s="29"/>
      <c r="X24" s="30"/>
    </row>
    <row r="25" spans="1:24" ht="29" customHeight="1" x14ac:dyDescent="0.15">
      <c r="A25" s="22">
        <v>61767</v>
      </c>
      <c r="B25" s="32">
        <f>3+8+5</f>
        <v>16</v>
      </c>
      <c r="C25" s="32">
        <v>1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</row>
    <row r="26" spans="1:24" ht="29" customHeight="1" x14ac:dyDescent="0.15">
      <c r="A26" s="22">
        <v>62166</v>
      </c>
      <c r="B26" s="49">
        <f>1+10+2+9</f>
        <v>22</v>
      </c>
      <c r="C26" s="49">
        <f>(5+2+4+3)+17+(12+1+0)+12+8</f>
        <v>64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</row>
    <row r="27" spans="1:24" ht="29" customHeight="1" x14ac:dyDescent="0.15">
      <c r="A27" s="22">
        <v>62943</v>
      </c>
      <c r="B27" s="49">
        <f>(5+10+0+1)</f>
        <v>16</v>
      </c>
      <c r="C27" s="49">
        <f>(0+0+0+0)+0+(4+0+0)+4+0</f>
        <v>8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</row>
    <row r="28" spans="1:24" ht="29" customHeight="1" x14ac:dyDescent="0.15">
      <c r="A28" s="22">
        <v>64244</v>
      </c>
      <c r="B28" s="32">
        <f>4+15+4+3</f>
        <v>26</v>
      </c>
      <c r="C28" s="32">
        <f>(2+0+4+0)+(1+0+0+0)+(0+0+0)+2+0</f>
        <v>9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</row>
    <row r="29" spans="1:24" ht="29" customHeight="1" x14ac:dyDescent="0.15">
      <c r="A29" s="22">
        <v>64826</v>
      </c>
      <c r="B29" s="49">
        <f>0+0+0+0</f>
        <v>0</v>
      </c>
      <c r="C29" s="49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</row>
    <row r="30" spans="1:24" ht="29" customHeight="1" x14ac:dyDescent="0.15">
      <c r="A30" s="22">
        <v>65878</v>
      </c>
      <c r="B30" s="49">
        <f>(7+15+20+5)</f>
        <v>47</v>
      </c>
      <c r="C30" s="49">
        <f>(5+1+5+5)+10+(8+2+1)+8+12</f>
        <v>57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</row>
    <row r="31" spans="1:24" ht="29" customHeight="1" x14ac:dyDescent="0.15">
      <c r="A31" s="22">
        <v>65882</v>
      </c>
      <c r="B31" s="49">
        <f>14+23+25+26</f>
        <v>88</v>
      </c>
      <c r="C31" s="49">
        <f>(5+5+5+5)+20+18+15+20</f>
        <v>93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24" ht="29" customHeight="1" x14ac:dyDescent="0.15">
      <c r="A32" s="22">
        <v>98422</v>
      </c>
      <c r="B32" s="49">
        <f>15+25+24+35</f>
        <v>99</v>
      </c>
      <c r="C32" s="49">
        <f>(5+5+5+5)+(6+4+6+4)+(8+5+5)+20+20</f>
        <v>98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</row>
    <row r="33" spans="1:15" ht="29" customHeight="1" x14ac:dyDescent="0.15">
      <c r="A33" s="22">
        <v>98812</v>
      </c>
      <c r="B33" s="49">
        <f>2+0+0+0</f>
        <v>2</v>
      </c>
      <c r="C33" s="49">
        <f>(5+0+0+0)+0+4+0+1</f>
        <v>10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</row>
    <row r="34" spans="1:15" ht="25" customHeight="1" x14ac:dyDescent="0.15">
      <c r="A34" s="24"/>
      <c r="B34" s="22"/>
      <c r="C34" s="25"/>
    </row>
    <row r="35" spans="1:15" ht="25" customHeight="1" x14ac:dyDescent="0.15">
      <c r="A35" s="16" t="s">
        <v>13</v>
      </c>
      <c r="B35" s="42">
        <v>100</v>
      </c>
      <c r="C35" s="42">
        <v>100</v>
      </c>
    </row>
    <row r="36" spans="1:15" ht="25" customHeight="1" x14ac:dyDescent="0.15">
      <c r="A36" s="17" t="s">
        <v>14</v>
      </c>
      <c r="B36" s="43">
        <f>AVERAGE(B$2:B$33)</f>
        <v>37.4375</v>
      </c>
      <c r="C36" s="43">
        <f>AVERAGE(C$2:C$33)</f>
        <v>36.620689655172413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</row>
    <row r="37" spans="1:15" ht="25" customHeight="1" x14ac:dyDescent="0.15">
      <c r="A37" s="18" t="s">
        <v>15</v>
      </c>
      <c r="B37" s="43">
        <f>STDEV(B$2:B$33)</f>
        <v>28.732287671515291</v>
      </c>
      <c r="C37" s="43">
        <f>STDEV(C$2:C$33)</f>
        <v>33.642462319752411</v>
      </c>
    </row>
    <row r="38" spans="1:15" ht="25" customHeight="1" x14ac:dyDescent="0.15">
      <c r="A38" s="18" t="s">
        <v>16</v>
      </c>
      <c r="B38" s="43">
        <f>MEDIAN(B$2:B$33)</f>
        <v>27</v>
      </c>
      <c r="C38" s="43">
        <f>MEDIAN(C$2:C$33)</f>
        <v>24</v>
      </c>
    </row>
  </sheetData>
  <mergeCells count="1">
    <mergeCell ref="E1:N1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4"/>
  <sheetViews>
    <sheetView tabSelected="1" zoomScaleNormal="100" workbookViewId="0">
      <selection activeCell="I1" sqref="I1"/>
    </sheetView>
  </sheetViews>
  <sheetFormatPr baseColWidth="10" defaultRowHeight="13" x14ac:dyDescent="0.15"/>
  <cols>
    <col min="1" max="1" width="20.83203125" customWidth="1"/>
    <col min="2" max="2" width="15.83203125" style="13" customWidth="1"/>
    <col min="3" max="3" width="15.83203125" customWidth="1"/>
    <col min="4" max="7" width="18.83203125" customWidth="1"/>
    <col min="8" max="8" width="15.83203125" customWidth="1"/>
  </cols>
  <sheetData>
    <row r="1" spans="1:8" ht="24" customHeight="1" x14ac:dyDescent="0.15">
      <c r="A1" s="12" t="s">
        <v>4</v>
      </c>
      <c r="B1" s="8" t="s">
        <v>34</v>
      </c>
      <c r="C1" s="8" t="s">
        <v>5</v>
      </c>
      <c r="D1" s="8" t="s">
        <v>19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ht="29" customHeight="1" x14ac:dyDescent="0.15">
      <c r="A2" s="22">
        <v>22166</v>
      </c>
      <c r="B2" s="36">
        <f>Labs!L2</f>
        <v>6.222222222222222E-2</v>
      </c>
      <c r="C2" s="34">
        <f>Homework!H2</f>
        <v>0.421875</v>
      </c>
      <c r="D2" s="35">
        <f>Exams!B2</f>
        <v>10</v>
      </c>
      <c r="E2" s="32">
        <f>Exams!C2</f>
        <v>0</v>
      </c>
      <c r="F2" s="36">
        <f>$B2+$C2+IF(($E2&gt;$D2), ($E2/$E$35)*7.5, ($D2/$D$35)*3+($E2/$E$35)*4.5)</f>
        <v>0.78409722222222222</v>
      </c>
      <c r="G2" s="36">
        <f>0.5*INT(F2/0.5)+INT( ((F2-INT(F2/0.5)*0.5)/0.25))*0.5</f>
        <v>1</v>
      </c>
      <c r="H2" s="33">
        <f>IF(G2&gt;4.75,1,0)</f>
        <v>0</v>
      </c>
    </row>
    <row r="3" spans="1:8" ht="29" customHeight="1" x14ac:dyDescent="0.15">
      <c r="A3" s="22">
        <v>28431</v>
      </c>
      <c r="B3" s="36">
        <f>Labs!L3</f>
        <v>0.35638888888888887</v>
      </c>
      <c r="C3" s="34">
        <f>Homework!H3</f>
        <v>0.53749999999999998</v>
      </c>
      <c r="D3" s="35">
        <f>Exams!B3</f>
        <v>40</v>
      </c>
      <c r="E3" s="32">
        <f>Exams!C3</f>
        <v>10</v>
      </c>
      <c r="F3" s="36">
        <f t="shared" ref="F3:F33" si="0">$B3+$C3+IF(($E3&gt;$D3), ($E3/$E$35)*7.5, ($D3/$D$35)*3+($E3/$E$35)*4.5)</f>
        <v>2.5438888888888891</v>
      </c>
      <c r="G3" s="36">
        <f t="shared" ref="G3:G33" si="1">0.5*INT(F3/0.5)+INT( ((F3-INT(F3/0.5)*0.5)/0.25))*0.5</f>
        <v>2.5</v>
      </c>
      <c r="H3" s="33">
        <f t="shared" ref="H3:H33" si="2">IF(G3&gt;4.75,1,0)</f>
        <v>0</v>
      </c>
    </row>
    <row r="4" spans="1:8" ht="29" customHeight="1" x14ac:dyDescent="0.15">
      <c r="A4" s="22">
        <v>28745</v>
      </c>
      <c r="B4" s="36">
        <f>Labs!L4</f>
        <v>0.47944444444444445</v>
      </c>
      <c r="C4" s="34">
        <f>Homework!H4</f>
        <v>0.61949404761904769</v>
      </c>
      <c r="D4" s="35">
        <f>Exams!B4</f>
        <v>51</v>
      </c>
      <c r="E4" s="32">
        <f>Exams!C4</f>
        <v>24</v>
      </c>
      <c r="F4" s="36">
        <f t="shared" si="0"/>
        <v>3.7089384920634925</v>
      </c>
      <c r="G4" s="36">
        <f t="shared" si="1"/>
        <v>3.5</v>
      </c>
      <c r="H4" s="33">
        <f t="shared" si="2"/>
        <v>0</v>
      </c>
    </row>
    <row r="5" spans="1:8" ht="29" customHeight="1" x14ac:dyDescent="0.15">
      <c r="A5" s="22">
        <v>32418</v>
      </c>
      <c r="B5" s="36">
        <f>Labs!L5</f>
        <v>0.98472222222222228</v>
      </c>
      <c r="C5" s="34">
        <f>Homework!H5</f>
        <v>1.4666666666666668</v>
      </c>
      <c r="D5" s="35">
        <f>Exams!B5</f>
        <v>94</v>
      </c>
      <c r="E5" s="32">
        <f>Exams!C5</f>
        <v>94</v>
      </c>
      <c r="F5" s="36">
        <f t="shared" si="0"/>
        <v>9.5013888888888882</v>
      </c>
      <c r="G5" s="36">
        <f t="shared" si="1"/>
        <v>9.5</v>
      </c>
      <c r="H5" s="33">
        <f t="shared" si="2"/>
        <v>1</v>
      </c>
    </row>
    <row r="6" spans="1:8" ht="29" customHeight="1" x14ac:dyDescent="0.15">
      <c r="A6" s="22">
        <v>37701</v>
      </c>
      <c r="B6" s="36">
        <f>Labs!L6</f>
        <v>0.96722222222222221</v>
      </c>
      <c r="C6" s="34">
        <f>Homework!H6</f>
        <v>1.2741071428571429</v>
      </c>
      <c r="D6" s="35">
        <f>Exams!B6</f>
        <v>22</v>
      </c>
      <c r="E6" s="32">
        <f>Exams!C6</f>
        <v>37</v>
      </c>
      <c r="F6" s="36">
        <f t="shared" si="0"/>
        <v>5.0163293650793648</v>
      </c>
      <c r="G6" s="36">
        <f t="shared" si="1"/>
        <v>5</v>
      </c>
      <c r="H6" s="33">
        <f t="shared" si="2"/>
        <v>1</v>
      </c>
    </row>
    <row r="7" spans="1:8" ht="29" customHeight="1" x14ac:dyDescent="0.15">
      <c r="A7" s="22">
        <v>37840</v>
      </c>
      <c r="B7" s="36">
        <f>Labs!L7</f>
        <v>0.17666666666666667</v>
      </c>
      <c r="C7" s="34">
        <f>Homework!H7</f>
        <v>0.24374999999999999</v>
      </c>
      <c r="D7" s="35">
        <f>Exams!B7</f>
        <v>22</v>
      </c>
      <c r="E7" s="32">
        <f>Exams!C7</f>
        <v>0</v>
      </c>
      <c r="F7" s="36">
        <f t="shared" si="0"/>
        <v>1.0804166666666668</v>
      </c>
      <c r="G7" s="36">
        <f t="shared" si="1"/>
        <v>1</v>
      </c>
      <c r="H7" s="33">
        <f t="shared" si="2"/>
        <v>0</v>
      </c>
    </row>
    <row r="8" spans="1:8" ht="29" customHeight="1" x14ac:dyDescent="0.15">
      <c r="A8" s="22">
        <v>39304</v>
      </c>
      <c r="B8" s="36">
        <f>Labs!L8</f>
        <v>0.76500000000000001</v>
      </c>
      <c r="C8" s="34">
        <f>Homework!H8</f>
        <v>1.1062500000000002</v>
      </c>
      <c r="D8" s="35">
        <f>Exams!B8</f>
        <v>70</v>
      </c>
      <c r="E8" s="32">
        <f>Exams!C8</f>
        <v>31</v>
      </c>
      <c r="F8" s="36">
        <f t="shared" si="0"/>
        <v>5.36625</v>
      </c>
      <c r="G8" s="36">
        <f t="shared" si="1"/>
        <v>5.5</v>
      </c>
      <c r="H8" s="33">
        <f t="shared" si="2"/>
        <v>1</v>
      </c>
    </row>
    <row r="9" spans="1:8" ht="29" customHeight="1" x14ac:dyDescent="0.15">
      <c r="A9" s="22">
        <v>41772</v>
      </c>
      <c r="B9" s="36">
        <f>Labs!L9</f>
        <v>0.1075</v>
      </c>
      <c r="C9" s="34">
        <f>Homework!H9</f>
        <v>6.6666666666666666E-2</v>
      </c>
      <c r="D9" s="35">
        <f>Exams!B9</f>
        <v>28</v>
      </c>
      <c r="E9" s="32">
        <f>Exams!C9</f>
        <v>12</v>
      </c>
      <c r="F9" s="36">
        <f t="shared" si="0"/>
        <v>1.5541666666666667</v>
      </c>
      <c r="G9" s="36">
        <f t="shared" si="1"/>
        <v>1.5</v>
      </c>
      <c r="H9" s="33">
        <f t="shared" si="2"/>
        <v>0</v>
      </c>
    </row>
    <row r="10" spans="1:8" ht="29" customHeight="1" x14ac:dyDescent="0.15">
      <c r="A10" s="22">
        <v>41850</v>
      </c>
      <c r="B10" s="36">
        <f>Labs!L10</f>
        <v>0.82972222222222225</v>
      </c>
      <c r="C10" s="34">
        <f>Homework!H10</f>
        <v>1.3133928571428573</v>
      </c>
      <c r="D10" s="35">
        <f>Exams!B10</f>
        <v>62</v>
      </c>
      <c r="E10" s="32">
        <f>Exams!C10</f>
        <v>77</v>
      </c>
      <c r="F10" s="36">
        <f t="shared" si="0"/>
        <v>7.9181150793650801</v>
      </c>
      <c r="G10" s="36">
        <f t="shared" si="1"/>
        <v>8</v>
      </c>
      <c r="H10" s="33">
        <f t="shared" si="2"/>
        <v>1</v>
      </c>
    </row>
    <row r="11" spans="1:8" ht="29" customHeight="1" x14ac:dyDescent="0.15">
      <c r="A11" s="22">
        <v>42057</v>
      </c>
      <c r="B11" s="36">
        <f>Labs!L11</f>
        <v>0.67788888888888876</v>
      </c>
      <c r="C11" s="34">
        <f>Homework!H11</f>
        <v>1.2523809523809522</v>
      </c>
      <c r="D11" s="35">
        <f>Exams!B11</f>
        <v>31</v>
      </c>
      <c r="E11" s="32">
        <f>Exams!C11</f>
        <v>40</v>
      </c>
      <c r="F11" s="36">
        <f t="shared" si="0"/>
        <v>4.9302698412698405</v>
      </c>
      <c r="G11" s="36">
        <f t="shared" si="1"/>
        <v>5</v>
      </c>
      <c r="H11" s="33">
        <f t="shared" si="2"/>
        <v>1</v>
      </c>
    </row>
    <row r="12" spans="1:8" ht="29" customHeight="1" x14ac:dyDescent="0.15">
      <c r="A12" s="22">
        <v>43868</v>
      </c>
      <c r="B12" s="36">
        <f>Labs!L12</f>
        <v>0.44983333333333331</v>
      </c>
      <c r="C12" s="34">
        <f>Homework!H12</f>
        <v>0.38124999999999992</v>
      </c>
      <c r="D12" s="35">
        <f>Exams!B12</f>
        <v>46</v>
      </c>
      <c r="E12" s="32">
        <f>Exams!C12</f>
        <v>53</v>
      </c>
      <c r="F12" s="36">
        <f t="shared" si="0"/>
        <v>4.8060833333333335</v>
      </c>
      <c r="G12" s="36">
        <f t="shared" si="1"/>
        <v>5</v>
      </c>
      <c r="H12" s="33">
        <f t="shared" si="2"/>
        <v>1</v>
      </c>
    </row>
    <row r="13" spans="1:8" ht="29" customHeight="1" x14ac:dyDescent="0.15">
      <c r="A13" s="22">
        <v>46234</v>
      </c>
      <c r="B13" s="36">
        <f>Labs!L13</f>
        <v>0.20016666666666669</v>
      </c>
      <c r="C13" s="34">
        <f>Homework!H13</f>
        <v>0.38020833333333331</v>
      </c>
      <c r="D13" s="35">
        <f>Exams!B13</f>
        <v>31</v>
      </c>
      <c r="E13" s="32">
        <f>Exams!C13</f>
        <v>3</v>
      </c>
      <c r="F13" s="36">
        <f t="shared" si="0"/>
        <v>1.645375</v>
      </c>
      <c r="G13" s="36">
        <f t="shared" si="1"/>
        <v>1.5</v>
      </c>
      <c r="H13" s="33">
        <f t="shared" si="2"/>
        <v>0</v>
      </c>
    </row>
    <row r="14" spans="1:8" ht="29" customHeight="1" x14ac:dyDescent="0.15">
      <c r="A14" s="22">
        <v>48461</v>
      </c>
      <c r="B14" s="36">
        <f>Labs!L14</f>
        <v>0.93800000000000006</v>
      </c>
      <c r="C14" s="34">
        <f>Homework!H14</f>
        <v>0.85312499999999991</v>
      </c>
      <c r="D14" s="35">
        <f>Exams!B14</f>
        <v>74</v>
      </c>
      <c r="E14" s="32">
        <f>Exams!C14</f>
        <v>68</v>
      </c>
      <c r="F14" s="36">
        <f t="shared" si="0"/>
        <v>7.0711249999999994</v>
      </c>
      <c r="G14" s="36">
        <f t="shared" si="1"/>
        <v>7</v>
      </c>
      <c r="H14" s="33">
        <f t="shared" si="2"/>
        <v>1</v>
      </c>
    </row>
    <row r="15" spans="1:8" ht="29" customHeight="1" x14ac:dyDescent="0.15">
      <c r="A15" s="22">
        <v>48462</v>
      </c>
      <c r="B15" s="36">
        <f>Labs!L15</f>
        <v>0.94883333333333331</v>
      </c>
      <c r="C15" s="34">
        <f>Homework!H15</f>
        <v>1.3254464285714287</v>
      </c>
      <c r="D15" s="35">
        <f>Exams!B15</f>
        <v>89</v>
      </c>
      <c r="E15" s="32">
        <f>Exams!C15</f>
        <v>87</v>
      </c>
      <c r="F15" s="36">
        <f t="shared" si="0"/>
        <v>8.8592797619047623</v>
      </c>
      <c r="G15" s="36">
        <f t="shared" si="1"/>
        <v>9</v>
      </c>
      <c r="H15" s="33">
        <f t="shared" si="2"/>
        <v>1</v>
      </c>
    </row>
    <row r="16" spans="1:8" ht="29" customHeight="1" x14ac:dyDescent="0.15">
      <c r="A16" s="22">
        <v>48666</v>
      </c>
      <c r="B16" s="36">
        <f>Labs!L16</f>
        <v>0.68138888888888904</v>
      </c>
      <c r="C16" s="34">
        <f>Homework!H16</f>
        <v>0.85505952380952388</v>
      </c>
      <c r="D16" s="35">
        <f>Exams!B16</f>
        <v>26</v>
      </c>
      <c r="E16" s="32">
        <f>Exams!C16</f>
        <v>7</v>
      </c>
      <c r="F16" s="36">
        <f t="shared" si="0"/>
        <v>2.631448412698413</v>
      </c>
      <c r="G16" s="36">
        <f t="shared" si="1"/>
        <v>2.5</v>
      </c>
      <c r="H16" s="33">
        <f t="shared" si="2"/>
        <v>0</v>
      </c>
    </row>
    <row r="17" spans="1:8" ht="29" customHeight="1" x14ac:dyDescent="0.15">
      <c r="A17" s="22">
        <v>50098</v>
      </c>
      <c r="B17" s="36">
        <f>Labs!L17</f>
        <v>0.16250000000000001</v>
      </c>
      <c r="C17" s="34">
        <f>Homework!H17</f>
        <v>0</v>
      </c>
      <c r="D17" s="35">
        <f>Exams!B17</f>
        <v>16</v>
      </c>
      <c r="E17" s="32">
        <f>Exams!C17</f>
        <v>2</v>
      </c>
      <c r="F17" s="36">
        <f t="shared" si="0"/>
        <v>0.73249999999999993</v>
      </c>
      <c r="G17" s="36">
        <f t="shared" si="1"/>
        <v>0.5</v>
      </c>
      <c r="H17" s="33">
        <f t="shared" si="2"/>
        <v>0</v>
      </c>
    </row>
    <row r="18" spans="1:8" ht="29" customHeight="1" x14ac:dyDescent="0.15">
      <c r="A18" s="22">
        <v>50108</v>
      </c>
      <c r="B18" s="36">
        <f>Labs!L18</f>
        <v>0.47566666666666668</v>
      </c>
      <c r="C18" s="34">
        <f>Homework!H18</f>
        <v>0.71458333333333324</v>
      </c>
      <c r="D18" s="35">
        <f>Exams!B18</f>
        <v>16</v>
      </c>
      <c r="E18" s="32">
        <f>Exams!C18</f>
        <v>7</v>
      </c>
      <c r="F18" s="36">
        <f t="shared" si="0"/>
        <v>1.9852499999999997</v>
      </c>
      <c r="G18" s="36">
        <f t="shared" si="1"/>
        <v>2</v>
      </c>
      <c r="H18" s="33">
        <f t="shared" si="2"/>
        <v>0</v>
      </c>
    </row>
    <row r="19" spans="1:8" ht="29" customHeight="1" x14ac:dyDescent="0.15">
      <c r="A19" s="22">
        <v>50925</v>
      </c>
      <c r="B19" s="36">
        <f>Labs!L19</f>
        <v>0.13416666666666666</v>
      </c>
      <c r="C19" s="34">
        <f>Homework!H19</f>
        <v>6.6666666666666666E-2</v>
      </c>
      <c r="D19" s="35">
        <f>Exams!B19</f>
        <v>1</v>
      </c>
      <c r="E19" s="32">
        <f>Exams!C19</f>
        <v>4</v>
      </c>
      <c r="F19" s="36">
        <f t="shared" si="0"/>
        <v>0.50083333333333324</v>
      </c>
      <c r="G19" s="36">
        <f t="shared" si="1"/>
        <v>0.5</v>
      </c>
      <c r="H19" s="33">
        <f t="shared" si="2"/>
        <v>0</v>
      </c>
    </row>
    <row r="20" spans="1:8" ht="29" customHeight="1" x14ac:dyDescent="0.15">
      <c r="A20" s="22">
        <v>52252</v>
      </c>
      <c r="B20" s="36">
        <f>Labs!L20</f>
        <v>0.28794444444444445</v>
      </c>
      <c r="C20" s="34">
        <f>Homework!H20</f>
        <v>0.37812500000000004</v>
      </c>
      <c r="D20" s="35">
        <f>Exams!B20</f>
        <v>14</v>
      </c>
      <c r="E20" s="32">
        <f>Exams!C20</f>
        <v>8</v>
      </c>
      <c r="F20" s="36">
        <f t="shared" si="0"/>
        <v>1.4460694444444444</v>
      </c>
      <c r="G20" s="36">
        <f t="shared" si="1"/>
        <v>1.5</v>
      </c>
      <c r="H20" s="33">
        <f t="shared" si="2"/>
        <v>0</v>
      </c>
    </row>
    <row r="21" spans="1:8" ht="29" customHeight="1" x14ac:dyDescent="0.15">
      <c r="A21" s="22">
        <v>53915</v>
      </c>
      <c r="B21" s="36">
        <f>Labs!L21</f>
        <v>0.82972222222222225</v>
      </c>
      <c r="C21" s="34">
        <f>Homework!H21</f>
        <v>1.1645833333333333</v>
      </c>
      <c r="D21" s="35">
        <f>Exams!B21</f>
        <v>67</v>
      </c>
      <c r="E21" s="32">
        <f>Exams!C21</f>
        <v>85</v>
      </c>
      <c r="F21" s="36">
        <f t="shared" si="0"/>
        <v>8.369305555555556</v>
      </c>
      <c r="G21" s="36">
        <f t="shared" ref="G21:G24" si="3">0.5*INT(F21/0.5)+INT( ((F21-INT(F21/0.5)*0.5)/0.25))*0.5</f>
        <v>8.5</v>
      </c>
      <c r="H21" s="33">
        <f t="shared" ref="H21:H24" si="4">IF(G21&gt;4.75,1,0)</f>
        <v>1</v>
      </c>
    </row>
    <row r="22" spans="1:8" ht="29" customHeight="1" x14ac:dyDescent="0.15">
      <c r="A22" s="22">
        <v>56433</v>
      </c>
      <c r="B22" s="36">
        <f>Labs!L22</f>
        <v>0.70638888888888896</v>
      </c>
      <c r="C22" s="34">
        <f>Homework!H22</f>
        <v>0.89791666666666659</v>
      </c>
      <c r="D22" s="35">
        <f>Exams!B22</f>
        <v>39</v>
      </c>
      <c r="E22" s="32">
        <f>Exams!C22</f>
        <v>50</v>
      </c>
      <c r="F22" s="36">
        <f t="shared" si="0"/>
        <v>5.3543055555555554</v>
      </c>
      <c r="G22" s="36">
        <f t="shared" si="3"/>
        <v>5.5</v>
      </c>
      <c r="H22" s="33">
        <f t="shared" si="4"/>
        <v>1</v>
      </c>
    </row>
    <row r="23" spans="1:8" ht="29" customHeight="1" x14ac:dyDescent="0.15">
      <c r="A23" s="22">
        <v>58506</v>
      </c>
      <c r="B23" s="36">
        <f>Labs!L23</f>
        <v>0.37638888888888888</v>
      </c>
      <c r="C23" s="34">
        <f>Homework!H23</f>
        <v>0.5708333333333333</v>
      </c>
      <c r="D23" s="35">
        <f>Exams!B23</f>
        <v>18</v>
      </c>
      <c r="E23" s="32">
        <f>Exams!C23</f>
        <v>16</v>
      </c>
      <c r="F23" s="36">
        <f t="shared" si="0"/>
        <v>2.2072222222222222</v>
      </c>
      <c r="G23" s="36">
        <f t="shared" si="3"/>
        <v>2</v>
      </c>
      <c r="H23" s="33">
        <f t="shared" si="4"/>
        <v>0</v>
      </c>
    </row>
    <row r="24" spans="1:8" ht="29" customHeight="1" x14ac:dyDescent="0.15">
      <c r="A24" s="22">
        <v>59392</v>
      </c>
      <c r="B24" s="36">
        <f>Labs!L24</f>
        <v>0.55222222222222217</v>
      </c>
      <c r="C24" s="34">
        <f>Homework!H24</f>
        <v>0.79166666666666663</v>
      </c>
      <c r="D24" s="35">
        <f>Exams!B24</f>
        <v>15</v>
      </c>
      <c r="E24" s="32">
        <f>Exams!C24</f>
        <v>7</v>
      </c>
      <c r="F24" s="36">
        <f t="shared" si="0"/>
        <v>2.108888888888889</v>
      </c>
      <c r="G24" s="36">
        <f t="shared" si="3"/>
        <v>2</v>
      </c>
      <c r="H24" s="33">
        <f t="shared" si="4"/>
        <v>0</v>
      </c>
    </row>
    <row r="25" spans="1:8" ht="29" customHeight="1" x14ac:dyDescent="0.15">
      <c r="A25" s="22">
        <v>61767</v>
      </c>
      <c r="B25" s="36">
        <f>Labs!L25</f>
        <v>0.23666666666666666</v>
      </c>
      <c r="C25" s="34">
        <f>Homework!H25</f>
        <v>0.29375000000000001</v>
      </c>
      <c r="D25" s="35">
        <f>Exams!B25</f>
        <v>16</v>
      </c>
      <c r="E25" s="32">
        <f>Exams!C25</f>
        <v>1</v>
      </c>
      <c r="F25" s="36">
        <f t="shared" si="0"/>
        <v>1.0554166666666667</v>
      </c>
      <c r="G25" s="36">
        <f t="shared" si="1"/>
        <v>1</v>
      </c>
      <c r="H25" s="33">
        <f t="shared" si="2"/>
        <v>0</v>
      </c>
    </row>
    <row r="26" spans="1:8" ht="29" customHeight="1" x14ac:dyDescent="0.15">
      <c r="A26" s="22">
        <v>62166</v>
      </c>
      <c r="B26" s="36">
        <f>Labs!L26</f>
        <v>0.57233333333333336</v>
      </c>
      <c r="C26" s="34">
        <f>Homework!H26</f>
        <v>0.45178571428571423</v>
      </c>
      <c r="D26" s="35">
        <f>Exams!B26</f>
        <v>22</v>
      </c>
      <c r="E26" s="32">
        <f>Exams!C26</f>
        <v>64</v>
      </c>
      <c r="F26" s="36">
        <f t="shared" si="0"/>
        <v>5.8241190476190479</v>
      </c>
      <c r="G26" s="36">
        <f t="shared" si="1"/>
        <v>6</v>
      </c>
      <c r="H26" s="33">
        <f t="shared" si="2"/>
        <v>1</v>
      </c>
    </row>
    <row r="27" spans="1:8" ht="29" customHeight="1" x14ac:dyDescent="0.15">
      <c r="A27" s="22">
        <v>62943</v>
      </c>
      <c r="B27" s="36">
        <f>Labs!L27</f>
        <v>0.28972222222222221</v>
      </c>
      <c r="C27" s="34">
        <f>Homework!H27</f>
        <v>0.34062499999999996</v>
      </c>
      <c r="D27" s="35">
        <f>Exams!B27</f>
        <v>16</v>
      </c>
      <c r="E27" s="32">
        <f>Exams!C27</f>
        <v>8</v>
      </c>
      <c r="F27" s="36">
        <f t="shared" si="0"/>
        <v>1.4703472222222222</v>
      </c>
      <c r="G27" s="36">
        <f t="shared" si="1"/>
        <v>1.5</v>
      </c>
      <c r="H27" s="33">
        <f t="shared" si="2"/>
        <v>0</v>
      </c>
    </row>
    <row r="28" spans="1:8" ht="29" customHeight="1" x14ac:dyDescent="0.15">
      <c r="A28" s="22">
        <v>64244</v>
      </c>
      <c r="B28" s="36">
        <f>Labs!L28</f>
        <v>0.48372222222222216</v>
      </c>
      <c r="C28" s="34">
        <f>Homework!H28</f>
        <v>0.5083333333333333</v>
      </c>
      <c r="D28" s="35">
        <f>Exams!B28</f>
        <v>26</v>
      </c>
      <c r="E28" s="32">
        <f>Exams!C28</f>
        <v>9</v>
      </c>
      <c r="F28" s="36">
        <f t="shared" si="0"/>
        <v>2.1770555555555555</v>
      </c>
      <c r="G28" s="36">
        <f t="shared" si="1"/>
        <v>2</v>
      </c>
      <c r="H28" s="33">
        <f t="shared" si="2"/>
        <v>0</v>
      </c>
    </row>
    <row r="29" spans="1:8" ht="29" customHeight="1" x14ac:dyDescent="0.15">
      <c r="A29" s="22">
        <v>64826</v>
      </c>
      <c r="B29" s="36">
        <f>Labs!L29</f>
        <v>0</v>
      </c>
      <c r="C29" s="34">
        <f>Homework!H29</f>
        <v>0</v>
      </c>
      <c r="D29" s="35">
        <f>Exams!B29</f>
        <v>0</v>
      </c>
      <c r="E29" s="32">
        <f>Exams!C29</f>
        <v>0</v>
      </c>
      <c r="F29" s="36">
        <f t="shared" si="0"/>
        <v>0</v>
      </c>
      <c r="G29" s="36">
        <f t="shared" si="1"/>
        <v>0</v>
      </c>
      <c r="H29" s="33">
        <f t="shared" si="2"/>
        <v>0</v>
      </c>
    </row>
    <row r="30" spans="1:8" ht="29" customHeight="1" x14ac:dyDescent="0.15">
      <c r="A30" s="22">
        <v>65878</v>
      </c>
      <c r="B30" s="36">
        <f>Labs!L30</f>
        <v>0.65583333333333338</v>
      </c>
      <c r="C30" s="34">
        <f>Homework!H30</f>
        <v>0.88422619047619044</v>
      </c>
      <c r="D30" s="35">
        <f>Exams!B30</f>
        <v>47</v>
      </c>
      <c r="E30" s="32">
        <f>Exams!C30</f>
        <v>57</v>
      </c>
      <c r="F30" s="36">
        <f t="shared" si="0"/>
        <v>5.8150595238095235</v>
      </c>
      <c r="G30" s="36">
        <f t="shared" si="1"/>
        <v>6</v>
      </c>
      <c r="H30" s="33">
        <f t="shared" si="2"/>
        <v>1</v>
      </c>
    </row>
    <row r="31" spans="1:8" ht="29" customHeight="1" x14ac:dyDescent="0.15">
      <c r="A31" s="22">
        <v>65882</v>
      </c>
      <c r="B31" s="36">
        <f>Labs!L31</f>
        <v>0.99055555555555552</v>
      </c>
      <c r="C31" s="34">
        <f>Homework!H31</f>
        <v>1.4017857142857144</v>
      </c>
      <c r="D31" s="35">
        <f>Exams!B31</f>
        <v>88</v>
      </c>
      <c r="E31" s="32">
        <f>Exams!C31</f>
        <v>93</v>
      </c>
      <c r="F31" s="36">
        <f t="shared" si="0"/>
        <v>9.3673412698412708</v>
      </c>
      <c r="G31" s="36">
        <f t="shared" si="1"/>
        <v>9.5</v>
      </c>
      <c r="H31" s="33">
        <f t="shared" si="2"/>
        <v>1</v>
      </c>
    </row>
    <row r="32" spans="1:8" ht="29" customHeight="1" x14ac:dyDescent="0.15">
      <c r="A32" s="22">
        <v>98422</v>
      </c>
      <c r="B32" s="36">
        <f>Labs!L32</f>
        <v>0.9638888888888888</v>
      </c>
      <c r="C32" s="34">
        <f>Homework!H32</f>
        <v>1.425</v>
      </c>
      <c r="D32" s="35">
        <f>Exams!B32</f>
        <v>99</v>
      </c>
      <c r="E32" s="32">
        <f>Exams!C32</f>
        <v>98</v>
      </c>
      <c r="F32" s="36">
        <f t="shared" si="0"/>
        <v>9.7688888888888883</v>
      </c>
      <c r="G32" s="36">
        <f t="shared" si="1"/>
        <v>10</v>
      </c>
      <c r="H32" s="33">
        <f t="shared" si="2"/>
        <v>1</v>
      </c>
    </row>
    <row r="33" spans="1:8" ht="29" customHeight="1" x14ac:dyDescent="0.15">
      <c r="A33" s="22">
        <v>98812</v>
      </c>
      <c r="B33" s="36">
        <f>Labs!L33</f>
        <v>0.20027777777777778</v>
      </c>
      <c r="C33" s="34">
        <f>Homework!H33</f>
        <v>0</v>
      </c>
      <c r="D33" s="35">
        <f>Exams!B33</f>
        <v>2</v>
      </c>
      <c r="E33" s="32">
        <f>Exams!C33</f>
        <v>10</v>
      </c>
      <c r="F33" s="36">
        <f t="shared" si="0"/>
        <v>0.95027777777777778</v>
      </c>
      <c r="G33" s="36">
        <f t="shared" si="1"/>
        <v>1</v>
      </c>
      <c r="H33" s="33">
        <f t="shared" si="2"/>
        <v>0</v>
      </c>
    </row>
    <row r="34" spans="1:8" ht="28" customHeight="1" x14ac:dyDescent="0.15">
      <c r="A34" s="24"/>
      <c r="B34" s="22"/>
      <c r="C34" s="26"/>
      <c r="D34" s="27"/>
      <c r="E34" s="27"/>
      <c r="F34" s="14"/>
      <c r="G34" s="7"/>
      <c r="H34" s="7"/>
    </row>
    <row r="35" spans="1:8" ht="28" customHeight="1" x14ac:dyDescent="0.15">
      <c r="A35" s="16" t="s">
        <v>13</v>
      </c>
      <c r="B35" s="44">
        <f>Labs!L35</f>
        <v>1</v>
      </c>
      <c r="C35" s="44">
        <f>Homework!H35</f>
        <v>1.5</v>
      </c>
      <c r="D35" s="37">
        <f>Exams!B35</f>
        <v>100</v>
      </c>
      <c r="E35" s="38">
        <f>Exams!C35</f>
        <v>100</v>
      </c>
      <c r="F35" s="38">
        <v>10</v>
      </c>
      <c r="G35" s="38">
        <v>10</v>
      </c>
      <c r="H35" s="38">
        <v>32</v>
      </c>
    </row>
    <row r="36" spans="1:8" ht="28" customHeight="1" x14ac:dyDescent="0.15">
      <c r="A36" s="17" t="s">
        <v>14</v>
      </c>
      <c r="B36" s="40">
        <f t="shared" ref="B36:G36" si="5">AVERAGE(B$2:B$33)</f>
        <v>0.51696874999999998</v>
      </c>
      <c r="C36" s="40">
        <f t="shared" si="5"/>
        <v>0.68709542410714297</v>
      </c>
      <c r="D36" s="40">
        <f t="shared" si="5"/>
        <v>37.4375</v>
      </c>
      <c r="E36" s="40">
        <f t="shared" si="5"/>
        <v>33.1875</v>
      </c>
      <c r="F36" s="40">
        <f t="shared" si="5"/>
        <v>3.9546891741071435</v>
      </c>
      <c r="G36" s="40">
        <f t="shared" si="5"/>
        <v>3.96875</v>
      </c>
      <c r="H36" s="52">
        <f>SUM(H2:H33)</f>
        <v>14</v>
      </c>
    </row>
    <row r="37" spans="1:8" ht="28" customHeight="1" x14ac:dyDescent="0.15">
      <c r="A37" s="18" t="s">
        <v>15</v>
      </c>
      <c r="B37" s="40">
        <f t="shared" ref="B37:G37" si="6">STDEV(B$2:B$33)</f>
        <v>0.31347009265946807</v>
      </c>
      <c r="C37" s="40">
        <f t="shared" si="6"/>
        <v>0.46904663101538763</v>
      </c>
      <c r="D37" s="40">
        <f t="shared" si="6"/>
        <v>28.732287671515291</v>
      </c>
      <c r="E37" s="40">
        <f t="shared" si="6"/>
        <v>33.762393184553538</v>
      </c>
      <c r="F37" s="40">
        <f t="shared" si="6"/>
        <v>3.0643758446880689</v>
      </c>
      <c r="G37" s="40">
        <f t="shared" si="6"/>
        <v>3.1339388284784953</v>
      </c>
      <c r="H37" s="51"/>
    </row>
    <row r="38" spans="1:8" ht="28" customHeight="1" x14ac:dyDescent="0.15">
      <c r="A38" s="18" t="s">
        <v>16</v>
      </c>
      <c r="B38" s="40">
        <f t="shared" ref="B38:G38" si="7">MEDIAN(B$2:B$33)</f>
        <v>0.48158333333333331</v>
      </c>
      <c r="C38" s="40">
        <f t="shared" si="7"/>
        <v>0.59516369047619055</v>
      </c>
      <c r="D38" s="40">
        <f t="shared" si="7"/>
        <v>27</v>
      </c>
      <c r="E38" s="40">
        <f t="shared" si="7"/>
        <v>14</v>
      </c>
      <c r="F38" s="40">
        <f t="shared" si="7"/>
        <v>2.5876686507936508</v>
      </c>
      <c r="G38" s="40">
        <f t="shared" si="7"/>
        <v>2.5</v>
      </c>
      <c r="H38" s="51"/>
    </row>
    <row r="39" spans="1:8" x14ac:dyDescent="0.15">
      <c r="B39"/>
    </row>
    <row r="40" spans="1:8" x14ac:dyDescent="0.15">
      <c r="B40"/>
    </row>
    <row r="41" spans="1:8" x14ac:dyDescent="0.15">
      <c r="B41"/>
    </row>
    <row r="42" spans="1:8" x14ac:dyDescent="0.15">
      <c r="B42"/>
    </row>
    <row r="43" spans="1:8" x14ac:dyDescent="0.15">
      <c r="B43"/>
    </row>
    <row r="44" spans="1:8" x14ac:dyDescent="0.15">
      <c r="B44"/>
    </row>
    <row r="45" spans="1:8" x14ac:dyDescent="0.15">
      <c r="B45"/>
    </row>
    <row r="46" spans="1:8" x14ac:dyDescent="0.15">
      <c r="B46"/>
    </row>
    <row r="47" spans="1:8" x14ac:dyDescent="0.15">
      <c r="B47"/>
    </row>
    <row r="48" spans="1:8" x14ac:dyDescent="0.15">
      <c r="B48"/>
    </row>
    <row r="49" spans="2:2" x14ac:dyDescent="0.15">
      <c r="B49"/>
    </row>
    <row r="50" spans="2:2" x14ac:dyDescent="0.15">
      <c r="B50"/>
    </row>
    <row r="51" spans="2:2" x14ac:dyDescent="0.15">
      <c r="B51"/>
    </row>
    <row r="52" spans="2:2" x14ac:dyDescent="0.15">
      <c r="B52"/>
    </row>
    <row r="53" spans="2:2" x14ac:dyDescent="0.15">
      <c r="B53"/>
    </row>
    <row r="54" spans="2:2" x14ac:dyDescent="0.15">
      <c r="B54"/>
    </row>
    <row r="55" spans="2:2" x14ac:dyDescent="0.15">
      <c r="B55"/>
    </row>
    <row r="56" spans="2:2" x14ac:dyDescent="0.15">
      <c r="B56"/>
    </row>
    <row r="57" spans="2:2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6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Labs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2020-09-07T14:38:33Z</cp:lastPrinted>
  <dcterms:created xsi:type="dcterms:W3CDTF">2008-09-16T13:43:39Z</dcterms:created>
  <dcterms:modified xsi:type="dcterms:W3CDTF">2021-01-02T23:01:32Z</dcterms:modified>
</cp:coreProperties>
</file>