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40/2021/Grades/"/>
    </mc:Choice>
  </mc:AlternateContent>
  <xr:revisionPtr revIDLastSave="0" documentId="13_ncr:1_{4E471175-F1A9-4F41-8FB4-0E2585D83DF0}" xr6:coauthVersionLast="47" xr6:coauthVersionMax="47" xr10:uidLastSave="{00000000-0000-0000-0000-000000000000}"/>
  <bookViews>
    <workbookView xWindow="2260" yWindow="500" windowWidth="20280" windowHeight="17860" tabRatio="334" activeTab="3" xr2:uid="{00000000-000D-0000-FFFF-FFFF00000000}"/>
  </bookViews>
  <sheets>
    <sheet name="Labs" sheetId="1" r:id="rId1"/>
    <sheet name="Homework" sheetId="5" r:id="rId2"/>
    <sheet name="Exams" sheetId="3" r:id="rId3"/>
    <sheet name="Grades" sheetId="2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6" i="3"/>
  <c r="C25" i="3"/>
  <c r="C24" i="3"/>
  <c r="C23" i="3"/>
  <c r="C22" i="3"/>
  <c r="C20" i="3"/>
  <c r="C18" i="3"/>
  <c r="C15" i="3"/>
  <c r="C13" i="3"/>
  <c r="C12" i="3"/>
  <c r="C11" i="3"/>
  <c r="C10" i="3"/>
  <c r="C9" i="3"/>
  <c r="C8" i="3"/>
  <c r="C7" i="3"/>
  <c r="C6" i="3"/>
  <c r="C5" i="3"/>
  <c r="C4" i="3"/>
  <c r="C3" i="3"/>
  <c r="C2" i="3"/>
  <c r="E42" i="2"/>
  <c r="E41" i="2"/>
  <c r="E40" i="2"/>
  <c r="E39" i="2"/>
  <c r="E38" i="2"/>
  <c r="E36" i="2"/>
  <c r="E33" i="2"/>
  <c r="E32" i="2"/>
  <c r="E31" i="2"/>
  <c r="E30" i="2"/>
  <c r="E29" i="2"/>
  <c r="E26" i="2"/>
  <c r="E25" i="2"/>
  <c r="E24" i="2"/>
  <c r="E23" i="2"/>
  <c r="E11" i="2"/>
  <c r="E8" i="2"/>
  <c r="E7" i="2"/>
  <c r="E6" i="2"/>
  <c r="E2" i="2"/>
  <c r="E46" i="2"/>
  <c r="E45" i="2"/>
  <c r="E44" i="2"/>
  <c r="E43" i="2"/>
  <c r="D11" i="5"/>
  <c r="D2" i="5"/>
  <c r="D50" i="1"/>
  <c r="B50" i="1"/>
  <c r="D47" i="1"/>
  <c r="D40" i="1"/>
  <c r="B40" i="1"/>
  <c r="E47" i="5"/>
  <c r="E40" i="5"/>
  <c r="D40" i="5"/>
  <c r="B50" i="3"/>
  <c r="B49" i="3"/>
  <c r="B48" i="3"/>
  <c r="B47" i="3"/>
  <c r="B46" i="3"/>
  <c r="B45" i="3"/>
  <c r="B44" i="3"/>
  <c r="B42" i="3"/>
  <c r="D42" i="2" s="1"/>
  <c r="B41" i="3"/>
  <c r="D41" i="2" s="1"/>
  <c r="B40" i="3"/>
  <c r="D40" i="2" s="1"/>
  <c r="B39" i="3"/>
  <c r="D39" i="2" s="1"/>
  <c r="B38" i="3"/>
  <c r="D38" i="2" s="1"/>
  <c r="B37" i="3"/>
  <c r="B36" i="3"/>
  <c r="B34" i="3"/>
  <c r="B33" i="3"/>
  <c r="B32" i="3"/>
  <c r="B31" i="3"/>
  <c r="B30" i="3"/>
  <c r="B29" i="3"/>
  <c r="B28" i="3"/>
  <c r="D28" i="2" s="1"/>
  <c r="B26" i="3"/>
  <c r="D26" i="2" s="1"/>
  <c r="B25" i="3"/>
  <c r="D25" i="2" s="1"/>
  <c r="B24" i="3"/>
  <c r="D24" i="2" s="1"/>
  <c r="B23" i="3"/>
  <c r="B22" i="3"/>
  <c r="B20" i="3"/>
  <c r="B18" i="3"/>
  <c r="B16" i="3"/>
  <c r="B15" i="3"/>
  <c r="B14" i="3"/>
  <c r="B13" i="3"/>
  <c r="B12" i="3"/>
  <c r="D12" i="2" s="1"/>
  <c r="B11" i="3"/>
  <c r="D11" i="2" s="1"/>
  <c r="B10" i="3"/>
  <c r="D10" i="2" s="1"/>
  <c r="B9" i="3"/>
  <c r="D9" i="2" s="1"/>
  <c r="B8" i="3"/>
  <c r="B7" i="3"/>
  <c r="B6" i="3"/>
  <c r="B5" i="3"/>
  <c r="B4" i="3"/>
  <c r="B3" i="3"/>
  <c r="B2" i="3"/>
  <c r="E42" i="5"/>
  <c r="E18" i="5"/>
  <c r="E49" i="5"/>
  <c r="E48" i="5"/>
  <c r="E46" i="5"/>
  <c r="E45" i="5"/>
  <c r="E44" i="5"/>
  <c r="E39" i="5"/>
  <c r="E38" i="5"/>
  <c r="E37" i="5"/>
  <c r="E36" i="5"/>
  <c r="E34" i="5"/>
  <c r="E33" i="5"/>
  <c r="E32" i="5"/>
  <c r="E31" i="5"/>
  <c r="E30" i="5"/>
  <c r="E29" i="5"/>
  <c r="E28" i="5"/>
  <c r="E25" i="5"/>
  <c r="E23" i="5"/>
  <c r="E22" i="5"/>
  <c r="E13" i="5"/>
  <c r="E12" i="5"/>
  <c r="E10" i="5"/>
  <c r="E9" i="5"/>
  <c r="E8" i="5"/>
  <c r="E7" i="5"/>
  <c r="E6" i="5"/>
  <c r="E5" i="5"/>
  <c r="E4" i="5"/>
  <c r="E55" i="5"/>
  <c r="H56" i="5"/>
  <c r="H55" i="5"/>
  <c r="H54" i="5"/>
  <c r="H53" i="5"/>
  <c r="G56" i="5"/>
  <c r="G55" i="5"/>
  <c r="G54" i="5"/>
  <c r="G53" i="5"/>
  <c r="K56" i="1"/>
  <c r="K55" i="1"/>
  <c r="K54" i="1"/>
  <c r="K53" i="1"/>
  <c r="D49" i="5"/>
  <c r="D48" i="5"/>
  <c r="D46" i="5"/>
  <c r="D45" i="5"/>
  <c r="D44" i="5"/>
  <c r="D38" i="5"/>
  <c r="D36" i="5"/>
  <c r="D34" i="5"/>
  <c r="D33" i="5"/>
  <c r="D31" i="5"/>
  <c r="D30" i="5"/>
  <c r="D25" i="5"/>
  <c r="D24" i="5"/>
  <c r="D23" i="5"/>
  <c r="D22" i="5"/>
  <c r="D20" i="5"/>
  <c r="D16" i="5"/>
  <c r="D14" i="5"/>
  <c r="D10" i="5"/>
  <c r="D8" i="5"/>
  <c r="D7" i="5"/>
  <c r="D6" i="5"/>
  <c r="D4" i="5"/>
  <c r="D49" i="1"/>
  <c r="D48" i="1"/>
  <c r="D46" i="1"/>
  <c r="D45" i="1"/>
  <c r="D44" i="1"/>
  <c r="D42" i="1"/>
  <c r="D41" i="1"/>
  <c r="D39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  <c r="E50" i="2"/>
  <c r="E49" i="2"/>
  <c r="E48" i="2"/>
  <c r="E47" i="2"/>
  <c r="E37" i="2"/>
  <c r="E35" i="2"/>
  <c r="E34" i="2"/>
  <c r="E28" i="2"/>
  <c r="E27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5" i="2"/>
  <c r="E4" i="2"/>
  <c r="E3" i="2"/>
  <c r="D50" i="2"/>
  <c r="D49" i="2"/>
  <c r="D48" i="2"/>
  <c r="D47" i="2"/>
  <c r="D46" i="2"/>
  <c r="D45" i="2"/>
  <c r="D44" i="2"/>
  <c r="D43" i="2"/>
  <c r="D37" i="2"/>
  <c r="D36" i="2"/>
  <c r="D35" i="2"/>
  <c r="D34" i="2"/>
  <c r="D33" i="2"/>
  <c r="D32" i="2"/>
  <c r="D31" i="2"/>
  <c r="D30" i="2"/>
  <c r="D29" i="2"/>
  <c r="D27" i="2"/>
  <c r="D23" i="2"/>
  <c r="D22" i="2"/>
  <c r="D21" i="2"/>
  <c r="D20" i="2"/>
  <c r="D19" i="2"/>
  <c r="D18" i="2"/>
  <c r="D17" i="2"/>
  <c r="D16" i="2"/>
  <c r="D15" i="2"/>
  <c r="D14" i="2"/>
  <c r="D13" i="2"/>
  <c r="D8" i="2"/>
  <c r="D7" i="2"/>
  <c r="D6" i="2"/>
  <c r="D5" i="2"/>
  <c r="D4" i="2"/>
  <c r="D3" i="2"/>
  <c r="I55" i="5"/>
  <c r="F55" i="5"/>
  <c r="C55" i="5"/>
  <c r="I54" i="5"/>
  <c r="F54" i="5"/>
  <c r="C54" i="5"/>
  <c r="I53" i="5"/>
  <c r="F53" i="5"/>
  <c r="C53" i="5"/>
  <c r="B55" i="5"/>
  <c r="B54" i="5"/>
  <c r="B53" i="5"/>
  <c r="E54" i="5" l="1"/>
  <c r="E53" i="5"/>
  <c r="D55" i="5"/>
  <c r="D53" i="5"/>
  <c r="D54" i="5"/>
  <c r="C55" i="3"/>
  <c r="C53" i="3"/>
  <c r="C54" i="3"/>
  <c r="B54" i="3" l="1"/>
  <c r="B55" i="3"/>
  <c r="B53" i="3"/>
  <c r="B52" i="2" l="1"/>
  <c r="C52" i="2"/>
  <c r="E52" i="2"/>
  <c r="D52" i="2"/>
  <c r="B56" i="1"/>
  <c r="C56" i="1"/>
  <c r="D56" i="1"/>
  <c r="E56" i="1"/>
  <c r="F56" i="1"/>
  <c r="G56" i="1"/>
  <c r="H56" i="1"/>
  <c r="I56" i="1"/>
  <c r="J56" i="1"/>
  <c r="B56" i="5"/>
  <c r="C56" i="5"/>
  <c r="D56" i="5"/>
  <c r="F56" i="5"/>
  <c r="I56" i="5"/>
  <c r="J55" i="1"/>
  <c r="D2" i="2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B55" i="1"/>
  <c r="B54" i="1"/>
  <c r="B53" i="1"/>
  <c r="C55" i="1"/>
  <c r="C54" i="1"/>
  <c r="C53" i="1"/>
  <c r="L50" i="1" l="1"/>
  <c r="L38" i="1"/>
  <c r="L26" i="1"/>
  <c r="B26" i="2" s="1"/>
  <c r="L14" i="1"/>
  <c r="B14" i="2" s="1"/>
  <c r="L9" i="1"/>
  <c r="B9" i="2" s="1"/>
  <c r="L48" i="1"/>
  <c r="B48" i="2" s="1"/>
  <c r="L36" i="1"/>
  <c r="B36" i="2" s="1"/>
  <c r="L24" i="1"/>
  <c r="B24" i="2" s="1"/>
  <c r="L12" i="1"/>
  <c r="B12" i="2" s="1"/>
  <c r="L47" i="1"/>
  <c r="B47" i="2" s="1"/>
  <c r="L23" i="1"/>
  <c r="B23" i="2" s="1"/>
  <c r="L11" i="1"/>
  <c r="B11" i="2" s="1"/>
  <c r="L46" i="1"/>
  <c r="B46" i="2" s="1"/>
  <c r="L22" i="1"/>
  <c r="L10" i="1"/>
  <c r="B10" i="2" s="1"/>
  <c r="L33" i="1"/>
  <c r="B33" i="2" s="1"/>
  <c r="L21" i="1"/>
  <c r="B21" i="2" s="1"/>
  <c r="L8" i="1"/>
  <c r="B8" i="2" s="1"/>
  <c r="L32" i="1"/>
  <c r="B32" i="2" s="1"/>
  <c r="L20" i="1"/>
  <c r="B20" i="2" s="1"/>
  <c r="L43" i="1"/>
  <c r="B43" i="2" s="1"/>
  <c r="L19" i="1"/>
  <c r="B19" i="2" s="1"/>
  <c r="L42" i="1"/>
  <c r="B42" i="2" s="1"/>
  <c r="L5" i="1"/>
  <c r="B5" i="2" s="1"/>
  <c r="L41" i="1"/>
  <c r="B41" i="2" s="1"/>
  <c r="L17" i="1"/>
  <c r="B17" i="2" s="1"/>
  <c r="L28" i="1"/>
  <c r="L39" i="1"/>
  <c r="B39" i="2" s="1"/>
  <c r="L49" i="1"/>
  <c r="B49" i="2" s="1"/>
  <c r="L37" i="1"/>
  <c r="B37" i="2" s="1"/>
  <c r="L25" i="1"/>
  <c r="B25" i="2" s="1"/>
  <c r="L13" i="1"/>
  <c r="B13" i="2" s="1"/>
  <c r="L35" i="1"/>
  <c r="B35" i="2" s="1"/>
  <c r="L34" i="1"/>
  <c r="B34" i="2" s="1"/>
  <c r="L45" i="1"/>
  <c r="B45" i="2" s="1"/>
  <c r="L44" i="1"/>
  <c r="B44" i="2" s="1"/>
  <c r="L7" i="1"/>
  <c r="B7" i="2" s="1"/>
  <c r="L31" i="1"/>
  <c r="B31" i="2" s="1"/>
  <c r="L6" i="1"/>
  <c r="B6" i="2" s="1"/>
  <c r="L30" i="1"/>
  <c r="B30" i="2" s="1"/>
  <c r="L18" i="1"/>
  <c r="B18" i="2" s="1"/>
  <c r="L29" i="1"/>
  <c r="B29" i="2" s="1"/>
  <c r="L4" i="1"/>
  <c r="B4" i="2" s="1"/>
  <c r="L40" i="1"/>
  <c r="B40" i="2" s="1"/>
  <c r="L27" i="1"/>
  <c r="B27" i="2" s="1"/>
  <c r="L16" i="1"/>
  <c r="B16" i="2" s="1"/>
  <c r="L3" i="1"/>
  <c r="B3" i="2" s="1"/>
  <c r="L15" i="1"/>
  <c r="B15" i="2" s="1"/>
  <c r="L2" i="1"/>
  <c r="B2" i="2" s="1"/>
  <c r="B22" i="2"/>
  <c r="B38" i="2"/>
  <c r="B50" i="2"/>
  <c r="B28" i="2"/>
  <c r="E55" i="2"/>
  <c r="D54" i="2"/>
  <c r="E53" i="2"/>
  <c r="D55" i="2"/>
  <c r="E54" i="2"/>
  <c r="D53" i="2"/>
  <c r="B55" i="2" l="1"/>
  <c r="B54" i="2"/>
  <c r="B53" i="2"/>
  <c r="L55" i="1"/>
  <c r="L54" i="1"/>
  <c r="L53" i="1"/>
  <c r="E56" i="5" l="1"/>
  <c r="J50" i="5" l="1"/>
  <c r="J46" i="5"/>
  <c r="J31" i="5"/>
  <c r="J17" i="5"/>
  <c r="J27" i="5"/>
  <c r="C27" i="2" s="1"/>
  <c r="F27" i="2" s="1"/>
  <c r="G27" i="2" s="1"/>
  <c r="H27" i="2" s="1"/>
  <c r="J38" i="5"/>
  <c r="J22" i="5"/>
  <c r="C22" i="2" s="1"/>
  <c r="F22" i="2" s="1"/>
  <c r="G22" i="2" s="1"/>
  <c r="H22" i="2" s="1"/>
  <c r="J19" i="5"/>
  <c r="C19" i="2" s="1"/>
  <c r="F19" i="2" s="1"/>
  <c r="G19" i="2" s="1"/>
  <c r="H19" i="2" s="1"/>
  <c r="J16" i="5"/>
  <c r="C16" i="2" s="1"/>
  <c r="F16" i="2" s="1"/>
  <c r="G16" i="2" s="1"/>
  <c r="H16" i="2" s="1"/>
  <c r="J26" i="5"/>
  <c r="C26" i="2" s="1"/>
  <c r="F26" i="2" s="1"/>
  <c r="G26" i="2" s="1"/>
  <c r="H26" i="2" s="1"/>
  <c r="J10" i="5"/>
  <c r="C10" i="2" s="1"/>
  <c r="F10" i="2" s="1"/>
  <c r="G10" i="2" s="1"/>
  <c r="H10" i="2" s="1"/>
  <c r="J7" i="5"/>
  <c r="C7" i="2" s="1"/>
  <c r="F7" i="2" s="1"/>
  <c r="G7" i="2" s="1"/>
  <c r="H7" i="2" s="1"/>
  <c r="J42" i="5"/>
  <c r="J14" i="5"/>
  <c r="J45" i="5"/>
  <c r="C45" i="2" s="1"/>
  <c r="F45" i="2" s="1"/>
  <c r="G45" i="2" s="1"/>
  <c r="H45" i="2" s="1"/>
  <c r="J29" i="5"/>
  <c r="J5" i="5"/>
  <c r="C5" i="2" s="1"/>
  <c r="F5" i="2" s="1"/>
  <c r="G5" i="2" s="1"/>
  <c r="H5" i="2" s="1"/>
  <c r="J2" i="5"/>
  <c r="J33" i="5"/>
  <c r="J28" i="5"/>
  <c r="C28" i="2" s="1"/>
  <c r="F28" i="2" s="1"/>
  <c r="G28" i="2" s="1"/>
  <c r="H28" i="2" s="1"/>
  <c r="J39" i="5"/>
  <c r="C39" i="2" s="1"/>
  <c r="F39" i="2" s="1"/>
  <c r="G39" i="2" s="1"/>
  <c r="H39" i="2" s="1"/>
  <c r="J48" i="5"/>
  <c r="C48" i="2" s="1"/>
  <c r="F48" i="2" s="1"/>
  <c r="G48" i="2" s="1"/>
  <c r="H48" i="2" s="1"/>
  <c r="J21" i="5"/>
  <c r="C21" i="2" s="1"/>
  <c r="F21" i="2" s="1"/>
  <c r="G21" i="2" s="1"/>
  <c r="H21" i="2" s="1"/>
  <c r="J15" i="5"/>
  <c r="C15" i="2" s="1"/>
  <c r="F15" i="2" s="1"/>
  <c r="G15" i="2" s="1"/>
  <c r="H15" i="2" s="1"/>
  <c r="J18" i="5"/>
  <c r="J36" i="5"/>
  <c r="C36" i="2" s="1"/>
  <c r="F36" i="2" s="1"/>
  <c r="G36" i="2" s="1"/>
  <c r="H36" i="2" s="1"/>
  <c r="J9" i="5"/>
  <c r="J49" i="5"/>
  <c r="C49" i="2" s="1"/>
  <c r="F49" i="2" s="1"/>
  <c r="G49" i="2" s="1"/>
  <c r="H49" i="2" s="1"/>
  <c r="J4" i="5"/>
  <c r="C4" i="2" s="1"/>
  <c r="F4" i="2" s="1"/>
  <c r="G4" i="2" s="1"/>
  <c r="H4" i="2" s="1"/>
  <c r="J24" i="5"/>
  <c r="J44" i="5"/>
  <c r="J37" i="5"/>
  <c r="J30" i="5"/>
  <c r="C30" i="2" s="1"/>
  <c r="F30" i="2" s="1"/>
  <c r="G30" i="2" s="1"/>
  <c r="H30" i="2" s="1"/>
  <c r="J12" i="5"/>
  <c r="C12" i="2" s="1"/>
  <c r="F12" i="2" s="1"/>
  <c r="G12" i="2" s="1"/>
  <c r="H12" i="2" s="1"/>
  <c r="J32" i="5"/>
  <c r="C32" i="2" s="1"/>
  <c r="F32" i="2" s="1"/>
  <c r="G32" i="2" s="1"/>
  <c r="H32" i="2" s="1"/>
  <c r="J25" i="5"/>
  <c r="C25" i="2" s="1"/>
  <c r="F25" i="2" s="1"/>
  <c r="G25" i="2" s="1"/>
  <c r="H25" i="2" s="1"/>
  <c r="J3" i="5"/>
  <c r="J35" i="5"/>
  <c r="J20" i="5"/>
  <c r="J13" i="5"/>
  <c r="C13" i="2" s="1"/>
  <c r="F13" i="2" s="1"/>
  <c r="G13" i="2" s="1"/>
  <c r="H13" i="2" s="1"/>
  <c r="J6" i="5"/>
  <c r="J23" i="5"/>
  <c r="C23" i="2" s="1"/>
  <c r="F23" i="2" s="1"/>
  <c r="G23" i="2" s="1"/>
  <c r="H23" i="2" s="1"/>
  <c r="J8" i="5"/>
  <c r="C8" i="2" s="1"/>
  <c r="F8" i="2" s="1"/>
  <c r="G8" i="2" s="1"/>
  <c r="H8" i="2" s="1"/>
  <c r="J47" i="5"/>
  <c r="J40" i="5"/>
  <c r="C40" i="2" s="1"/>
  <c r="F40" i="2" s="1"/>
  <c r="G40" i="2" s="1"/>
  <c r="H40" i="2" s="1"/>
  <c r="J11" i="5"/>
  <c r="C11" i="2" s="1"/>
  <c r="F11" i="2" s="1"/>
  <c r="G11" i="2" s="1"/>
  <c r="H11" i="2" s="1"/>
  <c r="J43" i="5"/>
  <c r="C43" i="2" s="1"/>
  <c r="F43" i="2" s="1"/>
  <c r="G43" i="2" s="1"/>
  <c r="H43" i="2" s="1"/>
  <c r="J34" i="5"/>
  <c r="C34" i="2" s="1"/>
  <c r="F34" i="2" s="1"/>
  <c r="G34" i="2" s="1"/>
  <c r="H34" i="2" s="1"/>
  <c r="J41" i="5"/>
  <c r="C3" i="2"/>
  <c r="F3" i="2" s="1"/>
  <c r="G3" i="2" s="1"/>
  <c r="H3" i="2" s="1"/>
  <c r="C24" i="2"/>
  <c r="F24" i="2" s="1"/>
  <c r="G24" i="2" s="1"/>
  <c r="H24" i="2" s="1"/>
  <c r="C47" i="2"/>
  <c r="F47" i="2" s="1"/>
  <c r="G47" i="2" s="1"/>
  <c r="H47" i="2" s="1"/>
  <c r="C35" i="2"/>
  <c r="F35" i="2" s="1"/>
  <c r="G35" i="2" s="1"/>
  <c r="H35" i="2" s="1"/>
  <c r="C17" i="2"/>
  <c r="F17" i="2" s="1"/>
  <c r="G17" i="2" s="1"/>
  <c r="H17" i="2" s="1"/>
  <c r="C46" i="2"/>
  <c r="F46" i="2" s="1"/>
  <c r="G46" i="2" s="1"/>
  <c r="H46" i="2" s="1"/>
  <c r="C20" i="2"/>
  <c r="F20" i="2" s="1"/>
  <c r="G20" i="2" s="1"/>
  <c r="H20" i="2" s="1"/>
  <c r="C31" i="2"/>
  <c r="F31" i="2" s="1"/>
  <c r="G31" i="2" s="1"/>
  <c r="H31" i="2" s="1"/>
  <c r="C42" i="2"/>
  <c r="F42" i="2" s="1"/>
  <c r="G42" i="2" s="1"/>
  <c r="H42" i="2" s="1"/>
  <c r="C41" i="2"/>
  <c r="F41" i="2" s="1"/>
  <c r="G41" i="2" s="1"/>
  <c r="H41" i="2" s="1"/>
  <c r="C33" i="2"/>
  <c r="F33" i="2" s="1"/>
  <c r="G33" i="2" s="1"/>
  <c r="H33" i="2" s="1"/>
  <c r="C9" i="2"/>
  <c r="F9" i="2" s="1"/>
  <c r="G9" i="2" s="1"/>
  <c r="H9" i="2" s="1"/>
  <c r="C6" i="2"/>
  <c r="F6" i="2" s="1"/>
  <c r="G6" i="2" s="1"/>
  <c r="H6" i="2" s="1"/>
  <c r="C18" i="2"/>
  <c r="F18" i="2" s="1"/>
  <c r="G18" i="2" s="1"/>
  <c r="H18" i="2" s="1"/>
  <c r="C2" i="2"/>
  <c r="F2" i="2" s="1"/>
  <c r="C50" i="2"/>
  <c r="F50" i="2" s="1"/>
  <c r="G50" i="2" s="1"/>
  <c r="H50" i="2" s="1"/>
  <c r="C37" i="2"/>
  <c r="F37" i="2" s="1"/>
  <c r="G37" i="2" s="1"/>
  <c r="H37" i="2" s="1"/>
  <c r="C44" i="2"/>
  <c r="F44" i="2" s="1"/>
  <c r="G44" i="2" s="1"/>
  <c r="H44" i="2" s="1"/>
  <c r="C29" i="2"/>
  <c r="F29" i="2" s="1"/>
  <c r="G29" i="2" s="1"/>
  <c r="H29" i="2" s="1"/>
  <c r="C38" i="2"/>
  <c r="F38" i="2" s="1"/>
  <c r="G38" i="2" s="1"/>
  <c r="H38" i="2" s="1"/>
  <c r="C14" i="2"/>
  <c r="F14" i="2" s="1"/>
  <c r="G14" i="2" s="1"/>
  <c r="H14" i="2" s="1"/>
  <c r="J54" i="5" l="1"/>
  <c r="J53" i="5"/>
  <c r="J55" i="5"/>
  <c r="C54" i="2"/>
  <c r="C53" i="2"/>
  <c r="C55" i="2"/>
  <c r="F53" i="2" l="1"/>
  <c r="F55" i="2"/>
  <c r="G2" i="2"/>
  <c r="F54" i="2"/>
  <c r="H2" i="2" l="1"/>
  <c r="H53" i="2" s="1"/>
  <c r="G54" i="2"/>
  <c r="G55" i="2"/>
  <c r="G53" i="2"/>
</calcChain>
</file>

<file path=xl/sharedStrings.xml><?xml version="1.0" encoding="utf-8"?>
<sst xmlns="http://schemas.openxmlformats.org/spreadsheetml/2006/main" count="56" uniqueCount="38">
  <si>
    <t>Τελική Εξέταση</t>
    <phoneticPr fontId="6"/>
  </si>
  <si>
    <t>Βαθμός</t>
    <phoneticPr fontId="6"/>
  </si>
  <si>
    <t>Passed</t>
    <phoneticPr fontId="6"/>
  </si>
  <si>
    <t>Τελικός Βαθμός</t>
    <phoneticPr fontId="6"/>
  </si>
  <si>
    <t>Αρ. Ταυτότητας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</si>
  <si>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</si>
  <si>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</si>
  <si>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</si>
  <si>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</si>
  <si>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</si>
  <si>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</si>
  <si>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</si>
  <si>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Total</t>
  </si>
  <si>
    <t xml:space="preserve">Max Score </t>
  </si>
  <si>
    <t>Average</t>
  </si>
  <si>
    <t>Std. Dev.</t>
  </si>
  <si>
    <t>Median</t>
    <phoneticPr fontId="6"/>
  </si>
  <si>
    <t>Valid</t>
  </si>
  <si>
    <t>Quizzes  not counted</t>
  </si>
  <si>
    <t>Πρόοδος</t>
  </si>
  <si>
    <t xml:space="preserve">Σκορ στις ασκήσεις ενδιάμεσης </t>
  </si>
  <si>
    <t>Bin limits</t>
  </si>
  <si>
    <t>Frequency</t>
  </si>
  <si>
    <t xml:space="preserve"> 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</si>
  <si>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</si>
  <si>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</si>
  <si>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</si>
  <si>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</si>
  <si>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</si>
  <si>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</si>
  <si>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</si>
  <si>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</si>
  <si>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</si>
  <si>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Labs Total</t>
  </si>
  <si>
    <t>Lab02</t>
  </si>
  <si>
    <t>Lab Total</t>
  </si>
  <si>
    <t>Hm 8</t>
  </si>
  <si>
    <t>Hm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</si>
</sst>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  <font>
      <sz val="14"/>
      <name val="Arial"/>
      <family val="2"/>
    </font>
    <font>
      <sz val="13"/>
      <color rgb="FF000000"/>
      <name val="Verdana"/>
      <family val="2"/>
      <charset val="1"/>
    </font>
    <font>
      <sz val="13"/>
      <name val="Verdana"/>
      <family val="2"/>
      <charset val="1"/>
    </font>
    <font>
      <sz val="11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8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9" borderId="4" xfId="0" applyNumberFormat="1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164" fontId="10" fillId="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zoomScaleNormal="100" workbookViewId="0">
      <selection activeCell="M1" sqref="M1"/>
    </sheetView>
  </sheetViews>
  <sheetFormatPr baseColWidth="10" defaultRowHeight="16" x14ac:dyDescent="0.15"/>
  <cols>
    <col min="1" max="1" width="25.83203125" customWidth="1"/>
    <col min="2" max="2" width="8.83203125" style="9" customWidth="1"/>
    <col min="3" max="10" width="8.83203125" style="10" customWidth="1"/>
    <col min="11" max="11" width="8.6640625" style="10" customWidth="1"/>
    <col min="12" max="12" width="12.83203125" style="10" customWidth="1"/>
    <col min="13" max="13" width="12.6640625" style="11" customWidth="1"/>
  </cols>
  <sheetData>
    <row r="1" spans="1:13" ht="29" customHeight="1" x14ac:dyDescent="0.15">
      <c r="A1" s="14" t="s">
        <v>4</v>
      </c>
      <c r="B1" s="3" t="s">
        <v>34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4" t="s">
        <v>35</v>
      </c>
      <c r="M1"/>
    </row>
    <row r="2" spans="1:13" ht="29" customHeight="1" x14ac:dyDescent="0.15">
      <c r="A2" s="49">
        <v>26347</v>
      </c>
      <c r="B2" s="52">
        <v>40</v>
      </c>
      <c r="C2" s="27">
        <v>69.5</v>
      </c>
      <c r="D2" s="52">
        <f>10+10+10+10+7+6+9.5+10</f>
        <v>72.5</v>
      </c>
      <c r="E2" s="52">
        <v>61</v>
      </c>
      <c r="F2" s="28">
        <v>0</v>
      </c>
      <c r="G2" s="56">
        <v>29</v>
      </c>
      <c r="H2" s="28">
        <v>29</v>
      </c>
      <c r="I2" s="56">
        <v>74</v>
      </c>
      <c r="J2" s="56">
        <v>50</v>
      </c>
      <c r="K2" s="28">
        <v>66</v>
      </c>
      <c r="L2" s="31">
        <f t="shared" ref="L2:L8" si="0">IF(SUM($B$56:$K$56)&gt;0,$L$52*(B2/$B$52+C2/$C$52+D2/$D$52+E2/$E$52+F2/$F$52+G2/$G$52+H2/$H$52+I2/$I$52+J2/$J$52+K2/$K$52)/SUM($B$56:$K$56),0)</f>
        <v>0.67545833333333327</v>
      </c>
      <c r="M2"/>
    </row>
    <row r="3" spans="1:13" ht="29" customHeight="1" x14ac:dyDescent="0.15">
      <c r="A3" s="50">
        <v>28431</v>
      </c>
      <c r="B3" s="53">
        <v>37</v>
      </c>
      <c r="C3" s="27">
        <v>79</v>
      </c>
      <c r="D3" s="52">
        <f>10+10+10+10+2+7+8.5+7</f>
        <v>64.5</v>
      </c>
      <c r="E3" s="52">
        <v>33</v>
      </c>
      <c r="F3" s="28">
        <v>51</v>
      </c>
      <c r="G3" s="56">
        <v>15</v>
      </c>
      <c r="H3" s="28">
        <v>48</v>
      </c>
      <c r="I3" s="56">
        <v>54</v>
      </c>
      <c r="J3" s="56">
        <v>56</v>
      </c>
      <c r="K3" s="28">
        <v>83</v>
      </c>
      <c r="L3" s="31">
        <f t="shared" si="0"/>
        <v>0.69748863636363634</v>
      </c>
      <c r="M3"/>
    </row>
    <row r="4" spans="1:13" ht="29" customHeight="1" x14ac:dyDescent="0.15">
      <c r="A4" s="50">
        <v>28745</v>
      </c>
      <c r="B4" s="53">
        <v>30</v>
      </c>
      <c r="C4" s="27">
        <v>68.5</v>
      </c>
      <c r="D4" s="52">
        <f>10+10+9+8+5+5+8+6</f>
        <v>61</v>
      </c>
      <c r="E4" s="52">
        <v>52</v>
      </c>
      <c r="F4" s="28">
        <v>36</v>
      </c>
      <c r="G4" s="56">
        <v>13</v>
      </c>
      <c r="H4" s="28">
        <v>23</v>
      </c>
      <c r="I4" s="56">
        <v>26</v>
      </c>
      <c r="J4" s="56">
        <v>40</v>
      </c>
      <c r="K4" s="28">
        <v>42</v>
      </c>
      <c r="L4" s="31">
        <f t="shared" si="0"/>
        <v>0.51981060606060603</v>
      </c>
      <c r="M4"/>
    </row>
    <row r="5" spans="1:13" ht="29" customHeight="1" x14ac:dyDescent="0.15">
      <c r="A5" s="49">
        <v>38490</v>
      </c>
      <c r="B5" s="53">
        <v>37</v>
      </c>
      <c r="C5" s="27">
        <v>97.5</v>
      </c>
      <c r="D5" s="52">
        <f>10+10+10+5+8+7+9+8</f>
        <v>67</v>
      </c>
      <c r="E5" s="52">
        <v>54</v>
      </c>
      <c r="F5" s="28">
        <v>32</v>
      </c>
      <c r="G5" s="56">
        <v>18</v>
      </c>
      <c r="H5" s="28">
        <v>15</v>
      </c>
      <c r="I5" s="56">
        <v>32</v>
      </c>
      <c r="J5" s="56">
        <v>26</v>
      </c>
      <c r="K5" s="28">
        <v>46</v>
      </c>
      <c r="L5" s="31">
        <f t="shared" si="0"/>
        <v>0.55372979797979793</v>
      </c>
      <c r="M5"/>
    </row>
    <row r="6" spans="1:13" ht="29" customHeight="1" x14ac:dyDescent="0.15">
      <c r="A6" s="50">
        <v>46234</v>
      </c>
      <c r="B6" s="53">
        <v>29</v>
      </c>
      <c r="C6" s="27">
        <v>53</v>
      </c>
      <c r="D6" s="52">
        <f>7+10+0+10+3+4+0+0</f>
        <v>34</v>
      </c>
      <c r="E6" s="52">
        <v>61</v>
      </c>
      <c r="F6" s="28">
        <v>29</v>
      </c>
      <c r="G6" s="56">
        <v>23</v>
      </c>
      <c r="H6" s="28">
        <v>33</v>
      </c>
      <c r="I6" s="56">
        <v>31</v>
      </c>
      <c r="J6" s="56">
        <v>39</v>
      </c>
      <c r="K6" s="28">
        <v>56</v>
      </c>
      <c r="L6" s="31">
        <f t="shared" si="0"/>
        <v>0.5295858585858586</v>
      </c>
      <c r="M6"/>
    </row>
    <row r="7" spans="1:13" ht="29" customHeight="1" x14ac:dyDescent="0.15">
      <c r="A7" s="50">
        <v>48666</v>
      </c>
      <c r="B7" s="53">
        <v>37</v>
      </c>
      <c r="C7" s="27">
        <v>92</v>
      </c>
      <c r="D7" s="52">
        <f>10+9+10+10+8+6+9.5+9</f>
        <v>71.5</v>
      </c>
      <c r="E7" s="52">
        <v>67.5</v>
      </c>
      <c r="F7" s="28">
        <v>26</v>
      </c>
      <c r="G7" s="56">
        <v>38.5</v>
      </c>
      <c r="H7" s="28">
        <v>44</v>
      </c>
      <c r="I7" s="56">
        <v>79</v>
      </c>
      <c r="J7" s="56">
        <v>47</v>
      </c>
      <c r="K7" s="28">
        <v>63</v>
      </c>
      <c r="L7" s="31">
        <f t="shared" si="0"/>
        <v>0.7666224747474748</v>
      </c>
      <c r="M7"/>
    </row>
    <row r="8" spans="1:13" ht="29" customHeight="1" x14ac:dyDescent="0.15">
      <c r="A8" s="50">
        <v>48786</v>
      </c>
      <c r="B8" s="53">
        <v>39</v>
      </c>
      <c r="C8" s="27">
        <v>76.5</v>
      </c>
      <c r="D8" s="52">
        <f>10+10+10+10+2+6+8.5+8</f>
        <v>64.5</v>
      </c>
      <c r="E8" s="52">
        <v>77</v>
      </c>
      <c r="F8" s="28">
        <v>0</v>
      </c>
      <c r="G8" s="56">
        <v>31</v>
      </c>
      <c r="H8" s="28">
        <v>46</v>
      </c>
      <c r="I8" s="56">
        <v>86</v>
      </c>
      <c r="J8" s="56">
        <v>52</v>
      </c>
      <c r="K8" s="28">
        <v>83</v>
      </c>
      <c r="L8" s="31">
        <f t="shared" si="0"/>
        <v>0.75940277777777787</v>
      </c>
      <c r="M8"/>
    </row>
    <row r="9" spans="1:13" ht="29" customHeight="1" x14ac:dyDescent="0.15">
      <c r="A9" s="49">
        <v>49550</v>
      </c>
      <c r="B9" s="53">
        <v>38</v>
      </c>
      <c r="C9" s="27">
        <v>77</v>
      </c>
      <c r="D9" s="52">
        <f>10+10+10+10+2+6+0+0</f>
        <v>48</v>
      </c>
      <c r="E9" s="52">
        <v>73</v>
      </c>
      <c r="F9" s="28">
        <v>0</v>
      </c>
      <c r="G9" s="56">
        <v>15</v>
      </c>
      <c r="H9" s="28">
        <v>28</v>
      </c>
      <c r="I9" s="56">
        <v>55</v>
      </c>
      <c r="J9" s="56">
        <v>21</v>
      </c>
      <c r="K9" s="28">
        <v>10</v>
      </c>
      <c r="L9" s="31">
        <f>IF(SUM($B$56:$K$56)&gt;0,$L$52*(B9/$B$52+C9/$C$52+D9/$D$52+E9/$E$52+F9/$F$52+G9/$G$52+H9/$H$52+I9/$I$52+J9/$J$52+K9/$K$52)/SUM($B$56:$K$56),0)</f>
        <v>0.50522222222222213</v>
      </c>
      <c r="M9"/>
    </row>
    <row r="10" spans="1:13" ht="29" customHeight="1" x14ac:dyDescent="0.15">
      <c r="A10" s="49">
        <v>50117</v>
      </c>
      <c r="B10" s="53">
        <v>39.5</v>
      </c>
      <c r="C10" s="27">
        <v>97.5</v>
      </c>
      <c r="D10" s="52">
        <f>10+10+10+10+10+10+9.5+10</f>
        <v>79.5</v>
      </c>
      <c r="E10" s="52">
        <v>83</v>
      </c>
      <c r="F10" s="28">
        <v>98</v>
      </c>
      <c r="G10" s="56">
        <v>49</v>
      </c>
      <c r="H10" s="28">
        <v>50</v>
      </c>
      <c r="I10" s="56">
        <v>88</v>
      </c>
      <c r="J10" s="56">
        <v>57</v>
      </c>
      <c r="K10" s="28">
        <v>88</v>
      </c>
      <c r="L10" s="31">
        <f t="shared" ref="L10:L50" si="1">IF(SUM($B$56:$K$56)&gt;0,$L$52*(B10/$B$52+C10/$C$52+D10/$D$52+E10/$E$52+F10/$F$52+G10/$G$52+H10/$H$52+I10/$I$52+J10/$J$52+K10/$K$52)/SUM($B$56:$K$56),0)</f>
        <v>0.95571590909090909</v>
      </c>
      <c r="M10"/>
    </row>
    <row r="11" spans="1:13" ht="29" customHeight="1" x14ac:dyDescent="0.15">
      <c r="A11" s="50">
        <v>50925</v>
      </c>
      <c r="B11" s="53">
        <v>37.5</v>
      </c>
      <c r="C11" s="27">
        <v>79.5</v>
      </c>
      <c r="D11" s="52">
        <f>10+10+10+10+10+8+10+8</f>
        <v>76</v>
      </c>
      <c r="E11" s="52">
        <v>23</v>
      </c>
      <c r="F11" s="28">
        <v>34</v>
      </c>
      <c r="G11" s="56">
        <v>0</v>
      </c>
      <c r="H11" s="28">
        <v>41</v>
      </c>
      <c r="I11" s="56">
        <v>72</v>
      </c>
      <c r="J11" s="56">
        <v>51</v>
      </c>
      <c r="K11" s="28">
        <v>90</v>
      </c>
      <c r="L11" s="31">
        <f t="shared" si="1"/>
        <v>0.66171464646464639</v>
      </c>
      <c r="M11"/>
    </row>
    <row r="12" spans="1:13" ht="29" customHeight="1" x14ac:dyDescent="0.15">
      <c r="A12" s="49">
        <v>51216</v>
      </c>
      <c r="B12" s="53">
        <v>37.5</v>
      </c>
      <c r="C12" s="27">
        <v>99.5</v>
      </c>
      <c r="D12" s="52">
        <f>10+10+10+10+10+6+10+10</f>
        <v>76</v>
      </c>
      <c r="E12" s="52">
        <v>83</v>
      </c>
      <c r="F12" s="28">
        <v>0</v>
      </c>
      <c r="G12" s="56">
        <v>38.5</v>
      </c>
      <c r="H12" s="28">
        <v>47</v>
      </c>
      <c r="I12" s="56">
        <v>76</v>
      </c>
      <c r="J12" s="56">
        <v>58</v>
      </c>
      <c r="K12" s="28">
        <v>83</v>
      </c>
      <c r="L12" s="31">
        <f t="shared" si="1"/>
        <v>0.81558333333333322</v>
      </c>
      <c r="M12"/>
    </row>
    <row r="13" spans="1:13" ht="29" customHeight="1" x14ac:dyDescent="0.15">
      <c r="A13" s="49">
        <v>51395</v>
      </c>
      <c r="B13" s="53">
        <v>36</v>
      </c>
      <c r="C13" s="27">
        <v>43</v>
      </c>
      <c r="D13" s="52">
        <f>10+10+0+10+10+6+6+0</f>
        <v>52</v>
      </c>
      <c r="E13" s="52">
        <v>71</v>
      </c>
      <c r="F13" s="28">
        <v>0</v>
      </c>
      <c r="G13" s="56">
        <v>29</v>
      </c>
      <c r="H13" s="28">
        <v>47</v>
      </c>
      <c r="I13" s="56">
        <v>71</v>
      </c>
      <c r="J13" s="56">
        <v>54</v>
      </c>
      <c r="K13" s="28">
        <v>87</v>
      </c>
      <c r="L13" s="31">
        <f t="shared" si="1"/>
        <v>0.68477777777777782</v>
      </c>
      <c r="M13"/>
    </row>
    <row r="14" spans="1:13" ht="29" customHeight="1" x14ac:dyDescent="0.15">
      <c r="A14" s="49">
        <v>51448</v>
      </c>
      <c r="B14" s="53">
        <v>0</v>
      </c>
      <c r="C14" s="27">
        <v>0</v>
      </c>
      <c r="D14" s="52">
        <v>0</v>
      </c>
      <c r="E14" s="52">
        <v>0</v>
      </c>
      <c r="F14" s="28">
        <v>0</v>
      </c>
      <c r="G14" s="56">
        <v>26</v>
      </c>
      <c r="H14" s="28">
        <v>41</v>
      </c>
      <c r="I14" s="56">
        <v>0</v>
      </c>
      <c r="J14" s="56">
        <v>28</v>
      </c>
      <c r="K14" s="28">
        <v>0</v>
      </c>
      <c r="L14" s="31">
        <f t="shared" si="1"/>
        <v>0.18066666666666667</v>
      </c>
      <c r="M14"/>
    </row>
    <row r="15" spans="1:13" ht="29" customHeight="1" x14ac:dyDescent="0.15">
      <c r="A15" s="21">
        <v>52252</v>
      </c>
      <c r="B15" s="53">
        <v>0</v>
      </c>
      <c r="C15" s="27">
        <v>0</v>
      </c>
      <c r="D15" s="52">
        <f>7+10+4+4+2+0+0+7</f>
        <v>34</v>
      </c>
      <c r="E15" s="52">
        <v>57.5</v>
      </c>
      <c r="F15" s="28">
        <v>0</v>
      </c>
      <c r="G15" s="56">
        <v>0</v>
      </c>
      <c r="H15" s="28">
        <v>0</v>
      </c>
      <c r="I15" s="56">
        <v>14</v>
      </c>
      <c r="J15" s="56">
        <v>0</v>
      </c>
      <c r="K15" s="28">
        <v>0</v>
      </c>
      <c r="L15" s="31">
        <f t="shared" si="1"/>
        <v>0.12194444444444445</v>
      </c>
      <c r="M15"/>
    </row>
    <row r="16" spans="1:13" s="7" customFormat="1" ht="29" customHeight="1" x14ac:dyDescent="0.15">
      <c r="A16" s="49">
        <v>53517</v>
      </c>
      <c r="B16" s="53">
        <v>37</v>
      </c>
      <c r="C16" s="27">
        <v>74</v>
      </c>
      <c r="D16" s="52">
        <f>10+10+10+10+10+10+7+7</f>
        <v>74</v>
      </c>
      <c r="E16" s="52">
        <v>66</v>
      </c>
      <c r="F16" s="28">
        <v>0</v>
      </c>
      <c r="G16" s="56">
        <v>31</v>
      </c>
      <c r="H16" s="28">
        <v>0</v>
      </c>
      <c r="I16" s="56">
        <v>0</v>
      </c>
      <c r="J16" s="56">
        <v>0</v>
      </c>
      <c r="K16" s="28">
        <v>0</v>
      </c>
      <c r="L16" s="31">
        <f t="shared" si="1"/>
        <v>0.39433333333333331</v>
      </c>
    </row>
    <row r="17" spans="1:13" ht="29" customHeight="1" x14ac:dyDescent="0.15">
      <c r="A17" s="49">
        <v>53956</v>
      </c>
      <c r="B17" s="53"/>
      <c r="C17" s="27"/>
      <c r="D17" s="52"/>
      <c r="E17" s="52"/>
      <c r="F17" s="28"/>
      <c r="G17" s="56"/>
      <c r="H17" s="28"/>
      <c r="I17" s="56"/>
      <c r="J17" s="56"/>
      <c r="K17" s="28"/>
      <c r="L17" s="31">
        <f t="shared" si="1"/>
        <v>0</v>
      </c>
      <c r="M17"/>
    </row>
    <row r="18" spans="1:13" ht="29" customHeight="1" x14ac:dyDescent="0.15">
      <c r="A18" s="49">
        <v>55023</v>
      </c>
      <c r="B18" s="53">
        <v>36</v>
      </c>
      <c r="C18" s="27">
        <v>98.5</v>
      </c>
      <c r="D18" s="52">
        <f>10+10+10+10+8+9.5+9.5+10</f>
        <v>77</v>
      </c>
      <c r="E18" s="52">
        <v>80</v>
      </c>
      <c r="F18" s="28">
        <v>0</v>
      </c>
      <c r="G18" s="56">
        <v>42</v>
      </c>
      <c r="H18" s="28">
        <v>45</v>
      </c>
      <c r="I18" s="56">
        <v>80</v>
      </c>
      <c r="J18" s="56">
        <v>56</v>
      </c>
      <c r="K18" s="28">
        <v>90</v>
      </c>
      <c r="L18" s="31">
        <f t="shared" si="1"/>
        <v>0.81986111111111126</v>
      </c>
      <c r="M18"/>
    </row>
    <row r="19" spans="1:13" ht="29" customHeight="1" x14ac:dyDescent="0.15">
      <c r="A19" s="50">
        <v>58506</v>
      </c>
      <c r="B19" s="53">
        <v>20</v>
      </c>
      <c r="C19" s="27">
        <v>97.5</v>
      </c>
      <c r="D19" s="52">
        <v>0</v>
      </c>
      <c r="E19" s="52">
        <v>0</v>
      </c>
      <c r="F19" s="28">
        <v>0</v>
      </c>
      <c r="G19" s="56">
        <v>0</v>
      </c>
      <c r="H19" s="28">
        <v>0</v>
      </c>
      <c r="I19" s="56">
        <v>0</v>
      </c>
      <c r="J19" s="56">
        <v>0</v>
      </c>
      <c r="K19" s="28">
        <v>0</v>
      </c>
      <c r="L19" s="31">
        <f t="shared" si="1"/>
        <v>0.14750000000000002</v>
      </c>
      <c r="M19"/>
    </row>
    <row r="20" spans="1:13" ht="29" customHeight="1" x14ac:dyDescent="0.15">
      <c r="A20" s="49">
        <v>60277</v>
      </c>
      <c r="B20" s="53">
        <v>38.5</v>
      </c>
      <c r="C20" s="27">
        <v>81</v>
      </c>
      <c r="D20" s="52">
        <f>10+10+10+10+6+9+10+9</f>
        <v>74</v>
      </c>
      <c r="E20" s="52">
        <v>82</v>
      </c>
      <c r="F20" s="28">
        <v>106</v>
      </c>
      <c r="G20" s="56">
        <v>49</v>
      </c>
      <c r="H20" s="28">
        <v>47</v>
      </c>
      <c r="I20" s="56">
        <v>72</v>
      </c>
      <c r="J20" s="56">
        <v>57</v>
      </c>
      <c r="K20" s="28">
        <v>94</v>
      </c>
      <c r="L20" s="31">
        <f t="shared" si="1"/>
        <v>0.91822474747474736</v>
      </c>
      <c r="M20"/>
    </row>
    <row r="21" spans="1:13" ht="29" customHeight="1" x14ac:dyDescent="0.15">
      <c r="A21" s="49">
        <v>60852</v>
      </c>
      <c r="B21" s="53">
        <v>0</v>
      </c>
      <c r="C21" s="27">
        <v>0</v>
      </c>
      <c r="D21" s="52">
        <v>0</v>
      </c>
      <c r="E21" s="52">
        <v>0</v>
      </c>
      <c r="F21" s="28">
        <v>0</v>
      </c>
      <c r="G21" s="56">
        <v>0</v>
      </c>
      <c r="H21" s="28">
        <v>0</v>
      </c>
      <c r="I21" s="56">
        <v>0</v>
      </c>
      <c r="J21" s="56">
        <v>0</v>
      </c>
      <c r="K21" s="28">
        <v>0</v>
      </c>
      <c r="L21" s="31">
        <f t="shared" si="1"/>
        <v>0</v>
      </c>
      <c r="M21"/>
    </row>
    <row r="22" spans="1:13" ht="29" customHeight="1" x14ac:dyDescent="0.15">
      <c r="A22" s="50">
        <v>61767</v>
      </c>
      <c r="B22" s="53">
        <v>35.5</v>
      </c>
      <c r="C22" s="27">
        <v>92</v>
      </c>
      <c r="D22" s="52">
        <f>10+10+9.5+10+10+10+10+10</f>
        <v>79.5</v>
      </c>
      <c r="E22" s="52">
        <v>90</v>
      </c>
      <c r="F22" s="28">
        <v>68</v>
      </c>
      <c r="G22" s="56">
        <v>48</v>
      </c>
      <c r="H22" s="28">
        <v>22</v>
      </c>
      <c r="I22" s="56">
        <v>78</v>
      </c>
      <c r="J22" s="56">
        <v>58</v>
      </c>
      <c r="K22" s="28">
        <v>91</v>
      </c>
      <c r="L22" s="31">
        <f t="shared" si="1"/>
        <v>0.85627651515151526</v>
      </c>
      <c r="M22"/>
    </row>
    <row r="23" spans="1:13" ht="29" customHeight="1" x14ac:dyDescent="0.15">
      <c r="A23" s="49">
        <v>62771</v>
      </c>
      <c r="B23" s="53">
        <v>33.5</v>
      </c>
      <c r="C23" s="27">
        <v>71.5</v>
      </c>
      <c r="D23" s="52">
        <f>10+10+10+10+10+10+10+10</f>
        <v>80</v>
      </c>
      <c r="E23" s="52">
        <v>72</v>
      </c>
      <c r="F23" s="28">
        <v>33</v>
      </c>
      <c r="G23" s="56">
        <v>35.5</v>
      </c>
      <c r="H23" s="28">
        <v>0</v>
      </c>
      <c r="I23" s="56">
        <v>65.5</v>
      </c>
      <c r="J23" s="56">
        <v>56</v>
      </c>
      <c r="K23" s="28">
        <v>52</v>
      </c>
      <c r="L23" s="31">
        <f t="shared" si="1"/>
        <v>0.65436111111111117</v>
      </c>
      <c r="M23"/>
    </row>
    <row r="24" spans="1:13" ht="29" customHeight="1" x14ac:dyDescent="0.15">
      <c r="A24" s="50">
        <v>62943</v>
      </c>
      <c r="B24" s="53">
        <v>40</v>
      </c>
      <c r="C24" s="27">
        <v>69</v>
      </c>
      <c r="D24" s="52">
        <f>10+10+7+10+8+10+10+8</f>
        <v>73</v>
      </c>
      <c r="E24" s="52">
        <v>80</v>
      </c>
      <c r="F24" s="28">
        <v>60</v>
      </c>
      <c r="G24" s="56">
        <v>47</v>
      </c>
      <c r="H24" s="28">
        <v>29</v>
      </c>
      <c r="I24" s="56">
        <v>58</v>
      </c>
      <c r="J24" s="56">
        <v>55</v>
      </c>
      <c r="K24" s="28">
        <v>85</v>
      </c>
      <c r="L24" s="31">
        <f t="shared" si="1"/>
        <v>0.79679545454545464</v>
      </c>
      <c r="M24"/>
    </row>
    <row r="25" spans="1:13" ht="29" customHeight="1" x14ac:dyDescent="0.15">
      <c r="A25" s="49">
        <v>62948</v>
      </c>
      <c r="B25" s="53">
        <v>36</v>
      </c>
      <c r="C25" s="27">
        <v>96</v>
      </c>
      <c r="D25" s="52">
        <f>10+10+10+10+10+8+10+10</f>
        <v>78</v>
      </c>
      <c r="E25" s="52">
        <v>82</v>
      </c>
      <c r="F25" s="28">
        <v>64.5</v>
      </c>
      <c r="G25" s="56">
        <v>36.5</v>
      </c>
      <c r="H25" s="28">
        <v>43</v>
      </c>
      <c r="I25" s="56">
        <v>72</v>
      </c>
      <c r="J25" s="56">
        <v>49</v>
      </c>
      <c r="K25" s="28">
        <v>38</v>
      </c>
      <c r="L25" s="31">
        <f t="shared" si="1"/>
        <v>0.79191414141414129</v>
      </c>
      <c r="M25"/>
    </row>
    <row r="26" spans="1:13" ht="29" customHeight="1" x14ac:dyDescent="0.15">
      <c r="A26" s="49">
        <v>63226</v>
      </c>
      <c r="B26" s="53">
        <v>39.5</v>
      </c>
      <c r="C26" s="27">
        <v>0</v>
      </c>
      <c r="D26" s="52">
        <f>10+10+10+10+7+9.5+10+10</f>
        <v>76.5</v>
      </c>
      <c r="E26" s="52">
        <v>87</v>
      </c>
      <c r="F26" s="28">
        <v>0</v>
      </c>
      <c r="G26" s="56">
        <v>44</v>
      </c>
      <c r="H26" s="28">
        <v>50</v>
      </c>
      <c r="I26" s="56">
        <v>80</v>
      </c>
      <c r="J26" s="56">
        <v>59</v>
      </c>
      <c r="K26" s="28">
        <v>71</v>
      </c>
      <c r="L26" s="31">
        <f t="shared" si="1"/>
        <v>0.73726388888888894</v>
      </c>
      <c r="M26"/>
    </row>
    <row r="27" spans="1:13" ht="29" customHeight="1" x14ac:dyDescent="0.15">
      <c r="A27" s="50">
        <v>64244</v>
      </c>
      <c r="B27" s="53">
        <v>37.5</v>
      </c>
      <c r="C27" s="27">
        <v>95</v>
      </c>
      <c r="D27" s="52">
        <f>10+10+8.5+10+3+8+8.5+10</f>
        <v>68</v>
      </c>
      <c r="E27" s="52">
        <v>0</v>
      </c>
      <c r="F27" s="28">
        <v>0</v>
      </c>
      <c r="G27" s="56">
        <v>0</v>
      </c>
      <c r="H27" s="28">
        <v>0</v>
      </c>
      <c r="I27" s="56">
        <v>0</v>
      </c>
      <c r="J27" s="56">
        <v>0</v>
      </c>
      <c r="K27" s="28">
        <v>0</v>
      </c>
      <c r="L27" s="31">
        <f t="shared" si="1"/>
        <v>0.27374999999999999</v>
      </c>
      <c r="M27"/>
    </row>
    <row r="28" spans="1:13" ht="29" customHeight="1" x14ac:dyDescent="0.15">
      <c r="A28" s="49">
        <v>64582</v>
      </c>
      <c r="B28" s="53">
        <v>36</v>
      </c>
      <c r="C28" s="27">
        <v>99.5</v>
      </c>
      <c r="D28" s="52">
        <f>10+10+10+5+8+9.5+9.5+10</f>
        <v>72</v>
      </c>
      <c r="E28" s="52">
        <v>52</v>
      </c>
      <c r="F28" s="28">
        <v>0</v>
      </c>
      <c r="G28" s="56">
        <v>37</v>
      </c>
      <c r="H28" s="28">
        <v>47</v>
      </c>
      <c r="I28" s="56">
        <v>74</v>
      </c>
      <c r="J28" s="56">
        <v>0</v>
      </c>
      <c r="K28" s="28">
        <v>0</v>
      </c>
      <c r="L28" s="31">
        <f t="shared" si="1"/>
        <v>0.58749999999999991</v>
      </c>
      <c r="M28"/>
    </row>
    <row r="29" spans="1:13" ht="29" customHeight="1" x14ac:dyDescent="0.15">
      <c r="A29" s="49">
        <v>65766</v>
      </c>
      <c r="B29" s="53">
        <v>34</v>
      </c>
      <c r="C29" s="27">
        <v>0</v>
      </c>
      <c r="D29" s="52">
        <f>0+9+10+10+8+7+6+9</f>
        <v>59</v>
      </c>
      <c r="E29" s="52">
        <v>59</v>
      </c>
      <c r="F29" s="28">
        <v>0</v>
      </c>
      <c r="G29" s="56">
        <v>20</v>
      </c>
      <c r="H29" s="28">
        <v>15</v>
      </c>
      <c r="I29" s="56">
        <v>68</v>
      </c>
      <c r="J29" s="56">
        <v>25</v>
      </c>
      <c r="K29" s="28">
        <v>59</v>
      </c>
      <c r="L29" s="31">
        <f t="shared" si="1"/>
        <v>0.47052777777777771</v>
      </c>
      <c r="M29"/>
    </row>
    <row r="30" spans="1:13" ht="29" customHeight="1" x14ac:dyDescent="0.15">
      <c r="A30" s="49">
        <v>67692</v>
      </c>
      <c r="B30" s="53">
        <v>34</v>
      </c>
      <c r="C30" s="27">
        <v>100</v>
      </c>
      <c r="D30" s="52">
        <f>10+10+10+10+9.5+9.5+10+10</f>
        <v>79</v>
      </c>
      <c r="E30" s="52">
        <v>90</v>
      </c>
      <c r="F30" s="28">
        <v>110</v>
      </c>
      <c r="G30" s="56">
        <v>50</v>
      </c>
      <c r="H30" s="28">
        <v>47</v>
      </c>
      <c r="I30" s="56">
        <v>83</v>
      </c>
      <c r="J30" s="56">
        <v>60</v>
      </c>
      <c r="K30" s="28">
        <v>99</v>
      </c>
      <c r="L30" s="31">
        <f t="shared" si="1"/>
        <v>0.96897222222222223</v>
      </c>
      <c r="M30"/>
    </row>
    <row r="31" spans="1:13" ht="29" customHeight="1" x14ac:dyDescent="0.15">
      <c r="A31" s="49">
        <v>68049</v>
      </c>
      <c r="B31" s="53">
        <v>20</v>
      </c>
      <c r="C31" s="27">
        <v>96.5</v>
      </c>
      <c r="D31" s="52">
        <f>10+10+9+10+10+6+10+10</f>
        <v>75</v>
      </c>
      <c r="E31" s="52">
        <v>70</v>
      </c>
      <c r="F31" s="28">
        <v>46.5</v>
      </c>
      <c r="G31" s="56">
        <v>19</v>
      </c>
      <c r="H31" s="28">
        <v>24</v>
      </c>
      <c r="I31" s="56">
        <v>52</v>
      </c>
      <c r="J31" s="56">
        <v>29</v>
      </c>
      <c r="K31" s="28">
        <v>94</v>
      </c>
      <c r="L31" s="31">
        <f t="shared" si="1"/>
        <v>0.64641161616161613</v>
      </c>
      <c r="M31"/>
    </row>
    <row r="32" spans="1:13" ht="29" customHeight="1" x14ac:dyDescent="0.15">
      <c r="A32" s="49">
        <v>69253</v>
      </c>
      <c r="B32" s="53">
        <v>37</v>
      </c>
      <c r="C32" s="27">
        <v>89</v>
      </c>
      <c r="D32" s="52">
        <f>10+10+8+10+8+7+9+8</f>
        <v>70</v>
      </c>
      <c r="E32" s="52">
        <v>77</v>
      </c>
      <c r="F32" s="28">
        <v>0</v>
      </c>
      <c r="G32" s="56">
        <v>30</v>
      </c>
      <c r="H32" s="28">
        <v>18</v>
      </c>
      <c r="I32" s="56">
        <v>74</v>
      </c>
      <c r="J32" s="56">
        <v>40</v>
      </c>
      <c r="K32" s="28">
        <v>64</v>
      </c>
      <c r="L32" s="31">
        <f t="shared" si="1"/>
        <v>0.66344444444444439</v>
      </c>
      <c r="M32"/>
    </row>
    <row r="33" spans="1:13" ht="29" customHeight="1" x14ac:dyDescent="0.15">
      <c r="A33" s="49">
        <v>69610</v>
      </c>
      <c r="B33" s="53">
        <v>39.5</v>
      </c>
      <c r="C33" s="27">
        <v>85.5</v>
      </c>
      <c r="D33" s="52">
        <f>10+9+10+10+10+7+9+10</f>
        <v>75</v>
      </c>
      <c r="E33" s="52">
        <v>77</v>
      </c>
      <c r="F33" s="28">
        <v>62</v>
      </c>
      <c r="G33" s="56">
        <v>20</v>
      </c>
      <c r="H33" s="28">
        <v>41.5</v>
      </c>
      <c r="I33" s="56">
        <v>79</v>
      </c>
      <c r="J33" s="56">
        <v>51</v>
      </c>
      <c r="K33" s="28">
        <v>76</v>
      </c>
      <c r="L33" s="31">
        <f t="shared" si="1"/>
        <v>0.79169696969696979</v>
      </c>
      <c r="M33"/>
    </row>
    <row r="34" spans="1:13" ht="29" customHeight="1" x14ac:dyDescent="0.15">
      <c r="A34" s="49">
        <v>69611</v>
      </c>
      <c r="B34" s="53">
        <v>39</v>
      </c>
      <c r="C34" s="27">
        <v>86.5</v>
      </c>
      <c r="D34" s="52">
        <f>10+9+10+10+10+7+9+10</f>
        <v>75</v>
      </c>
      <c r="E34" s="52">
        <v>77</v>
      </c>
      <c r="F34" s="28">
        <v>63</v>
      </c>
      <c r="G34" s="56">
        <v>20</v>
      </c>
      <c r="H34" s="28">
        <v>41.5</v>
      </c>
      <c r="I34" s="56">
        <v>75</v>
      </c>
      <c r="J34" s="56">
        <v>51</v>
      </c>
      <c r="K34" s="28">
        <v>76</v>
      </c>
      <c r="L34" s="31">
        <f t="shared" si="1"/>
        <v>0.78791161616161609</v>
      </c>
      <c r="M34"/>
    </row>
    <row r="35" spans="1:13" ht="29" customHeight="1" x14ac:dyDescent="0.15">
      <c r="A35" s="49">
        <v>69782</v>
      </c>
      <c r="B35" s="53"/>
      <c r="C35" s="27"/>
      <c r="D35" s="52"/>
      <c r="E35" s="52"/>
      <c r="F35" s="28"/>
      <c r="G35" s="56"/>
      <c r="H35" s="28"/>
      <c r="I35" s="56"/>
      <c r="J35" s="56"/>
      <c r="K35" s="28"/>
      <c r="L35" s="31">
        <f t="shared" si="1"/>
        <v>0</v>
      </c>
      <c r="M35"/>
    </row>
    <row r="36" spans="1:13" ht="29" customHeight="1" x14ac:dyDescent="0.15">
      <c r="A36" s="49">
        <v>70466</v>
      </c>
      <c r="B36" s="53">
        <v>39.5</v>
      </c>
      <c r="C36" s="27">
        <v>100</v>
      </c>
      <c r="D36" s="52">
        <f>10+10+10+10+10+10+10+10</f>
        <v>80</v>
      </c>
      <c r="E36" s="52">
        <v>90</v>
      </c>
      <c r="F36" s="28">
        <v>110</v>
      </c>
      <c r="G36" s="56">
        <v>39</v>
      </c>
      <c r="H36" s="28">
        <v>50</v>
      </c>
      <c r="I36" s="56">
        <v>86</v>
      </c>
      <c r="J36" s="56">
        <v>60</v>
      </c>
      <c r="K36" s="28">
        <v>87</v>
      </c>
      <c r="L36" s="31">
        <f t="shared" si="1"/>
        <v>0.95930555555555552</v>
      </c>
      <c r="M36"/>
    </row>
    <row r="37" spans="1:13" ht="29" customHeight="1" x14ac:dyDescent="0.15">
      <c r="A37" s="49">
        <v>72899</v>
      </c>
      <c r="B37" s="53">
        <v>38.5</v>
      </c>
      <c r="C37" s="27">
        <v>66.5</v>
      </c>
      <c r="D37" s="52">
        <f>0+10+9.5+0+10+7+8.5+10</f>
        <v>55</v>
      </c>
      <c r="E37" s="52">
        <v>60</v>
      </c>
      <c r="F37" s="28">
        <v>0</v>
      </c>
      <c r="G37" s="56">
        <v>36</v>
      </c>
      <c r="H37" s="28">
        <v>14</v>
      </c>
      <c r="I37" s="56">
        <v>72</v>
      </c>
      <c r="J37" s="56">
        <v>47</v>
      </c>
      <c r="K37" s="28">
        <v>41</v>
      </c>
      <c r="L37" s="31">
        <f t="shared" si="1"/>
        <v>0.59749999999999992</v>
      </c>
      <c r="M37"/>
    </row>
    <row r="38" spans="1:13" ht="29" customHeight="1" x14ac:dyDescent="0.15">
      <c r="A38" s="50">
        <v>74216</v>
      </c>
      <c r="B38" s="53">
        <v>39.5</v>
      </c>
      <c r="C38" s="27">
        <v>97</v>
      </c>
      <c r="D38" s="52">
        <f>10+10+10+10+10+10+10+10</f>
        <v>80</v>
      </c>
      <c r="E38" s="52">
        <v>88</v>
      </c>
      <c r="F38" s="28">
        <v>108</v>
      </c>
      <c r="G38" s="56">
        <v>39</v>
      </c>
      <c r="H38" s="28">
        <v>48</v>
      </c>
      <c r="I38" s="56">
        <v>83</v>
      </c>
      <c r="J38" s="56">
        <v>58</v>
      </c>
      <c r="K38" s="28">
        <v>85</v>
      </c>
      <c r="L38" s="31">
        <f t="shared" si="1"/>
        <v>0.93959848484848485</v>
      </c>
      <c r="M38"/>
    </row>
    <row r="39" spans="1:13" ht="29" customHeight="1" x14ac:dyDescent="0.15">
      <c r="A39" s="49">
        <v>74490</v>
      </c>
      <c r="B39" s="53">
        <v>34</v>
      </c>
      <c r="C39" s="27">
        <v>69.5</v>
      </c>
      <c r="D39" s="52">
        <f>10+10+5.5+7+6+6+5+10</f>
        <v>59.5</v>
      </c>
      <c r="E39" s="52">
        <v>69</v>
      </c>
      <c r="F39" s="28">
        <v>0</v>
      </c>
      <c r="G39" s="56">
        <v>29</v>
      </c>
      <c r="H39" s="28">
        <v>45</v>
      </c>
      <c r="I39" s="56">
        <v>77</v>
      </c>
      <c r="J39" s="56">
        <v>55</v>
      </c>
      <c r="K39" s="28">
        <v>92</v>
      </c>
      <c r="L39" s="31">
        <f t="shared" si="1"/>
        <v>0.72276388888888887</v>
      </c>
      <c r="M39"/>
    </row>
    <row r="40" spans="1:13" ht="29" customHeight="1" x14ac:dyDescent="0.15">
      <c r="A40" s="49">
        <v>75379</v>
      </c>
      <c r="B40" s="52">
        <f>7+10+9+9.5</f>
        <v>35.5</v>
      </c>
      <c r="C40" s="27">
        <v>98</v>
      </c>
      <c r="D40" s="52">
        <f>10+10+10+10+10+10+10+10</f>
        <v>80</v>
      </c>
      <c r="E40" s="52">
        <v>83</v>
      </c>
      <c r="F40" s="28">
        <v>10</v>
      </c>
      <c r="G40" s="56">
        <v>37.5</v>
      </c>
      <c r="H40" s="28">
        <v>23</v>
      </c>
      <c r="I40" s="56">
        <v>67</v>
      </c>
      <c r="J40" s="56">
        <v>37</v>
      </c>
      <c r="K40" s="28">
        <v>59</v>
      </c>
      <c r="L40" s="31">
        <f t="shared" si="1"/>
        <v>0.70417424242424231</v>
      </c>
      <c r="M40"/>
    </row>
    <row r="41" spans="1:13" ht="29" customHeight="1" x14ac:dyDescent="0.15">
      <c r="A41" s="49">
        <v>75711</v>
      </c>
      <c r="B41" s="53">
        <v>37</v>
      </c>
      <c r="C41" s="27">
        <v>94</v>
      </c>
      <c r="D41" s="52">
        <f>10+10+10+10+10+8+10+8</f>
        <v>76</v>
      </c>
      <c r="E41" s="52">
        <v>78</v>
      </c>
      <c r="F41" s="28">
        <v>0</v>
      </c>
      <c r="G41" s="56">
        <v>21</v>
      </c>
      <c r="H41" s="28">
        <v>11</v>
      </c>
      <c r="I41" s="56">
        <v>59</v>
      </c>
      <c r="J41" s="56">
        <v>39</v>
      </c>
      <c r="K41" s="28">
        <v>0</v>
      </c>
      <c r="L41" s="31">
        <f t="shared" si="1"/>
        <v>0.56272222222222223</v>
      </c>
      <c r="M41"/>
    </row>
    <row r="42" spans="1:13" ht="29" customHeight="1" x14ac:dyDescent="0.15">
      <c r="A42" s="49">
        <v>78743</v>
      </c>
      <c r="B42" s="53">
        <v>39</v>
      </c>
      <c r="C42" s="27">
        <v>88</v>
      </c>
      <c r="D42" s="52">
        <f>7+10+8+10+6+6+7+7</f>
        <v>61</v>
      </c>
      <c r="E42" s="52">
        <v>74</v>
      </c>
      <c r="F42" s="28">
        <v>0</v>
      </c>
      <c r="G42" s="56">
        <v>37</v>
      </c>
      <c r="H42" s="28">
        <v>13</v>
      </c>
      <c r="I42" s="56">
        <v>39</v>
      </c>
      <c r="J42" s="56">
        <v>36</v>
      </c>
      <c r="K42" s="28">
        <v>0</v>
      </c>
      <c r="L42" s="31">
        <f t="shared" si="1"/>
        <v>0.54730555555555549</v>
      </c>
      <c r="M42"/>
    </row>
    <row r="43" spans="1:13" ht="29" customHeight="1" x14ac:dyDescent="0.15">
      <c r="A43" s="49">
        <v>84398</v>
      </c>
      <c r="B43" s="53"/>
      <c r="C43" s="27"/>
      <c r="D43" s="52"/>
      <c r="E43" s="52"/>
      <c r="F43" s="28"/>
      <c r="G43" s="56"/>
      <c r="H43" s="28"/>
      <c r="I43" s="56"/>
      <c r="J43" s="56"/>
      <c r="K43" s="28"/>
      <c r="L43" s="31">
        <f t="shared" si="1"/>
        <v>0</v>
      </c>
      <c r="M43"/>
    </row>
    <row r="44" spans="1:13" ht="29" customHeight="1" x14ac:dyDescent="0.15">
      <c r="A44" s="49">
        <v>85477</v>
      </c>
      <c r="B44" s="53">
        <v>39</v>
      </c>
      <c r="C44" s="27">
        <v>98.5</v>
      </c>
      <c r="D44" s="52">
        <f>10+10+10+10+8+10+10+10</f>
        <v>78</v>
      </c>
      <c r="E44" s="52">
        <v>90</v>
      </c>
      <c r="F44" s="28">
        <v>94.5</v>
      </c>
      <c r="G44" s="56">
        <v>49</v>
      </c>
      <c r="H44" s="28">
        <v>46</v>
      </c>
      <c r="I44" s="56">
        <v>88</v>
      </c>
      <c r="J44" s="56">
        <v>60</v>
      </c>
      <c r="K44" s="28">
        <v>89</v>
      </c>
      <c r="L44" s="31">
        <f t="shared" si="1"/>
        <v>0.95618686868686864</v>
      </c>
      <c r="M44"/>
    </row>
    <row r="45" spans="1:13" ht="29" customHeight="1" x14ac:dyDescent="0.15">
      <c r="A45" s="49">
        <v>92900</v>
      </c>
      <c r="B45" s="53">
        <v>37</v>
      </c>
      <c r="C45" s="27">
        <v>86.5</v>
      </c>
      <c r="D45" s="52">
        <f>10+10+10+10+10+8+10+10</f>
        <v>78</v>
      </c>
      <c r="E45" s="52">
        <v>89</v>
      </c>
      <c r="F45" s="28">
        <v>64</v>
      </c>
      <c r="G45" s="56">
        <v>39</v>
      </c>
      <c r="H45" s="28">
        <v>50</v>
      </c>
      <c r="I45" s="56">
        <v>81</v>
      </c>
      <c r="J45" s="56">
        <v>60</v>
      </c>
      <c r="K45" s="28">
        <v>90</v>
      </c>
      <c r="L45" s="31">
        <f t="shared" si="1"/>
        <v>0.89157070707070718</v>
      </c>
      <c r="M45"/>
    </row>
    <row r="46" spans="1:13" ht="29" customHeight="1" x14ac:dyDescent="0.15">
      <c r="A46" s="49">
        <v>93512</v>
      </c>
      <c r="B46" s="53">
        <v>37.5</v>
      </c>
      <c r="C46" s="27">
        <v>99.5</v>
      </c>
      <c r="D46" s="52">
        <f>10+10+10+10+10+10+10+10</f>
        <v>80</v>
      </c>
      <c r="E46" s="52">
        <v>90</v>
      </c>
      <c r="F46" s="28">
        <v>91</v>
      </c>
      <c r="G46" s="56">
        <v>49</v>
      </c>
      <c r="H46" s="28">
        <v>50</v>
      </c>
      <c r="I46" s="56">
        <v>81.5</v>
      </c>
      <c r="J46" s="56">
        <v>58</v>
      </c>
      <c r="K46" s="28">
        <v>79</v>
      </c>
      <c r="L46" s="31">
        <f t="shared" si="1"/>
        <v>0.94019949494949484</v>
      </c>
      <c r="M46"/>
    </row>
    <row r="47" spans="1:13" ht="29" customHeight="1" x14ac:dyDescent="0.15">
      <c r="A47" s="49">
        <v>93951</v>
      </c>
      <c r="B47" s="53">
        <v>30.5</v>
      </c>
      <c r="C47" s="27">
        <v>98</v>
      </c>
      <c r="D47" s="52">
        <f>10+10+10+10+5+3+3+10</f>
        <v>61</v>
      </c>
      <c r="E47" s="52">
        <v>74</v>
      </c>
      <c r="F47" s="28">
        <v>0</v>
      </c>
      <c r="G47" s="56">
        <v>35</v>
      </c>
      <c r="H47" s="28">
        <v>44</v>
      </c>
      <c r="I47" s="56">
        <v>78</v>
      </c>
      <c r="J47" s="56">
        <v>43</v>
      </c>
      <c r="K47" s="28">
        <v>91</v>
      </c>
      <c r="L47" s="31">
        <f t="shared" si="1"/>
        <v>0.74005555555555558</v>
      </c>
      <c r="M47"/>
    </row>
    <row r="48" spans="1:13" ht="29" customHeight="1" x14ac:dyDescent="0.15">
      <c r="A48" s="49">
        <v>94628</v>
      </c>
      <c r="B48" s="53">
        <v>40</v>
      </c>
      <c r="C48" s="27">
        <v>98</v>
      </c>
      <c r="D48" s="52">
        <f>10+10+10+10+10+7+10+10</f>
        <v>77</v>
      </c>
      <c r="E48" s="52">
        <v>85</v>
      </c>
      <c r="F48" s="28">
        <v>107</v>
      </c>
      <c r="G48" s="56">
        <v>48</v>
      </c>
      <c r="H48" s="28">
        <v>48</v>
      </c>
      <c r="I48" s="56">
        <v>87</v>
      </c>
      <c r="J48" s="56">
        <v>60</v>
      </c>
      <c r="K48" s="28">
        <v>99</v>
      </c>
      <c r="L48" s="31">
        <f t="shared" si="1"/>
        <v>0.97363383838383855</v>
      </c>
      <c r="M48"/>
    </row>
    <row r="49" spans="1:13" ht="29" customHeight="1" x14ac:dyDescent="0.15">
      <c r="A49" s="49">
        <v>95154</v>
      </c>
      <c r="B49" s="53">
        <v>39</v>
      </c>
      <c r="C49" s="27">
        <v>92.5</v>
      </c>
      <c r="D49" s="52">
        <f>10+10+10+10+10+10+10+10</f>
        <v>80</v>
      </c>
      <c r="E49" s="52">
        <v>90</v>
      </c>
      <c r="F49" s="28">
        <v>98</v>
      </c>
      <c r="G49" s="56">
        <v>50</v>
      </c>
      <c r="H49" s="28">
        <v>48</v>
      </c>
      <c r="I49" s="56">
        <v>78</v>
      </c>
      <c r="J49" s="56">
        <v>58</v>
      </c>
      <c r="K49" s="28">
        <v>94</v>
      </c>
      <c r="L49" s="31">
        <f t="shared" si="1"/>
        <v>0.9524242424242424</v>
      </c>
      <c r="M49"/>
    </row>
    <row r="50" spans="1:13" ht="29" customHeight="1" x14ac:dyDescent="0.15">
      <c r="A50" s="49">
        <v>97905</v>
      </c>
      <c r="B50" s="52">
        <f>10+10+10+9</f>
        <v>39</v>
      </c>
      <c r="C50" s="27">
        <v>92</v>
      </c>
      <c r="D50" s="52">
        <f>10+7+10+10+7+8+10+10</f>
        <v>72</v>
      </c>
      <c r="E50" s="52">
        <v>85.5</v>
      </c>
      <c r="F50" s="28">
        <v>0</v>
      </c>
      <c r="G50" s="56">
        <v>27</v>
      </c>
      <c r="H50" s="28">
        <v>36</v>
      </c>
      <c r="I50" s="56">
        <v>25</v>
      </c>
      <c r="J50" s="56">
        <v>30</v>
      </c>
      <c r="K50" s="28">
        <v>82</v>
      </c>
      <c r="L50" s="31">
        <f t="shared" si="1"/>
        <v>0.66027777777777774</v>
      </c>
      <c r="M50"/>
    </row>
    <row r="51" spans="1:13" ht="29" customHeight="1" x14ac:dyDescent="0.15">
      <c r="A51" s="21"/>
      <c r="B51" s="22"/>
      <c r="C51" s="2"/>
      <c r="D51" s="2"/>
      <c r="E51" s="2"/>
      <c r="F51" s="2"/>
      <c r="G51" s="2"/>
      <c r="H51" s="2"/>
      <c r="I51" s="2"/>
      <c r="J51" s="2"/>
      <c r="K51" s="2"/>
      <c r="L51" s="5"/>
      <c r="M51"/>
    </row>
    <row r="52" spans="1:13" ht="29" customHeight="1" x14ac:dyDescent="0.15">
      <c r="A52" s="15" t="s">
        <v>13</v>
      </c>
      <c r="B52" s="32">
        <v>40</v>
      </c>
      <c r="C52" s="33">
        <v>100</v>
      </c>
      <c r="D52" s="33">
        <v>80</v>
      </c>
      <c r="E52" s="33">
        <v>90</v>
      </c>
      <c r="F52" s="33">
        <v>110</v>
      </c>
      <c r="G52" s="33">
        <v>50</v>
      </c>
      <c r="H52" s="33">
        <v>50</v>
      </c>
      <c r="I52" s="33">
        <v>90</v>
      </c>
      <c r="J52" s="33">
        <v>60</v>
      </c>
      <c r="K52" s="33">
        <v>100</v>
      </c>
      <c r="L52" s="34">
        <v>1</v>
      </c>
      <c r="M52"/>
    </row>
    <row r="53" spans="1:13" ht="29" customHeight="1" x14ac:dyDescent="0.15">
      <c r="A53" s="16" t="s">
        <v>14</v>
      </c>
      <c r="B53" s="35">
        <f t="shared" ref="B53:L53" si="2">AVERAGE(B$3:B$50)</f>
        <v>33.677777777777777</v>
      </c>
      <c r="C53" s="35">
        <f t="shared" si="2"/>
        <v>77.166666666666671</v>
      </c>
      <c r="D53" s="35">
        <f t="shared" si="2"/>
        <v>65.12222222222222</v>
      </c>
      <c r="E53" s="35">
        <f t="shared" si="2"/>
        <v>67.144444444444446</v>
      </c>
      <c r="F53" s="35">
        <f t="shared" si="2"/>
        <v>35.588888888888889</v>
      </c>
      <c r="G53" s="35">
        <f t="shared" si="2"/>
        <v>30.233333333333334</v>
      </c>
      <c r="H53" s="35">
        <f t="shared" si="2"/>
        <v>32.422222222222224</v>
      </c>
      <c r="I53" s="35">
        <f t="shared" si="2"/>
        <v>59.911111111111111</v>
      </c>
      <c r="J53" s="35">
        <f t="shared" si="2"/>
        <v>41.68888888888889</v>
      </c>
      <c r="K53" s="35">
        <f t="shared" si="2"/>
        <v>60.177777777777777</v>
      </c>
      <c r="L53" s="35">
        <f t="shared" si="2"/>
        <v>0.62930684448653196</v>
      </c>
      <c r="M53"/>
    </row>
    <row r="54" spans="1:13" ht="29" customHeight="1" x14ac:dyDescent="0.15">
      <c r="A54" s="17" t="s">
        <v>15</v>
      </c>
      <c r="B54" s="35">
        <f t="shared" ref="B54:L54" si="3">STDEV(B$3:B$50)</f>
        <v>10.080446619094017</v>
      </c>
      <c r="C54" s="35">
        <f t="shared" si="3"/>
        <v>30.53183882143658</v>
      </c>
      <c r="D54" s="35">
        <f t="shared" si="3"/>
        <v>20.905674402473174</v>
      </c>
      <c r="E54" s="35">
        <f t="shared" si="3"/>
        <v>25.821419540193894</v>
      </c>
      <c r="F54" s="35">
        <f t="shared" si="3"/>
        <v>40.790803454512229</v>
      </c>
      <c r="G54" s="35">
        <f t="shared" si="3"/>
        <v>15.193299958743779</v>
      </c>
      <c r="H54" s="35">
        <f t="shared" si="3"/>
        <v>17.616158503034661</v>
      </c>
      <c r="I54" s="35">
        <f t="shared" si="3"/>
        <v>28.122760292415226</v>
      </c>
      <c r="J54" s="35">
        <f t="shared" si="3"/>
        <v>19.836630741935974</v>
      </c>
      <c r="K54" s="35">
        <f t="shared" si="3"/>
        <v>35.651271103750723</v>
      </c>
      <c r="L54" s="35">
        <f t="shared" si="3"/>
        <v>0.28654108389051286</v>
      </c>
      <c r="M54"/>
    </row>
    <row r="55" spans="1:13" ht="29" customHeight="1" x14ac:dyDescent="0.15">
      <c r="A55" s="17" t="s">
        <v>16</v>
      </c>
      <c r="B55" s="35">
        <f t="shared" ref="B55:L55" si="4">MEDIAN(B$3:B$50)</f>
        <v>37</v>
      </c>
      <c r="C55" s="35">
        <f t="shared" si="4"/>
        <v>89</v>
      </c>
      <c r="D55" s="35">
        <f t="shared" si="4"/>
        <v>74</v>
      </c>
      <c r="E55" s="35">
        <f t="shared" si="4"/>
        <v>77</v>
      </c>
      <c r="F55" s="35">
        <f t="shared" si="4"/>
        <v>26</v>
      </c>
      <c r="G55" s="35">
        <f t="shared" si="4"/>
        <v>35</v>
      </c>
      <c r="H55" s="35">
        <f t="shared" si="4"/>
        <v>41.5</v>
      </c>
      <c r="I55" s="35">
        <f t="shared" si="4"/>
        <v>72</v>
      </c>
      <c r="J55" s="35">
        <f t="shared" si="4"/>
        <v>51</v>
      </c>
      <c r="K55" s="35">
        <f t="shared" si="4"/>
        <v>76</v>
      </c>
      <c r="L55" s="35">
        <f t="shared" si="4"/>
        <v>0.69113320707070702</v>
      </c>
      <c r="M55"/>
    </row>
    <row r="56" spans="1:13" ht="29" customHeight="1" x14ac:dyDescent="0.15">
      <c r="A56" s="18" t="s">
        <v>17</v>
      </c>
      <c r="B56" s="36">
        <f t="shared" ref="B56:J56" si="5">IF(SUM(B3:B50)&gt;0,1,0)</f>
        <v>1</v>
      </c>
      <c r="C56" s="36">
        <f t="shared" si="5"/>
        <v>1</v>
      </c>
      <c r="D56" s="36">
        <f t="shared" si="5"/>
        <v>1</v>
      </c>
      <c r="E56" s="36">
        <f t="shared" si="5"/>
        <v>1</v>
      </c>
      <c r="F56" s="36">
        <f t="shared" si="5"/>
        <v>1</v>
      </c>
      <c r="G56" s="36">
        <f t="shared" si="5"/>
        <v>1</v>
      </c>
      <c r="H56" s="36">
        <f t="shared" si="5"/>
        <v>1</v>
      </c>
      <c r="I56" s="36">
        <f t="shared" si="5"/>
        <v>1</v>
      </c>
      <c r="J56" s="36">
        <f t="shared" si="5"/>
        <v>1</v>
      </c>
      <c r="K56" s="36">
        <f t="shared" ref="K56" si="6">IF(SUM(K3:K50)&gt;0,1,0)</f>
        <v>1</v>
      </c>
      <c r="L56" s="33"/>
      <c r="M56"/>
    </row>
    <row r="57" spans="1:13" ht="40" customHeight="1" x14ac:dyDescent="0.15">
      <c r="A57" s="19" t="s">
        <v>18</v>
      </c>
      <c r="B57" s="20">
        <v>0</v>
      </c>
      <c r="L57" s="11"/>
      <c r="M57"/>
    </row>
    <row r="58" spans="1:13" ht="14" x14ac:dyDescent="0.15">
      <c r="B58"/>
    </row>
    <row r="61" spans="1:13" ht="14" x14ac:dyDescent="0.15">
      <c r="B61"/>
    </row>
    <row r="62" spans="1:13" ht="14" x14ac:dyDescent="0.15">
      <c r="B62"/>
    </row>
    <row r="63" spans="1:13" ht="14" x14ac:dyDescent="0.15">
      <c r="B63"/>
    </row>
    <row r="64" spans="1:13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  <row r="141" spans="2:2" ht="14" x14ac:dyDescent="0.15">
      <c r="B141"/>
    </row>
    <row r="142" spans="2:2" ht="14" x14ac:dyDescent="0.15">
      <c r="B142"/>
    </row>
    <row r="143" spans="2:2" ht="14" x14ac:dyDescent="0.15">
      <c r="B143"/>
    </row>
    <row r="144" spans="2:2" ht="14" x14ac:dyDescent="0.15">
      <c r="B144"/>
    </row>
    <row r="145" spans="2:2" ht="14" x14ac:dyDescent="0.15">
      <c r="B145"/>
    </row>
    <row r="146" spans="2:2" ht="14" x14ac:dyDescent="0.15">
      <c r="B146"/>
    </row>
    <row r="147" spans="2:2" ht="14" x14ac:dyDescent="0.15">
      <c r="B147"/>
    </row>
    <row r="148" spans="2:2" ht="14" x14ac:dyDescent="0.15">
      <c r="B148"/>
    </row>
    <row r="149" spans="2:2" ht="14" x14ac:dyDescent="0.15">
      <c r="B149"/>
    </row>
    <row r="150" spans="2:2" ht="14" x14ac:dyDescent="0.15">
      <c r="B150"/>
    </row>
    <row r="151" spans="2:2" ht="14" x14ac:dyDescent="0.15">
      <c r="B151"/>
    </row>
    <row r="152" spans="2:2" ht="14" x14ac:dyDescent="0.15">
      <c r="B152"/>
    </row>
  </sheetData>
  <phoneticPr fontId="6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2" width="11.83203125" customWidth="1"/>
    <col min="3" max="3" width="11.83203125" bestFit="1" customWidth="1"/>
    <col min="10" max="10" width="12.83203125" customWidth="1"/>
    <col min="11" max="11" width="12" customWidth="1"/>
  </cols>
  <sheetData>
    <row r="1" spans="1:11" ht="24" customHeight="1" x14ac:dyDescent="0.15">
      <c r="A1" s="1" t="s">
        <v>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37</v>
      </c>
      <c r="I1" s="3" t="s">
        <v>36</v>
      </c>
      <c r="J1" s="4" t="s">
        <v>12</v>
      </c>
      <c r="K1" s="31"/>
    </row>
    <row r="2" spans="1:11" ht="29" customHeight="1" x14ac:dyDescent="0.15">
      <c r="A2" s="49">
        <v>26347</v>
      </c>
      <c r="B2" s="46">
        <v>27</v>
      </c>
      <c r="C2" s="47">
        <v>36</v>
      </c>
      <c r="D2" s="56">
        <f>(10+3+10+4.5)</f>
        <v>27.5</v>
      </c>
      <c r="E2" s="52">
        <v>16</v>
      </c>
      <c r="F2" s="62">
        <v>22</v>
      </c>
      <c r="G2" s="28">
        <v>14</v>
      </c>
      <c r="H2" s="56">
        <v>20</v>
      </c>
      <c r="I2" s="56">
        <v>78</v>
      </c>
      <c r="J2" s="31">
        <f>IF(SUM($B$56:$I$56)&gt;0,$J$52*(B2/$B$52+C2/$C$52+D2/$D$52+E2/$E$52+F2/$F$52+G2/$G$52+H2/$H$52+I2/$I$52)/SUM($B$56:$I$56),0)</f>
        <v>0.77877232142857133</v>
      </c>
    </row>
    <row r="3" spans="1:11" ht="29" customHeight="1" x14ac:dyDescent="0.15">
      <c r="A3" s="50">
        <v>28431</v>
      </c>
      <c r="B3" s="46">
        <v>48</v>
      </c>
      <c r="C3" s="44">
        <v>12</v>
      </c>
      <c r="D3" s="52">
        <v>0</v>
      </c>
      <c r="E3" s="56">
        <v>0</v>
      </c>
      <c r="F3" s="57">
        <v>0</v>
      </c>
      <c r="G3" s="44">
        <v>14</v>
      </c>
      <c r="H3" s="44">
        <v>0</v>
      </c>
      <c r="I3" s="57">
        <v>62</v>
      </c>
      <c r="J3" s="31">
        <f t="shared" ref="J3:J50" si="0">IF(SUM($B$56:$I$56)&gt;0,$J$52*(B3/$B$52+C3/$C$52+D3/$D$52+E3/$E$52+F3/$F$52+G3/$G$52+H3/$H$52+I3/$I$52)/SUM($B$56:$I$56),0)</f>
        <v>0.42308035714285708</v>
      </c>
    </row>
    <row r="4" spans="1:11" ht="29" customHeight="1" x14ac:dyDescent="0.15">
      <c r="A4" s="50">
        <v>28745</v>
      </c>
      <c r="B4" s="46">
        <v>28</v>
      </c>
      <c r="C4" s="44">
        <v>24</v>
      </c>
      <c r="D4" s="52">
        <f>(6+7+9+0)</f>
        <v>22</v>
      </c>
      <c r="E4" s="52">
        <f>(5+0+0+0+0)</f>
        <v>5</v>
      </c>
      <c r="F4" s="57">
        <v>20</v>
      </c>
      <c r="G4" s="44">
        <v>11</v>
      </c>
      <c r="H4" s="56">
        <v>25.5</v>
      </c>
      <c r="I4" s="57">
        <v>44</v>
      </c>
      <c r="J4" s="31">
        <f t="shared" si="0"/>
        <v>0.60397321428571438</v>
      </c>
    </row>
    <row r="5" spans="1:11" ht="29" customHeight="1" x14ac:dyDescent="0.15">
      <c r="A5" s="49">
        <v>38490</v>
      </c>
      <c r="B5" s="46">
        <v>37</v>
      </c>
      <c r="C5" s="44">
        <v>44</v>
      </c>
      <c r="D5" s="57">
        <v>0</v>
      </c>
      <c r="E5" s="52">
        <f>0+3+0+0+0</f>
        <v>3</v>
      </c>
      <c r="F5" s="57">
        <v>4</v>
      </c>
      <c r="G5" s="44">
        <v>3</v>
      </c>
      <c r="H5" s="56">
        <v>6</v>
      </c>
      <c r="I5" s="57">
        <v>0</v>
      </c>
      <c r="J5" s="31">
        <f t="shared" si="0"/>
        <v>0.3169196428571428</v>
      </c>
    </row>
    <row r="6" spans="1:11" ht="29" customHeight="1" x14ac:dyDescent="0.15">
      <c r="A6" s="50">
        <v>46234</v>
      </c>
      <c r="B6" s="46">
        <v>28.5</v>
      </c>
      <c r="C6" s="54">
        <v>29</v>
      </c>
      <c r="D6" s="52">
        <f>(3+4+2+0)</f>
        <v>9</v>
      </c>
      <c r="E6" s="52">
        <f>(6+0+6+6+0)</f>
        <v>18</v>
      </c>
      <c r="F6" s="57">
        <v>17</v>
      </c>
      <c r="G6" s="44">
        <v>13</v>
      </c>
      <c r="H6" s="57">
        <v>25</v>
      </c>
      <c r="I6" s="57">
        <v>58</v>
      </c>
      <c r="J6" s="31">
        <f t="shared" si="0"/>
        <v>0.63799107142857148</v>
      </c>
    </row>
    <row r="7" spans="1:11" ht="29" customHeight="1" x14ac:dyDescent="0.15">
      <c r="A7" s="50">
        <v>48666</v>
      </c>
      <c r="B7" s="46">
        <v>35.5</v>
      </c>
      <c r="C7" s="44">
        <v>56</v>
      </c>
      <c r="D7" s="56">
        <f>(6+6+10+3)</f>
        <v>25</v>
      </c>
      <c r="E7" s="52">
        <f>(5+0+7+6+8)</f>
        <v>26</v>
      </c>
      <c r="F7" s="57">
        <v>55</v>
      </c>
      <c r="G7" s="44">
        <v>27</v>
      </c>
      <c r="H7" s="57">
        <v>50</v>
      </c>
      <c r="I7" s="57">
        <v>58</v>
      </c>
      <c r="J7" s="31">
        <f t="shared" si="0"/>
        <v>1.1196874999999999</v>
      </c>
    </row>
    <row r="8" spans="1:11" ht="29" customHeight="1" x14ac:dyDescent="0.15">
      <c r="A8" s="50">
        <v>48786</v>
      </c>
      <c r="B8" s="46">
        <v>46.5</v>
      </c>
      <c r="C8" s="54">
        <v>64.5</v>
      </c>
      <c r="D8" s="52">
        <f>(8+7+10+3)</f>
        <v>28</v>
      </c>
      <c r="E8" s="52">
        <f>(8+8+9+8+8)</f>
        <v>41</v>
      </c>
      <c r="F8" s="57">
        <v>32</v>
      </c>
      <c r="G8" s="44">
        <v>7</v>
      </c>
      <c r="H8" s="57">
        <v>19</v>
      </c>
      <c r="I8" s="57">
        <v>49</v>
      </c>
      <c r="J8" s="31">
        <f t="shared" si="0"/>
        <v>0.95104910714285706</v>
      </c>
    </row>
    <row r="9" spans="1:11" ht="29" customHeight="1" x14ac:dyDescent="0.15">
      <c r="A9" s="49">
        <v>49550</v>
      </c>
      <c r="B9" s="46">
        <v>44</v>
      </c>
      <c r="C9" s="54">
        <v>32.5</v>
      </c>
      <c r="D9" s="52">
        <v>0</v>
      </c>
      <c r="E9" s="52">
        <f>(7+0+0+9+0)</f>
        <v>16</v>
      </c>
      <c r="F9" s="57">
        <v>10</v>
      </c>
      <c r="G9" s="44">
        <v>0</v>
      </c>
      <c r="H9" s="28">
        <v>0</v>
      </c>
      <c r="I9" s="57">
        <v>38</v>
      </c>
      <c r="J9" s="31">
        <f t="shared" si="0"/>
        <v>0.43236607142857147</v>
      </c>
    </row>
    <row r="10" spans="1:11" ht="29" customHeight="1" x14ac:dyDescent="0.15">
      <c r="A10" s="49">
        <v>50117</v>
      </c>
      <c r="B10" s="46">
        <v>50</v>
      </c>
      <c r="C10" s="44">
        <v>69</v>
      </c>
      <c r="D10" s="52">
        <f>(9+10+9+10)</f>
        <v>38</v>
      </c>
      <c r="E10" s="52">
        <f>(8+10+9+10+8)</f>
        <v>45</v>
      </c>
      <c r="F10" s="57">
        <v>56</v>
      </c>
      <c r="G10" s="44">
        <v>40</v>
      </c>
      <c r="H10" s="56">
        <v>50</v>
      </c>
      <c r="I10" s="57">
        <v>80</v>
      </c>
      <c r="J10" s="31">
        <f t="shared" si="0"/>
        <v>1.4566964285714286</v>
      </c>
    </row>
    <row r="11" spans="1:11" ht="29" customHeight="1" x14ac:dyDescent="0.15">
      <c r="A11" s="50">
        <v>50925</v>
      </c>
      <c r="B11" s="46">
        <v>48</v>
      </c>
      <c r="C11" s="55">
        <v>23</v>
      </c>
      <c r="D11" s="52">
        <f>(9+10+10+7.5)</f>
        <v>36.5</v>
      </c>
      <c r="E11" s="52">
        <v>0</v>
      </c>
      <c r="F11" s="56">
        <v>34</v>
      </c>
      <c r="G11" s="28">
        <v>18</v>
      </c>
      <c r="H11" s="56">
        <v>44</v>
      </c>
      <c r="I11" s="56">
        <v>73</v>
      </c>
      <c r="J11" s="31">
        <f t="shared" si="0"/>
        <v>0.93941964285714286</v>
      </c>
    </row>
    <row r="12" spans="1:11" ht="29" customHeight="1" x14ac:dyDescent="0.15">
      <c r="A12" s="49">
        <v>51216</v>
      </c>
      <c r="B12" s="46">
        <v>47.5</v>
      </c>
      <c r="C12" s="44">
        <v>27</v>
      </c>
      <c r="D12" s="56">
        <v>0</v>
      </c>
      <c r="E12" s="56">
        <f>(8+0+8+0+0)</f>
        <v>16</v>
      </c>
      <c r="F12" s="57">
        <v>52</v>
      </c>
      <c r="G12" s="44">
        <v>0</v>
      </c>
      <c r="H12" s="56">
        <v>40</v>
      </c>
      <c r="I12" s="57">
        <v>80</v>
      </c>
      <c r="J12" s="31">
        <f t="shared" si="0"/>
        <v>0.81044642857142857</v>
      </c>
    </row>
    <row r="13" spans="1:11" ht="29" customHeight="1" x14ac:dyDescent="0.15">
      <c r="A13" s="49">
        <v>51395</v>
      </c>
      <c r="B13" s="46">
        <v>29</v>
      </c>
      <c r="C13" s="44">
        <v>27</v>
      </c>
      <c r="D13" s="52">
        <v>0</v>
      </c>
      <c r="E13" s="52">
        <f>(6+7+8+8+0)</f>
        <v>29</v>
      </c>
      <c r="F13" s="57">
        <v>48</v>
      </c>
      <c r="G13" s="44">
        <v>25</v>
      </c>
      <c r="H13" s="57">
        <v>45</v>
      </c>
      <c r="I13" s="57">
        <v>79</v>
      </c>
      <c r="J13" s="31">
        <f t="shared" si="0"/>
        <v>0.91091517857142867</v>
      </c>
    </row>
    <row r="14" spans="1:11" ht="29" customHeight="1" x14ac:dyDescent="0.15">
      <c r="A14" s="49">
        <v>51448</v>
      </c>
      <c r="B14" s="46">
        <v>28</v>
      </c>
      <c r="C14" s="54">
        <v>40</v>
      </c>
      <c r="D14" s="52">
        <f>0+9+10+0</f>
        <v>19</v>
      </c>
      <c r="E14" s="52">
        <v>0</v>
      </c>
      <c r="F14" s="57">
        <v>0</v>
      </c>
      <c r="G14" s="44">
        <v>0</v>
      </c>
      <c r="H14" s="57">
        <v>29</v>
      </c>
      <c r="I14" s="57">
        <v>0</v>
      </c>
      <c r="J14" s="31">
        <f t="shared" si="0"/>
        <v>0.40995535714285714</v>
      </c>
    </row>
    <row r="15" spans="1:11" ht="29" customHeight="1" x14ac:dyDescent="0.15">
      <c r="A15" s="21">
        <v>52252</v>
      </c>
      <c r="B15" s="46">
        <v>0</v>
      </c>
      <c r="C15" s="44">
        <v>0</v>
      </c>
      <c r="D15" s="28">
        <v>0</v>
      </c>
      <c r="E15" s="60">
        <v>0</v>
      </c>
      <c r="F15" s="44">
        <v>0</v>
      </c>
      <c r="G15" s="44">
        <v>0</v>
      </c>
      <c r="H15" s="44">
        <v>0</v>
      </c>
      <c r="I15" s="44">
        <v>0</v>
      </c>
      <c r="J15" s="31">
        <f t="shared" si="0"/>
        <v>0</v>
      </c>
    </row>
    <row r="16" spans="1:11" ht="29" customHeight="1" x14ac:dyDescent="0.15">
      <c r="A16" s="49">
        <v>53517</v>
      </c>
      <c r="B16" s="46">
        <v>46.5</v>
      </c>
      <c r="C16" s="44">
        <v>19</v>
      </c>
      <c r="D16" s="52">
        <f>(6+0+0+0)</f>
        <v>6</v>
      </c>
      <c r="E16" s="52">
        <v>0</v>
      </c>
      <c r="F16" s="57">
        <v>0</v>
      </c>
      <c r="G16" s="44">
        <v>0</v>
      </c>
      <c r="H16" s="44">
        <v>0</v>
      </c>
      <c r="I16" s="57">
        <v>0</v>
      </c>
      <c r="J16" s="31">
        <f t="shared" si="0"/>
        <v>0.25339285714285714</v>
      </c>
    </row>
    <row r="17" spans="1:22" ht="29" customHeight="1" x14ac:dyDescent="0.15">
      <c r="A17" s="49">
        <v>53956</v>
      </c>
      <c r="B17" s="46">
        <v>0</v>
      </c>
      <c r="C17" s="54">
        <v>0</v>
      </c>
      <c r="D17" s="52">
        <v>0</v>
      </c>
      <c r="E17" s="52">
        <v>0</v>
      </c>
      <c r="F17" s="57">
        <v>0</v>
      </c>
      <c r="G17" s="44">
        <v>0</v>
      </c>
      <c r="H17" s="28">
        <v>0</v>
      </c>
      <c r="I17" s="57">
        <v>0</v>
      </c>
      <c r="J17" s="31">
        <f t="shared" si="0"/>
        <v>0</v>
      </c>
    </row>
    <row r="18" spans="1:22" ht="29" customHeight="1" x14ac:dyDescent="0.15">
      <c r="A18" s="49">
        <v>55023</v>
      </c>
      <c r="B18" s="46">
        <v>46</v>
      </c>
      <c r="C18" s="54">
        <v>55</v>
      </c>
      <c r="D18" s="52">
        <v>0</v>
      </c>
      <c r="E18" s="52">
        <f>(7+10+9+9+0)</f>
        <v>35</v>
      </c>
      <c r="F18" s="57">
        <v>51</v>
      </c>
      <c r="G18" s="44">
        <v>30</v>
      </c>
      <c r="H18" s="57">
        <v>50</v>
      </c>
      <c r="I18" s="57">
        <v>79</v>
      </c>
      <c r="J18" s="31">
        <f t="shared" si="0"/>
        <v>1.1237276785714285</v>
      </c>
    </row>
    <row r="19" spans="1:22" ht="29" customHeight="1" x14ac:dyDescent="0.15">
      <c r="A19" s="50">
        <v>58506</v>
      </c>
      <c r="B19" s="46">
        <v>0</v>
      </c>
      <c r="C19" s="44">
        <v>0</v>
      </c>
      <c r="D19" s="56">
        <v>0</v>
      </c>
      <c r="E19" s="52">
        <v>0</v>
      </c>
      <c r="F19" s="57">
        <v>0</v>
      </c>
      <c r="G19" s="44">
        <v>0</v>
      </c>
      <c r="H19" s="28">
        <v>0</v>
      </c>
      <c r="I19" s="57">
        <v>0</v>
      </c>
      <c r="J19" s="31">
        <f t="shared" si="0"/>
        <v>0</v>
      </c>
    </row>
    <row r="20" spans="1:22" ht="29" customHeight="1" x14ac:dyDescent="0.15">
      <c r="A20" s="49">
        <v>60277</v>
      </c>
      <c r="B20" s="46">
        <v>10</v>
      </c>
      <c r="C20" s="54">
        <v>64</v>
      </c>
      <c r="D20" s="52">
        <f>(9+6+10+1)</f>
        <v>26</v>
      </c>
      <c r="E20" s="52">
        <v>37</v>
      </c>
      <c r="F20" s="57">
        <v>54</v>
      </c>
      <c r="G20" s="44">
        <v>26</v>
      </c>
      <c r="H20" s="56">
        <v>50</v>
      </c>
      <c r="I20" s="57">
        <v>48</v>
      </c>
      <c r="J20" s="31">
        <f t="shared" si="0"/>
        <v>1.0601785714285714</v>
      </c>
    </row>
    <row r="21" spans="1:22" ht="29" customHeight="1" x14ac:dyDescent="0.15">
      <c r="A21" s="49">
        <v>60852</v>
      </c>
      <c r="B21" s="46">
        <v>0</v>
      </c>
      <c r="C21" s="44">
        <v>0</v>
      </c>
      <c r="D21" s="52">
        <v>0</v>
      </c>
      <c r="E21" s="52">
        <v>0</v>
      </c>
      <c r="F21" s="57">
        <v>0</v>
      </c>
      <c r="G21" s="44">
        <v>0</v>
      </c>
      <c r="H21" s="28">
        <v>0</v>
      </c>
      <c r="I21" s="57">
        <v>0</v>
      </c>
      <c r="J21" s="31">
        <f t="shared" si="0"/>
        <v>0</v>
      </c>
    </row>
    <row r="22" spans="1:22" ht="29" customHeight="1" x14ac:dyDescent="0.15">
      <c r="A22" s="50">
        <v>61767</v>
      </c>
      <c r="B22" s="46">
        <v>50</v>
      </c>
      <c r="C22" s="54">
        <v>70</v>
      </c>
      <c r="D22" s="52">
        <f>(10+10+9+7)</f>
        <v>36</v>
      </c>
      <c r="E22" s="52">
        <f>(8+0+0+0+0)</f>
        <v>8</v>
      </c>
      <c r="F22" s="57">
        <v>51</v>
      </c>
      <c r="G22" s="44">
        <v>0</v>
      </c>
      <c r="H22" s="57">
        <v>50</v>
      </c>
      <c r="I22" s="57">
        <v>77</v>
      </c>
      <c r="J22" s="31">
        <f t="shared" si="0"/>
        <v>1.10109375</v>
      </c>
    </row>
    <row r="23" spans="1:22" ht="29" customHeight="1" x14ac:dyDescent="0.15">
      <c r="A23" s="49">
        <v>62771</v>
      </c>
      <c r="B23" s="46">
        <v>39</v>
      </c>
      <c r="C23" s="54">
        <v>0</v>
      </c>
      <c r="D23" s="52">
        <f>(7+9+10+7)</f>
        <v>33</v>
      </c>
      <c r="E23" s="52">
        <f>(7+7+0+0+0)</f>
        <v>14</v>
      </c>
      <c r="F23" s="57">
        <v>56</v>
      </c>
      <c r="G23" s="28">
        <v>25</v>
      </c>
      <c r="H23" s="56">
        <v>24</v>
      </c>
      <c r="I23" s="56">
        <v>0</v>
      </c>
      <c r="J23" s="31">
        <f t="shared" si="0"/>
        <v>0.73562499999999997</v>
      </c>
    </row>
    <row r="24" spans="1:22" ht="29" customHeight="1" x14ac:dyDescent="0.15">
      <c r="A24" s="50">
        <v>62943</v>
      </c>
      <c r="B24" s="46">
        <v>42</v>
      </c>
      <c r="C24" s="54">
        <v>59</v>
      </c>
      <c r="D24" s="58">
        <f>(7+5+8+8)</f>
        <v>28</v>
      </c>
      <c r="E24" s="52">
        <v>0</v>
      </c>
      <c r="F24" s="57">
        <v>58</v>
      </c>
      <c r="G24" s="44">
        <v>0</v>
      </c>
      <c r="H24" s="44">
        <v>0</v>
      </c>
      <c r="I24" s="57">
        <v>80</v>
      </c>
      <c r="J24" s="31">
        <f t="shared" si="0"/>
        <v>0.81553571428571425</v>
      </c>
    </row>
    <row r="25" spans="1:22" ht="29" customHeight="1" x14ac:dyDescent="0.15">
      <c r="A25" s="49">
        <v>62948</v>
      </c>
      <c r="B25" s="46">
        <v>35</v>
      </c>
      <c r="C25" s="47">
        <v>67</v>
      </c>
      <c r="D25" s="52">
        <f>(8+9+9+6)</f>
        <v>32</v>
      </c>
      <c r="E25" s="52">
        <f>(8+10+9+9+0)</f>
        <v>36</v>
      </c>
      <c r="F25" s="62">
        <v>37</v>
      </c>
      <c r="G25" s="28">
        <v>40</v>
      </c>
      <c r="H25" s="56">
        <v>43</v>
      </c>
      <c r="I25" s="56">
        <v>0</v>
      </c>
      <c r="J25" s="31">
        <f t="shared" si="0"/>
        <v>1.0600892857142856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6"/>
    </row>
    <row r="26" spans="1:22" ht="29" customHeight="1" x14ac:dyDescent="0.15">
      <c r="A26" s="49">
        <v>63226</v>
      </c>
      <c r="B26" s="46">
        <v>0</v>
      </c>
      <c r="C26" s="44">
        <v>0</v>
      </c>
      <c r="D26" s="58">
        <v>0</v>
      </c>
      <c r="E26" s="52">
        <v>0</v>
      </c>
      <c r="F26" s="57">
        <v>0</v>
      </c>
      <c r="G26" s="44">
        <v>0</v>
      </c>
      <c r="H26" s="44">
        <v>0</v>
      </c>
      <c r="I26" s="57">
        <v>0</v>
      </c>
      <c r="J26" s="31">
        <f t="shared" si="0"/>
        <v>0</v>
      </c>
    </row>
    <row r="27" spans="1:22" ht="29" customHeight="1" x14ac:dyDescent="0.15">
      <c r="A27" s="50">
        <v>64244</v>
      </c>
      <c r="B27" s="46">
        <v>0</v>
      </c>
      <c r="C27" s="44">
        <v>0</v>
      </c>
      <c r="D27" s="58">
        <v>0</v>
      </c>
      <c r="E27" s="52">
        <v>0</v>
      </c>
      <c r="F27" s="57">
        <v>0</v>
      </c>
      <c r="G27" s="28">
        <v>0</v>
      </c>
      <c r="H27" s="28">
        <v>0</v>
      </c>
      <c r="I27" s="56">
        <v>0</v>
      </c>
      <c r="J27" s="31">
        <f t="shared" si="0"/>
        <v>0</v>
      </c>
    </row>
    <row r="28" spans="1:22" ht="29" customHeight="1" x14ac:dyDescent="0.15">
      <c r="A28" s="49">
        <v>64582</v>
      </c>
      <c r="B28" s="46">
        <v>40.5</v>
      </c>
      <c r="C28" s="55">
        <v>33</v>
      </c>
      <c r="D28" s="52">
        <v>0</v>
      </c>
      <c r="E28" s="52">
        <f>(7+10+8+10+0)</f>
        <v>35</v>
      </c>
      <c r="F28" s="62">
        <v>0</v>
      </c>
      <c r="G28" s="61">
        <v>0</v>
      </c>
      <c r="H28" s="61">
        <v>0</v>
      </c>
      <c r="I28" s="64">
        <v>0</v>
      </c>
      <c r="J28" s="31">
        <f t="shared" si="0"/>
        <v>0.37151785714285718</v>
      </c>
    </row>
    <row r="29" spans="1:22" ht="29" customHeight="1" x14ac:dyDescent="0.15">
      <c r="A29" s="49">
        <v>65766</v>
      </c>
      <c r="B29" s="46">
        <v>49</v>
      </c>
      <c r="C29" s="47">
        <v>59</v>
      </c>
      <c r="D29" s="52">
        <v>0</v>
      </c>
      <c r="E29" s="52">
        <f>(8+7+0+7+0)</f>
        <v>22</v>
      </c>
      <c r="F29" s="62">
        <v>9</v>
      </c>
      <c r="G29" s="28">
        <v>0</v>
      </c>
      <c r="H29" s="56">
        <v>41.5</v>
      </c>
      <c r="I29" s="56">
        <v>0</v>
      </c>
      <c r="J29" s="31">
        <f t="shared" si="0"/>
        <v>0.60803571428571423</v>
      </c>
    </row>
    <row r="30" spans="1:22" ht="29" customHeight="1" x14ac:dyDescent="0.15">
      <c r="A30" s="49">
        <v>67692</v>
      </c>
      <c r="B30" s="46">
        <v>49.5</v>
      </c>
      <c r="C30" s="55">
        <v>70</v>
      </c>
      <c r="D30" s="52">
        <f>(10+10+10+10)</f>
        <v>40</v>
      </c>
      <c r="E30" s="52">
        <f>(10+10+10+9+10)</f>
        <v>49</v>
      </c>
      <c r="F30" s="62">
        <v>54</v>
      </c>
      <c r="G30" s="28">
        <v>40</v>
      </c>
      <c r="H30" s="56">
        <v>50</v>
      </c>
      <c r="I30" s="56">
        <v>80</v>
      </c>
      <c r="J30" s="31">
        <f t="shared" si="0"/>
        <v>1.475625</v>
      </c>
    </row>
    <row r="31" spans="1:22" ht="29" customHeight="1" x14ac:dyDescent="0.15">
      <c r="A31" s="49">
        <v>68049</v>
      </c>
      <c r="B31" s="46">
        <v>30</v>
      </c>
      <c r="C31" s="47">
        <v>43</v>
      </c>
      <c r="D31" s="56">
        <f>(10+10+10+6)</f>
        <v>36</v>
      </c>
      <c r="E31" s="52">
        <f>(5+0+0+0+0)</f>
        <v>5</v>
      </c>
      <c r="F31" s="62">
        <v>43</v>
      </c>
      <c r="G31" s="28">
        <v>13</v>
      </c>
      <c r="H31" s="56">
        <v>29</v>
      </c>
      <c r="I31" s="56">
        <v>63</v>
      </c>
      <c r="J31" s="31">
        <f t="shared" si="0"/>
        <v>0.86689732142857145</v>
      </c>
    </row>
    <row r="32" spans="1:22" ht="29" customHeight="1" x14ac:dyDescent="0.15">
      <c r="A32" s="49">
        <v>69253</v>
      </c>
      <c r="B32" s="46">
        <v>15</v>
      </c>
      <c r="C32" s="55">
        <v>49</v>
      </c>
      <c r="D32" s="52">
        <v>0</v>
      </c>
      <c r="E32" s="52">
        <f>(8+9+0+6+0)</f>
        <v>23</v>
      </c>
      <c r="F32" s="62">
        <v>12</v>
      </c>
      <c r="G32" s="28">
        <v>0</v>
      </c>
      <c r="H32" s="56">
        <v>42.5</v>
      </c>
      <c r="I32" s="56">
        <v>70.5</v>
      </c>
      <c r="J32" s="31">
        <f t="shared" si="0"/>
        <v>0.635859375</v>
      </c>
    </row>
    <row r="33" spans="1:10" ht="29" customHeight="1" x14ac:dyDescent="0.15">
      <c r="A33" s="49">
        <v>69610</v>
      </c>
      <c r="B33" s="46">
        <v>36.5</v>
      </c>
      <c r="C33" s="55">
        <v>53</v>
      </c>
      <c r="D33" s="52">
        <f>(5+4+6+5)</f>
        <v>20</v>
      </c>
      <c r="E33" s="52">
        <f>(7+7+5+7+2)</f>
        <v>28</v>
      </c>
      <c r="F33" s="56">
        <v>48.5</v>
      </c>
      <c r="G33" s="28">
        <v>28</v>
      </c>
      <c r="H33" s="56">
        <v>45.5</v>
      </c>
      <c r="I33" s="56">
        <v>66</v>
      </c>
      <c r="J33" s="31">
        <f t="shared" si="0"/>
        <v>1.0857142857142859</v>
      </c>
    </row>
    <row r="34" spans="1:10" ht="29" customHeight="1" x14ac:dyDescent="0.15">
      <c r="A34" s="49">
        <v>69611</v>
      </c>
      <c r="B34" s="46">
        <v>37</v>
      </c>
      <c r="C34" s="55">
        <v>54</v>
      </c>
      <c r="D34" s="52">
        <f>(5+4+5+5)</f>
        <v>19</v>
      </c>
      <c r="E34" s="52">
        <f>(7+7+5+7+2)</f>
        <v>28</v>
      </c>
      <c r="F34" s="56">
        <v>52</v>
      </c>
      <c r="G34" s="28">
        <v>28</v>
      </c>
      <c r="H34" s="56">
        <v>45.5</v>
      </c>
      <c r="I34" s="56">
        <v>64</v>
      </c>
      <c r="J34" s="31">
        <f t="shared" si="0"/>
        <v>1.0918303571428571</v>
      </c>
    </row>
    <row r="35" spans="1:10" ht="29" customHeight="1" x14ac:dyDescent="0.15">
      <c r="A35" s="49">
        <v>69782</v>
      </c>
      <c r="B35" s="46">
        <v>0</v>
      </c>
      <c r="C35" s="47">
        <v>0</v>
      </c>
      <c r="D35" s="52">
        <v>0</v>
      </c>
      <c r="E35" s="52">
        <v>0</v>
      </c>
      <c r="F35" s="56">
        <v>0</v>
      </c>
      <c r="G35" s="28">
        <v>0</v>
      </c>
      <c r="H35" s="28">
        <v>0</v>
      </c>
      <c r="I35" s="56">
        <v>0</v>
      </c>
      <c r="J35" s="31">
        <f t="shared" si="0"/>
        <v>0</v>
      </c>
    </row>
    <row r="36" spans="1:10" ht="29" customHeight="1" x14ac:dyDescent="0.15">
      <c r="A36" s="49">
        <v>70466</v>
      </c>
      <c r="B36" s="46">
        <v>49.5</v>
      </c>
      <c r="C36" s="47">
        <v>70</v>
      </c>
      <c r="D36" s="56">
        <f>(10+8+10+9)</f>
        <v>37</v>
      </c>
      <c r="E36" s="52">
        <f>(10+10+10+10+10)</f>
        <v>50</v>
      </c>
      <c r="F36" s="56">
        <v>57</v>
      </c>
      <c r="G36" s="28">
        <v>38</v>
      </c>
      <c r="H36" s="56">
        <v>50</v>
      </c>
      <c r="I36" s="56">
        <v>78</v>
      </c>
      <c r="J36" s="31">
        <f t="shared" si="0"/>
        <v>1.4606250000000001</v>
      </c>
    </row>
    <row r="37" spans="1:10" ht="29" customHeight="1" x14ac:dyDescent="0.15">
      <c r="A37" s="49">
        <v>72899</v>
      </c>
      <c r="B37" s="46">
        <v>45.5</v>
      </c>
      <c r="C37" s="47">
        <v>35</v>
      </c>
      <c r="D37" s="52">
        <v>0</v>
      </c>
      <c r="E37" s="52">
        <f>(7+9+0+0+0)</f>
        <v>16</v>
      </c>
      <c r="F37" s="56">
        <v>0</v>
      </c>
      <c r="G37" s="28">
        <v>0</v>
      </c>
      <c r="H37" s="28">
        <v>0</v>
      </c>
      <c r="I37" s="56">
        <v>28</v>
      </c>
      <c r="J37" s="31">
        <f t="shared" si="0"/>
        <v>0.39</v>
      </c>
    </row>
    <row r="38" spans="1:10" ht="29" customHeight="1" x14ac:dyDescent="0.15">
      <c r="A38" s="50">
        <v>74216</v>
      </c>
      <c r="B38" s="46">
        <v>49</v>
      </c>
      <c r="C38" s="55">
        <v>70</v>
      </c>
      <c r="D38" s="52">
        <f>(10+10+10+9)</f>
        <v>39</v>
      </c>
      <c r="E38" s="52">
        <f>(10+10+10+10+10)</f>
        <v>50</v>
      </c>
      <c r="F38" s="56">
        <v>58</v>
      </c>
      <c r="G38" s="28">
        <v>38</v>
      </c>
      <c r="H38" s="56">
        <v>49</v>
      </c>
      <c r="I38" s="56">
        <v>60</v>
      </c>
      <c r="J38" s="31">
        <f t="shared" si="0"/>
        <v>1.4253125</v>
      </c>
    </row>
    <row r="39" spans="1:10" ht="29" customHeight="1" x14ac:dyDescent="0.15">
      <c r="A39" s="49">
        <v>74490</v>
      </c>
      <c r="B39" s="46">
        <v>21.5</v>
      </c>
      <c r="C39" s="47">
        <v>29</v>
      </c>
      <c r="D39" s="52">
        <v>0</v>
      </c>
      <c r="E39" s="56">
        <f>(7+7+8+9+0)</f>
        <v>31</v>
      </c>
      <c r="F39" s="56">
        <v>44</v>
      </c>
      <c r="G39" s="28">
        <v>25</v>
      </c>
      <c r="H39" s="56">
        <v>50</v>
      </c>
      <c r="I39" s="56">
        <v>78</v>
      </c>
      <c r="J39" s="31">
        <f t="shared" si="0"/>
        <v>0.8995535714285714</v>
      </c>
    </row>
    <row r="40" spans="1:10" ht="29" customHeight="1" x14ac:dyDescent="0.15">
      <c r="A40" s="49">
        <v>75379</v>
      </c>
      <c r="B40" s="46">
        <v>48</v>
      </c>
      <c r="C40" s="44">
        <v>63</v>
      </c>
      <c r="D40" s="52">
        <f>(5+0+0+0)</f>
        <v>5</v>
      </c>
      <c r="E40" s="52">
        <f>(5+4+3+4+0)</f>
        <v>16</v>
      </c>
      <c r="F40" s="57">
        <v>18</v>
      </c>
      <c r="G40" s="44">
        <v>0</v>
      </c>
      <c r="H40" s="56">
        <v>35</v>
      </c>
      <c r="I40" s="56">
        <v>37.5</v>
      </c>
      <c r="J40" s="31">
        <f t="shared" si="0"/>
        <v>0.70757812499999995</v>
      </c>
    </row>
    <row r="41" spans="1:10" ht="29" customHeight="1" x14ac:dyDescent="0.15">
      <c r="A41" s="49">
        <v>75711</v>
      </c>
      <c r="B41" s="46">
        <v>46.5</v>
      </c>
      <c r="C41" s="47">
        <v>66</v>
      </c>
      <c r="D41" s="56">
        <v>0</v>
      </c>
      <c r="E41" s="52">
        <v>0</v>
      </c>
      <c r="F41" s="56">
        <v>0</v>
      </c>
      <c r="G41" s="28">
        <v>0</v>
      </c>
      <c r="H41" s="28">
        <v>0</v>
      </c>
      <c r="I41" s="56">
        <v>0</v>
      </c>
      <c r="J41" s="31">
        <f t="shared" si="0"/>
        <v>0.35116071428571427</v>
      </c>
    </row>
    <row r="42" spans="1:10" ht="29" customHeight="1" x14ac:dyDescent="0.15">
      <c r="A42" s="49">
        <v>78743</v>
      </c>
      <c r="B42" s="46">
        <v>25.5</v>
      </c>
      <c r="C42" s="47">
        <v>27</v>
      </c>
      <c r="D42" s="56">
        <v>0</v>
      </c>
      <c r="E42" s="52">
        <f>(6+4+0+0+3)</f>
        <v>13</v>
      </c>
      <c r="F42" s="56">
        <v>20</v>
      </c>
      <c r="G42" s="28">
        <v>0</v>
      </c>
      <c r="H42" s="28">
        <v>0</v>
      </c>
      <c r="I42" s="56">
        <v>57</v>
      </c>
      <c r="J42" s="31">
        <f t="shared" si="0"/>
        <v>0.41279017857142858</v>
      </c>
    </row>
    <row r="43" spans="1:10" ht="29" customHeight="1" x14ac:dyDescent="0.15">
      <c r="A43" s="49">
        <v>84398</v>
      </c>
      <c r="B43" s="46">
        <v>0</v>
      </c>
      <c r="C43" s="47">
        <v>0</v>
      </c>
      <c r="D43" s="52">
        <v>0</v>
      </c>
      <c r="E43" s="52">
        <v>0</v>
      </c>
      <c r="F43" s="56">
        <v>0</v>
      </c>
      <c r="G43" s="28">
        <v>0</v>
      </c>
      <c r="H43" s="28">
        <v>0</v>
      </c>
      <c r="I43" s="56">
        <v>0</v>
      </c>
      <c r="J43" s="31">
        <f t="shared" si="0"/>
        <v>0</v>
      </c>
    </row>
    <row r="44" spans="1:10" ht="29" customHeight="1" x14ac:dyDescent="0.15">
      <c r="A44" s="49">
        <v>85477</v>
      </c>
      <c r="B44" s="46">
        <v>48.5</v>
      </c>
      <c r="C44" s="47">
        <v>70</v>
      </c>
      <c r="D44" s="52">
        <f>(10+10+8+10)</f>
        <v>38</v>
      </c>
      <c r="E44" s="52">
        <f>(7+10+9+10+10)</f>
        <v>46</v>
      </c>
      <c r="F44" s="56">
        <v>57</v>
      </c>
      <c r="G44" s="28">
        <v>37</v>
      </c>
      <c r="H44" s="56">
        <v>50</v>
      </c>
      <c r="I44" s="56">
        <v>80</v>
      </c>
      <c r="J44" s="31">
        <f t="shared" si="0"/>
        <v>1.4465625</v>
      </c>
    </row>
    <row r="45" spans="1:10" ht="29" customHeight="1" x14ac:dyDescent="0.15">
      <c r="A45" s="49">
        <v>92900</v>
      </c>
      <c r="B45" s="46">
        <v>39.5</v>
      </c>
      <c r="C45" s="55">
        <v>68.5</v>
      </c>
      <c r="D45" s="52">
        <f>(10+10+10+5)</f>
        <v>35</v>
      </c>
      <c r="E45" s="52">
        <f>(8+10+7+10+6)</f>
        <v>41</v>
      </c>
      <c r="F45" s="56">
        <v>58</v>
      </c>
      <c r="G45" s="28">
        <v>36</v>
      </c>
      <c r="H45" s="56">
        <v>38</v>
      </c>
      <c r="I45" s="56">
        <v>77</v>
      </c>
      <c r="J45" s="31">
        <f t="shared" si="0"/>
        <v>1.3223883928571429</v>
      </c>
    </row>
    <row r="46" spans="1:10" ht="29" customHeight="1" x14ac:dyDescent="0.15">
      <c r="A46" s="49">
        <v>93512</v>
      </c>
      <c r="B46" s="46">
        <v>49</v>
      </c>
      <c r="C46" s="47">
        <v>66</v>
      </c>
      <c r="D46" s="52">
        <f>(8+0+10+0)</f>
        <v>18</v>
      </c>
      <c r="E46" s="52">
        <f>(10+6+9+6+5)</f>
        <v>36</v>
      </c>
      <c r="F46" s="56">
        <v>42.5</v>
      </c>
      <c r="G46" s="28">
        <v>36</v>
      </c>
      <c r="H46" s="56">
        <v>49</v>
      </c>
      <c r="I46" s="56">
        <v>76</v>
      </c>
      <c r="J46" s="31">
        <f t="shared" si="0"/>
        <v>1.2433482142857144</v>
      </c>
    </row>
    <row r="47" spans="1:10" ht="29" customHeight="1" x14ac:dyDescent="0.15">
      <c r="A47" s="49">
        <v>93951</v>
      </c>
      <c r="B47" s="46">
        <v>22.5</v>
      </c>
      <c r="C47" s="44">
        <v>29</v>
      </c>
      <c r="D47" s="59">
        <v>0</v>
      </c>
      <c r="E47" s="52">
        <f>(8+9+9+10+0)</f>
        <v>36</v>
      </c>
      <c r="F47" s="57">
        <v>43</v>
      </c>
      <c r="G47" s="28">
        <v>26</v>
      </c>
      <c r="H47" s="56">
        <v>50</v>
      </c>
      <c r="I47" s="56">
        <v>79</v>
      </c>
      <c r="J47" s="31">
        <f t="shared" si="0"/>
        <v>0.92595982142857136</v>
      </c>
    </row>
    <row r="48" spans="1:10" ht="29" customHeight="1" x14ac:dyDescent="0.15">
      <c r="A48" s="49">
        <v>94628</v>
      </c>
      <c r="B48" s="46">
        <v>50</v>
      </c>
      <c r="C48" s="47">
        <v>70</v>
      </c>
      <c r="D48" s="52">
        <f>(10+8+10+10)</f>
        <v>38</v>
      </c>
      <c r="E48" s="52">
        <f>(7+10+10+10+10)</f>
        <v>47</v>
      </c>
      <c r="F48" s="56">
        <v>56</v>
      </c>
      <c r="G48" s="28">
        <v>40</v>
      </c>
      <c r="H48" s="56">
        <v>50</v>
      </c>
      <c r="I48" s="56">
        <v>80</v>
      </c>
      <c r="J48" s="31">
        <f t="shared" si="0"/>
        <v>1.4668749999999999</v>
      </c>
    </row>
    <row r="49" spans="1:10" ht="29" customHeight="1" x14ac:dyDescent="0.15">
      <c r="A49" s="49">
        <v>95154</v>
      </c>
      <c r="B49" s="46">
        <v>49.5</v>
      </c>
      <c r="C49" s="47">
        <v>70</v>
      </c>
      <c r="D49" s="56">
        <f>(10+10+10+10)</f>
        <v>40</v>
      </c>
      <c r="E49" s="52">
        <f>(8+9+9+10+0)</f>
        <v>36</v>
      </c>
      <c r="F49" s="56">
        <v>58</v>
      </c>
      <c r="G49" s="28">
        <v>26</v>
      </c>
      <c r="H49" s="56">
        <v>50</v>
      </c>
      <c r="I49" s="56">
        <v>79</v>
      </c>
      <c r="J49" s="31">
        <f t="shared" si="0"/>
        <v>1.3714062500000002</v>
      </c>
    </row>
    <row r="50" spans="1:10" ht="29" customHeight="1" x14ac:dyDescent="0.15">
      <c r="A50" s="49">
        <v>97905</v>
      </c>
      <c r="B50" s="46">
        <v>38.5</v>
      </c>
      <c r="C50" s="44">
        <v>55</v>
      </c>
      <c r="D50" s="56">
        <v>0</v>
      </c>
      <c r="E50" s="52">
        <v>21</v>
      </c>
      <c r="F50" s="57">
        <v>0</v>
      </c>
      <c r="G50" s="44">
        <v>28</v>
      </c>
      <c r="H50" s="57">
        <v>32</v>
      </c>
      <c r="I50" s="57">
        <v>54</v>
      </c>
      <c r="J50" s="31">
        <f t="shared" si="0"/>
        <v>0.74825892857142851</v>
      </c>
    </row>
    <row r="51" spans="1:10" ht="29" customHeight="1" x14ac:dyDescent="0.15">
      <c r="A51" s="21"/>
      <c r="B51" s="2"/>
      <c r="C51" s="2"/>
      <c r="D51" s="2"/>
      <c r="E51" s="2"/>
      <c r="F51" s="2"/>
      <c r="J51" s="2"/>
    </row>
    <row r="52" spans="1:10" ht="29" customHeight="1" x14ac:dyDescent="0.15">
      <c r="A52" s="15" t="s">
        <v>13</v>
      </c>
      <c r="B52" s="33">
        <v>50</v>
      </c>
      <c r="C52" s="33">
        <v>70</v>
      </c>
      <c r="D52" s="33">
        <v>40</v>
      </c>
      <c r="E52" s="33">
        <v>50</v>
      </c>
      <c r="F52" s="33">
        <v>60</v>
      </c>
      <c r="G52" s="33">
        <v>40</v>
      </c>
      <c r="H52" s="33">
        <v>50</v>
      </c>
      <c r="I52" s="33">
        <v>80</v>
      </c>
      <c r="J52" s="34">
        <v>1.5</v>
      </c>
    </row>
    <row r="53" spans="1:10" ht="29" customHeight="1" x14ac:dyDescent="0.15">
      <c r="A53" s="16" t="s">
        <v>14</v>
      </c>
      <c r="B53" s="35">
        <f>AVERAGE(B$2:B$50)</f>
        <v>32.775510204081634</v>
      </c>
      <c r="C53" s="35">
        <f t="shared" ref="C53:J53" si="1">AVERAGE(C$2:C$50)</f>
        <v>40.153061224489797</v>
      </c>
      <c r="D53" s="35">
        <f t="shared" si="1"/>
        <v>14.918367346938776</v>
      </c>
      <c r="E53" s="35">
        <f t="shared" si="1"/>
        <v>19.877551020408163</v>
      </c>
      <c r="F53" s="35">
        <f t="shared" si="1"/>
        <v>28.306122448979593</v>
      </c>
      <c r="G53" s="35">
        <f t="shared" si="1"/>
        <v>14.938775510204081</v>
      </c>
      <c r="H53" s="35">
        <f t="shared" si="1"/>
        <v>27.091836734693878</v>
      </c>
      <c r="I53" s="35">
        <f t="shared" si="1"/>
        <v>44.693877551020407</v>
      </c>
      <c r="J53" s="35">
        <f t="shared" si="1"/>
        <v>0.73975947521865904</v>
      </c>
    </row>
    <row r="54" spans="1:10" ht="29" customHeight="1" x14ac:dyDescent="0.15">
      <c r="A54" s="17" t="s">
        <v>15</v>
      </c>
      <c r="B54" s="35">
        <f>STDEV(B$2:B$50)</f>
        <v>17.596774451257691</v>
      </c>
      <c r="C54" s="35">
        <f t="shared" ref="C54:J54" si="2">STDEV(C$2:C$50)</f>
        <v>25.340844024032432</v>
      </c>
      <c r="D54" s="35">
        <f t="shared" si="2"/>
        <v>16.122043313806252</v>
      </c>
      <c r="E54" s="35">
        <f t="shared" si="2"/>
        <v>17.288763997007354</v>
      </c>
      <c r="F54" s="35">
        <f t="shared" si="2"/>
        <v>23.914739250122725</v>
      </c>
      <c r="G54" s="35">
        <f t="shared" si="2"/>
        <v>15.431850401125624</v>
      </c>
      <c r="H54" s="35">
        <f t="shared" si="2"/>
        <v>21.379427774680714</v>
      </c>
      <c r="I54" s="35">
        <f t="shared" si="2"/>
        <v>33.758612531738137</v>
      </c>
      <c r="J54" s="35">
        <f t="shared" si="2"/>
        <v>0.47455861221757312</v>
      </c>
    </row>
    <row r="55" spans="1:10" ht="29" customHeight="1" x14ac:dyDescent="0.15">
      <c r="A55" s="17" t="s">
        <v>16</v>
      </c>
      <c r="B55" s="35">
        <f>MEDIAN(B$2:B$50)</f>
        <v>38.5</v>
      </c>
      <c r="C55" s="35">
        <f t="shared" ref="C55:J55" si="3">MEDIAN(C$2:C$50)</f>
        <v>43</v>
      </c>
      <c r="D55" s="35">
        <f t="shared" si="3"/>
        <v>6</v>
      </c>
      <c r="E55" s="35">
        <f t="shared" si="3"/>
        <v>16</v>
      </c>
      <c r="F55" s="35">
        <f t="shared" si="3"/>
        <v>32</v>
      </c>
      <c r="G55" s="35">
        <f t="shared" si="3"/>
        <v>13</v>
      </c>
      <c r="H55" s="35">
        <f t="shared" si="3"/>
        <v>32</v>
      </c>
      <c r="I55" s="35">
        <f t="shared" si="3"/>
        <v>58</v>
      </c>
      <c r="J55" s="35">
        <f t="shared" si="3"/>
        <v>0.77877232142857133</v>
      </c>
    </row>
    <row r="56" spans="1:10" ht="29" customHeight="1" x14ac:dyDescent="0.15">
      <c r="A56" s="18" t="s">
        <v>17</v>
      </c>
      <c r="B56" s="36">
        <f t="shared" ref="B56:I56" si="4">IF(SUM(B2:B49)&gt;0,1,0)</f>
        <v>1</v>
      </c>
      <c r="C56" s="36">
        <f t="shared" si="4"/>
        <v>1</v>
      </c>
      <c r="D56" s="36">
        <f t="shared" si="4"/>
        <v>1</v>
      </c>
      <c r="E56" s="36">
        <f t="shared" si="4"/>
        <v>1</v>
      </c>
      <c r="F56" s="36">
        <f t="shared" si="4"/>
        <v>1</v>
      </c>
      <c r="G56" s="36">
        <f t="shared" ref="G56:H56" si="5">IF(SUM(G2:G49)&gt;0,1,0)</f>
        <v>1</v>
      </c>
      <c r="H56" s="36">
        <f t="shared" si="5"/>
        <v>1</v>
      </c>
      <c r="I56" s="36">
        <f t="shared" si="4"/>
        <v>1</v>
      </c>
      <c r="J56" s="33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5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4" width="18.83203125" customWidth="1"/>
    <col min="6" max="15" width="5.6640625" customWidth="1"/>
  </cols>
  <sheetData>
    <row r="1" spans="1:24" ht="25" customHeight="1" x14ac:dyDescent="0.15">
      <c r="A1" s="1" t="s">
        <v>4</v>
      </c>
      <c r="B1" s="3" t="s">
        <v>19</v>
      </c>
      <c r="C1" s="6" t="s">
        <v>0</v>
      </c>
      <c r="E1" s="65" t="s">
        <v>20</v>
      </c>
      <c r="F1" s="65"/>
      <c r="G1" s="65"/>
      <c r="H1" s="65"/>
      <c r="I1" s="65"/>
      <c r="J1" s="65"/>
      <c r="K1" s="65"/>
      <c r="L1" s="65"/>
      <c r="M1" s="65"/>
      <c r="N1" s="65"/>
      <c r="Q1" s="43" t="s">
        <v>21</v>
      </c>
      <c r="R1" s="43" t="s">
        <v>22</v>
      </c>
    </row>
    <row r="2" spans="1:24" ht="29" customHeight="1" x14ac:dyDescent="0.15">
      <c r="A2" s="49">
        <v>26347</v>
      </c>
      <c r="B2" s="44">
        <f>8+(3+3+0)</f>
        <v>14</v>
      </c>
      <c r="C2" s="28">
        <f>(16+2+6+10+0)+10</f>
        <v>44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40"/>
      <c r="R2" s="40"/>
    </row>
    <row r="3" spans="1:24" ht="29" customHeight="1" x14ac:dyDescent="0.15">
      <c r="A3" s="50">
        <v>28431</v>
      </c>
      <c r="B3" s="44">
        <f>11+(1+2+0)</f>
        <v>14</v>
      </c>
      <c r="C3" s="66">
        <f>(8+5+2+0+4)+10</f>
        <v>29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40"/>
      <c r="R3" s="40"/>
    </row>
    <row r="4" spans="1:24" ht="29" customHeight="1" x14ac:dyDescent="0.15">
      <c r="A4" s="50">
        <v>28745</v>
      </c>
      <c r="B4" s="44">
        <f>12.5+(3+1+3)</f>
        <v>19.5</v>
      </c>
      <c r="C4" s="66">
        <f>(20+13+8+14+2)+10</f>
        <v>67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40"/>
      <c r="R4" s="40"/>
    </row>
    <row r="5" spans="1:24" ht="29" customHeight="1" x14ac:dyDescent="0.15">
      <c r="A5" s="49">
        <v>38490</v>
      </c>
      <c r="B5" s="44">
        <f>10+(2+0+0)</f>
        <v>12</v>
      </c>
      <c r="C5" s="66">
        <f>(16+0+5+4+4)+10</f>
        <v>39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Q5" s="40"/>
      <c r="R5" s="40"/>
    </row>
    <row r="6" spans="1:24" ht="29" customHeight="1" x14ac:dyDescent="0.15">
      <c r="A6" s="50">
        <v>46234</v>
      </c>
      <c r="B6" s="54">
        <f>10+(5+1+1)</f>
        <v>17</v>
      </c>
      <c r="C6" s="69">
        <f>(13+5+5+3+5)+10</f>
        <v>41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Q6" s="40"/>
      <c r="R6" s="40"/>
    </row>
    <row r="7" spans="1:24" ht="29" customHeight="1" x14ac:dyDescent="0.15">
      <c r="A7" s="50">
        <v>48666</v>
      </c>
      <c r="B7" s="44">
        <f>13+(8.5+0+1)</f>
        <v>22.5</v>
      </c>
      <c r="C7" s="66">
        <f>(17+6+2+4+5)+10</f>
        <v>44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Q7" s="40"/>
      <c r="R7" s="40"/>
    </row>
    <row r="8" spans="1:24" ht="29" customHeight="1" x14ac:dyDescent="0.15">
      <c r="A8" s="50">
        <v>48786</v>
      </c>
      <c r="B8" s="54">
        <f>16.5+(7+4+4)</f>
        <v>31.5</v>
      </c>
      <c r="C8" s="69">
        <f>(10+13+11+4+2)+10</f>
        <v>50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Q8" s="40"/>
      <c r="R8" s="40"/>
    </row>
    <row r="9" spans="1:24" ht="29" customHeight="1" x14ac:dyDescent="0.15">
      <c r="A9" s="49">
        <v>49550</v>
      </c>
      <c r="B9" s="54">
        <f>11.5+(5+0+0)</f>
        <v>16.5</v>
      </c>
      <c r="C9" s="69">
        <f>(8+6+0+0+0)+10</f>
        <v>24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Q9" s="40"/>
      <c r="R9" s="40"/>
    </row>
    <row r="10" spans="1:24" ht="29" customHeight="1" x14ac:dyDescent="0.15">
      <c r="A10" s="49">
        <v>50117</v>
      </c>
      <c r="B10" s="44">
        <f>23+(8+9+0)</f>
        <v>40</v>
      </c>
      <c r="C10" s="66">
        <f>(20+14+13+12+6)+10</f>
        <v>75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Q10" s="40"/>
      <c r="R10" s="40"/>
    </row>
    <row r="11" spans="1:24" ht="29" customHeight="1" x14ac:dyDescent="0.15">
      <c r="A11" s="50">
        <v>50925</v>
      </c>
      <c r="B11" s="54">
        <f>17+(2+1+1)</f>
        <v>21</v>
      </c>
      <c r="C11" s="69">
        <f>(12+7+3+4+6)+10</f>
        <v>42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Q11" s="40"/>
      <c r="R11" s="40"/>
    </row>
    <row r="12" spans="1:24" ht="29" customHeight="1" x14ac:dyDescent="0.15">
      <c r="A12" s="49">
        <v>51216</v>
      </c>
      <c r="B12" s="44">
        <f>17.5+(9.5+2+0)</f>
        <v>29</v>
      </c>
      <c r="C12" s="28">
        <f>(20+7+9+18)+10</f>
        <v>64</v>
      </c>
      <c r="D12" s="48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Q12" s="40"/>
      <c r="R12" s="40"/>
    </row>
    <row r="13" spans="1:24" ht="29" customHeight="1" x14ac:dyDescent="0.15">
      <c r="A13" s="49">
        <v>51395</v>
      </c>
      <c r="B13" s="44">
        <f>8.5+(4+0+0)</f>
        <v>12.5</v>
      </c>
      <c r="C13" s="66">
        <f>(10+6+3+3)+10</f>
        <v>32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Q13" s="40"/>
      <c r="R13" s="40"/>
    </row>
    <row r="14" spans="1:24" ht="29" customHeight="1" x14ac:dyDescent="0.15">
      <c r="A14" s="49">
        <v>51448</v>
      </c>
      <c r="B14" s="54">
        <f>12.5+(1+2+0)</f>
        <v>15.5</v>
      </c>
      <c r="C14" s="7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Q14" s="40"/>
      <c r="R14" s="40"/>
    </row>
    <row r="15" spans="1:24" ht="29" customHeight="1" x14ac:dyDescent="0.15">
      <c r="A15" s="21">
        <v>52252</v>
      </c>
      <c r="B15" s="54">
        <f>11.5+(1+1+0)</f>
        <v>13.5</v>
      </c>
      <c r="C15" s="69">
        <f>(18+6+3+0+0)+10</f>
        <v>37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40"/>
      <c r="R15" s="40"/>
      <c r="X15" t="s">
        <v>23</v>
      </c>
    </row>
    <row r="16" spans="1:24" ht="29" customHeight="1" x14ac:dyDescent="0.15">
      <c r="A16" s="49">
        <v>53517</v>
      </c>
      <c r="B16" s="44">
        <f>12+(1+1+0)</f>
        <v>14</v>
      </c>
      <c r="C16" s="6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40"/>
      <c r="R16" s="40"/>
    </row>
    <row r="17" spans="1:24" ht="29" customHeight="1" x14ac:dyDescent="0.15">
      <c r="A17" s="49">
        <v>53956</v>
      </c>
      <c r="B17" s="68"/>
      <c r="C17" s="7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40"/>
      <c r="R17" s="40"/>
    </row>
    <row r="18" spans="1:24" ht="29" customHeight="1" x14ac:dyDescent="0.15">
      <c r="A18" s="49">
        <v>55023</v>
      </c>
      <c r="B18" s="54">
        <f>16.5+(7.5+0+0)</f>
        <v>24</v>
      </c>
      <c r="C18" s="69">
        <f>(20+0+18+11+2)+10</f>
        <v>61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24" ht="29" customHeight="1" x14ac:dyDescent="0.15">
      <c r="A19" s="50">
        <v>58506</v>
      </c>
      <c r="B19" s="72"/>
      <c r="C19" s="67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24" ht="29" customHeight="1" x14ac:dyDescent="0.15">
      <c r="A20" s="49">
        <v>60277</v>
      </c>
      <c r="B20" s="54">
        <f>7.5+(1+1+0)</f>
        <v>9.5</v>
      </c>
      <c r="C20" s="69">
        <f>(16+11+4+6+0)+10</f>
        <v>47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24" ht="29" customHeight="1" x14ac:dyDescent="0.15">
      <c r="A21" s="49">
        <v>60852</v>
      </c>
      <c r="B21" s="72"/>
      <c r="C21" s="67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24" ht="29" customHeight="1" x14ac:dyDescent="0.15">
      <c r="A22" s="50">
        <v>61767</v>
      </c>
      <c r="B22" s="54">
        <f>11.5+(6+4+0)</f>
        <v>21.5</v>
      </c>
      <c r="C22" s="69">
        <f>(14+7+2+5+0)+10</f>
        <v>38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24" ht="29" customHeight="1" x14ac:dyDescent="0.15">
      <c r="A23" s="49">
        <v>62771</v>
      </c>
      <c r="B23" s="54">
        <f>19+(8+6+4)</f>
        <v>37</v>
      </c>
      <c r="C23" s="69">
        <f>(16+6+12+12+1)+10</f>
        <v>57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24" ht="29" customHeight="1" x14ac:dyDescent="0.15">
      <c r="A24" s="50">
        <v>62943</v>
      </c>
      <c r="B24" s="54">
        <f>9.5+(2+2)</f>
        <v>13.5</v>
      </c>
      <c r="C24" s="69">
        <f>(14+7+2+0+1)+10</f>
        <v>34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24" ht="29" customHeight="1" x14ac:dyDescent="0.2">
      <c r="A25" s="49">
        <v>62948</v>
      </c>
      <c r="B25" s="28">
        <f>23+(6+2)</f>
        <v>31</v>
      </c>
      <c r="C25" s="28">
        <f>(16+12+7+3+0)+10</f>
        <v>48</v>
      </c>
      <c r="D25" s="24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40"/>
      <c r="P25" s="25"/>
      <c r="Q25" s="25"/>
      <c r="R25" s="25"/>
      <c r="S25" s="25"/>
      <c r="T25" s="25"/>
      <c r="U25" s="25"/>
      <c r="V25" s="25"/>
      <c r="W25" s="25"/>
      <c r="X25" s="26"/>
    </row>
    <row r="26" spans="1:24" ht="29" customHeight="1" x14ac:dyDescent="0.15">
      <c r="A26" s="49">
        <v>63226</v>
      </c>
      <c r="B26" s="44">
        <f>18+(6.5+6.5+8)</f>
        <v>39</v>
      </c>
      <c r="C26" s="66">
        <f>(20+7+20+9+13)+10</f>
        <v>79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24" ht="29" customHeight="1" x14ac:dyDescent="0.15">
      <c r="A27" s="50">
        <v>64244</v>
      </c>
      <c r="B27" s="72"/>
      <c r="C27" s="67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24" ht="29" customHeight="1" x14ac:dyDescent="0.15">
      <c r="A28" s="49">
        <v>64582</v>
      </c>
      <c r="B28" s="27">
        <f>6+(3+0+0)</f>
        <v>9</v>
      </c>
      <c r="C28" s="68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24" ht="29" customHeight="1" x14ac:dyDescent="0.15">
      <c r="A29" s="49">
        <v>65766</v>
      </c>
      <c r="B29" s="44">
        <f>14+(1+1)</f>
        <v>16</v>
      </c>
      <c r="C29" s="66">
        <f>(13+2+7+4+0)+10</f>
        <v>36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24" ht="29" customHeight="1" x14ac:dyDescent="0.15">
      <c r="A30" s="49">
        <v>67692</v>
      </c>
      <c r="B30" s="54">
        <f>22.5+(8.5+7+0)</f>
        <v>38</v>
      </c>
      <c r="C30" s="69">
        <f>(20+19+18+20+14)+9</f>
        <v>100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24" ht="29" customHeight="1" x14ac:dyDescent="0.15">
      <c r="A31" s="49">
        <v>68049</v>
      </c>
      <c r="B31" s="44">
        <f>8.5+(3+0-0)</f>
        <v>11.5</v>
      </c>
      <c r="C31" s="66">
        <f>(20+5+3+0+0)+10</f>
        <v>38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1:24" ht="29" customHeight="1" x14ac:dyDescent="0.15">
      <c r="A32" s="49">
        <v>69253</v>
      </c>
      <c r="B32" s="54">
        <f>10+(4+1+1)</f>
        <v>16</v>
      </c>
      <c r="C32" s="69">
        <f>(14+6+1+3+2)+10</f>
        <v>36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29" customHeight="1" x14ac:dyDescent="0.15">
      <c r="A33" s="49">
        <v>69610</v>
      </c>
      <c r="B33" s="27">
        <f>10+(1+2+0)</f>
        <v>13</v>
      </c>
      <c r="C33" s="27">
        <f>(6+0+2+2+0)+10</f>
        <v>20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 spans="1:15" ht="29" customHeight="1" x14ac:dyDescent="0.15">
      <c r="A34" s="49">
        <v>69611</v>
      </c>
      <c r="B34" s="27">
        <f>10+(4+3+0)</f>
        <v>17</v>
      </c>
      <c r="C34" s="27">
        <f>(6+6+2+2+0)+10</f>
        <v>26</v>
      </c>
    </row>
    <row r="35" spans="1:15" ht="29" customHeight="1" x14ac:dyDescent="0.15">
      <c r="A35" s="49">
        <v>69782</v>
      </c>
      <c r="B35" s="71"/>
      <c r="C35" s="71"/>
    </row>
    <row r="36" spans="1:15" ht="29" customHeight="1" x14ac:dyDescent="0.15">
      <c r="A36" s="49">
        <v>70466</v>
      </c>
      <c r="B36" s="28">
        <f>25.5+(6+3+3)</f>
        <v>37.5</v>
      </c>
      <c r="C36" s="28">
        <f>(16+4+18+20+16)+10</f>
        <v>84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5" ht="29" customHeight="1" x14ac:dyDescent="0.15">
      <c r="A37" s="49">
        <v>72899</v>
      </c>
      <c r="B37" s="28">
        <f>14.5+(0+1+0)</f>
        <v>15.5</v>
      </c>
      <c r="C37" s="28">
        <f>(10+7+3+3+5)+10</f>
        <v>38</v>
      </c>
    </row>
    <row r="38" spans="1:15" ht="29" customHeight="1" x14ac:dyDescent="0.15">
      <c r="A38" s="50">
        <v>74216</v>
      </c>
      <c r="B38" s="27">
        <f>22.5+(8+2+6)</f>
        <v>38.5</v>
      </c>
      <c r="C38" s="27">
        <f>(20+9+16+10+5)+10</f>
        <v>70</v>
      </c>
    </row>
    <row r="39" spans="1:15" ht="29" customHeight="1" x14ac:dyDescent="0.15">
      <c r="A39" s="49">
        <v>74490</v>
      </c>
      <c r="B39" s="28">
        <f>6+(2+0+0)</f>
        <v>8</v>
      </c>
      <c r="C39" s="28">
        <f>(2+2+2+0+4)+10</f>
        <v>20</v>
      </c>
    </row>
    <row r="40" spans="1:15" ht="29" customHeight="1" x14ac:dyDescent="0.15">
      <c r="A40" s="49">
        <v>75379</v>
      </c>
      <c r="B40" s="28">
        <f>21.5+(5+1+0)</f>
        <v>27.5</v>
      </c>
      <c r="C40" s="28">
        <f>(20+3+9+8+3)+10</f>
        <v>53</v>
      </c>
    </row>
    <row r="41" spans="1:15" ht="29" customHeight="1" x14ac:dyDescent="0.15">
      <c r="A41" s="49">
        <v>75711</v>
      </c>
      <c r="B41" s="28">
        <f>15.5+(9+4+3)</f>
        <v>31.5</v>
      </c>
      <c r="C41" s="28">
        <f>(10+1+8+5)+10</f>
        <v>34</v>
      </c>
    </row>
    <row r="42" spans="1:15" ht="29" customHeight="1" x14ac:dyDescent="0.15">
      <c r="A42" s="49">
        <v>78743</v>
      </c>
      <c r="B42" s="28">
        <f>9+(3+2+0)</f>
        <v>14</v>
      </c>
      <c r="C42" s="28">
        <f>(10+5+4+3+0)+10</f>
        <v>32</v>
      </c>
    </row>
    <row r="43" spans="1:15" ht="29" customHeight="1" x14ac:dyDescent="0.15">
      <c r="A43" s="49">
        <v>84398</v>
      </c>
      <c r="B43" s="71"/>
      <c r="C43" s="71"/>
    </row>
    <row r="44" spans="1:15" ht="29" customHeight="1" x14ac:dyDescent="0.15">
      <c r="A44" s="49">
        <v>85477</v>
      </c>
      <c r="B44" s="28">
        <f>24.5+(9.5+2+1)</f>
        <v>37</v>
      </c>
      <c r="C44" s="28">
        <f>(20+14+13+11+14)+10</f>
        <v>82</v>
      </c>
    </row>
    <row r="45" spans="1:15" ht="29" customHeight="1" x14ac:dyDescent="0.15">
      <c r="A45" s="49">
        <v>92900</v>
      </c>
      <c r="B45" s="27">
        <f>17.5+(3+2+0)</f>
        <v>22.5</v>
      </c>
      <c r="C45" s="27">
        <f>(20+11+9+7+1)+10</f>
        <v>58</v>
      </c>
    </row>
    <row r="46" spans="1:15" ht="29" customHeight="1" x14ac:dyDescent="0.15">
      <c r="A46" s="49">
        <v>93512</v>
      </c>
      <c r="B46" s="28">
        <f>15+(3+2+0)</f>
        <v>20</v>
      </c>
      <c r="C46" s="28">
        <f>(14+11+13+9+1)+10</f>
        <v>58</v>
      </c>
    </row>
    <row r="47" spans="1:15" ht="29" customHeight="1" x14ac:dyDescent="0.15">
      <c r="A47" s="49">
        <v>93951</v>
      </c>
      <c r="B47" s="28">
        <f>7.5+(1+1+1)</f>
        <v>10.5</v>
      </c>
      <c r="C47" s="28">
        <f>(16+7+2+0+0)+10</f>
        <v>35</v>
      </c>
    </row>
    <row r="48" spans="1:15" ht="29" customHeight="1" x14ac:dyDescent="0.15">
      <c r="A48" s="49">
        <v>94628</v>
      </c>
      <c r="B48" s="28">
        <f>27.5+(9.5+7+0)</f>
        <v>44</v>
      </c>
      <c r="C48" s="28">
        <f>(20+18+20+12+18)+10</f>
        <v>98</v>
      </c>
    </row>
    <row r="49" spans="1:3" ht="29" customHeight="1" x14ac:dyDescent="0.15">
      <c r="A49" s="49">
        <v>95154</v>
      </c>
      <c r="B49" s="28">
        <f>24.5+(10+7+0)</f>
        <v>41.5</v>
      </c>
      <c r="C49" s="28">
        <f>(20+11+19+14+15)+10</f>
        <v>89</v>
      </c>
    </row>
    <row r="50" spans="1:3" ht="29" customHeight="1" x14ac:dyDescent="0.15">
      <c r="A50" s="49">
        <v>97905</v>
      </c>
      <c r="B50" s="28">
        <f>15+(9.5+3+0.5)</f>
        <v>28</v>
      </c>
      <c r="C50" s="28">
        <f>(15+5+10+0+7)+10</f>
        <v>47</v>
      </c>
    </row>
    <row r="51" spans="1:3" ht="25" customHeight="1" x14ac:dyDescent="0.15">
      <c r="A51" s="21"/>
      <c r="B51" s="23"/>
      <c r="C51" s="23"/>
    </row>
    <row r="52" spans="1:3" ht="29" customHeight="1" x14ac:dyDescent="0.15">
      <c r="A52" s="15" t="s">
        <v>13</v>
      </c>
      <c r="B52" s="37">
        <v>50</v>
      </c>
      <c r="C52" s="37">
        <v>100</v>
      </c>
    </row>
    <row r="53" spans="1:3" ht="29" customHeight="1" x14ac:dyDescent="0.15">
      <c r="A53" s="16" t="s">
        <v>14</v>
      </c>
      <c r="B53" s="38">
        <f>AVERAGE(B$2:B$50)</f>
        <v>22.430232558139537</v>
      </c>
      <c r="C53" s="38">
        <f>AVERAGE(C$2:C$50)</f>
        <v>50.15</v>
      </c>
    </row>
    <row r="54" spans="1:3" ht="29" customHeight="1" x14ac:dyDescent="0.15">
      <c r="A54" s="17" t="s">
        <v>15</v>
      </c>
      <c r="B54" s="38">
        <f>STDEV(B$2:B$50)</f>
        <v>10.637748036025407</v>
      </c>
      <c r="C54" s="38">
        <f>STDEV(C$2:C$50)</f>
        <v>21.118165712886221</v>
      </c>
    </row>
    <row r="55" spans="1:3" ht="29" customHeight="1" x14ac:dyDescent="0.15">
      <c r="A55" s="17" t="s">
        <v>16</v>
      </c>
      <c r="B55" s="38">
        <f>MEDIAN(B$2:B$50)</f>
        <v>19.5</v>
      </c>
      <c r="C55" s="38">
        <f>MEDIAN(C$2:C$50)</f>
        <v>44</v>
      </c>
    </row>
  </sheetData>
  <mergeCells count="1">
    <mergeCell ref="E1:N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25.5" customWidth="1"/>
    <col min="2" max="2" width="15.83203125" style="13" customWidth="1"/>
    <col min="3" max="3" width="15.83203125" customWidth="1"/>
    <col min="4" max="4" width="15" customWidth="1"/>
    <col min="5" max="6" width="18.83203125" customWidth="1"/>
    <col min="7" max="7" width="17.83203125" customWidth="1"/>
    <col min="8" max="8" width="13.5" customWidth="1"/>
  </cols>
  <sheetData>
    <row r="1" spans="1:8" ht="24" customHeight="1" x14ac:dyDescent="0.15">
      <c r="A1" s="12" t="s">
        <v>4</v>
      </c>
      <c r="B1" s="8" t="s">
        <v>33</v>
      </c>
      <c r="C1" s="8" t="s">
        <v>5</v>
      </c>
      <c r="D1" s="8" t="s">
        <v>19</v>
      </c>
      <c r="E1" s="6" t="s">
        <v>0</v>
      </c>
      <c r="F1" s="6" t="s">
        <v>3</v>
      </c>
      <c r="G1" s="6" t="s">
        <v>1</v>
      </c>
      <c r="H1" s="6" t="s">
        <v>2</v>
      </c>
    </row>
    <row r="2" spans="1:8" ht="29" customHeight="1" x14ac:dyDescent="0.15">
      <c r="A2" s="49">
        <v>26347</v>
      </c>
      <c r="B2" s="31">
        <f>Labs!L2</f>
        <v>0.67545833333333327</v>
      </c>
      <c r="C2" s="30">
        <f>Homework!J2</f>
        <v>0.77877232142857133</v>
      </c>
      <c r="D2" s="44">
        <f>Exams!B2</f>
        <v>14</v>
      </c>
      <c r="E2" s="28">
        <f>Exams!C2</f>
        <v>44</v>
      </c>
      <c r="F2" s="31">
        <f t="shared" ref="F2:F33" si="0">$B2+$C2+IF(($E2&gt;$D2),($E2/$E$52)*7.5, ($D2/$D$52)*3+($E2/$E$52)*4.5)</f>
        <v>4.7542306547619049</v>
      </c>
      <c r="G2" s="31">
        <f>0.5*INT(F2/0.5)+INT( ((F2-INT(F2/0.5)*0.5)/0.25))*0.5</f>
        <v>5</v>
      </c>
      <c r="H2" s="29">
        <f>IF(G2&gt;4.75,1,0)</f>
        <v>1</v>
      </c>
    </row>
    <row r="3" spans="1:8" ht="29" customHeight="1" x14ac:dyDescent="0.15">
      <c r="A3" s="50">
        <v>28431</v>
      </c>
      <c r="B3" s="31">
        <f>Labs!L3</f>
        <v>0.69748863636363634</v>
      </c>
      <c r="C3" s="30">
        <f>Homework!J3</f>
        <v>0.42308035714285708</v>
      </c>
      <c r="D3" s="44">
        <f>Exams!B3</f>
        <v>14</v>
      </c>
      <c r="E3" s="28">
        <f>Exams!C3</f>
        <v>29</v>
      </c>
      <c r="F3" s="31">
        <f t="shared" si="0"/>
        <v>3.2955689935064933</v>
      </c>
      <c r="G3" s="31">
        <f t="shared" ref="G3:G50" si="1">0.5*INT(F3/0.5)+INT( ((F3-INT(F3/0.5)*0.5)/0.25))*0.5</f>
        <v>3.5</v>
      </c>
      <c r="H3" s="29">
        <f t="shared" ref="H3:H50" si="2">IF(G3&gt;4.75,1,0)</f>
        <v>0</v>
      </c>
    </row>
    <row r="4" spans="1:8" ht="29" customHeight="1" x14ac:dyDescent="0.15">
      <c r="A4" s="50">
        <v>28745</v>
      </c>
      <c r="B4" s="31">
        <f>Labs!L4</f>
        <v>0.51981060606060603</v>
      </c>
      <c r="C4" s="30">
        <f>Homework!J4</f>
        <v>0.60397321428571438</v>
      </c>
      <c r="D4" s="44">
        <f>Exams!B4</f>
        <v>19.5</v>
      </c>
      <c r="E4" s="28">
        <f>Exams!C4</f>
        <v>67</v>
      </c>
      <c r="F4" s="31">
        <f t="shared" si="0"/>
        <v>6.1487838203463205</v>
      </c>
      <c r="G4" s="31">
        <f t="shared" si="1"/>
        <v>6</v>
      </c>
      <c r="H4" s="29">
        <f t="shared" si="2"/>
        <v>1</v>
      </c>
    </row>
    <row r="5" spans="1:8" ht="29" customHeight="1" x14ac:dyDescent="0.15">
      <c r="A5" s="49">
        <v>38490</v>
      </c>
      <c r="B5" s="31">
        <f>Labs!L5</f>
        <v>0.55372979797979793</v>
      </c>
      <c r="C5" s="30">
        <f>Homework!J5</f>
        <v>0.3169196428571428</v>
      </c>
      <c r="D5" s="44">
        <f>Exams!B5</f>
        <v>12</v>
      </c>
      <c r="E5" s="28">
        <f>Exams!C5</f>
        <v>39</v>
      </c>
      <c r="F5" s="31">
        <f t="shared" si="0"/>
        <v>3.7956494408369412</v>
      </c>
      <c r="G5" s="31">
        <f t="shared" si="1"/>
        <v>4</v>
      </c>
      <c r="H5" s="29">
        <f t="shared" si="2"/>
        <v>0</v>
      </c>
    </row>
    <row r="6" spans="1:8" ht="29" customHeight="1" x14ac:dyDescent="0.15">
      <c r="A6" s="50">
        <v>46234</v>
      </c>
      <c r="B6" s="31">
        <f>Labs!L6</f>
        <v>0.5295858585858586</v>
      </c>
      <c r="C6" s="30">
        <f>Homework!J6</f>
        <v>0.63799107142857148</v>
      </c>
      <c r="D6" s="44">
        <f>Exams!B6</f>
        <v>17</v>
      </c>
      <c r="E6" s="28">
        <f>Exams!C6</f>
        <v>41</v>
      </c>
      <c r="F6" s="31">
        <f t="shared" si="0"/>
        <v>4.2425769300144296</v>
      </c>
      <c r="G6" s="31">
        <f t="shared" si="1"/>
        <v>4</v>
      </c>
      <c r="H6" s="29">
        <f t="shared" si="2"/>
        <v>0</v>
      </c>
    </row>
    <row r="7" spans="1:8" ht="29" customHeight="1" x14ac:dyDescent="0.15">
      <c r="A7" s="50">
        <v>48666</v>
      </c>
      <c r="B7" s="31">
        <f>Labs!L7</f>
        <v>0.7666224747474748</v>
      </c>
      <c r="C7" s="30">
        <f>Homework!J7</f>
        <v>1.1196874999999999</v>
      </c>
      <c r="D7" s="44">
        <f>Exams!B7</f>
        <v>22.5</v>
      </c>
      <c r="E7" s="28">
        <f>Exams!C7</f>
        <v>44</v>
      </c>
      <c r="F7" s="31">
        <f t="shared" si="0"/>
        <v>5.1863099747474743</v>
      </c>
      <c r="G7" s="31">
        <f t="shared" si="1"/>
        <v>5</v>
      </c>
      <c r="H7" s="29">
        <f t="shared" si="2"/>
        <v>1</v>
      </c>
    </row>
    <row r="8" spans="1:8" ht="29" customHeight="1" x14ac:dyDescent="0.15">
      <c r="A8" s="50">
        <v>48786</v>
      </c>
      <c r="B8" s="31">
        <f>Labs!L8</f>
        <v>0.75940277777777787</v>
      </c>
      <c r="C8" s="30">
        <f>Homework!J8</f>
        <v>0.95104910714285706</v>
      </c>
      <c r="D8" s="44">
        <f>Exams!B8</f>
        <v>31.5</v>
      </c>
      <c r="E8" s="28">
        <f>Exams!C8</f>
        <v>50</v>
      </c>
      <c r="F8" s="31">
        <f t="shared" si="0"/>
        <v>5.4604518849206354</v>
      </c>
      <c r="G8" s="31">
        <f t="shared" si="1"/>
        <v>5.5</v>
      </c>
      <c r="H8" s="29">
        <f t="shared" si="2"/>
        <v>1</v>
      </c>
    </row>
    <row r="9" spans="1:8" ht="29" customHeight="1" x14ac:dyDescent="0.15">
      <c r="A9" s="49">
        <v>49550</v>
      </c>
      <c r="B9" s="31">
        <f>Labs!L9</f>
        <v>0.50522222222222213</v>
      </c>
      <c r="C9" s="30">
        <f>Homework!J9</f>
        <v>0.43236607142857147</v>
      </c>
      <c r="D9" s="44">
        <f>Exams!B9</f>
        <v>16.5</v>
      </c>
      <c r="E9" s="28">
        <f>Exams!C9</f>
        <v>24</v>
      </c>
      <c r="F9" s="31">
        <f t="shared" si="0"/>
        <v>2.7375882936507931</v>
      </c>
      <c r="G9" s="31">
        <f t="shared" si="1"/>
        <v>2.5</v>
      </c>
      <c r="H9" s="29">
        <f t="shared" si="2"/>
        <v>0</v>
      </c>
    </row>
    <row r="10" spans="1:8" ht="29" customHeight="1" x14ac:dyDescent="0.15">
      <c r="A10" s="49">
        <v>50117</v>
      </c>
      <c r="B10" s="31">
        <f>Labs!L10</f>
        <v>0.95571590909090909</v>
      </c>
      <c r="C10" s="30">
        <f>Homework!J10</f>
        <v>1.4566964285714286</v>
      </c>
      <c r="D10" s="44">
        <f>Exams!B10</f>
        <v>40</v>
      </c>
      <c r="E10" s="28">
        <f>Exams!C10</f>
        <v>75</v>
      </c>
      <c r="F10" s="31">
        <f t="shared" si="0"/>
        <v>8.0374123376623388</v>
      </c>
      <c r="G10" s="31">
        <f t="shared" si="1"/>
        <v>8</v>
      </c>
      <c r="H10" s="29">
        <f t="shared" si="2"/>
        <v>1</v>
      </c>
    </row>
    <row r="11" spans="1:8" ht="29" customHeight="1" x14ac:dyDescent="0.15">
      <c r="A11" s="50">
        <v>50925</v>
      </c>
      <c r="B11" s="31">
        <f>Labs!L11</f>
        <v>0.66171464646464639</v>
      </c>
      <c r="C11" s="30">
        <f>Homework!J11</f>
        <v>0.93941964285714286</v>
      </c>
      <c r="D11" s="44">
        <f>Exams!B11</f>
        <v>21</v>
      </c>
      <c r="E11" s="28">
        <f>Exams!C11</f>
        <v>42</v>
      </c>
      <c r="F11" s="31">
        <f t="shared" si="0"/>
        <v>4.7511342893217892</v>
      </c>
      <c r="G11" s="31">
        <f t="shared" si="1"/>
        <v>5</v>
      </c>
      <c r="H11" s="29">
        <f t="shared" si="2"/>
        <v>1</v>
      </c>
    </row>
    <row r="12" spans="1:8" ht="29" customHeight="1" x14ac:dyDescent="0.15">
      <c r="A12" s="49">
        <v>51216</v>
      </c>
      <c r="B12" s="31">
        <f>Labs!L12</f>
        <v>0.81558333333333322</v>
      </c>
      <c r="C12" s="30">
        <f>Homework!J12</f>
        <v>0.81044642857142857</v>
      </c>
      <c r="D12" s="44">
        <f>Exams!B12</f>
        <v>29</v>
      </c>
      <c r="E12" s="28">
        <f>Exams!C12</f>
        <v>64</v>
      </c>
      <c r="F12" s="31">
        <f t="shared" si="0"/>
        <v>6.4260297619047613</v>
      </c>
      <c r="G12" s="31">
        <f t="shared" si="1"/>
        <v>6.5</v>
      </c>
      <c r="H12" s="29">
        <f t="shared" si="2"/>
        <v>1</v>
      </c>
    </row>
    <row r="13" spans="1:8" ht="29" customHeight="1" x14ac:dyDescent="0.15">
      <c r="A13" s="49">
        <v>51395</v>
      </c>
      <c r="B13" s="31">
        <f>Labs!L13</f>
        <v>0.68477777777777782</v>
      </c>
      <c r="C13" s="30">
        <f>Homework!J13</f>
        <v>0.91091517857142867</v>
      </c>
      <c r="D13" s="44">
        <f>Exams!B13</f>
        <v>12.5</v>
      </c>
      <c r="E13" s="28">
        <f>Exams!C13</f>
        <v>32</v>
      </c>
      <c r="F13" s="31">
        <f t="shared" si="0"/>
        <v>3.9956929563492065</v>
      </c>
      <c r="G13" s="31">
        <f t="shared" si="1"/>
        <v>4</v>
      </c>
      <c r="H13" s="29">
        <f t="shared" si="2"/>
        <v>0</v>
      </c>
    </row>
    <row r="14" spans="1:8" ht="29" customHeight="1" x14ac:dyDescent="0.15">
      <c r="A14" s="49">
        <v>51448</v>
      </c>
      <c r="B14" s="31">
        <f>Labs!L14</f>
        <v>0.18066666666666667</v>
      </c>
      <c r="C14" s="30">
        <f>Homework!J14</f>
        <v>0.40995535714285714</v>
      </c>
      <c r="D14" s="44">
        <f>Exams!B14</f>
        <v>15.5</v>
      </c>
      <c r="E14" s="28">
        <f>Exams!C14</f>
        <v>0</v>
      </c>
      <c r="F14" s="31">
        <f t="shared" si="0"/>
        <v>1.5206220238095236</v>
      </c>
      <c r="G14" s="31">
        <f t="shared" si="1"/>
        <v>1.5</v>
      </c>
      <c r="H14" s="29">
        <f t="shared" si="2"/>
        <v>0</v>
      </c>
    </row>
    <row r="15" spans="1:8" ht="29" customHeight="1" x14ac:dyDescent="0.15">
      <c r="A15" s="21">
        <v>52252</v>
      </c>
      <c r="B15" s="31">
        <f>Labs!L15</f>
        <v>0.12194444444444445</v>
      </c>
      <c r="C15" s="30">
        <f>Homework!J15</f>
        <v>0</v>
      </c>
      <c r="D15" s="44">
        <f>Exams!B15</f>
        <v>13.5</v>
      </c>
      <c r="E15" s="28">
        <f>Exams!C15</f>
        <v>37</v>
      </c>
      <c r="F15" s="31">
        <f t="shared" si="0"/>
        <v>2.8969444444444443</v>
      </c>
      <c r="G15" s="31">
        <f t="shared" si="1"/>
        <v>3</v>
      </c>
      <c r="H15" s="29">
        <f t="shared" si="2"/>
        <v>0</v>
      </c>
    </row>
    <row r="16" spans="1:8" ht="29" customHeight="1" x14ac:dyDescent="0.15">
      <c r="A16" s="49">
        <v>53517</v>
      </c>
      <c r="B16" s="31">
        <f>Labs!L16</f>
        <v>0.39433333333333331</v>
      </c>
      <c r="C16" s="30">
        <f>Homework!J16</f>
        <v>0.25339285714285714</v>
      </c>
      <c r="D16" s="44">
        <f>Exams!B16</f>
        <v>14</v>
      </c>
      <c r="E16" s="28">
        <f>Exams!C16</f>
        <v>0</v>
      </c>
      <c r="F16" s="31">
        <f t="shared" si="0"/>
        <v>1.4877261904761905</v>
      </c>
      <c r="G16" s="31">
        <f t="shared" si="1"/>
        <v>1.5</v>
      </c>
      <c r="H16" s="29">
        <f t="shared" si="2"/>
        <v>0</v>
      </c>
    </row>
    <row r="17" spans="1:8" ht="29" customHeight="1" x14ac:dyDescent="0.15">
      <c r="A17" s="49">
        <v>53956</v>
      </c>
      <c r="B17" s="31">
        <f>Labs!L17</f>
        <v>0</v>
      </c>
      <c r="C17" s="30">
        <f>Homework!J17</f>
        <v>0</v>
      </c>
      <c r="D17" s="44">
        <f>Exams!B17</f>
        <v>0</v>
      </c>
      <c r="E17" s="28">
        <f>Exams!C17</f>
        <v>0</v>
      </c>
      <c r="F17" s="31">
        <f t="shared" si="0"/>
        <v>0</v>
      </c>
      <c r="G17" s="31">
        <f t="shared" si="1"/>
        <v>0</v>
      </c>
      <c r="H17" s="29">
        <f t="shared" si="2"/>
        <v>0</v>
      </c>
    </row>
    <row r="18" spans="1:8" ht="29" customHeight="1" x14ac:dyDescent="0.15">
      <c r="A18" s="49">
        <v>55023</v>
      </c>
      <c r="B18" s="31">
        <f>Labs!L18</f>
        <v>0.81986111111111126</v>
      </c>
      <c r="C18" s="30">
        <f>Homework!J18</f>
        <v>1.1237276785714285</v>
      </c>
      <c r="D18" s="44">
        <f>Exams!B18</f>
        <v>24</v>
      </c>
      <c r="E18" s="28">
        <f>Exams!C18</f>
        <v>61</v>
      </c>
      <c r="F18" s="31">
        <f t="shared" si="0"/>
        <v>6.5185887896825401</v>
      </c>
      <c r="G18" s="31">
        <f t="shared" si="1"/>
        <v>6.5</v>
      </c>
      <c r="H18" s="29">
        <f t="shared" si="2"/>
        <v>1</v>
      </c>
    </row>
    <row r="19" spans="1:8" ht="29" customHeight="1" x14ac:dyDescent="0.15">
      <c r="A19" s="50">
        <v>58506</v>
      </c>
      <c r="B19" s="31">
        <f>Labs!L19</f>
        <v>0.14750000000000002</v>
      </c>
      <c r="C19" s="30">
        <f>Homework!J19</f>
        <v>0</v>
      </c>
      <c r="D19" s="44">
        <f>Exams!B19</f>
        <v>0</v>
      </c>
      <c r="E19" s="28">
        <f>Exams!C19</f>
        <v>0</v>
      </c>
      <c r="F19" s="31">
        <f t="shared" si="0"/>
        <v>0.14750000000000002</v>
      </c>
      <c r="G19" s="31">
        <f t="shared" si="1"/>
        <v>0</v>
      </c>
      <c r="H19" s="29">
        <f t="shared" si="2"/>
        <v>0</v>
      </c>
    </row>
    <row r="20" spans="1:8" ht="29" customHeight="1" x14ac:dyDescent="0.15">
      <c r="A20" s="49">
        <v>60277</v>
      </c>
      <c r="B20" s="31">
        <f>Labs!L20</f>
        <v>0.91822474747474736</v>
      </c>
      <c r="C20" s="30">
        <f>Homework!J20</f>
        <v>1.0601785714285714</v>
      </c>
      <c r="D20" s="44">
        <f>Exams!B20</f>
        <v>9.5</v>
      </c>
      <c r="E20" s="28">
        <f>Exams!C20</f>
        <v>47</v>
      </c>
      <c r="F20" s="31">
        <f t="shared" si="0"/>
        <v>5.5034033189033185</v>
      </c>
      <c r="G20" s="31">
        <f t="shared" si="1"/>
        <v>5.5</v>
      </c>
      <c r="H20" s="29">
        <f t="shared" si="2"/>
        <v>1</v>
      </c>
    </row>
    <row r="21" spans="1:8" ht="29" customHeight="1" x14ac:dyDescent="0.15">
      <c r="A21" s="49">
        <v>60852</v>
      </c>
      <c r="B21" s="31">
        <f>Labs!L21</f>
        <v>0</v>
      </c>
      <c r="C21" s="30">
        <f>Homework!J21</f>
        <v>0</v>
      </c>
      <c r="D21" s="44">
        <f>Exams!B21</f>
        <v>0</v>
      </c>
      <c r="E21" s="28">
        <f>Exams!C21</f>
        <v>0</v>
      </c>
      <c r="F21" s="31">
        <f t="shared" si="0"/>
        <v>0</v>
      </c>
      <c r="G21" s="31">
        <f t="shared" si="1"/>
        <v>0</v>
      </c>
      <c r="H21" s="29">
        <f t="shared" si="2"/>
        <v>0</v>
      </c>
    </row>
    <row r="22" spans="1:8" ht="29" customHeight="1" x14ac:dyDescent="0.15">
      <c r="A22" s="50">
        <v>61767</v>
      </c>
      <c r="B22" s="31">
        <f>Labs!L22</f>
        <v>0.85627651515151526</v>
      </c>
      <c r="C22" s="30">
        <f>Homework!J22</f>
        <v>1.10109375</v>
      </c>
      <c r="D22" s="44">
        <f>Exams!B22</f>
        <v>21.5</v>
      </c>
      <c r="E22" s="28">
        <f>Exams!C22</f>
        <v>38</v>
      </c>
      <c r="F22" s="31">
        <f t="shared" si="0"/>
        <v>4.8073702651515156</v>
      </c>
      <c r="G22" s="31">
        <f t="shared" si="1"/>
        <v>5</v>
      </c>
      <c r="H22" s="29">
        <f t="shared" si="2"/>
        <v>1</v>
      </c>
    </row>
    <row r="23" spans="1:8" ht="29" customHeight="1" x14ac:dyDescent="0.15">
      <c r="A23" s="49">
        <v>62771</v>
      </c>
      <c r="B23" s="31">
        <f>Labs!L23</f>
        <v>0.65436111111111117</v>
      </c>
      <c r="C23" s="30">
        <f>Homework!J23</f>
        <v>0.73562499999999997</v>
      </c>
      <c r="D23" s="44">
        <f>Exams!B23</f>
        <v>37</v>
      </c>
      <c r="E23" s="28">
        <f>Exams!C23</f>
        <v>57</v>
      </c>
      <c r="F23" s="31">
        <f t="shared" si="0"/>
        <v>5.6649861111111104</v>
      </c>
      <c r="G23" s="31">
        <f t="shared" si="1"/>
        <v>5.5</v>
      </c>
      <c r="H23" s="29">
        <f t="shared" si="2"/>
        <v>1</v>
      </c>
    </row>
    <row r="24" spans="1:8" ht="29" customHeight="1" x14ac:dyDescent="0.15">
      <c r="A24" s="50">
        <v>62943</v>
      </c>
      <c r="B24" s="31">
        <f>Labs!L24</f>
        <v>0.79679545454545464</v>
      </c>
      <c r="C24" s="30">
        <f>Homework!J24</f>
        <v>0.81553571428571425</v>
      </c>
      <c r="D24" s="44">
        <f>Exams!B24</f>
        <v>13.5</v>
      </c>
      <c r="E24" s="28">
        <f>Exams!C24</f>
        <v>34</v>
      </c>
      <c r="F24" s="31">
        <f t="shared" si="0"/>
        <v>4.1623311688311695</v>
      </c>
      <c r="G24" s="31">
        <f t="shared" si="1"/>
        <v>4</v>
      </c>
      <c r="H24" s="29">
        <f t="shared" si="2"/>
        <v>0</v>
      </c>
    </row>
    <row r="25" spans="1:8" ht="29" customHeight="1" x14ac:dyDescent="0.15">
      <c r="A25" s="49">
        <v>62948</v>
      </c>
      <c r="B25" s="31">
        <f>Labs!L25</f>
        <v>0.79191414141414129</v>
      </c>
      <c r="C25" s="30">
        <f>Homework!J25</f>
        <v>1.0600892857142856</v>
      </c>
      <c r="D25" s="44">
        <f>Exams!B25</f>
        <v>31</v>
      </c>
      <c r="E25" s="28">
        <f>Exams!C25</f>
        <v>48</v>
      </c>
      <c r="F25" s="31">
        <f t="shared" si="0"/>
        <v>5.4520034271284263</v>
      </c>
      <c r="G25" s="31">
        <f t="shared" si="1"/>
        <v>5.5</v>
      </c>
      <c r="H25" s="29">
        <f t="shared" si="2"/>
        <v>1</v>
      </c>
    </row>
    <row r="26" spans="1:8" ht="29" customHeight="1" x14ac:dyDescent="0.15">
      <c r="A26" s="49">
        <v>63226</v>
      </c>
      <c r="B26" s="31">
        <f>Labs!L26</f>
        <v>0.73726388888888894</v>
      </c>
      <c r="C26" s="30">
        <f>Homework!J26</f>
        <v>0</v>
      </c>
      <c r="D26" s="44">
        <f>Exams!B26</f>
        <v>39</v>
      </c>
      <c r="E26" s="28">
        <f>Exams!C26</f>
        <v>79</v>
      </c>
      <c r="F26" s="31">
        <f t="shared" si="0"/>
        <v>6.6622638888888899</v>
      </c>
      <c r="G26" s="31">
        <f t="shared" si="1"/>
        <v>6.5</v>
      </c>
      <c r="H26" s="29">
        <f t="shared" si="2"/>
        <v>1</v>
      </c>
    </row>
    <row r="27" spans="1:8" ht="29" customHeight="1" x14ac:dyDescent="0.15">
      <c r="A27" s="50">
        <v>64244</v>
      </c>
      <c r="B27" s="31">
        <f>Labs!L27</f>
        <v>0.27374999999999999</v>
      </c>
      <c r="C27" s="30">
        <f>Homework!J27</f>
        <v>0</v>
      </c>
      <c r="D27" s="44">
        <f>Exams!B27</f>
        <v>0</v>
      </c>
      <c r="E27" s="28">
        <f>Exams!C27</f>
        <v>0</v>
      </c>
      <c r="F27" s="31">
        <f t="shared" si="0"/>
        <v>0.27374999999999999</v>
      </c>
      <c r="G27" s="31">
        <f t="shared" si="1"/>
        <v>0.5</v>
      </c>
      <c r="H27" s="29">
        <f t="shared" si="2"/>
        <v>0</v>
      </c>
    </row>
    <row r="28" spans="1:8" ht="29" customHeight="1" x14ac:dyDescent="0.15">
      <c r="A28" s="49">
        <v>64582</v>
      </c>
      <c r="B28" s="31">
        <f>Labs!L28</f>
        <v>0.58749999999999991</v>
      </c>
      <c r="C28" s="30">
        <f>Homework!J28</f>
        <v>0.37151785714285718</v>
      </c>
      <c r="D28" s="44">
        <f>Exams!B28</f>
        <v>9</v>
      </c>
      <c r="E28" s="28">
        <f>Exams!C28</f>
        <v>0</v>
      </c>
      <c r="F28" s="31">
        <f t="shared" si="0"/>
        <v>1.4990178571428572</v>
      </c>
      <c r="G28" s="31">
        <f t="shared" si="1"/>
        <v>1.5</v>
      </c>
      <c r="H28" s="29">
        <f t="shared" si="2"/>
        <v>0</v>
      </c>
    </row>
    <row r="29" spans="1:8" ht="29" customHeight="1" x14ac:dyDescent="0.15">
      <c r="A29" s="49">
        <v>65766</v>
      </c>
      <c r="B29" s="31">
        <f>Labs!L29</f>
        <v>0.47052777777777771</v>
      </c>
      <c r="C29" s="30">
        <f>Homework!J29</f>
        <v>0.60803571428571423</v>
      </c>
      <c r="D29" s="44">
        <f>Exams!B29</f>
        <v>16</v>
      </c>
      <c r="E29" s="28">
        <f>Exams!C29</f>
        <v>36</v>
      </c>
      <c r="F29" s="31">
        <f t="shared" si="0"/>
        <v>3.7785634920634914</v>
      </c>
      <c r="G29" s="31">
        <f t="shared" si="1"/>
        <v>4</v>
      </c>
      <c r="H29" s="29">
        <f t="shared" si="2"/>
        <v>0</v>
      </c>
    </row>
    <row r="30" spans="1:8" ht="29" customHeight="1" x14ac:dyDescent="0.15">
      <c r="A30" s="49">
        <v>67692</v>
      </c>
      <c r="B30" s="31">
        <f>Labs!L30</f>
        <v>0.96897222222222223</v>
      </c>
      <c r="C30" s="30">
        <f>Homework!J30</f>
        <v>1.475625</v>
      </c>
      <c r="D30" s="44">
        <f>Exams!B30</f>
        <v>38</v>
      </c>
      <c r="E30" s="28">
        <f>Exams!C30</f>
        <v>100</v>
      </c>
      <c r="F30" s="31">
        <f t="shared" si="0"/>
        <v>9.9445972222222228</v>
      </c>
      <c r="G30" s="31">
        <f t="shared" si="1"/>
        <v>10</v>
      </c>
      <c r="H30" s="29">
        <f t="shared" si="2"/>
        <v>1</v>
      </c>
    </row>
    <row r="31" spans="1:8" ht="29" customHeight="1" x14ac:dyDescent="0.15">
      <c r="A31" s="49">
        <v>68049</v>
      </c>
      <c r="B31" s="31">
        <f>Labs!L31</f>
        <v>0.64641161616161613</v>
      </c>
      <c r="C31" s="30">
        <f>Homework!J31</f>
        <v>0.86689732142857145</v>
      </c>
      <c r="D31" s="44">
        <f>Exams!B31</f>
        <v>11.5</v>
      </c>
      <c r="E31" s="28">
        <f>Exams!C31</f>
        <v>38</v>
      </c>
      <c r="F31" s="31">
        <f t="shared" si="0"/>
        <v>4.3633089375901877</v>
      </c>
      <c r="G31" s="31">
        <f t="shared" si="1"/>
        <v>4.5</v>
      </c>
      <c r="H31" s="29">
        <f t="shared" si="2"/>
        <v>0</v>
      </c>
    </row>
    <row r="32" spans="1:8" ht="29" customHeight="1" x14ac:dyDescent="0.15">
      <c r="A32" s="49">
        <v>69253</v>
      </c>
      <c r="B32" s="31">
        <f>Labs!L32</f>
        <v>0.66344444444444439</v>
      </c>
      <c r="C32" s="30">
        <f>Homework!J32</f>
        <v>0.635859375</v>
      </c>
      <c r="D32" s="44">
        <f>Exams!B32</f>
        <v>16</v>
      </c>
      <c r="E32" s="28">
        <f>Exams!C32</f>
        <v>36</v>
      </c>
      <c r="F32" s="31">
        <f t="shared" si="0"/>
        <v>3.9993038194444441</v>
      </c>
      <c r="G32" s="31">
        <f t="shared" si="1"/>
        <v>4</v>
      </c>
      <c r="H32" s="29">
        <f t="shared" si="2"/>
        <v>0</v>
      </c>
    </row>
    <row r="33" spans="1:8" ht="29" customHeight="1" x14ac:dyDescent="0.15">
      <c r="A33" s="49">
        <v>69610</v>
      </c>
      <c r="B33" s="31">
        <f>Labs!L33</f>
        <v>0.79169696969696979</v>
      </c>
      <c r="C33" s="30">
        <f>Homework!J33</f>
        <v>1.0857142857142859</v>
      </c>
      <c r="D33" s="44">
        <f>Exams!B33</f>
        <v>13</v>
      </c>
      <c r="E33" s="28">
        <f>Exams!C33</f>
        <v>20</v>
      </c>
      <c r="F33" s="31">
        <f t="shared" si="0"/>
        <v>3.3774112554112556</v>
      </c>
      <c r="G33" s="31">
        <f t="shared" si="1"/>
        <v>3.5</v>
      </c>
      <c r="H33" s="29">
        <f t="shared" si="2"/>
        <v>0</v>
      </c>
    </row>
    <row r="34" spans="1:8" ht="29" customHeight="1" x14ac:dyDescent="0.15">
      <c r="A34" s="49">
        <v>69611</v>
      </c>
      <c r="B34" s="31">
        <f>Labs!L34</f>
        <v>0.78791161616161609</v>
      </c>
      <c r="C34" s="30">
        <f>Homework!J34</f>
        <v>1.0918303571428571</v>
      </c>
      <c r="D34" s="44">
        <f>Exams!B34</f>
        <v>17</v>
      </c>
      <c r="E34" s="28">
        <f>Exams!C34</f>
        <v>26</v>
      </c>
      <c r="F34" s="31">
        <f t="shared" ref="F34:F50" si="3">$B34+$C34+IF(($E34&gt;$D34),($E34/$E$52)*7.5, ($D34/$D$52)*3+($E34/$E$52)*4.5)</f>
        <v>3.8297419733044733</v>
      </c>
      <c r="G34" s="31">
        <f t="shared" si="1"/>
        <v>4</v>
      </c>
      <c r="H34" s="29">
        <f t="shared" si="2"/>
        <v>0</v>
      </c>
    </row>
    <row r="35" spans="1:8" ht="29" customHeight="1" x14ac:dyDescent="0.15">
      <c r="A35" s="49">
        <v>69782</v>
      </c>
      <c r="B35" s="31">
        <f>Labs!L35</f>
        <v>0</v>
      </c>
      <c r="C35" s="30">
        <f>Homework!J35</f>
        <v>0</v>
      </c>
      <c r="D35" s="44">
        <f>Exams!B35</f>
        <v>0</v>
      </c>
      <c r="E35" s="28">
        <f>Exams!C35</f>
        <v>0</v>
      </c>
      <c r="F35" s="31">
        <f t="shared" si="3"/>
        <v>0</v>
      </c>
      <c r="G35" s="31">
        <f t="shared" si="1"/>
        <v>0</v>
      </c>
      <c r="H35" s="29">
        <f t="shared" si="2"/>
        <v>0</v>
      </c>
    </row>
    <row r="36" spans="1:8" ht="29" customHeight="1" x14ac:dyDescent="0.15">
      <c r="A36" s="49">
        <v>70466</v>
      </c>
      <c r="B36" s="31">
        <f>Labs!L36</f>
        <v>0.95930555555555552</v>
      </c>
      <c r="C36" s="30">
        <f>Homework!J36</f>
        <v>1.4606250000000001</v>
      </c>
      <c r="D36" s="44">
        <f>Exams!B36</f>
        <v>37.5</v>
      </c>
      <c r="E36" s="28">
        <f>Exams!C36</f>
        <v>84</v>
      </c>
      <c r="F36" s="31">
        <f t="shared" si="3"/>
        <v>8.7199305555555551</v>
      </c>
      <c r="G36" s="31">
        <f t="shared" si="1"/>
        <v>8.5</v>
      </c>
      <c r="H36" s="29">
        <f t="shared" si="2"/>
        <v>1</v>
      </c>
    </row>
    <row r="37" spans="1:8" ht="29" customHeight="1" x14ac:dyDescent="0.15">
      <c r="A37" s="49">
        <v>72899</v>
      </c>
      <c r="B37" s="31">
        <f>Labs!L37</f>
        <v>0.59749999999999992</v>
      </c>
      <c r="C37" s="30">
        <f>Homework!J37</f>
        <v>0.39</v>
      </c>
      <c r="D37" s="44">
        <f>Exams!B37</f>
        <v>15.5</v>
      </c>
      <c r="E37" s="28">
        <f>Exams!C37</f>
        <v>38</v>
      </c>
      <c r="F37" s="31">
        <f t="shared" si="3"/>
        <v>3.8374999999999999</v>
      </c>
      <c r="G37" s="31">
        <f t="shared" si="1"/>
        <v>4</v>
      </c>
      <c r="H37" s="29">
        <f t="shared" si="2"/>
        <v>0</v>
      </c>
    </row>
    <row r="38" spans="1:8" ht="29" customHeight="1" x14ac:dyDescent="0.15">
      <c r="A38" s="50">
        <v>74216</v>
      </c>
      <c r="B38" s="31">
        <f>Labs!L38</f>
        <v>0.93959848484848485</v>
      </c>
      <c r="C38" s="30">
        <f>Homework!J38</f>
        <v>1.4253125</v>
      </c>
      <c r="D38" s="44">
        <f>Exams!B38</f>
        <v>38.5</v>
      </c>
      <c r="E38" s="28">
        <f>Exams!C38</f>
        <v>70</v>
      </c>
      <c r="F38" s="31">
        <f t="shared" si="3"/>
        <v>7.6149109848484846</v>
      </c>
      <c r="G38" s="31">
        <f t="shared" si="1"/>
        <v>7.5</v>
      </c>
      <c r="H38" s="29">
        <f t="shared" si="2"/>
        <v>1</v>
      </c>
    </row>
    <row r="39" spans="1:8" ht="29" customHeight="1" x14ac:dyDescent="0.15">
      <c r="A39" s="49">
        <v>74490</v>
      </c>
      <c r="B39" s="31">
        <f>Labs!L39</f>
        <v>0.72276388888888887</v>
      </c>
      <c r="C39" s="30">
        <f>Homework!J39</f>
        <v>0.8995535714285714</v>
      </c>
      <c r="D39" s="44">
        <f>Exams!B39</f>
        <v>8</v>
      </c>
      <c r="E39" s="28">
        <f>Exams!C39</f>
        <v>20</v>
      </c>
      <c r="F39" s="31">
        <f t="shared" si="3"/>
        <v>3.1223174603174604</v>
      </c>
      <c r="G39" s="31">
        <f t="shared" si="1"/>
        <v>3</v>
      </c>
      <c r="H39" s="29">
        <f t="shared" si="2"/>
        <v>0</v>
      </c>
    </row>
    <row r="40" spans="1:8" ht="29" customHeight="1" x14ac:dyDescent="0.15">
      <c r="A40" s="49">
        <v>75379</v>
      </c>
      <c r="B40" s="31">
        <f>Labs!L40</f>
        <v>0.70417424242424231</v>
      </c>
      <c r="C40" s="30">
        <f>Homework!J40</f>
        <v>0.70757812499999995</v>
      </c>
      <c r="D40" s="44">
        <f>Exams!B40</f>
        <v>27.5</v>
      </c>
      <c r="E40" s="28">
        <f>Exams!C40</f>
        <v>53</v>
      </c>
      <c r="F40" s="31">
        <f t="shared" si="3"/>
        <v>5.3867523674242426</v>
      </c>
      <c r="G40" s="31">
        <f t="shared" si="1"/>
        <v>5.5</v>
      </c>
      <c r="H40" s="29">
        <f t="shared" si="2"/>
        <v>1</v>
      </c>
    </row>
    <row r="41" spans="1:8" ht="29" customHeight="1" x14ac:dyDescent="0.15">
      <c r="A41" s="49">
        <v>75711</v>
      </c>
      <c r="B41" s="31">
        <f>Labs!L41</f>
        <v>0.56272222222222223</v>
      </c>
      <c r="C41" s="30">
        <f>Homework!J41</f>
        <v>0.35116071428571427</v>
      </c>
      <c r="D41" s="44">
        <f>Exams!B41</f>
        <v>31.5</v>
      </c>
      <c r="E41" s="28">
        <f>Exams!C41</f>
        <v>34</v>
      </c>
      <c r="F41" s="31">
        <f t="shared" si="3"/>
        <v>3.4638829365079369</v>
      </c>
      <c r="G41" s="31">
        <f t="shared" si="1"/>
        <v>3.5</v>
      </c>
      <c r="H41" s="29">
        <f t="shared" si="2"/>
        <v>0</v>
      </c>
    </row>
    <row r="42" spans="1:8" ht="29" customHeight="1" x14ac:dyDescent="0.15">
      <c r="A42" s="49">
        <v>78743</v>
      </c>
      <c r="B42" s="31">
        <f>Labs!L42</f>
        <v>0.54730555555555549</v>
      </c>
      <c r="C42" s="30">
        <f>Homework!J42</f>
        <v>0.41279017857142858</v>
      </c>
      <c r="D42" s="44">
        <f>Exams!B42</f>
        <v>14</v>
      </c>
      <c r="E42" s="28">
        <f>Exams!C42</f>
        <v>32</v>
      </c>
      <c r="F42" s="31">
        <f t="shared" si="3"/>
        <v>3.3600957341269839</v>
      </c>
      <c r="G42" s="31">
        <f t="shared" si="1"/>
        <v>3.5</v>
      </c>
      <c r="H42" s="29">
        <f t="shared" si="2"/>
        <v>0</v>
      </c>
    </row>
    <row r="43" spans="1:8" ht="29" customHeight="1" x14ac:dyDescent="0.15">
      <c r="A43" s="49">
        <v>84398</v>
      </c>
      <c r="B43" s="31">
        <f>Labs!L43</f>
        <v>0</v>
      </c>
      <c r="C43" s="30">
        <f>Homework!J43</f>
        <v>0</v>
      </c>
      <c r="D43" s="44">
        <f>Exams!B43</f>
        <v>0</v>
      </c>
      <c r="E43" s="28">
        <f>Exams!C43</f>
        <v>0</v>
      </c>
      <c r="F43" s="31">
        <f t="shared" si="3"/>
        <v>0</v>
      </c>
      <c r="G43" s="31">
        <f t="shared" si="1"/>
        <v>0</v>
      </c>
      <c r="H43" s="29">
        <f t="shared" si="2"/>
        <v>0</v>
      </c>
    </row>
    <row r="44" spans="1:8" ht="29" customHeight="1" x14ac:dyDescent="0.15">
      <c r="A44" s="49">
        <v>85477</v>
      </c>
      <c r="B44" s="31">
        <f>Labs!L44</f>
        <v>0.95618686868686864</v>
      </c>
      <c r="C44" s="30">
        <f>Homework!J44</f>
        <v>1.4465625</v>
      </c>
      <c r="D44" s="44">
        <f>Exams!B44</f>
        <v>37</v>
      </c>
      <c r="E44" s="28">
        <f>Exams!C44</f>
        <v>82</v>
      </c>
      <c r="F44" s="31">
        <f t="shared" si="3"/>
        <v>8.5527493686868681</v>
      </c>
      <c r="G44" s="31">
        <f t="shared" si="1"/>
        <v>8.5</v>
      </c>
      <c r="H44" s="29">
        <f t="shared" si="2"/>
        <v>1</v>
      </c>
    </row>
    <row r="45" spans="1:8" ht="29" customHeight="1" x14ac:dyDescent="0.15">
      <c r="A45" s="49">
        <v>92900</v>
      </c>
      <c r="B45" s="31">
        <f>Labs!L45</f>
        <v>0.89157070707070718</v>
      </c>
      <c r="C45" s="30">
        <f>Homework!J45</f>
        <v>1.3223883928571429</v>
      </c>
      <c r="D45" s="44">
        <f>Exams!B45</f>
        <v>22.5</v>
      </c>
      <c r="E45" s="28">
        <f>Exams!C45</f>
        <v>58</v>
      </c>
      <c r="F45" s="31">
        <f t="shared" si="3"/>
        <v>6.5639590999278496</v>
      </c>
      <c r="G45" s="31">
        <f t="shared" si="1"/>
        <v>6.5</v>
      </c>
      <c r="H45" s="29">
        <f t="shared" si="2"/>
        <v>1</v>
      </c>
    </row>
    <row r="46" spans="1:8" ht="29" customHeight="1" x14ac:dyDescent="0.15">
      <c r="A46" s="49">
        <v>93512</v>
      </c>
      <c r="B46" s="31">
        <f>Labs!L46</f>
        <v>0.94019949494949484</v>
      </c>
      <c r="C46" s="30">
        <f>Homework!J46</f>
        <v>1.2433482142857144</v>
      </c>
      <c r="D46" s="44">
        <f>Exams!B46</f>
        <v>20</v>
      </c>
      <c r="E46" s="28">
        <f>Exams!C46</f>
        <v>58</v>
      </c>
      <c r="F46" s="31">
        <f t="shared" si="3"/>
        <v>6.5335477092352088</v>
      </c>
      <c r="G46" s="31">
        <f t="shared" si="1"/>
        <v>6.5</v>
      </c>
      <c r="H46" s="29">
        <f t="shared" si="2"/>
        <v>1</v>
      </c>
    </row>
    <row r="47" spans="1:8" ht="29" customHeight="1" x14ac:dyDescent="0.15">
      <c r="A47" s="49">
        <v>93951</v>
      </c>
      <c r="B47" s="31">
        <f>Labs!L47</f>
        <v>0.74005555555555558</v>
      </c>
      <c r="C47" s="30">
        <f>Homework!J47</f>
        <v>0.92595982142857136</v>
      </c>
      <c r="D47" s="44">
        <f>Exams!B47</f>
        <v>10.5</v>
      </c>
      <c r="E47" s="28">
        <f>Exams!C47</f>
        <v>35</v>
      </c>
      <c r="F47" s="31">
        <f t="shared" si="3"/>
        <v>4.2910153769841273</v>
      </c>
      <c r="G47" s="31">
        <f t="shared" si="1"/>
        <v>4.5</v>
      </c>
      <c r="H47" s="29">
        <f t="shared" si="2"/>
        <v>0</v>
      </c>
    </row>
    <row r="48" spans="1:8" ht="29" customHeight="1" x14ac:dyDescent="0.15">
      <c r="A48" s="49">
        <v>94628</v>
      </c>
      <c r="B48" s="31">
        <f>Labs!L48</f>
        <v>0.97363383838383855</v>
      </c>
      <c r="C48" s="30">
        <f>Homework!J48</f>
        <v>1.4668749999999999</v>
      </c>
      <c r="D48" s="44">
        <f>Exams!B48</f>
        <v>44</v>
      </c>
      <c r="E48" s="28">
        <f>Exams!C48</f>
        <v>98</v>
      </c>
      <c r="F48" s="31">
        <f t="shared" si="3"/>
        <v>9.7905088383838379</v>
      </c>
      <c r="G48" s="31">
        <f t="shared" si="1"/>
        <v>10</v>
      </c>
      <c r="H48" s="29">
        <f t="shared" si="2"/>
        <v>1</v>
      </c>
    </row>
    <row r="49" spans="1:8" ht="29" customHeight="1" x14ac:dyDescent="0.15">
      <c r="A49" s="49">
        <v>95154</v>
      </c>
      <c r="B49" s="31">
        <f>Labs!L49</f>
        <v>0.9524242424242424</v>
      </c>
      <c r="C49" s="30">
        <f>Homework!J49</f>
        <v>1.3714062500000002</v>
      </c>
      <c r="D49" s="44">
        <f>Exams!B49</f>
        <v>41.5</v>
      </c>
      <c r="E49" s="28">
        <f>Exams!C49</f>
        <v>89</v>
      </c>
      <c r="F49" s="31">
        <f t="shared" si="3"/>
        <v>8.9988304924242435</v>
      </c>
      <c r="G49" s="31">
        <f t="shared" si="1"/>
        <v>9</v>
      </c>
      <c r="H49" s="29">
        <f t="shared" si="2"/>
        <v>1</v>
      </c>
    </row>
    <row r="50" spans="1:8" ht="29" customHeight="1" x14ac:dyDescent="0.15">
      <c r="A50" s="49">
        <v>97905</v>
      </c>
      <c r="B50" s="31">
        <f>Labs!L50</f>
        <v>0.66027777777777774</v>
      </c>
      <c r="C50" s="30">
        <f>Homework!J50</f>
        <v>0.74825892857142851</v>
      </c>
      <c r="D50" s="44">
        <f>Exams!B50</f>
        <v>28</v>
      </c>
      <c r="E50" s="28">
        <f>Exams!C50</f>
        <v>47</v>
      </c>
      <c r="F50" s="31">
        <f t="shared" si="3"/>
        <v>4.9335367063492059</v>
      </c>
      <c r="G50" s="31">
        <f t="shared" si="1"/>
        <v>5</v>
      </c>
      <c r="H50" s="29">
        <f t="shared" si="2"/>
        <v>1</v>
      </c>
    </row>
    <row r="51" spans="1:8" ht="29" customHeight="1" x14ac:dyDescent="0.15">
      <c r="A51" s="21"/>
      <c r="B51" s="51"/>
      <c r="C51" s="30"/>
      <c r="D51" s="44"/>
      <c r="E51" s="28"/>
      <c r="F51" s="31"/>
      <c r="G51" s="31"/>
      <c r="H51" s="29"/>
    </row>
    <row r="52" spans="1:8" ht="29" customHeight="1" x14ac:dyDescent="0.15">
      <c r="A52" s="15" t="s">
        <v>13</v>
      </c>
      <c r="B52" s="39">
        <f>Labs!L52</f>
        <v>1</v>
      </c>
      <c r="C52" s="39">
        <f>Homework!J52</f>
        <v>1.5</v>
      </c>
      <c r="D52" s="32">
        <f>Exams!B52</f>
        <v>50</v>
      </c>
      <c r="E52" s="33">
        <f>Exams!C52</f>
        <v>100</v>
      </c>
      <c r="F52" s="33">
        <v>10</v>
      </c>
      <c r="G52" s="33">
        <v>10</v>
      </c>
      <c r="H52" s="63">
        <v>49</v>
      </c>
    </row>
    <row r="53" spans="1:8" ht="29" customHeight="1" x14ac:dyDescent="0.15">
      <c r="A53" s="16" t="s">
        <v>14</v>
      </c>
      <c r="B53" s="35">
        <f>AVERAGE(B$2:B$50)</f>
        <v>0.63024871160585449</v>
      </c>
      <c r="C53" s="35">
        <f t="shared" ref="C53:G53" si="4">AVERAGE(C$2:C$49)</f>
        <v>0.73958240327380953</v>
      </c>
      <c r="D53" s="35">
        <f t="shared" si="4"/>
        <v>19.510416666666668</v>
      </c>
      <c r="E53" s="35">
        <f t="shared" si="4"/>
        <v>40.8125</v>
      </c>
      <c r="F53" s="35">
        <f t="shared" si="4"/>
        <v>4.4782680093344149</v>
      </c>
      <c r="G53" s="35">
        <f t="shared" si="4"/>
        <v>4.5</v>
      </c>
      <c r="H53" s="29">
        <f>SUM(H2:H50)</f>
        <v>23</v>
      </c>
    </row>
    <row r="54" spans="1:8" ht="29" customHeight="1" x14ac:dyDescent="0.15">
      <c r="A54" s="17" t="s">
        <v>15</v>
      </c>
      <c r="B54" s="35">
        <f>STDEV(B$2:B$50)</f>
        <v>0.28361721382506921</v>
      </c>
      <c r="C54" s="35">
        <f t="shared" ref="C54:G54" si="5">STDEV(C$2:C$49)</f>
        <v>0.47957890045755575</v>
      </c>
      <c r="D54" s="35">
        <f t="shared" si="5"/>
        <v>12.48935273493341</v>
      </c>
      <c r="E54" s="35">
        <f t="shared" si="5"/>
        <v>27.611789225896231</v>
      </c>
      <c r="F54" s="35">
        <f t="shared" si="5"/>
        <v>2.6240139014718209</v>
      </c>
      <c r="G54" s="35">
        <f t="shared" si="5"/>
        <v>2.6133861624418526</v>
      </c>
      <c r="H54" s="63"/>
    </row>
    <row r="55" spans="1:8" ht="29" customHeight="1" x14ac:dyDescent="0.15">
      <c r="A55" s="17" t="s">
        <v>16</v>
      </c>
      <c r="B55" s="35">
        <f>MEDIAN(B$2:B$50)</f>
        <v>0.68477777777777782</v>
      </c>
      <c r="C55" s="35">
        <f t="shared" ref="C55:G55" si="6">MEDIAN(C$2:C$49)</f>
        <v>0.79460937499999995</v>
      </c>
      <c r="D55" s="35">
        <f t="shared" si="6"/>
        <v>16.25</v>
      </c>
      <c r="E55" s="35">
        <f t="shared" si="6"/>
        <v>38</v>
      </c>
      <c r="F55" s="35">
        <f t="shared" si="6"/>
        <v>4.2667961534992784</v>
      </c>
      <c r="G55" s="35">
        <f t="shared" si="6"/>
        <v>4.25</v>
      </c>
      <c r="H55" s="63"/>
    </row>
    <row r="56" spans="1:8" x14ac:dyDescent="0.15">
      <c r="B56"/>
    </row>
    <row r="57" spans="1:8" x14ac:dyDescent="0.15">
      <c r="B57"/>
    </row>
    <row r="58" spans="1:8" x14ac:dyDescent="0.15">
      <c r="B58"/>
    </row>
    <row r="59" spans="1:8" x14ac:dyDescent="0.15">
      <c r="B59"/>
    </row>
    <row r="60" spans="1:8" x14ac:dyDescent="0.15">
      <c r="B60"/>
    </row>
    <row r="61" spans="1:8" x14ac:dyDescent="0.15">
      <c r="B61"/>
    </row>
    <row r="62" spans="1:8" x14ac:dyDescent="0.15">
      <c r="B62"/>
    </row>
    <row r="63" spans="1:8" x14ac:dyDescent="0.15">
      <c r="B63"/>
    </row>
    <row r="64" spans="1:8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  <row r="141" spans="2:2" x14ac:dyDescent="0.15">
      <c r="B141"/>
    </row>
    <row r="142" spans="2:2" x14ac:dyDescent="0.15">
      <c r="B142"/>
    </row>
    <row r="143" spans="2:2" x14ac:dyDescent="0.15">
      <c r="B143"/>
    </row>
    <row r="144" spans="2:2" x14ac:dyDescent="0.15">
      <c r="B144"/>
    </row>
    <row r="145" spans="2:2" x14ac:dyDescent="0.15">
      <c r="B145"/>
    </row>
    <row r="146" spans="2:2" x14ac:dyDescent="0.15">
      <c r="B146"/>
    </row>
    <row r="147" spans="2:2" x14ac:dyDescent="0.15">
      <c r="B147"/>
    </row>
    <row r="148" spans="2:2" x14ac:dyDescent="0.15">
      <c r="B148"/>
    </row>
    <row r="149" spans="2:2" x14ac:dyDescent="0.15">
      <c r="B149"/>
    </row>
    <row r="150" spans="2:2" x14ac:dyDescent="0.15">
      <c r="B150"/>
    </row>
    <row r="151" spans="2:2" x14ac:dyDescent="0.15">
      <c r="B151"/>
    </row>
  </sheetData>
  <phoneticPr fontId="6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Labs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2020-09-07T14:38:33Z</cp:lastPrinted>
  <dcterms:created xsi:type="dcterms:W3CDTF">2008-09-16T13:43:39Z</dcterms:created>
  <dcterms:modified xsi:type="dcterms:W3CDTF">2021-12-27T23:18:42Z</dcterms:modified>
</cp:coreProperties>
</file>