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40/2022/Grades/"/>
    </mc:Choice>
  </mc:AlternateContent>
  <xr:revisionPtr revIDLastSave="0" documentId="13_ncr:1_{FB23D00A-32E0-9244-AE03-0363DA8005C5}" xr6:coauthVersionLast="47" xr6:coauthVersionMax="47" xr10:uidLastSave="{00000000-0000-0000-0000-000000000000}"/>
  <bookViews>
    <workbookView xWindow="9220" yWindow="500" windowWidth="20280" windowHeight="17860" tabRatio="334" activeTab="3" xr2:uid="{00000000-000D-0000-FFFF-FFFF00000000}"/>
  </bookViews>
  <sheets>
    <sheet name="Quizzes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5" l="1"/>
  <c r="H38" i="5"/>
  <c r="I37" i="5"/>
  <c r="H37" i="5"/>
  <c r="I36" i="5"/>
  <c r="H36" i="5"/>
  <c r="I35" i="5"/>
  <c r="H35" i="5"/>
  <c r="I34" i="5"/>
  <c r="H34" i="5"/>
  <c r="I32" i="5"/>
  <c r="H32" i="5"/>
  <c r="I31" i="5"/>
  <c r="H31" i="5"/>
  <c r="I30" i="5"/>
  <c r="H30" i="5"/>
  <c r="I29" i="5"/>
  <c r="H29" i="5"/>
  <c r="I26" i="5"/>
  <c r="H26" i="5"/>
  <c r="I25" i="5"/>
  <c r="H25" i="5"/>
  <c r="I24" i="5"/>
  <c r="I23" i="5"/>
  <c r="H23" i="5"/>
  <c r="I22" i="5"/>
  <c r="I21" i="5"/>
  <c r="H21" i="5"/>
  <c r="I20" i="5"/>
  <c r="H20" i="5"/>
  <c r="I18" i="5"/>
  <c r="H18" i="5"/>
  <c r="I17" i="5"/>
  <c r="I16" i="5"/>
  <c r="H16" i="5"/>
  <c r="I15" i="5"/>
  <c r="H15" i="5"/>
  <c r="I13" i="5"/>
  <c r="H13" i="5"/>
  <c r="I12" i="5"/>
  <c r="H12" i="5"/>
  <c r="I9" i="5"/>
  <c r="H9" i="5"/>
  <c r="I8" i="5"/>
  <c r="H8" i="5"/>
  <c r="H7" i="5"/>
  <c r="I4" i="5"/>
  <c r="H4" i="5"/>
  <c r="I3" i="5"/>
  <c r="H3" i="5"/>
  <c r="I2" i="5"/>
  <c r="H2" i="5"/>
  <c r="G39" i="5" l="1"/>
  <c r="G38" i="5"/>
  <c r="G37" i="5"/>
  <c r="G36" i="5"/>
  <c r="G35" i="5"/>
  <c r="G34" i="5"/>
  <c r="G32" i="5"/>
  <c r="G31" i="5"/>
  <c r="G30" i="5"/>
  <c r="G29" i="5"/>
  <c r="G26" i="5"/>
  <c r="G25" i="5"/>
  <c r="G24" i="5"/>
  <c r="G23" i="5"/>
  <c r="G21" i="5"/>
  <c r="G20" i="5"/>
  <c r="G19" i="5"/>
  <c r="G18" i="5"/>
  <c r="G16" i="5"/>
  <c r="G15" i="5"/>
  <c r="G13" i="5"/>
  <c r="G12" i="5"/>
  <c r="G11" i="5"/>
  <c r="G9" i="5"/>
  <c r="G8" i="5"/>
  <c r="G7" i="5"/>
  <c r="G6" i="5"/>
  <c r="G4" i="5"/>
  <c r="G3" i="5"/>
  <c r="G2" i="5"/>
  <c r="B6" i="3"/>
  <c r="F38" i="5"/>
  <c r="F37" i="5"/>
  <c r="F36" i="5"/>
  <c r="F35" i="5"/>
  <c r="F34" i="5"/>
  <c r="F32" i="5"/>
  <c r="F31" i="5"/>
  <c r="F30" i="5"/>
  <c r="F26" i="5"/>
  <c r="F25" i="5"/>
  <c r="F24" i="5"/>
  <c r="F21" i="5"/>
  <c r="F20" i="5"/>
  <c r="F18" i="5"/>
  <c r="F16" i="5"/>
  <c r="F15" i="5"/>
  <c r="F13" i="5"/>
  <c r="F12" i="5"/>
  <c r="F11" i="5"/>
  <c r="F9" i="5"/>
  <c r="F8" i="5"/>
  <c r="F7" i="5"/>
  <c r="F6" i="5"/>
  <c r="F4" i="5"/>
  <c r="F3" i="5"/>
  <c r="F2" i="5"/>
  <c r="D38" i="5"/>
  <c r="B15" i="3" l="1"/>
  <c r="B34" i="3"/>
  <c r="B26" i="3"/>
  <c r="B24" i="3"/>
  <c r="B3" i="3"/>
  <c r="B38" i="3"/>
  <c r="B37" i="3"/>
  <c r="B36" i="3"/>
  <c r="B35" i="3"/>
  <c r="B33" i="3"/>
  <c r="B32" i="3"/>
  <c r="B31" i="3"/>
  <c r="B30" i="3"/>
  <c r="B29" i="3"/>
  <c r="B28" i="3"/>
  <c r="D26" i="2"/>
  <c r="B25" i="3"/>
  <c r="B23" i="3"/>
  <c r="B22" i="3"/>
  <c r="B21" i="3"/>
  <c r="B20" i="3"/>
  <c r="B18" i="3"/>
  <c r="B17" i="3"/>
  <c r="B16" i="3"/>
  <c r="B14" i="3"/>
  <c r="B13" i="3"/>
  <c r="D13" i="2" s="1"/>
  <c r="B12" i="3"/>
  <c r="B11" i="3"/>
  <c r="B10" i="3"/>
  <c r="B9" i="3"/>
  <c r="B8" i="3"/>
  <c r="B7" i="3"/>
  <c r="B4" i="3"/>
  <c r="B2" i="3"/>
  <c r="E39" i="5"/>
  <c r="E38" i="5"/>
  <c r="E37" i="5"/>
  <c r="E36" i="5"/>
  <c r="E35" i="5"/>
  <c r="E34" i="5"/>
  <c r="E31" i="5"/>
  <c r="E30" i="5"/>
  <c r="E28" i="5"/>
  <c r="E26" i="5"/>
  <c r="E25" i="5"/>
  <c r="E24" i="5"/>
  <c r="E23" i="5"/>
  <c r="E21" i="5"/>
  <c r="E20" i="5"/>
  <c r="E18" i="5"/>
  <c r="E17" i="5"/>
  <c r="E16" i="5"/>
  <c r="E13" i="5"/>
  <c r="E12" i="5"/>
  <c r="E11" i="5"/>
  <c r="E8" i="5"/>
  <c r="E7" i="5"/>
  <c r="E6" i="5"/>
  <c r="E44" i="5" s="1"/>
  <c r="E4" i="5"/>
  <c r="E3" i="5"/>
  <c r="E2" i="5"/>
  <c r="D37" i="5"/>
  <c r="D36" i="5"/>
  <c r="D35" i="5"/>
  <c r="D34" i="5"/>
  <c r="D32" i="5"/>
  <c r="D31" i="5"/>
  <c r="D30" i="5"/>
  <c r="D29" i="5"/>
  <c r="D26" i="5"/>
  <c r="D25" i="5"/>
  <c r="D24" i="5"/>
  <c r="D23" i="5"/>
  <c r="D22" i="5"/>
  <c r="D21" i="5"/>
  <c r="D20" i="5"/>
  <c r="D18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C38" i="5"/>
  <c r="C37" i="5"/>
  <c r="C36" i="5"/>
  <c r="C35" i="5"/>
  <c r="C34" i="5"/>
  <c r="C32" i="5"/>
  <c r="C31" i="5"/>
  <c r="C30" i="5"/>
  <c r="C29" i="5"/>
  <c r="C28" i="5"/>
  <c r="C26" i="5"/>
  <c r="C25" i="5"/>
  <c r="C24" i="5"/>
  <c r="C23" i="5"/>
  <c r="C22" i="5"/>
  <c r="C21" i="5"/>
  <c r="C20" i="5"/>
  <c r="C18" i="5"/>
  <c r="C17" i="5"/>
  <c r="C16" i="5"/>
  <c r="C15" i="5"/>
  <c r="C14" i="5"/>
  <c r="C13" i="5"/>
  <c r="C12" i="5"/>
  <c r="C42" i="5" s="1"/>
  <c r="C11" i="5"/>
  <c r="C10" i="5"/>
  <c r="C9" i="5"/>
  <c r="C8" i="5"/>
  <c r="C7" i="5"/>
  <c r="C6" i="5"/>
  <c r="C4" i="5"/>
  <c r="C3" i="5"/>
  <c r="C2" i="5"/>
  <c r="C44" i="5" s="1"/>
  <c r="B13" i="5"/>
  <c r="B38" i="5"/>
  <c r="B37" i="5"/>
  <c r="B36" i="5"/>
  <c r="B35" i="5"/>
  <c r="B34" i="5"/>
  <c r="B32" i="5"/>
  <c r="B31" i="5"/>
  <c r="B30" i="5"/>
  <c r="B29" i="5"/>
  <c r="B26" i="5"/>
  <c r="B25" i="5"/>
  <c r="B24" i="5"/>
  <c r="B23" i="5"/>
  <c r="B22" i="5"/>
  <c r="B21" i="5"/>
  <c r="B20" i="5"/>
  <c r="B19" i="5"/>
  <c r="B18" i="5"/>
  <c r="B15" i="5"/>
  <c r="B14" i="5"/>
  <c r="B12" i="5"/>
  <c r="B11" i="5"/>
  <c r="B10" i="5"/>
  <c r="B9" i="5"/>
  <c r="B8" i="5"/>
  <c r="B7" i="5"/>
  <c r="B6" i="5"/>
  <c r="B4" i="5"/>
  <c r="B3" i="5"/>
  <c r="B2" i="5"/>
  <c r="B44" i="5" s="1"/>
  <c r="H45" i="5"/>
  <c r="H44" i="5"/>
  <c r="H43" i="5"/>
  <c r="H42" i="5"/>
  <c r="G45" i="5"/>
  <c r="G44" i="5"/>
  <c r="G43" i="5"/>
  <c r="G42" i="5"/>
  <c r="K45" i="1"/>
  <c r="K44" i="1"/>
  <c r="K43" i="1"/>
  <c r="K42" i="1"/>
  <c r="I44" i="5"/>
  <c r="F44" i="5"/>
  <c r="I43" i="5"/>
  <c r="F43" i="5"/>
  <c r="I42" i="5"/>
  <c r="F42" i="5"/>
  <c r="C43" i="5" l="1"/>
  <c r="B42" i="5"/>
  <c r="B43" i="5"/>
  <c r="E43" i="5"/>
  <c r="E42" i="5"/>
  <c r="D44" i="5"/>
  <c r="D42" i="5"/>
  <c r="D43" i="5"/>
  <c r="C44" i="3"/>
  <c r="C42" i="3"/>
  <c r="C43" i="3"/>
  <c r="B43" i="3" l="1"/>
  <c r="B44" i="3"/>
  <c r="B42" i="3"/>
  <c r="B41" i="2" l="1"/>
  <c r="C41" i="2"/>
  <c r="E41" i="2"/>
  <c r="B45" i="1"/>
  <c r="C45" i="1"/>
  <c r="D45" i="1"/>
  <c r="E45" i="1"/>
  <c r="F45" i="1"/>
  <c r="G45" i="1"/>
  <c r="H45" i="1"/>
  <c r="I45" i="1"/>
  <c r="J45" i="1"/>
  <c r="B45" i="5"/>
  <c r="C45" i="5"/>
  <c r="D45" i="5"/>
  <c r="F45" i="5"/>
  <c r="I45" i="5"/>
  <c r="J44" i="1"/>
  <c r="D2" i="2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B44" i="1"/>
  <c r="B43" i="1"/>
  <c r="B42" i="1"/>
  <c r="C44" i="1"/>
  <c r="C43" i="1"/>
  <c r="C42" i="1"/>
  <c r="L39" i="1" l="1"/>
  <c r="L27" i="1"/>
  <c r="L15" i="1"/>
  <c r="L3" i="1"/>
  <c r="B3" i="2" s="1"/>
  <c r="L25" i="1"/>
  <c r="B25" i="2" s="1"/>
  <c r="L36" i="1"/>
  <c r="B36" i="2" s="1"/>
  <c r="L35" i="1"/>
  <c r="B35" i="2" s="1"/>
  <c r="L11" i="1"/>
  <c r="B11" i="2" s="1"/>
  <c r="L34" i="1"/>
  <c r="B34" i="2" s="1"/>
  <c r="L10" i="1"/>
  <c r="B10" i="2" s="1"/>
  <c r="L21" i="1"/>
  <c r="B21" i="2" s="1"/>
  <c r="L32" i="1"/>
  <c r="B32" i="2" s="1"/>
  <c r="L8" i="1"/>
  <c r="L19" i="1"/>
  <c r="L18" i="1"/>
  <c r="B18" i="2" s="1"/>
  <c r="L5" i="1"/>
  <c r="L28" i="1"/>
  <c r="B28" i="2" s="1"/>
  <c r="L38" i="1"/>
  <c r="L26" i="1"/>
  <c r="B26" i="2" s="1"/>
  <c r="L14" i="1"/>
  <c r="B14" i="2" s="1"/>
  <c r="L2" i="1"/>
  <c r="B2" i="2" s="1"/>
  <c r="L37" i="1"/>
  <c r="B37" i="2" s="1"/>
  <c r="L13" i="1"/>
  <c r="B13" i="2" s="1"/>
  <c r="L24" i="1"/>
  <c r="B24" i="2" s="1"/>
  <c r="L12" i="1"/>
  <c r="L23" i="1"/>
  <c r="L22" i="1"/>
  <c r="B22" i="2" s="1"/>
  <c r="L33" i="1"/>
  <c r="B33" i="2" s="1"/>
  <c r="L9" i="1"/>
  <c r="B9" i="2" s="1"/>
  <c r="L20" i="1"/>
  <c r="B20" i="2" s="1"/>
  <c r="L31" i="1"/>
  <c r="B31" i="2" s="1"/>
  <c r="L30" i="1"/>
  <c r="B30" i="2" s="1"/>
  <c r="L29" i="1"/>
  <c r="B29" i="2" s="1"/>
  <c r="L16" i="1"/>
  <c r="B16" i="2" s="1"/>
  <c r="L7" i="1"/>
  <c r="B7" i="2" s="1"/>
  <c r="L6" i="1"/>
  <c r="B6" i="2" s="1"/>
  <c r="L17" i="1"/>
  <c r="L4" i="1"/>
  <c r="B4" i="2" s="1"/>
  <c r="B8" i="2"/>
  <c r="B17" i="2"/>
  <c r="B5" i="2"/>
  <c r="B27" i="2"/>
  <c r="B12" i="2"/>
  <c r="B19" i="2"/>
  <c r="B15" i="2"/>
  <c r="B38" i="2"/>
  <c r="B23" i="2"/>
  <c r="B39" i="2"/>
  <c r="E44" i="2"/>
  <c r="D43" i="2"/>
  <c r="E42" i="2"/>
  <c r="D44" i="2"/>
  <c r="E43" i="2"/>
  <c r="D42" i="2"/>
  <c r="B44" i="2" l="1"/>
  <c r="B43" i="2"/>
  <c r="B42" i="2"/>
  <c r="L44" i="1"/>
  <c r="L43" i="1"/>
  <c r="L42" i="1"/>
  <c r="E45" i="5" l="1"/>
  <c r="J39" i="5" l="1"/>
  <c r="C39" i="2" s="1"/>
  <c r="F39" i="2" s="1"/>
  <c r="J8" i="5"/>
  <c r="C8" i="2" s="1"/>
  <c r="F8" i="2" s="1"/>
  <c r="J5" i="5"/>
  <c r="C5" i="2" s="1"/>
  <c r="F5" i="2" s="1"/>
  <c r="G5" i="2" s="1"/>
  <c r="H5" i="2" s="1"/>
  <c r="J29" i="5"/>
  <c r="C29" i="2" s="1"/>
  <c r="F29" i="2" s="1"/>
  <c r="G29" i="2" s="1"/>
  <c r="H29" i="2" s="1"/>
  <c r="J11" i="5"/>
  <c r="C11" i="2" s="1"/>
  <c r="F11" i="2" s="1"/>
  <c r="G11" i="2" s="1"/>
  <c r="H11" i="2" s="1"/>
  <c r="J31" i="5"/>
  <c r="C31" i="2" s="1"/>
  <c r="F31" i="2" s="1"/>
  <c r="G31" i="2" s="1"/>
  <c r="H31" i="2" s="1"/>
  <c r="J18" i="5"/>
  <c r="C18" i="2" s="1"/>
  <c r="F18" i="2" s="1"/>
  <c r="G18" i="2" s="1"/>
  <c r="H18" i="2" s="1"/>
  <c r="J10" i="5"/>
  <c r="C10" i="2" s="1"/>
  <c r="F10" i="2" s="1"/>
  <c r="G10" i="2" s="1"/>
  <c r="H10" i="2" s="1"/>
  <c r="J27" i="5"/>
  <c r="C27" i="2" s="1"/>
  <c r="F27" i="2" s="1"/>
  <c r="G27" i="2" s="1"/>
  <c r="H27" i="2" s="1"/>
  <c r="J19" i="5"/>
  <c r="C19" i="2" s="1"/>
  <c r="F19" i="2" s="1"/>
  <c r="G19" i="2" s="1"/>
  <c r="H19" i="2" s="1"/>
  <c r="J16" i="5"/>
  <c r="C16" i="2" s="1"/>
  <c r="F16" i="2" s="1"/>
  <c r="G16" i="2" s="1"/>
  <c r="H16" i="2" s="1"/>
  <c r="J30" i="5"/>
  <c r="C30" i="2" s="1"/>
  <c r="F30" i="2" s="1"/>
  <c r="G30" i="2" s="1"/>
  <c r="H30" i="2" s="1"/>
  <c r="J37" i="5"/>
  <c r="C37" i="2" s="1"/>
  <c r="F37" i="2" s="1"/>
  <c r="J28" i="5"/>
  <c r="C28" i="2" s="1"/>
  <c r="F28" i="2" s="1"/>
  <c r="J36" i="5"/>
  <c r="C36" i="2" s="1"/>
  <c r="F36" i="2" s="1"/>
  <c r="J23" i="5"/>
  <c r="C23" i="2" s="1"/>
  <c r="F23" i="2" s="1"/>
  <c r="J32" i="5"/>
  <c r="C32" i="2" s="1"/>
  <c r="F32" i="2" s="1"/>
  <c r="G32" i="2" s="1"/>
  <c r="H32" i="2" s="1"/>
  <c r="J7" i="5"/>
  <c r="C7" i="2" s="1"/>
  <c r="F7" i="2" s="1"/>
  <c r="G7" i="2" s="1"/>
  <c r="H7" i="2" s="1"/>
  <c r="J15" i="5"/>
  <c r="C15" i="2" s="1"/>
  <c r="F15" i="2" s="1"/>
  <c r="G15" i="2" s="1"/>
  <c r="H15" i="2" s="1"/>
  <c r="J38" i="5"/>
  <c r="C38" i="2" s="1"/>
  <c r="F38" i="2" s="1"/>
  <c r="G38" i="2" s="1"/>
  <c r="H38" i="2" s="1"/>
  <c r="J22" i="5"/>
  <c r="C22" i="2" s="1"/>
  <c r="F22" i="2" s="1"/>
  <c r="G22" i="2" s="1"/>
  <c r="H22" i="2" s="1"/>
  <c r="J9" i="5"/>
  <c r="C9" i="2" s="1"/>
  <c r="F9" i="2" s="1"/>
  <c r="G9" i="2" s="1"/>
  <c r="H9" i="2" s="1"/>
  <c r="J35" i="5"/>
  <c r="C35" i="2" s="1"/>
  <c r="F35" i="2" s="1"/>
  <c r="G35" i="2" s="1"/>
  <c r="H35" i="2" s="1"/>
  <c r="J3" i="5"/>
  <c r="C3" i="2" s="1"/>
  <c r="F3" i="2" s="1"/>
  <c r="G3" i="2" s="1"/>
  <c r="H3" i="2" s="1"/>
  <c r="J12" i="5"/>
  <c r="C12" i="2" s="1"/>
  <c r="F12" i="2" s="1"/>
  <c r="J34" i="5"/>
  <c r="C34" i="2" s="1"/>
  <c r="F34" i="2" s="1"/>
  <c r="J24" i="5"/>
  <c r="C24" i="2" s="1"/>
  <c r="F24" i="2" s="1"/>
  <c r="G24" i="2" s="1"/>
  <c r="H24" i="2" s="1"/>
  <c r="J33" i="5"/>
  <c r="C33" i="2" s="1"/>
  <c r="F33" i="2" s="1"/>
  <c r="G33" i="2" s="1"/>
  <c r="H33" i="2" s="1"/>
  <c r="J26" i="5"/>
  <c r="C26" i="2" s="1"/>
  <c r="F26" i="2" s="1"/>
  <c r="G26" i="2" s="1"/>
  <c r="H26" i="2" s="1"/>
  <c r="J25" i="5"/>
  <c r="C25" i="2" s="1"/>
  <c r="F25" i="2" s="1"/>
  <c r="G25" i="2" s="1"/>
  <c r="H25" i="2" s="1"/>
  <c r="J13" i="5"/>
  <c r="C13" i="2" s="1"/>
  <c r="F13" i="2" s="1"/>
  <c r="G13" i="2" s="1"/>
  <c r="H13" i="2" s="1"/>
  <c r="J20" i="5"/>
  <c r="C20" i="2" s="1"/>
  <c r="F20" i="2" s="1"/>
  <c r="G20" i="2" s="1"/>
  <c r="H20" i="2" s="1"/>
  <c r="J4" i="5"/>
  <c r="C4" i="2" s="1"/>
  <c r="F4" i="2" s="1"/>
  <c r="G4" i="2" s="1"/>
  <c r="H4" i="2" s="1"/>
  <c r="J6" i="5"/>
  <c r="C6" i="2" s="1"/>
  <c r="F6" i="2" s="1"/>
  <c r="G6" i="2" s="1"/>
  <c r="H6" i="2" s="1"/>
  <c r="J14" i="5"/>
  <c r="C14" i="2" s="1"/>
  <c r="F14" i="2" s="1"/>
  <c r="G14" i="2" s="1"/>
  <c r="H14" i="2" s="1"/>
  <c r="J21" i="5"/>
  <c r="C21" i="2" s="1"/>
  <c r="F21" i="2" s="1"/>
  <c r="G21" i="2" s="1"/>
  <c r="H21" i="2" s="1"/>
  <c r="J17" i="5"/>
  <c r="C17" i="2" s="1"/>
  <c r="F17" i="2" s="1"/>
  <c r="J2" i="5"/>
  <c r="C2" i="2" s="1"/>
  <c r="F2" i="2" s="1"/>
  <c r="G28" i="2"/>
  <c r="H28" i="2" s="1"/>
  <c r="G39" i="2"/>
  <c r="H39" i="2" s="1"/>
  <c r="G36" i="2"/>
  <c r="H36" i="2" s="1"/>
  <c r="G37" i="2"/>
  <c r="H37" i="2" s="1"/>
  <c r="G12" i="2"/>
  <c r="H12" i="2" s="1"/>
  <c r="G23" i="2"/>
  <c r="H23" i="2" s="1"/>
  <c r="G8" i="2"/>
  <c r="H8" i="2" s="1"/>
  <c r="G34" i="2"/>
  <c r="H34" i="2" s="1"/>
  <c r="G17" i="2"/>
  <c r="H17" i="2" s="1"/>
  <c r="J43" i="5" l="1"/>
  <c r="J42" i="5"/>
  <c r="J44" i="5"/>
  <c r="C43" i="2"/>
  <c r="C42" i="2"/>
  <c r="C44" i="2"/>
  <c r="F42" i="2" l="1"/>
  <c r="F44" i="2"/>
  <c r="G2" i="2"/>
  <c r="F43" i="2"/>
  <c r="H2" i="2" l="1"/>
  <c r="H42" i="2" s="1"/>
  <c r="G43" i="2"/>
  <c r="G44" i="2"/>
  <c r="G42" i="2"/>
</calcChain>
</file>

<file path=xl/sharedStrings.xml><?xml version="1.0" encoding="utf-8"?>
<sst xmlns="http://schemas.openxmlformats.org/spreadsheetml/2006/main" count="68" uniqueCount="41">
  <si>
    <t>Τελική Εξέταση</t>
    <phoneticPr fontId="6"/>
  </si>
  <si>
    <t>Βαθμός</t>
    <phoneticPr fontId="6"/>
  </si>
  <si>
    <t>Passed</t>
    <phoneticPr fontId="6"/>
  </si>
  <si>
    <t>Τελικός Βαθμός</t>
    <phoneticPr fontId="6"/>
  </si>
  <si>
    <t>Αρ. Ταυτότητας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</si>
  <si>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</si>
  <si>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</si>
  <si>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</si>
  <si>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</si>
  <si>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</si>
  <si>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</si>
  <si>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</si>
  <si>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Total</t>
  </si>
  <si>
    <t xml:space="preserve">Max Score </t>
  </si>
  <si>
    <t>Average</t>
  </si>
  <si>
    <t>Std. Dev.</t>
  </si>
  <si>
    <t>Median</t>
    <phoneticPr fontId="6"/>
  </si>
  <si>
    <t>Valid</t>
  </si>
  <si>
    <t>Quizzes  not counted</t>
  </si>
  <si>
    <t>Πρόοδος</t>
  </si>
  <si>
    <t xml:space="preserve">Σκορ στις ασκήσεις ενδιάμεσης </t>
  </si>
  <si>
    <t>Bin limits</t>
  </si>
  <si>
    <t>Frequency</t>
  </si>
  <si>
    <t xml:space="preserve"> </t>
  </si>
  <si>
    <t>Hm 8</t>
  </si>
  <si>
    <t>Hm 7</t>
  </si>
  <si>
    <t>Quizzes Total</t>
  </si>
  <si>
    <t>Quiz01</t>
  </si>
  <si>
    <t>Quiz02</t>
  </si>
  <si>
    <t>Quiz03</t>
  </si>
  <si>
    <t>Quiz04</t>
  </si>
  <si>
    <t>Quiz05</t>
  </si>
  <si>
    <t>Quiz06</t>
  </si>
  <si>
    <t>Quiz07</t>
  </si>
  <si>
    <t>Quiz08</t>
  </si>
  <si>
    <t>Quiz09</t>
  </si>
  <si>
    <t>Quiz10</t>
  </si>
  <si>
    <t>Quiz Total</t>
  </si>
  <si>
    <t>0058</t>
  </si>
  <si>
    <t>0218</t>
  </si>
  <si>
    <t>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</si>
</sst>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2"/>
      <color indexed="10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b/>
      <sz val="12"/>
      <color indexed="17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theme="1"/>
      <name val="Verdana"/>
      <family val="2"/>
    </font>
    <font>
      <sz val="13"/>
      <color rgb="FF000000"/>
      <name val="Verdana"/>
      <family val="2"/>
      <charset val="1"/>
    </font>
    <font>
      <sz val="13"/>
      <name val="Verdana"/>
      <family val="2"/>
      <charset val="1"/>
    </font>
    <font>
      <sz val="14"/>
      <color indexed="8"/>
      <name val="Verdana"/>
      <family val="2"/>
    </font>
    <font>
      <sz val="14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49" fontId="2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0" xfId="0" applyFont="1"/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164" fontId="11" fillId="7" borderId="4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6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opLeftCell="A24" zoomScaleNormal="100" workbookViewId="0">
      <selection activeCell="M1" sqref="M1"/>
    </sheetView>
  </sheetViews>
  <sheetFormatPr baseColWidth="10" defaultRowHeight="16" x14ac:dyDescent="0.15"/>
  <cols>
    <col min="1" max="1" width="25.83203125" customWidth="1"/>
    <col min="2" max="2" width="9.83203125" style="8" customWidth="1"/>
    <col min="3" max="11" width="9.83203125" style="9" customWidth="1"/>
    <col min="12" max="12" width="12.83203125" style="9" customWidth="1"/>
    <col min="13" max="13" width="12.6640625" style="10" customWidth="1"/>
  </cols>
  <sheetData>
    <row r="1" spans="1:13" ht="29" customHeight="1" x14ac:dyDescent="0.15">
      <c r="A1" s="13" t="s">
        <v>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4" t="s">
        <v>37</v>
      </c>
      <c r="M1"/>
    </row>
    <row r="2" spans="1:13" ht="29" customHeight="1" x14ac:dyDescent="0.15">
      <c r="A2" s="59" t="s">
        <v>38</v>
      </c>
      <c r="B2" s="49">
        <v>5</v>
      </c>
      <c r="C2" s="26">
        <v>7</v>
      </c>
      <c r="D2" s="49">
        <v>10</v>
      </c>
      <c r="E2" s="49">
        <v>7</v>
      </c>
      <c r="F2" s="27">
        <v>5</v>
      </c>
      <c r="G2" s="52">
        <v>4</v>
      </c>
      <c r="H2" s="27">
        <v>3</v>
      </c>
      <c r="I2" s="52">
        <v>4</v>
      </c>
      <c r="J2" s="52">
        <v>8</v>
      </c>
      <c r="K2" s="27">
        <v>0</v>
      </c>
      <c r="L2" s="30">
        <f>IF(SUM($B$45:$K$45)&gt;0,$L$41*(B2/$B$41+C2/$C$41+D2/$D$41+E2/$E$41+F2/$F$41+G2/$G$41+H2/$H$41+I2/$I$41+J2/$J$41+K2/$K$41)/SUM($B$45:$K$45),0)</f>
        <v>0.34500000000000003</v>
      </c>
      <c r="M2"/>
    </row>
    <row r="3" spans="1:13" ht="29" customHeight="1" x14ac:dyDescent="0.15">
      <c r="A3" s="59" t="s">
        <v>39</v>
      </c>
      <c r="B3" s="49">
        <v>10</v>
      </c>
      <c r="C3" s="26">
        <v>7</v>
      </c>
      <c r="D3" s="49">
        <v>12.5</v>
      </c>
      <c r="E3" s="49">
        <v>6</v>
      </c>
      <c r="F3" s="27">
        <v>11</v>
      </c>
      <c r="G3" s="52">
        <v>0</v>
      </c>
      <c r="H3" s="27">
        <v>14</v>
      </c>
      <c r="I3" s="52">
        <v>3</v>
      </c>
      <c r="J3" s="52">
        <v>13</v>
      </c>
      <c r="K3" s="27">
        <v>6</v>
      </c>
      <c r="L3" s="30">
        <f t="shared" ref="L3:L39" si="0">IF(SUM($B$45:$K$45)&gt;0,$L$41*(B3/$B$41+C3/$C$41+D3/$D$41+E3/$E$41+F3/$F$41+G3/$G$41+H3/$H$41+I3/$I$41+J3/$J$41+K3/$K$41)/SUM($B$45:$K$45),0)</f>
        <v>0.53333333333333344</v>
      </c>
      <c r="M3"/>
    </row>
    <row r="4" spans="1:13" ht="29" customHeight="1" x14ac:dyDescent="0.15">
      <c r="A4" s="59" t="s">
        <v>40</v>
      </c>
      <c r="B4" s="49">
        <v>17</v>
      </c>
      <c r="C4" s="26">
        <v>7.5</v>
      </c>
      <c r="D4" s="49">
        <v>9</v>
      </c>
      <c r="E4" s="49">
        <v>6</v>
      </c>
      <c r="F4" s="27">
        <v>4</v>
      </c>
      <c r="G4" s="52">
        <v>8</v>
      </c>
      <c r="H4" s="27">
        <v>7.5</v>
      </c>
      <c r="I4" s="52">
        <v>9</v>
      </c>
      <c r="J4" s="52">
        <v>10</v>
      </c>
      <c r="K4" s="27">
        <v>15</v>
      </c>
      <c r="L4" s="30">
        <f t="shared" si="0"/>
        <v>0.59166666666666667</v>
      </c>
      <c r="M4"/>
    </row>
    <row r="5" spans="1:13" ht="29" customHeight="1" x14ac:dyDescent="0.15">
      <c r="A5" s="60">
        <v>1291</v>
      </c>
      <c r="B5" s="49">
        <v>0</v>
      </c>
      <c r="C5" s="26">
        <v>0</v>
      </c>
      <c r="D5" s="49">
        <v>0</v>
      </c>
      <c r="E5" s="49">
        <v>0</v>
      </c>
      <c r="F5" s="27">
        <v>0</v>
      </c>
      <c r="G5" s="52">
        <v>0</v>
      </c>
      <c r="H5" s="27">
        <v>0</v>
      </c>
      <c r="I5" s="52">
        <v>0</v>
      </c>
      <c r="J5" s="52">
        <v>0</v>
      </c>
      <c r="K5" s="27">
        <v>0</v>
      </c>
      <c r="L5" s="30">
        <f t="shared" si="0"/>
        <v>0</v>
      </c>
      <c r="M5"/>
    </row>
    <row r="6" spans="1:13" ht="29" customHeight="1" x14ac:dyDescent="0.15">
      <c r="A6" s="60">
        <v>1506</v>
      </c>
      <c r="B6" s="49">
        <v>11</v>
      </c>
      <c r="C6" s="26">
        <v>7</v>
      </c>
      <c r="D6" s="49">
        <v>8</v>
      </c>
      <c r="E6" s="49">
        <v>3</v>
      </c>
      <c r="F6" s="27">
        <v>2</v>
      </c>
      <c r="G6" s="52">
        <v>11</v>
      </c>
      <c r="H6" s="27">
        <v>0</v>
      </c>
      <c r="I6" s="52">
        <v>6</v>
      </c>
      <c r="J6" s="52">
        <v>3</v>
      </c>
      <c r="K6" s="27">
        <v>0</v>
      </c>
      <c r="L6" s="30">
        <f t="shared" si="0"/>
        <v>0.32166666666666666</v>
      </c>
      <c r="M6"/>
    </row>
    <row r="7" spans="1:13" ht="29" customHeight="1" x14ac:dyDescent="0.15">
      <c r="A7" s="60">
        <v>1742</v>
      </c>
      <c r="B7" s="49">
        <v>3</v>
      </c>
      <c r="C7" s="26">
        <v>5</v>
      </c>
      <c r="D7" s="49">
        <v>2</v>
      </c>
      <c r="E7" s="49">
        <v>0.5</v>
      </c>
      <c r="F7" s="27">
        <v>1</v>
      </c>
      <c r="G7" s="52">
        <v>10</v>
      </c>
      <c r="H7" s="27">
        <v>1</v>
      </c>
      <c r="I7" s="52">
        <v>8</v>
      </c>
      <c r="J7" s="52">
        <v>2</v>
      </c>
      <c r="K7" s="27">
        <v>0</v>
      </c>
      <c r="L7" s="30">
        <f t="shared" si="0"/>
        <v>0.21166666666666667</v>
      </c>
      <c r="M7"/>
    </row>
    <row r="8" spans="1:13" ht="29" customHeight="1" x14ac:dyDescent="0.15">
      <c r="A8" s="60">
        <v>1772</v>
      </c>
      <c r="B8" s="49">
        <v>1</v>
      </c>
      <c r="C8" s="26">
        <v>0</v>
      </c>
      <c r="D8" s="49">
        <v>7</v>
      </c>
      <c r="E8" s="49">
        <v>2</v>
      </c>
      <c r="F8" s="27">
        <v>4</v>
      </c>
      <c r="G8" s="52">
        <v>7</v>
      </c>
      <c r="H8" s="27">
        <v>12</v>
      </c>
      <c r="I8" s="52">
        <v>4</v>
      </c>
      <c r="J8" s="52">
        <v>3</v>
      </c>
      <c r="K8" s="27">
        <v>10</v>
      </c>
      <c r="L8" s="30">
        <f t="shared" si="0"/>
        <v>0.33166666666666667</v>
      </c>
      <c r="M8"/>
    </row>
    <row r="9" spans="1:13" ht="29" customHeight="1" x14ac:dyDescent="0.15">
      <c r="A9" s="60">
        <v>2151</v>
      </c>
      <c r="B9" s="49">
        <v>7</v>
      </c>
      <c r="C9" s="26">
        <v>7</v>
      </c>
      <c r="D9" s="49">
        <v>4</v>
      </c>
      <c r="E9" s="49">
        <v>0.5</v>
      </c>
      <c r="F9" s="27">
        <v>3</v>
      </c>
      <c r="G9" s="52">
        <v>2.5</v>
      </c>
      <c r="H9" s="27">
        <v>5</v>
      </c>
      <c r="I9" s="52">
        <v>1</v>
      </c>
      <c r="J9" s="52">
        <v>2</v>
      </c>
      <c r="K9" s="27">
        <v>0</v>
      </c>
      <c r="L9" s="30">
        <f t="shared" si="0"/>
        <v>0.20166666666666666</v>
      </c>
      <c r="M9"/>
    </row>
    <row r="10" spans="1:13" ht="29" customHeight="1" x14ac:dyDescent="0.15">
      <c r="A10" s="60">
        <v>2252</v>
      </c>
      <c r="B10" s="49">
        <v>1</v>
      </c>
      <c r="C10" s="26">
        <v>7</v>
      </c>
      <c r="D10" s="49">
        <v>6</v>
      </c>
      <c r="E10" s="49">
        <v>4</v>
      </c>
      <c r="F10" s="27">
        <v>7</v>
      </c>
      <c r="G10" s="52">
        <v>0</v>
      </c>
      <c r="H10" s="27">
        <v>12</v>
      </c>
      <c r="I10" s="52">
        <v>0</v>
      </c>
      <c r="J10" s="52">
        <v>0</v>
      </c>
      <c r="K10" s="27">
        <v>0</v>
      </c>
      <c r="L10" s="30">
        <f t="shared" si="0"/>
        <v>0.24500000000000002</v>
      </c>
      <c r="M10"/>
    </row>
    <row r="11" spans="1:13" ht="29" customHeight="1" x14ac:dyDescent="0.15">
      <c r="A11" s="60">
        <v>2441</v>
      </c>
      <c r="B11" s="49">
        <v>8</v>
      </c>
      <c r="C11" s="26">
        <v>3.5</v>
      </c>
      <c r="D11" s="49">
        <v>2</v>
      </c>
      <c r="E11" s="49">
        <v>0</v>
      </c>
      <c r="F11" s="27">
        <v>3</v>
      </c>
      <c r="G11" s="52">
        <v>4</v>
      </c>
      <c r="H11" s="27">
        <v>4</v>
      </c>
      <c r="I11" s="52">
        <v>5</v>
      </c>
      <c r="J11" s="52">
        <v>0</v>
      </c>
      <c r="K11" s="27">
        <v>0</v>
      </c>
      <c r="L11" s="30">
        <f t="shared" si="0"/>
        <v>0.18333333333333329</v>
      </c>
      <c r="M11"/>
    </row>
    <row r="12" spans="1:13" ht="29" customHeight="1" x14ac:dyDescent="0.15">
      <c r="A12" s="60">
        <v>2564</v>
      </c>
      <c r="B12" s="49">
        <v>18</v>
      </c>
      <c r="C12" s="26">
        <v>10</v>
      </c>
      <c r="D12" s="49">
        <v>12</v>
      </c>
      <c r="E12" s="49">
        <v>6.5</v>
      </c>
      <c r="F12" s="27">
        <v>12</v>
      </c>
      <c r="G12" s="52">
        <v>11</v>
      </c>
      <c r="H12" s="27">
        <v>15</v>
      </c>
      <c r="I12" s="52">
        <v>10</v>
      </c>
      <c r="J12" s="52">
        <v>8</v>
      </c>
      <c r="K12" s="27">
        <v>15</v>
      </c>
      <c r="L12" s="30">
        <f t="shared" si="0"/>
        <v>0.7533333333333333</v>
      </c>
      <c r="M12"/>
    </row>
    <row r="13" spans="1:13" ht="29" customHeight="1" x14ac:dyDescent="0.15">
      <c r="A13" s="60">
        <v>2899</v>
      </c>
      <c r="B13" s="49">
        <v>3</v>
      </c>
      <c r="C13" s="26">
        <v>13</v>
      </c>
      <c r="D13" s="49">
        <v>10</v>
      </c>
      <c r="E13" s="49">
        <v>2.5</v>
      </c>
      <c r="F13" s="27">
        <v>0</v>
      </c>
      <c r="G13" s="52">
        <v>4.5</v>
      </c>
      <c r="H13" s="27">
        <v>5</v>
      </c>
      <c r="I13" s="52">
        <v>5</v>
      </c>
      <c r="J13" s="52">
        <v>0</v>
      </c>
      <c r="K13" s="27">
        <v>11</v>
      </c>
      <c r="L13" s="30">
        <f t="shared" si="0"/>
        <v>0.35500000000000004</v>
      </c>
      <c r="M13"/>
    </row>
    <row r="14" spans="1:13" ht="29" customHeight="1" x14ac:dyDescent="0.15">
      <c r="A14" s="60">
        <v>3274</v>
      </c>
      <c r="B14" s="49">
        <v>3</v>
      </c>
      <c r="C14" s="26">
        <v>2</v>
      </c>
      <c r="D14" s="49">
        <v>2</v>
      </c>
      <c r="E14" s="49">
        <v>3.5</v>
      </c>
      <c r="F14" s="27">
        <v>1</v>
      </c>
      <c r="G14" s="52">
        <v>4</v>
      </c>
      <c r="H14" s="27">
        <v>0</v>
      </c>
      <c r="I14" s="52">
        <v>1</v>
      </c>
      <c r="J14" s="52">
        <v>2</v>
      </c>
      <c r="K14" s="27">
        <v>0</v>
      </c>
      <c r="L14" s="30">
        <f t="shared" si="0"/>
        <v>0.11833333333333332</v>
      </c>
      <c r="M14"/>
    </row>
    <row r="15" spans="1:13" ht="29" customHeight="1" x14ac:dyDescent="0.15">
      <c r="A15" s="60">
        <v>3877</v>
      </c>
      <c r="B15" s="49">
        <v>6</v>
      </c>
      <c r="C15" s="26">
        <v>9</v>
      </c>
      <c r="D15" s="49">
        <v>7</v>
      </c>
      <c r="E15" s="49">
        <v>3</v>
      </c>
      <c r="F15" s="27">
        <v>9</v>
      </c>
      <c r="G15" s="52">
        <v>11</v>
      </c>
      <c r="H15" s="27">
        <v>5</v>
      </c>
      <c r="I15" s="52">
        <v>7</v>
      </c>
      <c r="J15" s="52">
        <v>8</v>
      </c>
      <c r="K15" s="27">
        <v>12</v>
      </c>
      <c r="L15" s="30">
        <f t="shared" si="0"/>
        <v>0.5033333333333333</v>
      </c>
      <c r="M15"/>
    </row>
    <row r="16" spans="1:13" s="6" customFormat="1" ht="29" customHeight="1" x14ac:dyDescent="0.15">
      <c r="A16" s="60">
        <v>4622</v>
      </c>
      <c r="B16" s="49">
        <v>4</v>
      </c>
      <c r="C16" s="26">
        <v>11</v>
      </c>
      <c r="D16" s="49">
        <v>5</v>
      </c>
      <c r="E16" s="49">
        <v>4</v>
      </c>
      <c r="F16" s="27">
        <v>5</v>
      </c>
      <c r="G16" s="52">
        <v>6</v>
      </c>
      <c r="H16" s="27">
        <v>5</v>
      </c>
      <c r="I16" s="52">
        <v>1</v>
      </c>
      <c r="J16" s="52">
        <v>0</v>
      </c>
      <c r="K16" s="27">
        <v>2</v>
      </c>
      <c r="L16" s="30">
        <f t="shared" si="0"/>
        <v>0.28000000000000003</v>
      </c>
    </row>
    <row r="17" spans="1:13" ht="29" customHeight="1" x14ac:dyDescent="0.15">
      <c r="A17" s="60">
        <v>4861</v>
      </c>
      <c r="B17" s="49">
        <v>2</v>
      </c>
      <c r="C17" s="26">
        <v>3</v>
      </c>
      <c r="D17" s="49">
        <v>0</v>
      </c>
      <c r="E17" s="49">
        <v>0</v>
      </c>
      <c r="F17" s="27">
        <v>3</v>
      </c>
      <c r="G17" s="52">
        <v>0</v>
      </c>
      <c r="H17" s="27">
        <v>0</v>
      </c>
      <c r="I17" s="52">
        <v>1</v>
      </c>
      <c r="J17" s="52">
        <v>1</v>
      </c>
      <c r="K17" s="27">
        <v>2</v>
      </c>
      <c r="L17" s="30">
        <f t="shared" si="0"/>
        <v>7.6666666666666661E-2</v>
      </c>
      <c r="M17"/>
    </row>
    <row r="18" spans="1:13" ht="29" customHeight="1" x14ac:dyDescent="0.15">
      <c r="A18" s="60">
        <v>4898</v>
      </c>
      <c r="B18" s="49">
        <v>7</v>
      </c>
      <c r="C18" s="26">
        <v>0</v>
      </c>
      <c r="D18" s="49">
        <v>1</v>
      </c>
      <c r="E18" s="49">
        <v>0.5</v>
      </c>
      <c r="F18" s="27">
        <v>2</v>
      </c>
      <c r="G18" s="52">
        <v>7</v>
      </c>
      <c r="H18" s="27">
        <v>4</v>
      </c>
      <c r="I18" s="52">
        <v>2</v>
      </c>
      <c r="J18" s="52">
        <v>4</v>
      </c>
      <c r="K18" s="27">
        <v>14</v>
      </c>
      <c r="L18" s="30">
        <f t="shared" si="0"/>
        <v>0.26499999999999996</v>
      </c>
      <c r="M18"/>
    </row>
    <row r="19" spans="1:13" ht="29" customHeight="1" x14ac:dyDescent="0.15">
      <c r="A19" s="60">
        <v>4902</v>
      </c>
      <c r="B19" s="49">
        <v>4</v>
      </c>
      <c r="C19" s="26">
        <v>0</v>
      </c>
      <c r="D19" s="49">
        <v>0</v>
      </c>
      <c r="E19" s="49">
        <v>0</v>
      </c>
      <c r="F19" s="27">
        <v>0</v>
      </c>
      <c r="G19" s="52">
        <v>0</v>
      </c>
      <c r="H19" s="27">
        <v>0</v>
      </c>
      <c r="I19" s="52">
        <v>0</v>
      </c>
      <c r="J19" s="52">
        <v>0</v>
      </c>
      <c r="K19" s="27">
        <v>0</v>
      </c>
      <c r="L19" s="30">
        <f t="shared" si="0"/>
        <v>0.02</v>
      </c>
      <c r="M19"/>
    </row>
    <row r="20" spans="1:13" ht="29" customHeight="1" x14ac:dyDescent="0.15">
      <c r="A20" s="60">
        <v>5373</v>
      </c>
      <c r="B20" s="49">
        <v>3</v>
      </c>
      <c r="C20" s="26">
        <v>6</v>
      </c>
      <c r="D20" s="49">
        <v>7</v>
      </c>
      <c r="E20" s="49">
        <v>5</v>
      </c>
      <c r="F20" s="27">
        <v>5</v>
      </c>
      <c r="G20" s="52">
        <v>9</v>
      </c>
      <c r="H20" s="27">
        <v>14</v>
      </c>
      <c r="I20" s="52">
        <v>3</v>
      </c>
      <c r="J20" s="52">
        <v>4</v>
      </c>
      <c r="K20" s="27">
        <v>0</v>
      </c>
      <c r="L20" s="30">
        <f t="shared" si="0"/>
        <v>0.36833333333333335</v>
      </c>
      <c r="M20"/>
    </row>
    <row r="21" spans="1:13" ht="29" customHeight="1" x14ac:dyDescent="0.15">
      <c r="A21" s="60">
        <v>5500</v>
      </c>
      <c r="B21" s="49">
        <v>12</v>
      </c>
      <c r="C21" s="26">
        <v>9</v>
      </c>
      <c r="D21" s="49">
        <v>5</v>
      </c>
      <c r="E21" s="49">
        <v>4.5</v>
      </c>
      <c r="F21" s="27">
        <v>0</v>
      </c>
      <c r="G21" s="52">
        <v>5</v>
      </c>
      <c r="H21" s="27">
        <v>6</v>
      </c>
      <c r="I21" s="52">
        <v>4</v>
      </c>
      <c r="J21" s="52">
        <v>4</v>
      </c>
      <c r="K21" s="27">
        <v>13</v>
      </c>
      <c r="L21" s="30">
        <f t="shared" si="0"/>
        <v>0.39666666666666661</v>
      </c>
      <c r="M21"/>
    </row>
    <row r="22" spans="1:13" ht="29" customHeight="1" x14ac:dyDescent="0.15">
      <c r="A22" s="60">
        <v>5687</v>
      </c>
      <c r="B22" s="49">
        <v>3</v>
      </c>
      <c r="C22" s="26">
        <v>9</v>
      </c>
      <c r="D22" s="49">
        <v>2</v>
      </c>
      <c r="E22" s="49">
        <v>0</v>
      </c>
      <c r="F22" s="27">
        <v>0</v>
      </c>
      <c r="G22" s="52">
        <v>0</v>
      </c>
      <c r="H22" s="27">
        <v>0</v>
      </c>
      <c r="I22" s="52">
        <v>0</v>
      </c>
      <c r="J22" s="52">
        <v>0</v>
      </c>
      <c r="K22" s="27">
        <v>0</v>
      </c>
      <c r="L22" s="30">
        <f t="shared" si="0"/>
        <v>8.8333333333333333E-2</v>
      </c>
      <c r="M22"/>
    </row>
    <row r="23" spans="1:13" ht="29" customHeight="1" x14ac:dyDescent="0.15">
      <c r="A23" s="60">
        <v>5711</v>
      </c>
      <c r="B23" s="49">
        <v>5</v>
      </c>
      <c r="C23" s="26">
        <v>10</v>
      </c>
      <c r="D23" s="49">
        <v>14.5</v>
      </c>
      <c r="E23" s="49">
        <v>10</v>
      </c>
      <c r="F23" s="27">
        <v>12</v>
      </c>
      <c r="G23" s="52">
        <v>10.5</v>
      </c>
      <c r="H23" s="27">
        <v>5</v>
      </c>
      <c r="I23" s="52">
        <v>4</v>
      </c>
      <c r="J23" s="52">
        <v>13</v>
      </c>
      <c r="K23" s="27">
        <v>3</v>
      </c>
      <c r="L23" s="30">
        <f t="shared" si="0"/>
        <v>0.57166666666666655</v>
      </c>
      <c r="M23"/>
    </row>
    <row r="24" spans="1:13" ht="29" customHeight="1" x14ac:dyDescent="0.15">
      <c r="A24" s="60">
        <v>5766</v>
      </c>
      <c r="B24" s="49">
        <v>1</v>
      </c>
      <c r="C24" s="26">
        <v>9</v>
      </c>
      <c r="D24" s="49">
        <v>10.5</v>
      </c>
      <c r="E24" s="49">
        <v>5</v>
      </c>
      <c r="F24" s="27">
        <v>4</v>
      </c>
      <c r="G24" s="52">
        <v>6.5</v>
      </c>
      <c r="H24" s="27">
        <v>5</v>
      </c>
      <c r="I24" s="52">
        <v>2</v>
      </c>
      <c r="J24" s="52">
        <v>2</v>
      </c>
      <c r="K24" s="27">
        <v>0</v>
      </c>
      <c r="L24" s="30">
        <f t="shared" si="0"/>
        <v>0.29833333333333334</v>
      </c>
      <c r="M24"/>
    </row>
    <row r="25" spans="1:13" ht="29" customHeight="1" x14ac:dyDescent="0.15">
      <c r="A25" s="60">
        <v>5810</v>
      </c>
      <c r="B25" s="49">
        <v>13</v>
      </c>
      <c r="C25" s="26">
        <v>10</v>
      </c>
      <c r="D25" s="49">
        <v>14.5</v>
      </c>
      <c r="E25" s="49">
        <v>8</v>
      </c>
      <c r="F25" s="27">
        <v>8</v>
      </c>
      <c r="G25" s="52">
        <v>11</v>
      </c>
      <c r="H25" s="27">
        <v>6</v>
      </c>
      <c r="I25" s="52">
        <v>6</v>
      </c>
      <c r="J25" s="52">
        <v>12</v>
      </c>
      <c r="K25" s="27">
        <v>13</v>
      </c>
      <c r="L25" s="30">
        <f t="shared" si="0"/>
        <v>0.65500000000000003</v>
      </c>
      <c r="M25"/>
    </row>
    <row r="26" spans="1:13" ht="29" customHeight="1" x14ac:dyDescent="0.15">
      <c r="A26" s="60">
        <v>6234</v>
      </c>
      <c r="B26" s="49">
        <v>9</v>
      </c>
      <c r="C26" s="26">
        <v>11.5</v>
      </c>
      <c r="D26" s="49">
        <v>12</v>
      </c>
      <c r="E26" s="49">
        <v>2</v>
      </c>
      <c r="F26" s="27">
        <v>12</v>
      </c>
      <c r="G26" s="52">
        <v>10</v>
      </c>
      <c r="H26" s="27">
        <v>5</v>
      </c>
      <c r="I26" s="52">
        <v>6</v>
      </c>
      <c r="J26" s="52">
        <v>3</v>
      </c>
      <c r="K26" s="27">
        <v>5</v>
      </c>
      <c r="L26" s="30">
        <f t="shared" si="0"/>
        <v>0.4883333333333334</v>
      </c>
      <c r="M26"/>
    </row>
    <row r="27" spans="1:13" ht="29" customHeight="1" x14ac:dyDescent="0.15">
      <c r="A27" s="60">
        <v>6665</v>
      </c>
      <c r="B27" s="49">
        <v>0</v>
      </c>
      <c r="C27" s="26">
        <v>2</v>
      </c>
      <c r="D27" s="49">
        <v>1</v>
      </c>
      <c r="E27" s="49">
        <v>0</v>
      </c>
      <c r="F27" s="27">
        <v>0</v>
      </c>
      <c r="G27" s="52">
        <v>0</v>
      </c>
      <c r="H27" s="27">
        <v>0</v>
      </c>
      <c r="I27" s="52">
        <v>0</v>
      </c>
      <c r="J27" s="52">
        <v>0</v>
      </c>
      <c r="K27" s="27">
        <v>0</v>
      </c>
      <c r="L27" s="30">
        <f t="shared" si="0"/>
        <v>0.02</v>
      </c>
      <c r="M27"/>
    </row>
    <row r="28" spans="1:13" ht="29" customHeight="1" x14ac:dyDescent="0.15">
      <c r="A28" s="60">
        <v>7333</v>
      </c>
      <c r="B28" s="49">
        <v>0</v>
      </c>
      <c r="C28" s="26">
        <v>0</v>
      </c>
      <c r="D28" s="49">
        <v>5</v>
      </c>
      <c r="E28" s="49">
        <v>1</v>
      </c>
      <c r="F28" s="27">
        <v>3</v>
      </c>
      <c r="G28" s="52">
        <v>2</v>
      </c>
      <c r="H28" s="27">
        <v>0</v>
      </c>
      <c r="I28" s="52">
        <v>0</v>
      </c>
      <c r="J28" s="52">
        <v>0</v>
      </c>
      <c r="K28" s="27">
        <v>0</v>
      </c>
      <c r="L28" s="30">
        <f t="shared" si="0"/>
        <v>7.3333333333333334E-2</v>
      </c>
      <c r="M28"/>
    </row>
    <row r="29" spans="1:13" ht="29" customHeight="1" x14ac:dyDescent="0.15">
      <c r="A29" s="60">
        <v>7495</v>
      </c>
      <c r="B29" s="49">
        <v>0</v>
      </c>
      <c r="C29" s="26">
        <v>10</v>
      </c>
      <c r="D29" s="49">
        <v>8</v>
      </c>
      <c r="E29" s="49">
        <v>0</v>
      </c>
      <c r="F29" s="27">
        <v>2</v>
      </c>
      <c r="G29" s="52">
        <v>11</v>
      </c>
      <c r="H29" s="27">
        <v>8</v>
      </c>
      <c r="I29" s="52">
        <v>2</v>
      </c>
      <c r="J29" s="52">
        <v>1</v>
      </c>
      <c r="K29" s="27">
        <v>0</v>
      </c>
      <c r="L29" s="30">
        <f t="shared" si="0"/>
        <v>0.27999999999999997</v>
      </c>
      <c r="M29"/>
    </row>
    <row r="30" spans="1:13" ht="29" customHeight="1" x14ac:dyDescent="0.15">
      <c r="A30" s="60">
        <v>8129</v>
      </c>
      <c r="B30" s="49">
        <v>1</v>
      </c>
      <c r="C30" s="26">
        <v>0</v>
      </c>
      <c r="D30" s="49">
        <v>0</v>
      </c>
      <c r="E30" s="49">
        <v>0</v>
      </c>
      <c r="F30" s="27">
        <v>0</v>
      </c>
      <c r="G30" s="52">
        <v>1</v>
      </c>
      <c r="H30" s="27">
        <v>4.5</v>
      </c>
      <c r="I30" s="52">
        <v>1</v>
      </c>
      <c r="J30" s="52">
        <v>6</v>
      </c>
      <c r="K30" s="27">
        <v>10</v>
      </c>
      <c r="L30" s="30">
        <f t="shared" si="0"/>
        <v>0.15499999999999997</v>
      </c>
      <c r="M30"/>
    </row>
    <row r="31" spans="1:13" ht="29" customHeight="1" x14ac:dyDescent="0.15">
      <c r="A31" s="60">
        <v>8490</v>
      </c>
      <c r="B31" s="49">
        <v>6</v>
      </c>
      <c r="C31" s="26">
        <v>12</v>
      </c>
      <c r="D31" s="49">
        <v>10</v>
      </c>
      <c r="E31" s="49">
        <v>1.5</v>
      </c>
      <c r="F31" s="27">
        <v>9</v>
      </c>
      <c r="G31" s="52">
        <v>6.5</v>
      </c>
      <c r="H31" s="27">
        <v>9</v>
      </c>
      <c r="I31" s="52">
        <v>6</v>
      </c>
      <c r="J31" s="52">
        <v>10</v>
      </c>
      <c r="K31" s="27">
        <v>6</v>
      </c>
      <c r="L31" s="30">
        <f t="shared" si="0"/>
        <v>0.49666666666666676</v>
      </c>
      <c r="M31"/>
    </row>
    <row r="32" spans="1:13" ht="29" customHeight="1" x14ac:dyDescent="0.15">
      <c r="A32" s="60">
        <v>8695</v>
      </c>
      <c r="B32" s="49">
        <v>9</v>
      </c>
      <c r="C32" s="26">
        <v>10</v>
      </c>
      <c r="D32" s="49">
        <v>8</v>
      </c>
      <c r="E32" s="49">
        <v>5.5</v>
      </c>
      <c r="F32" s="27">
        <v>6</v>
      </c>
      <c r="G32" s="52">
        <v>11</v>
      </c>
      <c r="H32" s="27">
        <v>14.5</v>
      </c>
      <c r="I32" s="52">
        <v>9</v>
      </c>
      <c r="J32" s="52">
        <v>12</v>
      </c>
      <c r="K32" s="27">
        <v>11</v>
      </c>
      <c r="L32" s="30">
        <f t="shared" si="0"/>
        <v>0.62499999999999989</v>
      </c>
      <c r="M32"/>
    </row>
    <row r="33" spans="1:13" ht="29" customHeight="1" x14ac:dyDescent="0.15">
      <c r="A33" s="60">
        <v>9139</v>
      </c>
      <c r="B33" s="49">
        <v>2</v>
      </c>
      <c r="C33" s="26">
        <v>1</v>
      </c>
      <c r="D33" s="49">
        <v>0</v>
      </c>
      <c r="E33" s="49">
        <v>0</v>
      </c>
      <c r="F33" s="27">
        <v>0</v>
      </c>
      <c r="G33" s="52">
        <v>0</v>
      </c>
      <c r="H33" s="27">
        <v>0</v>
      </c>
      <c r="I33" s="52">
        <v>0</v>
      </c>
      <c r="J33" s="52">
        <v>0</v>
      </c>
      <c r="K33" s="27">
        <v>0</v>
      </c>
      <c r="L33" s="30">
        <f t="shared" si="0"/>
        <v>1.666666666666667E-2</v>
      </c>
      <c r="M33"/>
    </row>
    <row r="34" spans="1:13" ht="29" customHeight="1" x14ac:dyDescent="0.15">
      <c r="A34" s="60">
        <v>9253</v>
      </c>
      <c r="B34" s="26">
        <v>13</v>
      </c>
      <c r="C34" s="26">
        <v>7</v>
      </c>
      <c r="D34" s="49">
        <v>10.5</v>
      </c>
      <c r="E34" s="49">
        <v>7.5</v>
      </c>
      <c r="F34" s="27">
        <v>8</v>
      </c>
      <c r="G34" s="52">
        <v>2</v>
      </c>
      <c r="H34" s="27">
        <v>5</v>
      </c>
      <c r="I34" s="52">
        <v>11</v>
      </c>
      <c r="J34" s="52">
        <v>8</v>
      </c>
      <c r="K34" s="27">
        <v>11</v>
      </c>
      <c r="L34" s="30">
        <f t="shared" si="0"/>
        <v>0.53166666666666662</v>
      </c>
      <c r="M34"/>
    </row>
    <row r="35" spans="1:13" ht="29" customHeight="1" x14ac:dyDescent="0.15">
      <c r="A35" s="60">
        <v>9550</v>
      </c>
      <c r="B35" s="49">
        <v>8</v>
      </c>
      <c r="C35" s="26">
        <v>13</v>
      </c>
      <c r="D35" s="49">
        <v>12.5</v>
      </c>
      <c r="E35" s="49">
        <v>8.5</v>
      </c>
      <c r="F35" s="27">
        <v>6</v>
      </c>
      <c r="G35" s="52">
        <v>11</v>
      </c>
      <c r="H35" s="27">
        <v>1</v>
      </c>
      <c r="I35" s="52">
        <v>0</v>
      </c>
      <c r="J35" s="52">
        <v>6</v>
      </c>
      <c r="K35" s="27">
        <v>4</v>
      </c>
      <c r="L35" s="30">
        <f t="shared" si="0"/>
        <v>0.45333333333333342</v>
      </c>
      <c r="M35"/>
    </row>
    <row r="36" spans="1:13" ht="29" customHeight="1" x14ac:dyDescent="0.15">
      <c r="A36" s="60">
        <v>9610</v>
      </c>
      <c r="B36" s="49">
        <v>12</v>
      </c>
      <c r="C36" s="26">
        <v>9</v>
      </c>
      <c r="D36" s="49">
        <v>12.5</v>
      </c>
      <c r="E36" s="49">
        <v>5.5</v>
      </c>
      <c r="F36" s="27">
        <v>10</v>
      </c>
      <c r="G36" s="52">
        <v>11</v>
      </c>
      <c r="H36" s="27">
        <v>4</v>
      </c>
      <c r="I36" s="52">
        <v>4</v>
      </c>
      <c r="J36" s="52">
        <v>10</v>
      </c>
      <c r="K36" s="27">
        <v>10</v>
      </c>
      <c r="L36" s="30">
        <f t="shared" si="0"/>
        <v>0.56666666666666665</v>
      </c>
      <c r="M36"/>
    </row>
    <row r="37" spans="1:13" ht="29" customHeight="1" x14ac:dyDescent="0.15">
      <c r="A37" s="60">
        <v>9611</v>
      </c>
      <c r="B37" s="49">
        <v>15</v>
      </c>
      <c r="C37" s="26">
        <v>9</v>
      </c>
      <c r="D37" s="49">
        <v>8</v>
      </c>
      <c r="E37" s="49">
        <v>8.5</v>
      </c>
      <c r="F37" s="27">
        <v>12</v>
      </c>
      <c r="G37" s="52">
        <v>9</v>
      </c>
      <c r="H37" s="27">
        <v>5</v>
      </c>
      <c r="I37" s="52">
        <v>3</v>
      </c>
      <c r="J37" s="52">
        <v>10</v>
      </c>
      <c r="K37" s="27">
        <v>11</v>
      </c>
      <c r="L37" s="30">
        <f t="shared" si="0"/>
        <v>0.57833333333333337</v>
      </c>
      <c r="M37"/>
    </row>
    <row r="38" spans="1:13" ht="29" customHeight="1" x14ac:dyDescent="0.15">
      <c r="A38" s="60">
        <v>9674</v>
      </c>
      <c r="B38" s="49">
        <v>6</v>
      </c>
      <c r="C38" s="26">
        <v>12</v>
      </c>
      <c r="D38" s="49">
        <v>8</v>
      </c>
      <c r="E38" s="49">
        <v>5</v>
      </c>
      <c r="F38" s="27">
        <v>13</v>
      </c>
      <c r="G38" s="52">
        <v>8</v>
      </c>
      <c r="H38" s="27">
        <v>14</v>
      </c>
      <c r="I38" s="52">
        <v>13</v>
      </c>
      <c r="J38" s="52">
        <v>8</v>
      </c>
      <c r="K38" s="27">
        <v>2</v>
      </c>
      <c r="L38" s="30">
        <f t="shared" si="0"/>
        <v>0.58333333333333326</v>
      </c>
      <c r="M38"/>
    </row>
    <row r="39" spans="1:13" ht="29" customHeight="1" x14ac:dyDescent="0.15">
      <c r="A39" s="60">
        <v>9993</v>
      </c>
      <c r="B39" s="49">
        <v>0</v>
      </c>
      <c r="C39" s="26">
        <v>0</v>
      </c>
      <c r="D39" s="49">
        <v>0</v>
      </c>
      <c r="E39" s="49">
        <v>0</v>
      </c>
      <c r="F39" s="27">
        <v>0</v>
      </c>
      <c r="G39" s="52">
        <v>0</v>
      </c>
      <c r="H39" s="27">
        <v>0</v>
      </c>
      <c r="I39" s="52">
        <v>0</v>
      </c>
      <c r="J39" s="52">
        <v>0</v>
      </c>
      <c r="K39" s="27">
        <v>0</v>
      </c>
      <c r="L39" s="30">
        <f t="shared" si="0"/>
        <v>0</v>
      </c>
      <c r="M39"/>
    </row>
    <row r="40" spans="1:13" ht="29" customHeight="1" x14ac:dyDescent="0.15">
      <c r="A40" s="20"/>
      <c r="B40" s="21"/>
      <c r="C40" s="2"/>
      <c r="D40" s="2"/>
      <c r="E40" s="2"/>
      <c r="F40" s="2"/>
      <c r="G40" s="2"/>
      <c r="H40" s="2"/>
      <c r="I40" s="2"/>
      <c r="J40" s="2"/>
      <c r="K40" s="2"/>
      <c r="L40" s="5"/>
      <c r="M40"/>
    </row>
    <row r="41" spans="1:13" ht="29" customHeight="1" x14ac:dyDescent="0.15">
      <c r="A41" s="14" t="s">
        <v>13</v>
      </c>
      <c r="B41" s="31">
        <v>20</v>
      </c>
      <c r="C41" s="32">
        <v>15</v>
      </c>
      <c r="D41" s="32">
        <v>15</v>
      </c>
      <c r="E41" s="32">
        <v>15</v>
      </c>
      <c r="F41" s="32">
        <v>15</v>
      </c>
      <c r="G41" s="32">
        <v>15</v>
      </c>
      <c r="H41" s="32">
        <v>15</v>
      </c>
      <c r="I41" s="32">
        <v>15</v>
      </c>
      <c r="J41" s="32">
        <v>15</v>
      </c>
      <c r="K41" s="32">
        <v>15</v>
      </c>
      <c r="L41" s="33">
        <v>1</v>
      </c>
      <c r="M41"/>
    </row>
    <row r="42" spans="1:13" ht="29" customHeight="1" x14ac:dyDescent="0.15">
      <c r="A42" s="15" t="s">
        <v>14</v>
      </c>
      <c r="B42" s="34">
        <f t="shared" ref="B42:L42" si="1">AVERAGE(B$3:B$39)</f>
        <v>6.0270270270270272</v>
      </c>
      <c r="C42" s="34">
        <f t="shared" si="1"/>
        <v>6.5270270270270272</v>
      </c>
      <c r="D42" s="34">
        <f t="shared" si="1"/>
        <v>6.3918918918918921</v>
      </c>
      <c r="E42" s="34">
        <f t="shared" si="1"/>
        <v>3.2297297297297298</v>
      </c>
      <c r="F42" s="34">
        <f t="shared" si="1"/>
        <v>4.7837837837837842</v>
      </c>
      <c r="G42" s="34">
        <f t="shared" si="1"/>
        <v>5.6891891891891895</v>
      </c>
      <c r="H42" s="34">
        <f t="shared" si="1"/>
        <v>5.2837837837837842</v>
      </c>
      <c r="I42" s="34">
        <f t="shared" si="1"/>
        <v>3.7027027027027026</v>
      </c>
      <c r="J42" s="34">
        <f t="shared" si="1"/>
        <v>4.4594594594594597</v>
      </c>
      <c r="K42" s="34">
        <f t="shared" si="1"/>
        <v>5.0270270270270272</v>
      </c>
      <c r="L42" s="34">
        <f t="shared" si="1"/>
        <v>0.33076576576576566</v>
      </c>
      <c r="M42"/>
    </row>
    <row r="43" spans="1:13" ht="29" customHeight="1" x14ac:dyDescent="0.15">
      <c r="A43" s="16" t="s">
        <v>15</v>
      </c>
      <c r="B43" s="34">
        <f t="shared" ref="B43:L43" si="2">STDEV(B$3:B$39)</f>
        <v>5.1396416135676146</v>
      </c>
      <c r="C43" s="34">
        <f t="shared" si="2"/>
        <v>4.3508395517192771</v>
      </c>
      <c r="D43" s="34">
        <f t="shared" si="2"/>
        <v>4.6519636462214278</v>
      </c>
      <c r="E43" s="34">
        <f t="shared" si="2"/>
        <v>3.0244250936578254</v>
      </c>
      <c r="F43" s="34">
        <f t="shared" si="2"/>
        <v>4.3406037415134824</v>
      </c>
      <c r="G43" s="34">
        <f t="shared" si="2"/>
        <v>4.351486577646245</v>
      </c>
      <c r="H43" s="34">
        <f t="shared" si="2"/>
        <v>4.8498862250981096</v>
      </c>
      <c r="I43" s="34">
        <f t="shared" si="2"/>
        <v>3.5735514926009211</v>
      </c>
      <c r="J43" s="34">
        <f t="shared" si="2"/>
        <v>4.4446884317413353</v>
      </c>
      <c r="K43" s="34">
        <f t="shared" si="2"/>
        <v>5.5552101994758365</v>
      </c>
      <c r="L43" s="34">
        <f t="shared" si="2"/>
        <v>0.21786831826611258</v>
      </c>
      <c r="M43"/>
    </row>
    <row r="44" spans="1:13" ht="29" customHeight="1" x14ac:dyDescent="0.15">
      <c r="A44" s="16" t="s">
        <v>16</v>
      </c>
      <c r="B44" s="34">
        <f t="shared" ref="B44:L44" si="3">MEDIAN(B$3:B$39)</f>
        <v>5</v>
      </c>
      <c r="C44" s="34">
        <f t="shared" si="3"/>
        <v>7</v>
      </c>
      <c r="D44" s="34">
        <f t="shared" si="3"/>
        <v>7</v>
      </c>
      <c r="E44" s="34">
        <f t="shared" si="3"/>
        <v>3</v>
      </c>
      <c r="F44" s="34">
        <f t="shared" si="3"/>
        <v>4</v>
      </c>
      <c r="G44" s="34">
        <f t="shared" si="3"/>
        <v>6.5</v>
      </c>
      <c r="H44" s="34">
        <f t="shared" si="3"/>
        <v>5</v>
      </c>
      <c r="I44" s="34">
        <f t="shared" si="3"/>
        <v>3</v>
      </c>
      <c r="J44" s="34">
        <f t="shared" si="3"/>
        <v>3</v>
      </c>
      <c r="K44" s="34">
        <f t="shared" si="3"/>
        <v>2</v>
      </c>
      <c r="L44" s="34">
        <f t="shared" si="3"/>
        <v>0.32166666666666666</v>
      </c>
      <c r="M44"/>
    </row>
    <row r="45" spans="1:13" ht="29" customHeight="1" x14ac:dyDescent="0.15">
      <c r="A45" s="17" t="s">
        <v>17</v>
      </c>
      <c r="B45" s="35">
        <f t="shared" ref="B45:K45" si="4">IF(SUM(B3:B39)&gt;0,1,0)</f>
        <v>1</v>
      </c>
      <c r="C45" s="35">
        <f t="shared" si="4"/>
        <v>1</v>
      </c>
      <c r="D45" s="35">
        <f t="shared" si="4"/>
        <v>1</v>
      </c>
      <c r="E45" s="35">
        <f t="shared" si="4"/>
        <v>1</v>
      </c>
      <c r="F45" s="35">
        <f t="shared" si="4"/>
        <v>1</v>
      </c>
      <c r="G45" s="35">
        <f t="shared" si="4"/>
        <v>1</v>
      </c>
      <c r="H45" s="35">
        <f t="shared" si="4"/>
        <v>1</v>
      </c>
      <c r="I45" s="35">
        <f t="shared" si="4"/>
        <v>1</v>
      </c>
      <c r="J45" s="35">
        <f t="shared" si="4"/>
        <v>1</v>
      </c>
      <c r="K45" s="35">
        <f t="shared" si="4"/>
        <v>1</v>
      </c>
      <c r="L45" s="32"/>
      <c r="M45"/>
    </row>
    <row r="46" spans="1:13" ht="40" customHeight="1" x14ac:dyDescent="0.15">
      <c r="A46" s="18" t="s">
        <v>18</v>
      </c>
      <c r="B46" s="19">
        <v>0</v>
      </c>
      <c r="L46" s="10"/>
      <c r="M46"/>
    </row>
    <row r="47" spans="1:13" ht="14" x14ac:dyDescent="0.15">
      <c r="B47"/>
    </row>
    <row r="50" spans="2:2" ht="14" x14ac:dyDescent="0.15">
      <c r="B50"/>
    </row>
    <row r="51" spans="2:2" ht="14" x14ac:dyDescent="0.15">
      <c r="B51"/>
    </row>
    <row r="52" spans="2:2" ht="14" x14ac:dyDescent="0.15">
      <c r="B52"/>
    </row>
    <row r="53" spans="2:2" ht="14" x14ac:dyDescent="0.15">
      <c r="B53"/>
    </row>
    <row r="54" spans="2:2" ht="14" x14ac:dyDescent="0.15">
      <c r="B54"/>
    </row>
    <row r="55" spans="2:2" ht="14" x14ac:dyDescent="0.15">
      <c r="B55"/>
    </row>
    <row r="56" spans="2:2" ht="14" x14ac:dyDescent="0.15">
      <c r="B56"/>
    </row>
    <row r="57" spans="2:2" ht="14" x14ac:dyDescent="0.15">
      <c r="B57"/>
    </row>
    <row r="58" spans="2:2" ht="14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  <row r="141" spans="2:2" ht="14" x14ac:dyDescent="0.15">
      <c r="B141"/>
    </row>
  </sheetData>
  <phoneticPr fontId="6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2" width="11.83203125" customWidth="1"/>
    <col min="3" max="3" width="11.83203125" bestFit="1" customWidth="1"/>
    <col min="10" max="10" width="12.83203125" customWidth="1"/>
    <col min="11" max="11" width="12" customWidth="1"/>
  </cols>
  <sheetData>
    <row r="1" spans="1:11" ht="24" customHeight="1" x14ac:dyDescent="0.15">
      <c r="A1" s="1" t="s">
        <v>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25</v>
      </c>
      <c r="I1" s="3" t="s">
        <v>24</v>
      </c>
      <c r="J1" s="4" t="s">
        <v>12</v>
      </c>
      <c r="K1" s="30"/>
    </row>
    <row r="2" spans="1:11" ht="29" customHeight="1" x14ac:dyDescent="0.15">
      <c r="A2" s="59" t="s">
        <v>38</v>
      </c>
      <c r="B2" s="45">
        <f>(9+4+10+6)</f>
        <v>29</v>
      </c>
      <c r="C2" s="43">
        <f>8+10+10+5</f>
        <v>33</v>
      </c>
      <c r="D2" s="52">
        <f>10+1+8.5+0+0</f>
        <v>19.5</v>
      </c>
      <c r="E2" s="49">
        <f>3+0+0+8+0</f>
        <v>11</v>
      </c>
      <c r="F2" s="53">
        <f>6+10+8+0+8</f>
        <v>32</v>
      </c>
      <c r="G2" s="43">
        <f>10+6+9+0+0</f>
        <v>25</v>
      </c>
      <c r="H2" s="53">
        <f>8+0+2+4+0</f>
        <v>14</v>
      </c>
      <c r="I2" s="53">
        <f>10+6+7+10+7+6+6</f>
        <v>52</v>
      </c>
      <c r="J2" s="30">
        <f t="shared" ref="J2:J39" si="0">IF(SUM($B$45:$I$45)&gt;0,$J$41*(B2/$B$41+C2/$C$41+D2/$D$41+E2/$E$41+F2/$F$41+G2/$G$41+H2/$H$41+I2/$I$41)/SUM($B$45:$I$45),0)</f>
        <v>0.81053571428571436</v>
      </c>
    </row>
    <row r="3" spans="1:11" ht="29" customHeight="1" x14ac:dyDescent="0.15">
      <c r="A3" s="59" t="s">
        <v>39</v>
      </c>
      <c r="B3" s="45">
        <f>(10+8+10+9)</f>
        <v>37</v>
      </c>
      <c r="C3" s="27">
        <f>10+7+10+10</f>
        <v>37</v>
      </c>
      <c r="D3" s="49">
        <f>10+6+9+10+6</f>
        <v>41</v>
      </c>
      <c r="E3" s="49">
        <f>8+9.5+0+9+0</f>
        <v>26.5</v>
      </c>
      <c r="F3" s="53">
        <f>9+8+8.5+8+7</f>
        <v>40.5</v>
      </c>
      <c r="G3" s="43">
        <f>10+10+5+7+10</f>
        <v>42</v>
      </c>
      <c r="H3" s="43">
        <f>9+7+8+10+0</f>
        <v>34</v>
      </c>
      <c r="I3" s="53">
        <f>5+9+10+9+9+8+0</f>
        <v>50</v>
      </c>
      <c r="J3" s="30">
        <f t="shared" si="0"/>
        <v>1.1708035714285714</v>
      </c>
    </row>
    <row r="4" spans="1:11" ht="29" customHeight="1" x14ac:dyDescent="0.15">
      <c r="A4" s="59" t="s">
        <v>40</v>
      </c>
      <c r="B4" s="45">
        <f>(10+10+10+10)</f>
        <v>40</v>
      </c>
      <c r="C4" s="27">
        <f>10+8+9+10</f>
        <v>37</v>
      </c>
      <c r="D4" s="52">
        <f>10+8+8.5+10+0</f>
        <v>36.5</v>
      </c>
      <c r="E4" s="49">
        <f>9+6+0+8+0</f>
        <v>23</v>
      </c>
      <c r="F4" s="53">
        <f>10+10+9.5+9.5+8</f>
        <v>47</v>
      </c>
      <c r="G4" s="43">
        <f>10+10+10+5+10</f>
        <v>45</v>
      </c>
      <c r="H4" s="27">
        <f>10+9+8+10+5</f>
        <v>42</v>
      </c>
      <c r="I4" s="53">
        <f>9+7+9+8+9+10+7</f>
        <v>59</v>
      </c>
      <c r="J4" s="30">
        <f t="shared" si="0"/>
        <v>1.2445982142857142</v>
      </c>
    </row>
    <row r="5" spans="1:11" ht="29" customHeight="1" x14ac:dyDescent="0.15">
      <c r="A5" s="60">
        <v>1291</v>
      </c>
      <c r="B5" s="45">
        <v>0</v>
      </c>
      <c r="C5" s="43">
        <v>0</v>
      </c>
      <c r="D5" s="54">
        <f>0</f>
        <v>0</v>
      </c>
      <c r="E5" s="49">
        <v>0</v>
      </c>
      <c r="F5" s="53">
        <v>0</v>
      </c>
      <c r="G5" s="43">
        <v>0</v>
      </c>
      <c r="H5" s="52">
        <v>0</v>
      </c>
      <c r="I5" s="53">
        <v>0</v>
      </c>
      <c r="J5" s="30">
        <f t="shared" si="0"/>
        <v>0</v>
      </c>
    </row>
    <row r="6" spans="1:11" ht="29" customHeight="1" x14ac:dyDescent="0.15">
      <c r="A6" s="60">
        <v>1506</v>
      </c>
      <c r="B6" s="45">
        <f>(6+8+10+5)</f>
        <v>29</v>
      </c>
      <c r="C6" s="61">
        <f>10+10+9+10</f>
        <v>39</v>
      </c>
      <c r="D6" s="49">
        <f>9+2+0+9+0</f>
        <v>20</v>
      </c>
      <c r="E6" s="49">
        <f>8+10+0+9+0</f>
        <v>27</v>
      </c>
      <c r="F6" s="53">
        <f>10+9+9+7+10</f>
        <v>45</v>
      </c>
      <c r="G6" s="43">
        <f>10+10+9.5+7+5</f>
        <v>41.5</v>
      </c>
      <c r="H6" s="53">
        <v>0</v>
      </c>
      <c r="I6" s="53">
        <v>0</v>
      </c>
      <c r="J6" s="30">
        <f t="shared" si="0"/>
        <v>0.81937499999999996</v>
      </c>
    </row>
    <row r="7" spans="1:11" ht="29" customHeight="1" x14ac:dyDescent="0.15">
      <c r="A7" s="60">
        <v>1742</v>
      </c>
      <c r="B7" s="45">
        <f>(9+10+10+10)</f>
        <v>39</v>
      </c>
      <c r="C7" s="43">
        <f>10+7+10+6</f>
        <v>33</v>
      </c>
      <c r="D7" s="49">
        <f>0+0+0+0+0</f>
        <v>0</v>
      </c>
      <c r="E7" s="49">
        <f>0+0+0</f>
        <v>0</v>
      </c>
      <c r="F7" s="53">
        <f>8+9+4+0+10</f>
        <v>31</v>
      </c>
      <c r="G7" s="43">
        <f>8+9+9.5+0+4</f>
        <v>30.5</v>
      </c>
      <c r="H7" s="53">
        <f>7+6.5+4+0+0</f>
        <v>17.5</v>
      </c>
      <c r="I7" s="53">
        <v>0</v>
      </c>
      <c r="J7" s="30">
        <f t="shared" si="0"/>
        <v>0.63375000000000004</v>
      </c>
    </row>
    <row r="8" spans="1:11" ht="29" customHeight="1" x14ac:dyDescent="0.15">
      <c r="A8" s="60">
        <v>1772</v>
      </c>
      <c r="B8" s="45">
        <f>(8+8+10+7)</f>
        <v>33</v>
      </c>
      <c r="C8" s="43">
        <f>10+10+9+1</f>
        <v>30</v>
      </c>
      <c r="D8" s="52">
        <f>0+0+0+0+0</f>
        <v>0</v>
      </c>
      <c r="E8" s="49">
        <f>0+0+0</f>
        <v>0</v>
      </c>
      <c r="F8" s="53">
        <f>10+7+0+6+6</f>
        <v>29</v>
      </c>
      <c r="G8" s="43">
        <f>4+7+0+4.5+10</f>
        <v>25.5</v>
      </c>
      <c r="H8" s="43">
        <f>9+9.5+9+0+5</f>
        <v>32.5</v>
      </c>
      <c r="I8" s="53">
        <f>8+7+4.5+5+8+7+8</f>
        <v>47.5</v>
      </c>
      <c r="J8" s="30">
        <f t="shared" si="0"/>
        <v>0.74879464285714281</v>
      </c>
    </row>
    <row r="9" spans="1:11" ht="29" customHeight="1" x14ac:dyDescent="0.15">
      <c r="A9" s="60">
        <v>2151</v>
      </c>
      <c r="B9" s="45">
        <f>(10+10+10+10)</f>
        <v>40</v>
      </c>
      <c r="C9" s="43">
        <f>10+7+8.5+4</f>
        <v>29.5</v>
      </c>
      <c r="D9" s="49">
        <f>9+2+6+3+0</f>
        <v>20</v>
      </c>
      <c r="E9" s="49">
        <v>0</v>
      </c>
      <c r="F9" s="53">
        <f>7+3+1+2+6</f>
        <v>19</v>
      </c>
      <c r="G9" s="43">
        <f>8+10+4+4.5+3</f>
        <v>29.5</v>
      </c>
      <c r="H9" s="27">
        <f>7+7.5+5+7+2</f>
        <v>28.5</v>
      </c>
      <c r="I9" s="53">
        <f>10+9+5+10+0+0+0</f>
        <v>34</v>
      </c>
      <c r="J9" s="30">
        <f t="shared" si="0"/>
        <v>0.7806026785714284</v>
      </c>
    </row>
    <row r="10" spans="1:11" ht="29" customHeight="1" x14ac:dyDescent="0.15">
      <c r="A10" s="60">
        <v>2252</v>
      </c>
      <c r="B10" s="45">
        <f>(10+10+8.5+2)</f>
        <v>30.5</v>
      </c>
      <c r="C10" s="50">
        <f>3+8+5</f>
        <v>16</v>
      </c>
      <c r="D10" s="49">
        <f>0+0+0+0+0</f>
        <v>0</v>
      </c>
      <c r="E10" s="49">
        <v>0</v>
      </c>
      <c r="F10" s="53">
        <v>0</v>
      </c>
      <c r="G10" s="43">
        <v>0</v>
      </c>
      <c r="H10" s="52">
        <v>0</v>
      </c>
      <c r="I10" s="53">
        <v>0</v>
      </c>
      <c r="J10" s="30">
        <f t="shared" si="0"/>
        <v>0.21796875000000002</v>
      </c>
    </row>
    <row r="11" spans="1:11" ht="29" customHeight="1" x14ac:dyDescent="0.15">
      <c r="A11" s="60">
        <v>2441</v>
      </c>
      <c r="B11" s="45">
        <f>(9+7+9+8)</f>
        <v>33</v>
      </c>
      <c r="C11" s="43">
        <f>10+10+2+7</f>
        <v>29</v>
      </c>
      <c r="D11" s="52">
        <f>(10+2+7+6+0)</f>
        <v>25</v>
      </c>
      <c r="E11" s="49">
        <f>0+0+0+0+0</f>
        <v>0</v>
      </c>
      <c r="F11" s="53">
        <f>7+3+0+7+7</f>
        <v>24</v>
      </c>
      <c r="G11" s="43">
        <f>0+0+0</f>
        <v>0</v>
      </c>
      <c r="H11" s="43">
        <v>0</v>
      </c>
      <c r="I11" s="53">
        <v>0</v>
      </c>
      <c r="J11" s="30">
        <f t="shared" si="0"/>
        <v>0.47437499999999999</v>
      </c>
    </row>
    <row r="12" spans="1:11" ht="29" customHeight="1" x14ac:dyDescent="0.15">
      <c r="A12" s="60">
        <v>2564</v>
      </c>
      <c r="B12" s="45">
        <f>(10+10+10+10)</f>
        <v>40</v>
      </c>
      <c r="C12" s="50">
        <f>10+10+10+10</f>
        <v>40</v>
      </c>
      <c r="D12" s="49">
        <f>10+9+10+10+10</f>
        <v>49</v>
      </c>
      <c r="E12" s="49">
        <f>10+9+9+9+8</f>
        <v>45</v>
      </c>
      <c r="F12" s="53">
        <f>10+9+9.5+10+10</f>
        <v>48.5</v>
      </c>
      <c r="G12" s="43">
        <f>10+10+6+10+10</f>
        <v>46</v>
      </c>
      <c r="H12" s="27">
        <f>10+9.5+10+10+10</f>
        <v>49.5</v>
      </c>
      <c r="I12" s="53">
        <f>10+8+10+10+10+10+10</f>
        <v>68</v>
      </c>
      <c r="J12" s="30">
        <f t="shared" si="0"/>
        <v>1.449642857142857</v>
      </c>
    </row>
    <row r="13" spans="1:11" ht="29" customHeight="1" x14ac:dyDescent="0.15">
      <c r="A13" s="60">
        <v>2899</v>
      </c>
      <c r="B13" s="45">
        <f>(5+7+10+10)</f>
        <v>32</v>
      </c>
      <c r="C13" s="43">
        <f>9+10+5+7</f>
        <v>31</v>
      </c>
      <c r="D13" s="49">
        <f>10+8+8+8+10</f>
        <v>44</v>
      </c>
      <c r="E13" s="49">
        <f>(0+0+0)</f>
        <v>0</v>
      </c>
      <c r="F13" s="53">
        <f>6+4+0+4+6</f>
        <v>20</v>
      </c>
      <c r="G13" s="43">
        <f>8+10+8+10+6</f>
        <v>42</v>
      </c>
      <c r="H13" s="53">
        <f>9+10+8+0+0</f>
        <v>27</v>
      </c>
      <c r="I13" s="53">
        <f>0+0+0+0+6+10+0</f>
        <v>16</v>
      </c>
      <c r="J13" s="30">
        <f t="shared" si="0"/>
        <v>0.83691964285714282</v>
      </c>
    </row>
    <row r="14" spans="1:11" ht="29" customHeight="1" x14ac:dyDescent="0.15">
      <c r="A14" s="60">
        <v>3274</v>
      </c>
      <c r="B14" s="45">
        <f>(9+10+10+10)</f>
        <v>39</v>
      </c>
      <c r="C14" s="61">
        <f>(10+7+9+0)</f>
        <v>26</v>
      </c>
      <c r="D14" s="49">
        <f>0+0+0+0+0</f>
        <v>0</v>
      </c>
      <c r="E14" s="49">
        <v>0</v>
      </c>
      <c r="F14" s="53">
        <v>0</v>
      </c>
      <c r="G14" s="43">
        <v>0</v>
      </c>
      <c r="H14" s="53">
        <v>0</v>
      </c>
      <c r="I14" s="53">
        <v>0</v>
      </c>
      <c r="J14" s="30">
        <f t="shared" si="0"/>
        <v>0.3046875</v>
      </c>
    </row>
    <row r="15" spans="1:11" ht="29" customHeight="1" x14ac:dyDescent="0.15">
      <c r="A15" s="60">
        <v>3877</v>
      </c>
      <c r="B15" s="45">
        <f>(10+10+10+10)</f>
        <v>40</v>
      </c>
      <c r="C15" s="43">
        <f>10+7+10+10</f>
        <v>37</v>
      </c>
      <c r="D15" s="49">
        <f>10+2+9+4+0</f>
        <v>25</v>
      </c>
      <c r="E15" s="49">
        <v>0</v>
      </c>
      <c r="F15" s="53">
        <f>9+9+9.5+6.5+9</f>
        <v>43</v>
      </c>
      <c r="G15" s="43">
        <f>10+10+10+10+8</f>
        <v>48</v>
      </c>
      <c r="H15" s="53">
        <f>10+8+10+0+0</f>
        <v>28</v>
      </c>
      <c r="I15" s="53">
        <f>10+9+10+10+9+7+0</f>
        <v>55</v>
      </c>
      <c r="J15" s="30">
        <f t="shared" si="0"/>
        <v>1.0482589285714285</v>
      </c>
    </row>
    <row r="16" spans="1:11" ht="29" customHeight="1" x14ac:dyDescent="0.15">
      <c r="A16" s="60">
        <v>4622</v>
      </c>
      <c r="B16" s="45">
        <v>0</v>
      </c>
      <c r="C16" s="43">
        <f>7+6+10+10</f>
        <v>33</v>
      </c>
      <c r="D16" s="49">
        <f>10+0+7+10+0</f>
        <v>27</v>
      </c>
      <c r="E16" s="49">
        <f>(10+0+0+8+0)</f>
        <v>18</v>
      </c>
      <c r="F16" s="53">
        <f>2+8</f>
        <v>10</v>
      </c>
      <c r="G16" s="43">
        <f>10+4+0+0+0</f>
        <v>14</v>
      </c>
      <c r="H16" s="53">
        <f>0</f>
        <v>0</v>
      </c>
      <c r="I16" s="53">
        <f>7+4+0+9+6+4+0</f>
        <v>30</v>
      </c>
      <c r="J16" s="30">
        <f t="shared" si="0"/>
        <v>0.49379464285714281</v>
      </c>
    </row>
    <row r="17" spans="1:22" ht="29" customHeight="1" x14ac:dyDescent="0.15">
      <c r="A17" s="60">
        <v>4861</v>
      </c>
      <c r="B17" s="45">
        <v>0</v>
      </c>
      <c r="C17" s="27">
        <f>10+10+10+0</f>
        <v>30</v>
      </c>
      <c r="D17" s="49">
        <v>0</v>
      </c>
      <c r="E17" s="52">
        <f>9+0+0+0+0</f>
        <v>9</v>
      </c>
      <c r="F17" s="53">
        <v>0</v>
      </c>
      <c r="G17" s="43">
        <v>0</v>
      </c>
      <c r="H17" s="27">
        <v>0</v>
      </c>
      <c r="I17" s="53">
        <f>0</f>
        <v>0</v>
      </c>
      <c r="J17" s="30">
        <f t="shared" si="0"/>
        <v>0.174375</v>
      </c>
    </row>
    <row r="18" spans="1:22" ht="29" customHeight="1" x14ac:dyDescent="0.15">
      <c r="A18" s="60">
        <v>4898</v>
      </c>
      <c r="B18" s="45">
        <f>(6+9+10+7)</f>
        <v>32</v>
      </c>
      <c r="C18" s="50">
        <f>3+9+2+3</f>
        <v>17</v>
      </c>
      <c r="D18" s="49">
        <f>7+2+3+3+0</f>
        <v>15</v>
      </c>
      <c r="E18" s="49">
        <f>3+2+3+3+5</f>
        <v>16</v>
      </c>
      <c r="F18" s="53">
        <f>6+4+2+4+6</f>
        <v>22</v>
      </c>
      <c r="G18" s="43">
        <f>4+3+4+4.5+4</f>
        <v>19.5</v>
      </c>
      <c r="H18" s="53">
        <f>6+7+5+5+2</f>
        <v>25</v>
      </c>
      <c r="I18" s="53">
        <f>5+7+3+4+4+0+3</f>
        <v>26</v>
      </c>
      <c r="J18" s="30">
        <f t="shared" si="0"/>
        <v>0.66495535714285725</v>
      </c>
    </row>
    <row r="19" spans="1:22" ht="29" customHeight="1" x14ac:dyDescent="0.15">
      <c r="A19" s="60">
        <v>4902</v>
      </c>
      <c r="B19" s="45">
        <f>(8+10+10+0)</f>
        <v>28</v>
      </c>
      <c r="C19" s="43">
        <v>0</v>
      </c>
      <c r="D19" s="52">
        <v>0</v>
      </c>
      <c r="E19" s="49">
        <v>0</v>
      </c>
      <c r="F19" s="53">
        <v>0</v>
      </c>
      <c r="G19" s="43">
        <f>0</f>
        <v>0</v>
      </c>
      <c r="H19" s="52">
        <v>0</v>
      </c>
      <c r="I19" s="53">
        <v>0</v>
      </c>
      <c r="J19" s="30">
        <f t="shared" si="0"/>
        <v>0.13124999999999998</v>
      </c>
    </row>
    <row r="20" spans="1:22" ht="29" customHeight="1" x14ac:dyDescent="0.15">
      <c r="A20" s="60">
        <v>5373</v>
      </c>
      <c r="B20" s="45">
        <f>(10+10+10+10)</f>
        <v>40</v>
      </c>
      <c r="C20" s="43">
        <f>10+10+9+4</f>
        <v>33</v>
      </c>
      <c r="D20" s="49">
        <f>(10+2+5+4+0)</f>
        <v>21</v>
      </c>
      <c r="E20" s="49">
        <f>0+0+0</f>
        <v>0</v>
      </c>
      <c r="F20" s="53">
        <f>6+4+0.5+4+6</f>
        <v>20.5</v>
      </c>
      <c r="G20" s="43">
        <f>10+10+4+0+2</f>
        <v>26</v>
      </c>
      <c r="H20" s="27">
        <f>9+7.5+5+3+0</f>
        <v>24.5</v>
      </c>
      <c r="I20" s="53">
        <f>10+9+5+9+0+0+0</f>
        <v>33</v>
      </c>
      <c r="J20" s="30">
        <f t="shared" si="0"/>
        <v>0.77558035714285722</v>
      </c>
    </row>
    <row r="21" spans="1:22" ht="29" customHeight="1" x14ac:dyDescent="0.15">
      <c r="A21" s="60">
        <v>5500</v>
      </c>
      <c r="B21" s="45">
        <f>(9+9+10+2)</f>
        <v>30</v>
      </c>
      <c r="C21" s="50">
        <f>7+8+9+5</f>
        <v>29</v>
      </c>
      <c r="D21" s="49">
        <f>0+0+0+0+0</f>
        <v>0</v>
      </c>
      <c r="E21" s="49">
        <f>6+5+7+6+0</f>
        <v>24</v>
      </c>
      <c r="F21" s="53">
        <f>10+9+8+0+6</f>
        <v>33</v>
      </c>
      <c r="G21" s="43">
        <f>10+10+6+8.5+5</f>
        <v>39.5</v>
      </c>
      <c r="H21" s="52">
        <f>7+10+9+0+0</f>
        <v>26</v>
      </c>
      <c r="I21" s="53">
        <f>9+7+9.5+7+7+0+0</f>
        <v>39.5</v>
      </c>
      <c r="J21" s="30">
        <f t="shared" si="0"/>
        <v>0.84174107142857157</v>
      </c>
    </row>
    <row r="22" spans="1:22" ht="29" customHeight="1" x14ac:dyDescent="0.15">
      <c r="A22" s="60">
        <v>5687</v>
      </c>
      <c r="B22" s="45">
        <f>(3+7+7+10)</f>
        <v>27</v>
      </c>
      <c r="C22" s="43">
        <f>9+5+10+0</f>
        <v>24</v>
      </c>
      <c r="D22" s="49">
        <f>0+0+0+0+0</f>
        <v>0</v>
      </c>
      <c r="E22" s="49">
        <v>0</v>
      </c>
      <c r="F22" s="53">
        <v>0</v>
      </c>
      <c r="G22" s="43">
        <v>0</v>
      </c>
      <c r="H22" s="43">
        <v>0</v>
      </c>
      <c r="I22" s="53">
        <f>0</f>
        <v>0</v>
      </c>
      <c r="J22" s="30">
        <f t="shared" si="0"/>
        <v>0.23906249999999998</v>
      </c>
    </row>
    <row r="23" spans="1:22" ht="29" customHeight="1" x14ac:dyDescent="0.15">
      <c r="A23" s="60">
        <v>5711</v>
      </c>
      <c r="B23" s="45">
        <f>(10+10+10+10)</f>
        <v>40</v>
      </c>
      <c r="C23" s="43">
        <f>10+6+10+7</f>
        <v>33</v>
      </c>
      <c r="D23" s="52">
        <f>0+0+0+0+0</f>
        <v>0</v>
      </c>
      <c r="E23" s="49">
        <f>8+7+0+0+0</f>
        <v>15</v>
      </c>
      <c r="F23" s="53">
        <v>0</v>
      </c>
      <c r="G23" s="27">
        <f>10+7+0+0+0</f>
        <v>17</v>
      </c>
      <c r="H23" s="52">
        <f>10+4+9+0+0</f>
        <v>23</v>
      </c>
      <c r="I23" s="52">
        <f>8.5+0+6+10+0+0+0</f>
        <v>24.5</v>
      </c>
      <c r="J23" s="30">
        <f t="shared" si="0"/>
        <v>0.61406249999999996</v>
      </c>
    </row>
    <row r="24" spans="1:22" ht="29" customHeight="1" x14ac:dyDescent="0.15">
      <c r="A24" s="60">
        <v>5766</v>
      </c>
      <c r="B24" s="45">
        <f>(6+9+10+10)</f>
        <v>35</v>
      </c>
      <c r="C24" s="61">
        <f>7+10+10+9</f>
        <v>36</v>
      </c>
      <c r="D24" s="54">
        <f>10+6+8+8+0</f>
        <v>32</v>
      </c>
      <c r="E24" s="49">
        <f>8+6.5+0+0+5</f>
        <v>19.5</v>
      </c>
      <c r="F24" s="53">
        <f>6+9+8.5+8+0</f>
        <v>31.5</v>
      </c>
      <c r="G24" s="43">
        <f>10+10+8+10+0</f>
        <v>38</v>
      </c>
      <c r="H24" s="43">
        <v>0</v>
      </c>
      <c r="I24" s="53">
        <f>0+0+0+0+7+10+0</f>
        <v>17</v>
      </c>
      <c r="J24" s="30">
        <f t="shared" si="0"/>
        <v>0.83209821428571429</v>
      </c>
    </row>
    <row r="25" spans="1:22" ht="29" customHeight="1" x14ac:dyDescent="0.15">
      <c r="A25" s="60">
        <v>5810</v>
      </c>
      <c r="B25" s="45">
        <f>(10+9+10+10)</f>
        <v>39</v>
      </c>
      <c r="C25" s="46">
        <f>10+7+10+8.5</f>
        <v>35.5</v>
      </c>
      <c r="D25" s="49">
        <f>10+8+10+10+10</f>
        <v>48</v>
      </c>
      <c r="E25" s="49">
        <f>(8+10+10+10+0)</f>
        <v>38</v>
      </c>
      <c r="F25" s="56">
        <f>10+10+10+9+8</f>
        <v>47</v>
      </c>
      <c r="G25" s="27">
        <f>10+10+10+10+10</f>
        <v>50</v>
      </c>
      <c r="H25" s="52">
        <f>10+10+7+2+6</f>
        <v>35</v>
      </c>
      <c r="I25" s="52">
        <f>10+8+10+10+9+0+10</f>
        <v>57</v>
      </c>
      <c r="J25" s="30">
        <f t="shared" si="0"/>
        <v>1.3193973214285712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</row>
    <row r="26" spans="1:22" ht="29" customHeight="1" x14ac:dyDescent="0.15">
      <c r="A26" s="60">
        <v>6234</v>
      </c>
      <c r="B26" s="45">
        <f>(9+9+10+7)</f>
        <v>35</v>
      </c>
      <c r="C26" s="43">
        <f>9+10+7+6</f>
        <v>32</v>
      </c>
      <c r="D26" s="53">
        <f>10+2+8+8+5</f>
        <v>33</v>
      </c>
      <c r="E26" s="49">
        <f>(8+7+4+6+0)</f>
        <v>25</v>
      </c>
      <c r="F26" s="53">
        <f>3+4+0+5+7</f>
        <v>19</v>
      </c>
      <c r="G26" s="43">
        <f>4+10+4+5.5+9</f>
        <v>32.5</v>
      </c>
      <c r="H26" s="53">
        <f>9+9.5+9+7+5</f>
        <v>39.5</v>
      </c>
      <c r="I26" s="53">
        <f>9+7+7+9+7+8+7</f>
        <v>54</v>
      </c>
      <c r="J26" s="30">
        <f t="shared" si="0"/>
        <v>1.0174553571428571</v>
      </c>
    </row>
    <row r="27" spans="1:22" ht="29" customHeight="1" x14ac:dyDescent="0.15">
      <c r="A27" s="60">
        <v>6665</v>
      </c>
      <c r="B27" s="45">
        <v>0</v>
      </c>
      <c r="C27" s="43">
        <v>0</v>
      </c>
      <c r="D27" s="53">
        <v>0</v>
      </c>
      <c r="E27" s="52">
        <v>0</v>
      </c>
      <c r="F27" s="53">
        <v>0</v>
      </c>
      <c r="G27" s="27">
        <v>0</v>
      </c>
      <c r="H27" s="52">
        <v>0</v>
      </c>
      <c r="I27" s="52">
        <v>0</v>
      </c>
      <c r="J27" s="30">
        <f t="shared" si="0"/>
        <v>0</v>
      </c>
    </row>
    <row r="28" spans="1:22" ht="29" customHeight="1" x14ac:dyDescent="0.15">
      <c r="A28" s="60">
        <v>7333</v>
      </c>
      <c r="B28" s="45">
        <v>0</v>
      </c>
      <c r="C28" s="46">
        <f>7+4+1+0</f>
        <v>12</v>
      </c>
      <c r="D28" s="49">
        <v>0</v>
      </c>
      <c r="E28" s="49">
        <f>(2+4+0+0+0)</f>
        <v>6</v>
      </c>
      <c r="F28" s="56">
        <v>0</v>
      </c>
      <c r="G28" s="55">
        <v>0</v>
      </c>
      <c r="H28" s="55">
        <v>0</v>
      </c>
      <c r="I28" s="58">
        <v>0</v>
      </c>
      <c r="J28" s="30">
        <f t="shared" si="0"/>
        <v>7.8750000000000001E-2</v>
      </c>
    </row>
    <row r="29" spans="1:22" ht="29" customHeight="1" x14ac:dyDescent="0.15">
      <c r="A29" s="60">
        <v>7495</v>
      </c>
      <c r="B29" s="45">
        <f>(10+10+10+10)</f>
        <v>40</v>
      </c>
      <c r="C29" s="46">
        <f>10+9+10+10</f>
        <v>39</v>
      </c>
      <c r="D29" s="49">
        <f>0+0+0+0+0</f>
        <v>0</v>
      </c>
      <c r="E29" s="49">
        <v>0</v>
      </c>
      <c r="F29" s="56">
        <v>0</v>
      </c>
      <c r="G29" s="27">
        <f>9+9+9.5+3.5+9</f>
        <v>40</v>
      </c>
      <c r="H29" s="52">
        <f>10+8.5+4+6+0</f>
        <v>28.5</v>
      </c>
      <c r="I29" s="52">
        <f>0</f>
        <v>0</v>
      </c>
      <c r="J29" s="30">
        <f t="shared" si="0"/>
        <v>0.62718750000000001</v>
      </c>
    </row>
    <row r="30" spans="1:22" ht="29" customHeight="1" x14ac:dyDescent="0.15">
      <c r="A30" s="60">
        <v>8129</v>
      </c>
      <c r="B30" s="45">
        <f>(7+4+3+0)</f>
        <v>14</v>
      </c>
      <c r="C30" s="46">
        <f>3+3+1+0</f>
        <v>7</v>
      </c>
      <c r="D30" s="49">
        <f>(0+0+0+0+0)</f>
        <v>0</v>
      </c>
      <c r="E30" s="49">
        <f>3+0+0+0+0</f>
        <v>3</v>
      </c>
      <c r="F30" s="56">
        <f>0</f>
        <v>0</v>
      </c>
      <c r="G30" s="27">
        <f>0+4+0+0+0</f>
        <v>4</v>
      </c>
      <c r="H30" s="52">
        <f>0</f>
        <v>0</v>
      </c>
      <c r="I30" s="52">
        <f>0</f>
        <v>0</v>
      </c>
      <c r="J30" s="30">
        <f t="shared" si="0"/>
        <v>0.12468749999999998</v>
      </c>
    </row>
    <row r="31" spans="1:22" ht="29" customHeight="1" x14ac:dyDescent="0.15">
      <c r="A31" s="60">
        <v>8490</v>
      </c>
      <c r="B31" s="45">
        <f>(10+10+10+9)</f>
        <v>39</v>
      </c>
      <c r="C31" s="46">
        <f>10+6+10+10</f>
        <v>36</v>
      </c>
      <c r="D31" s="52">
        <f>10+0+10+6+0</f>
        <v>26</v>
      </c>
      <c r="E31" s="49">
        <f>10+8+2+7+4</f>
        <v>31</v>
      </c>
      <c r="F31" s="56">
        <f>8+10+10+9+9</f>
        <v>46</v>
      </c>
      <c r="G31" s="27">
        <f>10+10+9.5+10+10</f>
        <v>49.5</v>
      </c>
      <c r="H31" s="52">
        <f>10+8+9+10+6</f>
        <v>43</v>
      </c>
      <c r="I31" s="52">
        <f>10+8+10+10+9+10+9</f>
        <v>66</v>
      </c>
      <c r="J31" s="30">
        <f t="shared" si="0"/>
        <v>1.2614732142857144</v>
      </c>
    </row>
    <row r="32" spans="1:22" ht="29" customHeight="1" x14ac:dyDescent="0.15">
      <c r="A32" s="60">
        <v>8695</v>
      </c>
      <c r="B32" s="45">
        <f>(9+9+10+10)</f>
        <v>38</v>
      </c>
      <c r="C32" s="46">
        <f>10+7+9+7</f>
        <v>33</v>
      </c>
      <c r="D32" s="49">
        <f>10+5+6+9+5</f>
        <v>35</v>
      </c>
      <c r="E32" s="52">
        <v>0</v>
      </c>
      <c r="F32" s="56">
        <f>5+8+9+8+9</f>
        <v>39</v>
      </c>
      <c r="G32" s="27">
        <f>10+10+9.5+6+8</f>
        <v>43.5</v>
      </c>
      <c r="H32" s="52">
        <f>10+5+8+10+5</f>
        <v>38</v>
      </c>
      <c r="I32" s="52">
        <f>10+9+8+10+9+8+9</f>
        <v>63</v>
      </c>
      <c r="J32" s="30">
        <f t="shared" si="0"/>
        <v>1.0846875</v>
      </c>
    </row>
    <row r="33" spans="1:10" ht="29" customHeight="1" x14ac:dyDescent="0.15">
      <c r="A33" s="60">
        <v>9139</v>
      </c>
      <c r="B33" s="45">
        <v>0</v>
      </c>
      <c r="C33" s="62">
        <v>0</v>
      </c>
      <c r="D33" s="49">
        <v>0</v>
      </c>
      <c r="E33" s="49">
        <v>0</v>
      </c>
      <c r="F33" s="52">
        <v>0</v>
      </c>
      <c r="G33" s="27">
        <v>0</v>
      </c>
      <c r="H33" s="52">
        <v>0</v>
      </c>
      <c r="I33" s="52">
        <v>0</v>
      </c>
      <c r="J33" s="30">
        <f t="shared" si="0"/>
        <v>0</v>
      </c>
    </row>
    <row r="34" spans="1:10" ht="29" customHeight="1" x14ac:dyDescent="0.15">
      <c r="A34" s="60">
        <v>9253</v>
      </c>
      <c r="B34" s="45">
        <f>(10+9+10+8)</f>
        <v>37</v>
      </c>
      <c r="C34" s="27">
        <f>10+9+10+9</f>
        <v>38</v>
      </c>
      <c r="D34" s="52">
        <f>10+10+8+8+10</f>
        <v>46</v>
      </c>
      <c r="E34" s="49">
        <f>9+4+5+7+4</f>
        <v>29</v>
      </c>
      <c r="F34" s="52">
        <f>6+9+8.5+8+6</f>
        <v>37.5</v>
      </c>
      <c r="G34" s="27">
        <f>10+10+8+10+10</f>
        <v>48</v>
      </c>
      <c r="H34" s="52">
        <f>9+10+8+0+7</f>
        <v>34</v>
      </c>
      <c r="I34" s="52">
        <f>0+0+0+6+7+10+0</f>
        <v>23</v>
      </c>
      <c r="J34" s="30">
        <f t="shared" si="0"/>
        <v>1.1425446428571426</v>
      </c>
    </row>
    <row r="35" spans="1:10" ht="29" customHeight="1" x14ac:dyDescent="0.15">
      <c r="A35" s="60">
        <v>9550</v>
      </c>
      <c r="B35" s="45">
        <f>(10+7+10+10)</f>
        <v>37</v>
      </c>
      <c r="C35" s="46">
        <f>10+10+9+10</f>
        <v>39</v>
      </c>
      <c r="D35" s="64">
        <f>10+9+10+10+10</f>
        <v>49</v>
      </c>
      <c r="E35" s="49">
        <f>8+6.5+3+5+0</f>
        <v>22.5</v>
      </c>
      <c r="F35" s="52">
        <f>6+3+0+4+7</f>
        <v>20</v>
      </c>
      <c r="G35" s="27">
        <f>8+10+0+0+4</f>
        <v>22</v>
      </c>
      <c r="H35" s="52">
        <f>7+8.5+8+6</f>
        <v>29.5</v>
      </c>
      <c r="I35" s="52">
        <f>7+8+5+10+10+10+0</f>
        <v>50</v>
      </c>
      <c r="J35" s="30">
        <f t="shared" si="0"/>
        <v>1.0264285714285715</v>
      </c>
    </row>
    <row r="36" spans="1:10" ht="29" customHeight="1" x14ac:dyDescent="0.15">
      <c r="A36" s="60">
        <v>9610</v>
      </c>
      <c r="B36" s="45">
        <f>(10+8+10+10)</f>
        <v>38</v>
      </c>
      <c r="C36" s="51">
        <f>10+10+10+8</f>
        <v>38</v>
      </c>
      <c r="D36" s="49">
        <f>10+6+10+8+6</f>
        <v>40</v>
      </c>
      <c r="E36" s="49">
        <f>9+5+8+6+8.5</f>
        <v>36.5</v>
      </c>
      <c r="F36" s="52">
        <f>6+7+8+9+8</f>
        <v>38</v>
      </c>
      <c r="G36" s="27">
        <f>10+10+5+10+10</f>
        <v>45</v>
      </c>
      <c r="H36" s="52">
        <f>10+9.5+9+7+7</f>
        <v>42.5</v>
      </c>
      <c r="I36" s="52">
        <f>9+9+5+10+8+9+6</f>
        <v>56</v>
      </c>
      <c r="J36" s="30">
        <f t="shared" si="0"/>
        <v>1.2637499999999999</v>
      </c>
    </row>
    <row r="37" spans="1:10" ht="29" customHeight="1" x14ac:dyDescent="0.15">
      <c r="A37" s="60">
        <v>9611</v>
      </c>
      <c r="B37" s="45">
        <f>(10+8+10+10)</f>
        <v>38</v>
      </c>
      <c r="C37" s="51">
        <f>10+10+10+8</f>
        <v>38</v>
      </c>
      <c r="D37" s="49">
        <f>10+6+10+8+6</f>
        <v>40</v>
      </c>
      <c r="E37" s="49">
        <f>9+6+8+6+0</f>
        <v>29</v>
      </c>
      <c r="F37" s="52">
        <f>6+7+9+9+8</f>
        <v>39</v>
      </c>
      <c r="G37" s="27">
        <f>10+10+5+10+10</f>
        <v>45</v>
      </c>
      <c r="H37" s="52">
        <f>10+9.5+9+7+7</f>
        <v>42.5</v>
      </c>
      <c r="I37" s="52">
        <f>9+9+5+10+8+9+6</f>
        <v>56</v>
      </c>
      <c r="J37" s="30">
        <f t="shared" si="0"/>
        <v>1.2393750000000001</v>
      </c>
    </row>
    <row r="38" spans="1:10" ht="29" customHeight="1" x14ac:dyDescent="0.15">
      <c r="A38" s="60">
        <v>9674</v>
      </c>
      <c r="B38" s="45">
        <f>(10+10+10+10)</f>
        <v>40</v>
      </c>
      <c r="C38" s="46">
        <f>10+7+10+10</f>
        <v>37</v>
      </c>
      <c r="D38" s="52">
        <f>10+9+10+8+10</f>
        <v>47</v>
      </c>
      <c r="E38" s="49">
        <f>9+10+10+9.5+7.5</f>
        <v>46</v>
      </c>
      <c r="F38" s="52">
        <f>10+9+10+10+10</f>
        <v>49</v>
      </c>
      <c r="G38" s="27">
        <f>10+10+6+10+10</f>
        <v>46</v>
      </c>
      <c r="H38" s="52">
        <f>10+9.5+9+10+7</f>
        <v>45.5</v>
      </c>
      <c r="I38" s="52">
        <f>10+8+10+10+8+8+10</f>
        <v>64</v>
      </c>
      <c r="J38" s="30">
        <f t="shared" si="0"/>
        <v>1.4079910714285715</v>
      </c>
    </row>
    <row r="39" spans="1:10" ht="29" customHeight="1" x14ac:dyDescent="0.15">
      <c r="A39" s="60">
        <v>9993</v>
      </c>
      <c r="B39" s="45">
        <v>0</v>
      </c>
      <c r="C39" s="63">
        <v>0</v>
      </c>
      <c r="D39" s="49">
        <v>0</v>
      </c>
      <c r="E39" s="49">
        <f>0</f>
        <v>0</v>
      </c>
      <c r="F39" s="52">
        <v>0</v>
      </c>
      <c r="G39" s="27">
        <f>0</f>
        <v>0</v>
      </c>
      <c r="H39" s="27">
        <v>0</v>
      </c>
      <c r="I39" s="52">
        <v>0</v>
      </c>
      <c r="J39" s="30">
        <f t="shared" si="0"/>
        <v>0</v>
      </c>
    </row>
    <row r="40" spans="1:10" ht="29" customHeight="1" x14ac:dyDescent="0.15">
      <c r="A40" s="20"/>
      <c r="B40" s="2"/>
      <c r="C40" s="2"/>
      <c r="D40" s="2"/>
      <c r="E40" s="2"/>
      <c r="F40" s="2"/>
      <c r="J40" s="2"/>
    </row>
    <row r="41" spans="1:10" ht="29" customHeight="1" x14ac:dyDescent="0.15">
      <c r="A41" s="14" t="s">
        <v>13</v>
      </c>
      <c r="B41" s="32">
        <v>40</v>
      </c>
      <c r="C41" s="32">
        <v>40</v>
      </c>
      <c r="D41" s="32">
        <v>50</v>
      </c>
      <c r="E41" s="32">
        <v>50</v>
      </c>
      <c r="F41" s="32">
        <v>50</v>
      </c>
      <c r="G41" s="32">
        <v>50</v>
      </c>
      <c r="H41" s="32">
        <v>50</v>
      </c>
      <c r="I41" s="32">
        <v>70</v>
      </c>
      <c r="J41" s="33">
        <v>1.5</v>
      </c>
    </row>
    <row r="42" spans="1:10" ht="29" customHeight="1" x14ac:dyDescent="0.15">
      <c r="A42" s="15" t="s">
        <v>14</v>
      </c>
      <c r="B42" s="34">
        <f t="shared" ref="B42:J42" si="1">AVERAGE(B$2:B$39)</f>
        <v>28.644736842105264</v>
      </c>
      <c r="C42" s="34">
        <f t="shared" si="1"/>
        <v>27.289473684210527</v>
      </c>
      <c r="D42" s="34">
        <f t="shared" si="1"/>
        <v>19.44736842105263</v>
      </c>
      <c r="E42" s="34">
        <f t="shared" si="1"/>
        <v>13.157894736842104</v>
      </c>
      <c r="F42" s="34">
        <f t="shared" si="1"/>
        <v>21.855263157894736</v>
      </c>
      <c r="G42" s="34">
        <f t="shared" si="1"/>
        <v>25.118421052631579</v>
      </c>
      <c r="H42" s="34">
        <f t="shared" si="1"/>
        <v>19.723684210526315</v>
      </c>
      <c r="I42" s="34">
        <f t="shared" si="1"/>
        <v>27.381578947368421</v>
      </c>
      <c r="J42" s="34">
        <f t="shared" si="1"/>
        <v>0.70791999530075189</v>
      </c>
    </row>
    <row r="43" spans="1:10" ht="29" customHeight="1" x14ac:dyDescent="0.15">
      <c r="A43" s="16" t="s">
        <v>15</v>
      </c>
      <c r="B43" s="34">
        <f t="shared" ref="B43:J43" si="2">STDEV(B$2:B$39)</f>
        <v>14.741423477571372</v>
      </c>
      <c r="C43" s="34">
        <f t="shared" si="2"/>
        <v>13.136822386643113</v>
      </c>
      <c r="D43" s="34">
        <f t="shared" si="2"/>
        <v>18.778865878919188</v>
      </c>
      <c r="E43" s="34">
        <f t="shared" si="2"/>
        <v>14.778593569095541</v>
      </c>
      <c r="F43" s="34">
        <f t="shared" si="2"/>
        <v>18.418890088467286</v>
      </c>
      <c r="G43" s="34">
        <f t="shared" si="2"/>
        <v>19.319306339502585</v>
      </c>
      <c r="H43" s="34">
        <f t="shared" si="2"/>
        <v>17.630477821712777</v>
      </c>
      <c r="I43" s="34">
        <f t="shared" si="2"/>
        <v>25.739451843878271</v>
      </c>
      <c r="J43" s="34">
        <f t="shared" si="2"/>
        <v>0.4545871095355965</v>
      </c>
    </row>
    <row r="44" spans="1:10" ht="29" customHeight="1" x14ac:dyDescent="0.15">
      <c r="A44" s="16" t="s">
        <v>16</v>
      </c>
      <c r="B44" s="34">
        <f t="shared" ref="B44:J44" si="3">MEDIAN(B$2:B$39)</f>
        <v>35</v>
      </c>
      <c r="C44" s="34">
        <f t="shared" si="3"/>
        <v>33</v>
      </c>
      <c r="D44" s="34">
        <f t="shared" si="3"/>
        <v>20</v>
      </c>
      <c r="E44" s="34">
        <f t="shared" si="3"/>
        <v>7.5</v>
      </c>
      <c r="F44" s="34">
        <f t="shared" si="3"/>
        <v>21.25</v>
      </c>
      <c r="G44" s="34">
        <f t="shared" si="3"/>
        <v>27.75</v>
      </c>
      <c r="H44" s="34">
        <f t="shared" si="3"/>
        <v>24.75</v>
      </c>
      <c r="I44" s="34">
        <f t="shared" si="3"/>
        <v>25.25</v>
      </c>
      <c r="J44" s="34">
        <f t="shared" si="3"/>
        <v>0.77809151785714281</v>
      </c>
    </row>
    <row r="45" spans="1:10" ht="29" customHeight="1" x14ac:dyDescent="0.15">
      <c r="A45" s="17" t="s">
        <v>17</v>
      </c>
      <c r="B45" s="35">
        <f t="shared" ref="B45:I45" si="4">IF(SUM(B2:B39)&gt;0,1,0)</f>
        <v>1</v>
      </c>
      <c r="C45" s="35">
        <f t="shared" si="4"/>
        <v>1</v>
      </c>
      <c r="D45" s="35">
        <f t="shared" si="4"/>
        <v>1</v>
      </c>
      <c r="E45" s="35">
        <f t="shared" si="4"/>
        <v>1</v>
      </c>
      <c r="F45" s="35">
        <f t="shared" si="4"/>
        <v>1</v>
      </c>
      <c r="G45" s="35">
        <f t="shared" si="4"/>
        <v>1</v>
      </c>
      <c r="H45" s="35">
        <f t="shared" si="4"/>
        <v>1</v>
      </c>
      <c r="I45" s="35">
        <f t="shared" si="4"/>
        <v>1</v>
      </c>
      <c r="J45" s="32"/>
    </row>
  </sheetData>
  <pageMargins left="0.75" right="0.75" top="1" bottom="1" header="0.5" footer="0.5"/>
  <pageSetup orientation="portrait" horizontalDpi="4294967292" verticalDpi="4294967292"/>
  <headerFooter alignWithMargins="0"/>
  <ignoredErrors>
    <ignoredError sqref="A2:A4" numberStoredAsText="1"/>
    <ignoredError sqref="D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"/>
  <sheetViews>
    <sheetView topLeftCell="A18" workbookViewId="0">
      <selection activeCell="C22" sqref="C22"/>
    </sheetView>
  </sheetViews>
  <sheetFormatPr baseColWidth="10" defaultRowHeight="13" x14ac:dyDescent="0.15"/>
  <cols>
    <col min="1" max="1" width="25.83203125" customWidth="1"/>
    <col min="2" max="4" width="18.83203125" customWidth="1"/>
    <col min="6" max="15" width="5.6640625" customWidth="1"/>
  </cols>
  <sheetData>
    <row r="1" spans="1:24" ht="25" customHeight="1" x14ac:dyDescent="0.15">
      <c r="A1" s="1" t="s">
        <v>4</v>
      </c>
      <c r="B1" s="3" t="s">
        <v>19</v>
      </c>
      <c r="C1" s="3" t="s">
        <v>0</v>
      </c>
      <c r="E1" s="65" t="s">
        <v>20</v>
      </c>
      <c r="F1" s="65"/>
      <c r="G1" s="65"/>
      <c r="H1" s="65"/>
      <c r="I1" s="65"/>
      <c r="J1" s="65"/>
      <c r="K1" s="65"/>
      <c r="L1" s="65"/>
      <c r="M1" s="65"/>
      <c r="N1" s="65"/>
      <c r="Q1" s="42" t="s">
        <v>21</v>
      </c>
      <c r="R1" s="42" t="s">
        <v>22</v>
      </c>
    </row>
    <row r="2" spans="1:24" ht="29" customHeight="1" x14ac:dyDescent="0.15">
      <c r="A2" s="59" t="s">
        <v>38</v>
      </c>
      <c r="B2" s="43">
        <f>26+1+3+4</f>
        <v>34</v>
      </c>
      <c r="C2" s="52">
        <v>41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Q2" s="39"/>
      <c r="R2" s="39"/>
    </row>
    <row r="3" spans="1:24" ht="29" customHeight="1" x14ac:dyDescent="0.15">
      <c r="A3" s="59" t="s">
        <v>39</v>
      </c>
      <c r="B3" s="43">
        <f>28+16+0+6</f>
        <v>50</v>
      </c>
      <c r="C3" s="52">
        <v>61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Q3" s="39"/>
      <c r="R3" s="39"/>
    </row>
    <row r="4" spans="1:24" ht="29" customHeight="1" x14ac:dyDescent="0.15">
      <c r="A4" s="59" t="s">
        <v>40</v>
      </c>
      <c r="B4" s="43">
        <f>28+14+8+0</f>
        <v>50</v>
      </c>
      <c r="C4" s="52">
        <v>43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Q4" s="39"/>
      <c r="R4" s="39"/>
    </row>
    <row r="5" spans="1:24" ht="29" customHeight="1" x14ac:dyDescent="0.15">
      <c r="A5" s="60">
        <v>1291</v>
      </c>
      <c r="B5" s="43"/>
      <c r="C5" s="52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Q5" s="39"/>
      <c r="R5" s="39"/>
    </row>
    <row r="6" spans="1:24" ht="29" customHeight="1" x14ac:dyDescent="0.15">
      <c r="A6" s="60">
        <v>1506</v>
      </c>
      <c r="B6" s="50">
        <f>31+0+2+2</f>
        <v>35</v>
      </c>
      <c r="C6" s="52">
        <v>49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Q6" s="39"/>
      <c r="R6" s="39"/>
    </row>
    <row r="7" spans="1:24" ht="29" customHeight="1" x14ac:dyDescent="0.15">
      <c r="A7" s="60">
        <v>1742</v>
      </c>
      <c r="B7" s="43">
        <f>16+3+1+2</f>
        <v>22</v>
      </c>
      <c r="C7" s="52">
        <v>19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Q7" s="39"/>
      <c r="R7" s="39"/>
    </row>
    <row r="8" spans="1:24" ht="29" customHeight="1" x14ac:dyDescent="0.15">
      <c r="A8" s="60">
        <v>1772</v>
      </c>
      <c r="B8" s="43">
        <f>26+14+4+15</f>
        <v>59</v>
      </c>
      <c r="C8" s="52">
        <v>43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Q8" s="39"/>
      <c r="R8" s="39"/>
    </row>
    <row r="9" spans="1:24" ht="29" customHeight="1" x14ac:dyDescent="0.15">
      <c r="A9" s="60">
        <v>2151</v>
      </c>
      <c r="B9" s="43">
        <f>11+1+4+2</f>
        <v>18</v>
      </c>
      <c r="C9" s="52">
        <v>18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Q9" s="39"/>
      <c r="R9" s="39"/>
    </row>
    <row r="10" spans="1:24" ht="29" customHeight="1" x14ac:dyDescent="0.15">
      <c r="A10" s="60">
        <v>2252</v>
      </c>
      <c r="B10" s="50">
        <f>23+1+5+3</f>
        <v>32</v>
      </c>
      <c r="C10" s="52">
        <v>24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Q10" s="39"/>
      <c r="R10" s="39"/>
    </row>
    <row r="11" spans="1:24" ht="29" customHeight="1" x14ac:dyDescent="0.15">
      <c r="A11" s="60">
        <v>2441</v>
      </c>
      <c r="B11" s="43">
        <f>31+2+1+3</f>
        <v>37</v>
      </c>
      <c r="C11" s="52">
        <v>38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Q11" s="39"/>
      <c r="R11" s="39"/>
    </row>
    <row r="12" spans="1:24" ht="29" customHeight="1" x14ac:dyDescent="0.15">
      <c r="A12" s="60">
        <v>2564</v>
      </c>
      <c r="B12" s="50">
        <f>35+19+9+5</f>
        <v>68</v>
      </c>
      <c r="C12" s="52">
        <v>67</v>
      </c>
      <c r="D12" s="47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Q12" s="39"/>
      <c r="R12" s="39"/>
    </row>
    <row r="13" spans="1:24" ht="29" customHeight="1" x14ac:dyDescent="0.15">
      <c r="A13" s="60">
        <v>2899</v>
      </c>
      <c r="B13" s="43">
        <f>29+6+3+0</f>
        <v>38</v>
      </c>
      <c r="C13" s="52">
        <v>48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Q13" s="39"/>
      <c r="R13" s="39"/>
    </row>
    <row r="14" spans="1:24" ht="29" customHeight="1" x14ac:dyDescent="0.15">
      <c r="A14" s="60">
        <v>3274</v>
      </c>
      <c r="B14" s="50">
        <f>15+1+1+1</f>
        <v>18</v>
      </c>
      <c r="C14" s="52">
        <v>16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Q14" s="39"/>
      <c r="R14" s="39"/>
    </row>
    <row r="15" spans="1:24" ht="29" customHeight="1" x14ac:dyDescent="0.15">
      <c r="A15" s="60">
        <v>3877</v>
      </c>
      <c r="B15" s="43">
        <f>20+0+7+3</f>
        <v>30</v>
      </c>
      <c r="C15" s="52">
        <v>31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Q15" s="39"/>
      <c r="R15" s="39"/>
      <c r="X15" t="s">
        <v>23</v>
      </c>
    </row>
    <row r="16" spans="1:24" ht="29" customHeight="1" x14ac:dyDescent="0.15">
      <c r="A16" s="60">
        <v>4622</v>
      </c>
      <c r="B16" s="43">
        <f>29+7+5+2</f>
        <v>43</v>
      </c>
      <c r="C16" s="52">
        <v>28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Q16" s="39"/>
      <c r="R16" s="39"/>
    </row>
    <row r="17" spans="1:24" ht="29" customHeight="1" x14ac:dyDescent="0.15">
      <c r="A17" s="60">
        <v>4861</v>
      </c>
      <c r="B17" s="27">
        <f>13+0+0+0</f>
        <v>13</v>
      </c>
      <c r="C17" s="52">
        <v>21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Q17" s="39"/>
      <c r="R17" s="39"/>
    </row>
    <row r="18" spans="1:24" ht="29" customHeight="1" x14ac:dyDescent="0.15">
      <c r="A18" s="60">
        <v>4898</v>
      </c>
      <c r="B18" s="50">
        <f>15+2+1+1</f>
        <v>19</v>
      </c>
      <c r="C18" s="52">
        <v>23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24" ht="29" customHeight="1" x14ac:dyDescent="0.15">
      <c r="A19" s="60">
        <v>4902</v>
      </c>
      <c r="B19" s="43"/>
      <c r="C19" s="52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24" ht="29" customHeight="1" x14ac:dyDescent="0.15">
      <c r="A20" s="60">
        <v>5373</v>
      </c>
      <c r="B20" s="43">
        <f>35+0+4+4</f>
        <v>43</v>
      </c>
      <c r="C20" s="52">
        <v>27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24" ht="29" customHeight="1" x14ac:dyDescent="0.15">
      <c r="A21" s="60">
        <v>5500</v>
      </c>
      <c r="B21" s="50">
        <f>20+7+3+3</f>
        <v>33</v>
      </c>
      <c r="C21" s="52">
        <v>21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24" ht="29" customHeight="1" x14ac:dyDescent="0.15">
      <c r="A22" s="60">
        <v>5687</v>
      </c>
      <c r="B22" s="43">
        <f>5+0</f>
        <v>5</v>
      </c>
      <c r="C22" s="52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24" ht="29" customHeight="1" x14ac:dyDescent="0.15">
      <c r="A23" s="60">
        <v>5711</v>
      </c>
      <c r="B23" s="43">
        <f>31+0+11+9</f>
        <v>51</v>
      </c>
      <c r="C23" s="52">
        <v>46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24" ht="29" customHeight="1" x14ac:dyDescent="0.15">
      <c r="A24" s="60">
        <v>5766</v>
      </c>
      <c r="B24" s="43">
        <f>26+19+13+3</f>
        <v>61</v>
      </c>
      <c r="C24" s="52">
        <v>47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24" ht="29" customHeight="1" x14ac:dyDescent="0.2">
      <c r="A25" s="60">
        <v>5810</v>
      </c>
      <c r="B25" s="27">
        <f>32+12+18+5</f>
        <v>67</v>
      </c>
      <c r="C25" s="52">
        <v>47</v>
      </c>
      <c r="D25" s="23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39"/>
      <c r="P25" s="24"/>
      <c r="Q25" s="24"/>
      <c r="R25" s="24"/>
      <c r="S25" s="24"/>
      <c r="T25" s="24"/>
      <c r="U25" s="24"/>
      <c r="V25" s="24"/>
      <c r="W25" s="24"/>
      <c r="X25" s="25"/>
    </row>
    <row r="26" spans="1:24" ht="29" customHeight="1" x14ac:dyDescent="0.15">
      <c r="A26" s="60">
        <v>6234</v>
      </c>
      <c r="B26" s="43">
        <f>27+9+6+5</f>
        <v>47</v>
      </c>
      <c r="C26" s="52">
        <v>53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24" ht="29" customHeight="1" x14ac:dyDescent="0.15">
      <c r="A27" s="60">
        <v>6665</v>
      </c>
      <c r="B27" s="43"/>
      <c r="C27" s="52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24" ht="29" customHeight="1" x14ac:dyDescent="0.15">
      <c r="A28" s="60">
        <v>7333</v>
      </c>
      <c r="B28" s="27">
        <f>8+2+1+2</f>
        <v>13</v>
      </c>
      <c r="C28" s="52">
        <v>18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24" ht="29" customHeight="1" x14ac:dyDescent="0.15">
      <c r="A29" s="60">
        <v>7495</v>
      </c>
      <c r="B29" s="43">
        <f>26+2+0+0</f>
        <v>28</v>
      </c>
      <c r="C29" s="52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24" ht="29" customHeight="1" x14ac:dyDescent="0.15">
      <c r="A30" s="60">
        <v>8129</v>
      </c>
      <c r="B30" s="43">
        <f>4+0+0+1</f>
        <v>5</v>
      </c>
      <c r="C30" s="52">
        <v>19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24" ht="29" customHeight="1" x14ac:dyDescent="0.15">
      <c r="A31" s="60">
        <v>8490</v>
      </c>
      <c r="B31" s="43">
        <f>28+2+3+3</f>
        <v>36</v>
      </c>
      <c r="C31" s="52">
        <v>45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24" ht="29" customHeight="1" x14ac:dyDescent="0.15">
      <c r="A32" s="60">
        <v>8695</v>
      </c>
      <c r="B32" s="43">
        <f>25+0+9+3</f>
        <v>37</v>
      </c>
      <c r="C32" s="52">
        <v>74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1:15" ht="29" customHeight="1" x14ac:dyDescent="0.15">
      <c r="A33" s="60">
        <v>9139</v>
      </c>
      <c r="B33" s="27">
        <f>2+0</f>
        <v>2</v>
      </c>
      <c r="C33" s="52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pans="1:15" ht="29" customHeight="1" x14ac:dyDescent="0.15">
      <c r="A34" s="60">
        <v>9253</v>
      </c>
      <c r="B34" s="27">
        <f>32+6+8+3</f>
        <v>49</v>
      </c>
      <c r="C34" s="52">
        <v>28</v>
      </c>
    </row>
    <row r="35" spans="1:15" ht="29" customHeight="1" x14ac:dyDescent="0.15">
      <c r="A35" s="60">
        <v>9550</v>
      </c>
      <c r="B35" s="27">
        <f>29+6+0+4</f>
        <v>39</v>
      </c>
      <c r="C35" s="52">
        <v>38</v>
      </c>
    </row>
    <row r="36" spans="1:15" ht="29" customHeight="1" x14ac:dyDescent="0.15">
      <c r="A36" s="60">
        <v>9610</v>
      </c>
      <c r="B36" s="26">
        <f>26+5+6+2</f>
        <v>39</v>
      </c>
      <c r="C36" s="52">
        <v>40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spans="1:15" ht="29" customHeight="1" x14ac:dyDescent="0.15">
      <c r="A37" s="60">
        <v>9611</v>
      </c>
      <c r="B37" s="26">
        <f>30+3+7+5</f>
        <v>45</v>
      </c>
      <c r="C37" s="52">
        <v>38</v>
      </c>
    </row>
    <row r="38" spans="1:15" ht="29" customHeight="1" x14ac:dyDescent="0.15">
      <c r="A38" s="60">
        <v>9674</v>
      </c>
      <c r="B38" s="27">
        <f>37+10+10+10</f>
        <v>67</v>
      </c>
      <c r="C38" s="52">
        <v>62</v>
      </c>
    </row>
    <row r="39" spans="1:15" ht="29" customHeight="1" x14ac:dyDescent="0.15">
      <c r="A39" s="60">
        <v>9993</v>
      </c>
      <c r="B39" s="27"/>
      <c r="C39" s="52"/>
    </row>
    <row r="40" spans="1:15" ht="25" customHeight="1" x14ac:dyDescent="0.15">
      <c r="A40" s="20"/>
      <c r="B40" s="22"/>
      <c r="C40" s="22"/>
    </row>
    <row r="41" spans="1:15" ht="29" customHeight="1" x14ac:dyDescent="0.15">
      <c r="A41" s="14" t="s">
        <v>13</v>
      </c>
      <c r="B41" s="36">
        <v>100</v>
      </c>
      <c r="C41" s="36">
        <v>100</v>
      </c>
    </row>
    <row r="42" spans="1:15" ht="29" customHeight="1" x14ac:dyDescent="0.15">
      <c r="A42" s="15" t="s">
        <v>14</v>
      </c>
      <c r="B42" s="37">
        <f>AVERAGE(B$2:B$39)</f>
        <v>36.264705882352942</v>
      </c>
      <c r="C42" s="37">
        <f>AVERAGE(C$2:C$39)</f>
        <v>37.838709677419352</v>
      </c>
    </row>
    <row r="43" spans="1:15" ht="29" customHeight="1" x14ac:dyDescent="0.15">
      <c r="A43" s="16" t="s">
        <v>15</v>
      </c>
      <c r="B43" s="37">
        <f>STDEV(B$2:B$39)</f>
        <v>17.927985273629595</v>
      </c>
      <c r="C43" s="37">
        <f>STDEV(C$2:C$39)</f>
        <v>15.705830709630419</v>
      </c>
    </row>
    <row r="44" spans="1:15" ht="29" customHeight="1" x14ac:dyDescent="0.15">
      <c r="A44" s="16" t="s">
        <v>16</v>
      </c>
      <c r="B44" s="37">
        <f>MEDIAN(B$2:B$39)</f>
        <v>37</v>
      </c>
      <c r="C44" s="37">
        <f>MEDIAN(C$2:C$39)</f>
        <v>38</v>
      </c>
    </row>
  </sheetData>
  <mergeCells count="1">
    <mergeCell ref="E1:N1"/>
  </mergeCells>
  <pageMargins left="0.75" right="0.75" top="1" bottom="1" header="0.5" footer="0.5"/>
  <pageSetup paperSize="9" orientation="portrait" horizontalDpi="4294967292" verticalDpi="4294967292"/>
  <headerFooter alignWithMargins="0"/>
  <ignoredErrors>
    <ignoredError sqref="A2:A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tabSelected="1" zoomScaleNormal="100" workbookViewId="0">
      <selection activeCell="B2" sqref="B2"/>
    </sheetView>
  </sheetViews>
  <sheetFormatPr baseColWidth="10" defaultRowHeight="13" x14ac:dyDescent="0.15"/>
  <cols>
    <col min="1" max="1" width="25.5" customWidth="1"/>
    <col min="2" max="2" width="16.83203125" style="12" customWidth="1"/>
    <col min="3" max="3" width="15.83203125" customWidth="1"/>
    <col min="4" max="4" width="15" customWidth="1"/>
    <col min="5" max="6" width="18.83203125" customWidth="1"/>
    <col min="7" max="7" width="17.83203125" customWidth="1"/>
    <col min="8" max="8" width="13.5" customWidth="1"/>
  </cols>
  <sheetData>
    <row r="1" spans="1:8" ht="24" customHeight="1" x14ac:dyDescent="0.15">
      <c r="A1" s="11" t="s">
        <v>4</v>
      </c>
      <c r="B1" s="7" t="s">
        <v>26</v>
      </c>
      <c r="C1" s="7" t="s">
        <v>5</v>
      </c>
      <c r="D1" s="7" t="s">
        <v>19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ht="29" customHeight="1" x14ac:dyDescent="0.15">
      <c r="A2" s="59" t="s">
        <v>38</v>
      </c>
      <c r="B2" s="30">
        <f>Quizzes!L2</f>
        <v>0.34500000000000003</v>
      </c>
      <c r="C2" s="29">
        <f>Homework!J2</f>
        <v>0.81053571428571436</v>
      </c>
      <c r="D2" s="43">
        <f>Exams!B2</f>
        <v>34</v>
      </c>
      <c r="E2" s="27">
        <f>Exams!C2</f>
        <v>41</v>
      </c>
      <c r="F2" s="30">
        <f t="shared" ref="F2:F39" si="0">$B2+$C2+IF(($E2&gt;$D2),($E2/$E$41)*7.5, ($D2/$D$41)*3+($E2/$E$41)*4.5)</f>
        <v>4.2305357142857138</v>
      </c>
      <c r="G2" s="30">
        <f>0.5*INT(F2/0.5)+INT( ((F2-INT(F2/0.5)*0.5)/0.25))*0.5</f>
        <v>4</v>
      </c>
      <c r="H2" s="28">
        <f>IF(G2&gt;4.75,1,0)</f>
        <v>0</v>
      </c>
    </row>
    <row r="3" spans="1:8" ht="29" customHeight="1" x14ac:dyDescent="0.15">
      <c r="A3" s="59" t="s">
        <v>39</v>
      </c>
      <c r="B3" s="30">
        <f>Quizzes!L3</f>
        <v>0.53333333333333344</v>
      </c>
      <c r="C3" s="29">
        <f>Homework!J3</f>
        <v>1.1708035714285714</v>
      </c>
      <c r="D3" s="43">
        <f>Exams!B3</f>
        <v>50</v>
      </c>
      <c r="E3" s="27">
        <f>Exams!C3</f>
        <v>61</v>
      </c>
      <c r="F3" s="30">
        <f t="shared" si="0"/>
        <v>6.2791369047619048</v>
      </c>
      <c r="G3" s="30">
        <f t="shared" ref="G3:G39" si="1">0.5*INT(F3/0.5)+INT( ((F3-INT(F3/0.5)*0.5)/0.25))*0.5</f>
        <v>6.5</v>
      </c>
      <c r="H3" s="28">
        <f t="shared" ref="H3:H39" si="2">IF(G3&gt;4.75,1,0)</f>
        <v>1</v>
      </c>
    </row>
    <row r="4" spans="1:8" ht="29" customHeight="1" x14ac:dyDescent="0.15">
      <c r="A4" s="59" t="s">
        <v>40</v>
      </c>
      <c r="B4" s="30">
        <f>Quizzes!L4</f>
        <v>0.59166666666666667</v>
      </c>
      <c r="C4" s="29">
        <f>Homework!J4</f>
        <v>1.2445982142857142</v>
      </c>
      <c r="D4" s="43">
        <f>Exams!B4</f>
        <v>50</v>
      </c>
      <c r="E4" s="27">
        <f>Exams!C4</f>
        <v>43</v>
      </c>
      <c r="F4" s="30">
        <f t="shared" si="0"/>
        <v>5.2712648809523808</v>
      </c>
      <c r="G4" s="30">
        <f t="shared" si="1"/>
        <v>5.5</v>
      </c>
      <c r="H4" s="28">
        <f t="shared" si="2"/>
        <v>1</v>
      </c>
    </row>
    <row r="5" spans="1:8" ht="29" customHeight="1" x14ac:dyDescent="0.15">
      <c r="A5" s="60">
        <v>1291</v>
      </c>
      <c r="B5" s="30">
        <f>Quizzes!L5</f>
        <v>0</v>
      </c>
      <c r="C5" s="29">
        <f>Homework!J5</f>
        <v>0</v>
      </c>
      <c r="D5" s="43">
        <f>Exams!B5</f>
        <v>0</v>
      </c>
      <c r="E5" s="27">
        <f>Exams!C5</f>
        <v>0</v>
      </c>
      <c r="F5" s="30">
        <f t="shared" si="0"/>
        <v>0</v>
      </c>
      <c r="G5" s="30">
        <f t="shared" si="1"/>
        <v>0</v>
      </c>
      <c r="H5" s="28">
        <f t="shared" si="2"/>
        <v>0</v>
      </c>
    </row>
    <row r="6" spans="1:8" ht="29" customHeight="1" x14ac:dyDescent="0.15">
      <c r="A6" s="60">
        <v>1506</v>
      </c>
      <c r="B6" s="30">
        <f>Quizzes!L6</f>
        <v>0.32166666666666666</v>
      </c>
      <c r="C6" s="29">
        <f>Homework!J6</f>
        <v>0.81937499999999996</v>
      </c>
      <c r="D6" s="43">
        <f>Exams!B6</f>
        <v>35</v>
      </c>
      <c r="E6" s="27">
        <f>Exams!C6</f>
        <v>49</v>
      </c>
      <c r="F6" s="30">
        <f t="shared" si="0"/>
        <v>4.816041666666667</v>
      </c>
      <c r="G6" s="30">
        <f t="shared" si="1"/>
        <v>5</v>
      </c>
      <c r="H6" s="28">
        <f t="shared" si="2"/>
        <v>1</v>
      </c>
    </row>
    <row r="7" spans="1:8" ht="29" customHeight="1" x14ac:dyDescent="0.15">
      <c r="A7" s="60">
        <v>1742</v>
      </c>
      <c r="B7" s="30">
        <f>Quizzes!L7</f>
        <v>0.21166666666666667</v>
      </c>
      <c r="C7" s="29">
        <f>Homework!J7</f>
        <v>0.63375000000000004</v>
      </c>
      <c r="D7" s="43">
        <f>Exams!B7</f>
        <v>22</v>
      </c>
      <c r="E7" s="27">
        <f>Exams!C7</f>
        <v>19</v>
      </c>
      <c r="F7" s="30">
        <f t="shared" si="0"/>
        <v>2.3604166666666666</v>
      </c>
      <c r="G7" s="30">
        <f t="shared" si="1"/>
        <v>2.5</v>
      </c>
      <c r="H7" s="28">
        <f t="shared" si="2"/>
        <v>0</v>
      </c>
    </row>
    <row r="8" spans="1:8" ht="29" customHeight="1" x14ac:dyDescent="0.15">
      <c r="A8" s="60">
        <v>1772</v>
      </c>
      <c r="B8" s="30">
        <f>Quizzes!L8</f>
        <v>0.33166666666666667</v>
      </c>
      <c r="C8" s="29">
        <f>Homework!J8</f>
        <v>0.74879464285714281</v>
      </c>
      <c r="D8" s="43">
        <f>Exams!B8</f>
        <v>59</v>
      </c>
      <c r="E8" s="27">
        <f>Exams!C8</f>
        <v>43</v>
      </c>
      <c r="F8" s="30">
        <f t="shared" si="0"/>
        <v>4.785461309523809</v>
      </c>
      <c r="G8" s="30">
        <f t="shared" si="1"/>
        <v>5</v>
      </c>
      <c r="H8" s="28">
        <f t="shared" si="2"/>
        <v>1</v>
      </c>
    </row>
    <row r="9" spans="1:8" ht="29" customHeight="1" x14ac:dyDescent="0.15">
      <c r="A9" s="60">
        <v>2151</v>
      </c>
      <c r="B9" s="30">
        <f>Quizzes!L9</f>
        <v>0.20166666666666666</v>
      </c>
      <c r="C9" s="29">
        <f>Homework!J9</f>
        <v>0.7806026785714284</v>
      </c>
      <c r="D9" s="43">
        <f>Exams!B9</f>
        <v>18</v>
      </c>
      <c r="E9" s="27">
        <f>Exams!C9</f>
        <v>18</v>
      </c>
      <c r="F9" s="30">
        <f t="shared" si="0"/>
        <v>2.3322693452380951</v>
      </c>
      <c r="G9" s="30">
        <f t="shared" si="1"/>
        <v>2.5</v>
      </c>
      <c r="H9" s="28">
        <f t="shared" si="2"/>
        <v>0</v>
      </c>
    </row>
    <row r="10" spans="1:8" ht="29" customHeight="1" x14ac:dyDescent="0.15">
      <c r="A10" s="60">
        <v>2252</v>
      </c>
      <c r="B10" s="30">
        <f>Quizzes!L10</f>
        <v>0.24500000000000002</v>
      </c>
      <c r="C10" s="29">
        <f>Homework!J10</f>
        <v>0.21796875000000002</v>
      </c>
      <c r="D10" s="43">
        <f>Exams!B10</f>
        <v>32</v>
      </c>
      <c r="E10" s="27">
        <f>Exams!C10</f>
        <v>24</v>
      </c>
      <c r="F10" s="30">
        <f t="shared" si="0"/>
        <v>2.50296875</v>
      </c>
      <c r="G10" s="30">
        <f t="shared" si="1"/>
        <v>2.5</v>
      </c>
      <c r="H10" s="28">
        <f t="shared" si="2"/>
        <v>0</v>
      </c>
    </row>
    <row r="11" spans="1:8" ht="29" customHeight="1" x14ac:dyDescent="0.15">
      <c r="A11" s="60">
        <v>2441</v>
      </c>
      <c r="B11" s="30">
        <f>Quizzes!L11</f>
        <v>0.18333333333333329</v>
      </c>
      <c r="C11" s="29">
        <f>Homework!J11</f>
        <v>0.47437499999999999</v>
      </c>
      <c r="D11" s="43">
        <f>Exams!B11</f>
        <v>37</v>
      </c>
      <c r="E11" s="27">
        <f>Exams!C11</f>
        <v>38</v>
      </c>
      <c r="F11" s="30">
        <f t="shared" si="0"/>
        <v>3.5077083333333334</v>
      </c>
      <c r="G11" s="30">
        <f t="shared" si="1"/>
        <v>3.5</v>
      </c>
      <c r="H11" s="28">
        <f t="shared" si="2"/>
        <v>0</v>
      </c>
    </row>
    <row r="12" spans="1:8" ht="29" customHeight="1" x14ac:dyDescent="0.15">
      <c r="A12" s="60">
        <v>2564</v>
      </c>
      <c r="B12" s="30">
        <f>Quizzes!L12</f>
        <v>0.7533333333333333</v>
      </c>
      <c r="C12" s="29">
        <f>Homework!J12</f>
        <v>1.449642857142857</v>
      </c>
      <c r="D12" s="43">
        <f>Exams!B12</f>
        <v>68</v>
      </c>
      <c r="E12" s="27">
        <f>Exams!C12</f>
        <v>67</v>
      </c>
      <c r="F12" s="30">
        <f t="shared" si="0"/>
        <v>7.2579761904761906</v>
      </c>
      <c r="G12" s="30">
        <f t="shared" si="1"/>
        <v>7.5</v>
      </c>
      <c r="H12" s="28">
        <f t="shared" si="2"/>
        <v>1</v>
      </c>
    </row>
    <row r="13" spans="1:8" ht="29" customHeight="1" x14ac:dyDescent="0.15">
      <c r="A13" s="60">
        <v>2899</v>
      </c>
      <c r="B13" s="30">
        <f>Quizzes!L13</f>
        <v>0.35500000000000004</v>
      </c>
      <c r="C13" s="29">
        <f>Homework!J13</f>
        <v>0.83691964285714282</v>
      </c>
      <c r="D13" s="43">
        <f>Exams!B13</f>
        <v>38</v>
      </c>
      <c r="E13" s="27">
        <f>Exams!C13</f>
        <v>48</v>
      </c>
      <c r="F13" s="30">
        <f t="shared" si="0"/>
        <v>4.7919196428571427</v>
      </c>
      <c r="G13" s="30">
        <f t="shared" si="1"/>
        <v>5</v>
      </c>
      <c r="H13" s="28">
        <f t="shared" si="2"/>
        <v>1</v>
      </c>
    </row>
    <row r="14" spans="1:8" ht="29" customHeight="1" x14ac:dyDescent="0.15">
      <c r="A14" s="60">
        <v>3274</v>
      </c>
      <c r="B14" s="30">
        <f>Quizzes!L14</f>
        <v>0.11833333333333332</v>
      </c>
      <c r="C14" s="29">
        <f>Homework!J14</f>
        <v>0.3046875</v>
      </c>
      <c r="D14" s="43">
        <f>Exams!B14</f>
        <v>18</v>
      </c>
      <c r="E14" s="27">
        <f>Exams!C14</f>
        <v>16</v>
      </c>
      <c r="F14" s="30">
        <f t="shared" si="0"/>
        <v>1.6830208333333334</v>
      </c>
      <c r="G14" s="30">
        <f t="shared" si="1"/>
        <v>1.5</v>
      </c>
      <c r="H14" s="28">
        <f t="shared" si="2"/>
        <v>0</v>
      </c>
    </row>
    <row r="15" spans="1:8" ht="29" customHeight="1" x14ac:dyDescent="0.15">
      <c r="A15" s="60">
        <v>3877</v>
      </c>
      <c r="B15" s="30">
        <f>Quizzes!L15</f>
        <v>0.5033333333333333</v>
      </c>
      <c r="C15" s="29">
        <f>Homework!J15</f>
        <v>1.0482589285714285</v>
      </c>
      <c r="D15" s="43">
        <f>Exams!B15</f>
        <v>30</v>
      </c>
      <c r="E15" s="27">
        <f>Exams!C15</f>
        <v>31</v>
      </c>
      <c r="F15" s="30">
        <f t="shared" si="0"/>
        <v>3.8765922619047619</v>
      </c>
      <c r="G15" s="30">
        <f t="shared" si="1"/>
        <v>4</v>
      </c>
      <c r="H15" s="28">
        <f t="shared" si="2"/>
        <v>0</v>
      </c>
    </row>
    <row r="16" spans="1:8" ht="29" customHeight="1" x14ac:dyDescent="0.15">
      <c r="A16" s="60">
        <v>4622</v>
      </c>
      <c r="B16" s="30">
        <f>Quizzes!L16</f>
        <v>0.28000000000000003</v>
      </c>
      <c r="C16" s="29">
        <f>Homework!J16</f>
        <v>0.49379464285714281</v>
      </c>
      <c r="D16" s="43">
        <f>Exams!B16</f>
        <v>43</v>
      </c>
      <c r="E16" s="27">
        <f>Exams!C16</f>
        <v>28</v>
      </c>
      <c r="F16" s="30">
        <f t="shared" si="0"/>
        <v>3.323794642857143</v>
      </c>
      <c r="G16" s="30">
        <f t="shared" si="1"/>
        <v>3.5</v>
      </c>
      <c r="H16" s="28">
        <f t="shared" si="2"/>
        <v>0</v>
      </c>
    </row>
    <row r="17" spans="1:8" ht="29" customHeight="1" x14ac:dyDescent="0.15">
      <c r="A17" s="60">
        <v>4861</v>
      </c>
      <c r="B17" s="30">
        <f>Quizzes!L17</f>
        <v>7.6666666666666661E-2</v>
      </c>
      <c r="C17" s="29">
        <f>Homework!J17</f>
        <v>0.174375</v>
      </c>
      <c r="D17" s="43">
        <f>Exams!B17</f>
        <v>13</v>
      </c>
      <c r="E17" s="27">
        <f>Exams!C17</f>
        <v>21</v>
      </c>
      <c r="F17" s="30">
        <f t="shared" si="0"/>
        <v>1.8260416666666666</v>
      </c>
      <c r="G17" s="30">
        <f t="shared" si="1"/>
        <v>2</v>
      </c>
      <c r="H17" s="28">
        <f t="shared" si="2"/>
        <v>0</v>
      </c>
    </row>
    <row r="18" spans="1:8" ht="29" customHeight="1" x14ac:dyDescent="0.15">
      <c r="A18" s="60">
        <v>4898</v>
      </c>
      <c r="B18" s="30">
        <f>Quizzes!L18</f>
        <v>0.26499999999999996</v>
      </c>
      <c r="C18" s="29">
        <f>Homework!J18</f>
        <v>0.66495535714285725</v>
      </c>
      <c r="D18" s="43">
        <f>Exams!B18</f>
        <v>19</v>
      </c>
      <c r="E18" s="27">
        <f>Exams!C18</f>
        <v>23</v>
      </c>
      <c r="F18" s="30">
        <f t="shared" si="0"/>
        <v>2.6549553571428572</v>
      </c>
      <c r="G18" s="30">
        <f t="shared" si="1"/>
        <v>2.5</v>
      </c>
      <c r="H18" s="28">
        <f t="shared" si="2"/>
        <v>0</v>
      </c>
    </row>
    <row r="19" spans="1:8" ht="29" customHeight="1" x14ac:dyDescent="0.15">
      <c r="A19" s="60">
        <v>4902</v>
      </c>
      <c r="B19" s="30">
        <f>Quizzes!L19</f>
        <v>0.02</v>
      </c>
      <c r="C19" s="29">
        <f>Homework!J19</f>
        <v>0.13124999999999998</v>
      </c>
      <c r="D19" s="43">
        <f>Exams!B19</f>
        <v>0</v>
      </c>
      <c r="E19" s="27">
        <f>Exams!C19</f>
        <v>0</v>
      </c>
      <c r="F19" s="30">
        <f t="shared" si="0"/>
        <v>0.15124999999999997</v>
      </c>
      <c r="G19" s="30">
        <f t="shared" si="1"/>
        <v>0</v>
      </c>
      <c r="H19" s="28">
        <f t="shared" si="2"/>
        <v>0</v>
      </c>
    </row>
    <row r="20" spans="1:8" ht="29" customHeight="1" x14ac:dyDescent="0.15">
      <c r="A20" s="60">
        <v>5373</v>
      </c>
      <c r="B20" s="30">
        <f>Quizzes!L20</f>
        <v>0.36833333333333335</v>
      </c>
      <c r="C20" s="29">
        <f>Homework!J20</f>
        <v>0.77558035714285722</v>
      </c>
      <c r="D20" s="43">
        <f>Exams!B20</f>
        <v>43</v>
      </c>
      <c r="E20" s="27">
        <f>Exams!C20</f>
        <v>27</v>
      </c>
      <c r="F20" s="30">
        <f t="shared" si="0"/>
        <v>3.6489136904761903</v>
      </c>
      <c r="G20" s="30">
        <f t="shared" si="1"/>
        <v>3.5</v>
      </c>
      <c r="H20" s="28">
        <f t="shared" si="2"/>
        <v>0</v>
      </c>
    </row>
    <row r="21" spans="1:8" ht="29" customHeight="1" x14ac:dyDescent="0.15">
      <c r="A21" s="60">
        <v>5500</v>
      </c>
      <c r="B21" s="30">
        <f>Quizzes!L21</f>
        <v>0.39666666666666661</v>
      </c>
      <c r="C21" s="29">
        <f>Homework!J21</f>
        <v>0.84174107142857157</v>
      </c>
      <c r="D21" s="43">
        <f>Exams!B21</f>
        <v>33</v>
      </c>
      <c r="E21" s="27">
        <f>Exams!C21</f>
        <v>21</v>
      </c>
      <c r="F21" s="30">
        <f t="shared" si="0"/>
        <v>3.1734077380952384</v>
      </c>
      <c r="G21" s="30">
        <f t="shared" si="1"/>
        <v>3</v>
      </c>
      <c r="H21" s="28">
        <f t="shared" si="2"/>
        <v>0</v>
      </c>
    </row>
    <row r="22" spans="1:8" ht="29" customHeight="1" x14ac:dyDescent="0.15">
      <c r="A22" s="60">
        <v>5687</v>
      </c>
      <c r="B22" s="30">
        <f>Quizzes!L22</f>
        <v>8.8333333333333333E-2</v>
      </c>
      <c r="C22" s="29">
        <f>Homework!J22</f>
        <v>0.23906249999999998</v>
      </c>
      <c r="D22" s="43">
        <f>Exams!B22</f>
        <v>5</v>
      </c>
      <c r="E22" s="27">
        <f>Exams!C22</f>
        <v>0</v>
      </c>
      <c r="F22" s="30">
        <f t="shared" si="0"/>
        <v>0.47739583333333335</v>
      </c>
      <c r="G22" s="30">
        <f t="shared" si="1"/>
        <v>0.5</v>
      </c>
      <c r="H22" s="28">
        <f t="shared" si="2"/>
        <v>0</v>
      </c>
    </row>
    <row r="23" spans="1:8" ht="29" customHeight="1" x14ac:dyDescent="0.15">
      <c r="A23" s="60">
        <v>5711</v>
      </c>
      <c r="B23" s="30">
        <f>Quizzes!L23</f>
        <v>0.57166666666666655</v>
      </c>
      <c r="C23" s="29">
        <f>Homework!J23</f>
        <v>0.61406249999999996</v>
      </c>
      <c r="D23" s="43">
        <f>Exams!B23</f>
        <v>51</v>
      </c>
      <c r="E23" s="27">
        <f>Exams!C23</f>
        <v>46</v>
      </c>
      <c r="F23" s="30">
        <f t="shared" si="0"/>
        <v>4.785729166666667</v>
      </c>
      <c r="G23" s="30">
        <f t="shared" si="1"/>
        <v>5</v>
      </c>
      <c r="H23" s="28">
        <f t="shared" si="2"/>
        <v>1</v>
      </c>
    </row>
    <row r="24" spans="1:8" ht="29" customHeight="1" x14ac:dyDescent="0.15">
      <c r="A24" s="60">
        <v>5766</v>
      </c>
      <c r="B24" s="30">
        <f>Quizzes!L24</f>
        <v>0.29833333333333334</v>
      </c>
      <c r="C24" s="29">
        <f>Homework!J24</f>
        <v>0.83209821428571429</v>
      </c>
      <c r="D24" s="43">
        <f>Exams!B24</f>
        <v>61</v>
      </c>
      <c r="E24" s="27">
        <f>Exams!C24</f>
        <v>47</v>
      </c>
      <c r="F24" s="30">
        <f t="shared" si="0"/>
        <v>5.075431547619047</v>
      </c>
      <c r="G24" s="30">
        <f t="shared" si="1"/>
        <v>5</v>
      </c>
      <c r="H24" s="28">
        <f t="shared" si="2"/>
        <v>1</v>
      </c>
    </row>
    <row r="25" spans="1:8" ht="29" customHeight="1" x14ac:dyDescent="0.15">
      <c r="A25" s="60">
        <v>5810</v>
      </c>
      <c r="B25" s="30">
        <f>Quizzes!L25</f>
        <v>0.65500000000000003</v>
      </c>
      <c r="C25" s="29">
        <f>Homework!J25</f>
        <v>1.3193973214285712</v>
      </c>
      <c r="D25" s="43">
        <f>Exams!B25</f>
        <v>67</v>
      </c>
      <c r="E25" s="27">
        <f>Exams!C25</f>
        <v>47</v>
      </c>
      <c r="F25" s="30">
        <f t="shared" si="0"/>
        <v>6.0993973214285715</v>
      </c>
      <c r="G25" s="30">
        <f t="shared" si="1"/>
        <v>6</v>
      </c>
      <c r="H25" s="28">
        <f t="shared" si="2"/>
        <v>1</v>
      </c>
    </row>
    <row r="26" spans="1:8" ht="29" customHeight="1" x14ac:dyDescent="0.15">
      <c r="A26" s="60">
        <v>6234</v>
      </c>
      <c r="B26" s="30">
        <f>Quizzes!L26</f>
        <v>0.4883333333333334</v>
      </c>
      <c r="C26" s="29">
        <f>Homework!J26</f>
        <v>1.0174553571428571</v>
      </c>
      <c r="D26" s="43">
        <f>Exams!B26</f>
        <v>47</v>
      </c>
      <c r="E26" s="27">
        <f>Exams!C26</f>
        <v>53</v>
      </c>
      <c r="F26" s="30">
        <f t="shared" si="0"/>
        <v>5.4807886904761904</v>
      </c>
      <c r="G26" s="30">
        <f t="shared" si="1"/>
        <v>5.5</v>
      </c>
      <c r="H26" s="28">
        <f t="shared" si="2"/>
        <v>1</v>
      </c>
    </row>
    <row r="27" spans="1:8" ht="29" customHeight="1" x14ac:dyDescent="0.15">
      <c r="A27" s="60">
        <v>6665</v>
      </c>
      <c r="B27" s="30">
        <f>Quizzes!L27</f>
        <v>0.02</v>
      </c>
      <c r="C27" s="29">
        <f>Homework!J27</f>
        <v>0</v>
      </c>
      <c r="D27" s="43">
        <f>Exams!B27</f>
        <v>0</v>
      </c>
      <c r="E27" s="27">
        <f>Exams!C27</f>
        <v>0</v>
      </c>
      <c r="F27" s="30">
        <f t="shared" si="0"/>
        <v>0.02</v>
      </c>
      <c r="G27" s="30">
        <f t="shared" si="1"/>
        <v>0</v>
      </c>
      <c r="H27" s="28">
        <f t="shared" si="2"/>
        <v>0</v>
      </c>
    </row>
    <row r="28" spans="1:8" ht="29" customHeight="1" x14ac:dyDescent="0.15">
      <c r="A28" s="60">
        <v>7333</v>
      </c>
      <c r="B28" s="30">
        <f>Quizzes!L28</f>
        <v>7.3333333333333334E-2</v>
      </c>
      <c r="C28" s="29">
        <f>Homework!J28</f>
        <v>7.8750000000000001E-2</v>
      </c>
      <c r="D28" s="43">
        <f>Exams!B28</f>
        <v>13</v>
      </c>
      <c r="E28" s="27">
        <f>Exams!C28</f>
        <v>18</v>
      </c>
      <c r="F28" s="30">
        <f t="shared" si="0"/>
        <v>1.5020833333333332</v>
      </c>
      <c r="G28" s="30">
        <f t="shared" si="1"/>
        <v>1.5</v>
      </c>
      <c r="H28" s="28">
        <f t="shared" si="2"/>
        <v>0</v>
      </c>
    </row>
    <row r="29" spans="1:8" ht="29" customHeight="1" x14ac:dyDescent="0.15">
      <c r="A29" s="60">
        <v>7495</v>
      </c>
      <c r="B29" s="30">
        <f>Quizzes!L29</f>
        <v>0.27999999999999997</v>
      </c>
      <c r="C29" s="29">
        <f>Homework!J29</f>
        <v>0.62718750000000001</v>
      </c>
      <c r="D29" s="43">
        <f>Exams!B29</f>
        <v>28</v>
      </c>
      <c r="E29" s="27">
        <f>Exams!C29</f>
        <v>0</v>
      </c>
      <c r="F29" s="30">
        <f t="shared" si="0"/>
        <v>1.7471875000000001</v>
      </c>
      <c r="G29" s="30">
        <f t="shared" si="1"/>
        <v>1.5</v>
      </c>
      <c r="H29" s="28">
        <f t="shared" si="2"/>
        <v>0</v>
      </c>
    </row>
    <row r="30" spans="1:8" ht="29" customHeight="1" x14ac:dyDescent="0.15">
      <c r="A30" s="60">
        <v>8129</v>
      </c>
      <c r="B30" s="30">
        <f>Quizzes!L30</f>
        <v>0.15499999999999997</v>
      </c>
      <c r="C30" s="29">
        <f>Homework!J30</f>
        <v>0.12468749999999998</v>
      </c>
      <c r="D30" s="43">
        <f>Exams!B30</f>
        <v>5</v>
      </c>
      <c r="E30" s="27">
        <f>Exams!C30</f>
        <v>19</v>
      </c>
      <c r="F30" s="30">
        <f t="shared" si="0"/>
        <v>1.7046874999999999</v>
      </c>
      <c r="G30" s="30">
        <f t="shared" si="1"/>
        <v>1.5</v>
      </c>
      <c r="H30" s="28">
        <f t="shared" si="2"/>
        <v>0</v>
      </c>
    </row>
    <row r="31" spans="1:8" ht="29" customHeight="1" x14ac:dyDescent="0.15">
      <c r="A31" s="60">
        <v>8490</v>
      </c>
      <c r="B31" s="30">
        <f>Quizzes!L31</f>
        <v>0.49666666666666676</v>
      </c>
      <c r="C31" s="29">
        <f>Homework!J31</f>
        <v>1.2614732142857144</v>
      </c>
      <c r="D31" s="43">
        <f>Exams!B31</f>
        <v>36</v>
      </c>
      <c r="E31" s="27">
        <f>Exams!C31</f>
        <v>45</v>
      </c>
      <c r="F31" s="30">
        <f t="shared" si="0"/>
        <v>5.1331398809523812</v>
      </c>
      <c r="G31" s="30">
        <f t="shared" si="1"/>
        <v>5</v>
      </c>
      <c r="H31" s="28">
        <f t="shared" si="2"/>
        <v>1</v>
      </c>
    </row>
    <row r="32" spans="1:8" ht="29" customHeight="1" x14ac:dyDescent="0.15">
      <c r="A32" s="60">
        <v>8695</v>
      </c>
      <c r="B32" s="30">
        <f>Quizzes!L32</f>
        <v>0.62499999999999989</v>
      </c>
      <c r="C32" s="29">
        <f>Homework!J32</f>
        <v>1.0846875</v>
      </c>
      <c r="D32" s="43">
        <f>Exams!B32</f>
        <v>37</v>
      </c>
      <c r="E32" s="27">
        <f>Exams!C32</f>
        <v>74</v>
      </c>
      <c r="F32" s="30">
        <f t="shared" si="0"/>
        <v>7.2596875000000001</v>
      </c>
      <c r="G32" s="30">
        <f t="shared" si="1"/>
        <v>7.5</v>
      </c>
      <c r="H32" s="28">
        <f t="shared" si="2"/>
        <v>1</v>
      </c>
    </row>
    <row r="33" spans="1:8" ht="29" customHeight="1" x14ac:dyDescent="0.15">
      <c r="A33" s="60">
        <v>9139</v>
      </c>
      <c r="B33" s="30">
        <f>Quizzes!L33</f>
        <v>1.666666666666667E-2</v>
      </c>
      <c r="C33" s="29">
        <f>Homework!J33</f>
        <v>0</v>
      </c>
      <c r="D33" s="43">
        <f>Exams!B33</f>
        <v>2</v>
      </c>
      <c r="E33" s="27">
        <f>Exams!C33</f>
        <v>0</v>
      </c>
      <c r="F33" s="30">
        <f t="shared" si="0"/>
        <v>7.6666666666666661E-2</v>
      </c>
      <c r="G33" s="30">
        <f t="shared" si="1"/>
        <v>0</v>
      </c>
      <c r="H33" s="28">
        <f t="shared" si="2"/>
        <v>0</v>
      </c>
    </row>
    <row r="34" spans="1:8" ht="29" customHeight="1" x14ac:dyDescent="0.15">
      <c r="A34" s="60">
        <v>9253</v>
      </c>
      <c r="B34" s="30">
        <f>Quizzes!L34</f>
        <v>0.53166666666666662</v>
      </c>
      <c r="C34" s="29">
        <f>Homework!J34</f>
        <v>1.1425446428571426</v>
      </c>
      <c r="D34" s="43">
        <f>Exams!B34</f>
        <v>49</v>
      </c>
      <c r="E34" s="27">
        <f>Exams!C34</f>
        <v>28</v>
      </c>
      <c r="F34" s="30">
        <f t="shared" si="0"/>
        <v>4.4042113095238093</v>
      </c>
      <c r="G34" s="30">
        <f t="shared" si="1"/>
        <v>4.5</v>
      </c>
      <c r="H34" s="28">
        <f t="shared" si="2"/>
        <v>0</v>
      </c>
    </row>
    <row r="35" spans="1:8" ht="29" customHeight="1" x14ac:dyDescent="0.15">
      <c r="A35" s="60">
        <v>9550</v>
      </c>
      <c r="B35" s="30">
        <f>Quizzes!L35</f>
        <v>0.45333333333333342</v>
      </c>
      <c r="C35" s="29">
        <f>Homework!J35</f>
        <v>1.0264285714285715</v>
      </c>
      <c r="D35" s="43">
        <f>Exams!B35</f>
        <v>39</v>
      </c>
      <c r="E35" s="27">
        <f>Exams!C35</f>
        <v>38</v>
      </c>
      <c r="F35" s="30">
        <f t="shared" si="0"/>
        <v>4.3597619047619052</v>
      </c>
      <c r="G35" s="30">
        <f t="shared" si="1"/>
        <v>4.5</v>
      </c>
      <c r="H35" s="28">
        <f t="shared" si="2"/>
        <v>0</v>
      </c>
    </row>
    <row r="36" spans="1:8" ht="29" customHeight="1" x14ac:dyDescent="0.15">
      <c r="A36" s="60">
        <v>9610</v>
      </c>
      <c r="B36" s="30">
        <f>Quizzes!L36</f>
        <v>0.56666666666666665</v>
      </c>
      <c r="C36" s="29">
        <f>Homework!J36</f>
        <v>1.2637499999999999</v>
      </c>
      <c r="D36" s="43">
        <f>Exams!B36</f>
        <v>39</v>
      </c>
      <c r="E36" s="27">
        <f>Exams!C36</f>
        <v>40</v>
      </c>
      <c r="F36" s="30">
        <f t="shared" si="0"/>
        <v>4.8304166666666664</v>
      </c>
      <c r="G36" s="30">
        <f t="shared" si="1"/>
        <v>5</v>
      </c>
      <c r="H36" s="28">
        <f t="shared" si="2"/>
        <v>1</v>
      </c>
    </row>
    <row r="37" spans="1:8" ht="29" customHeight="1" x14ac:dyDescent="0.15">
      <c r="A37" s="60">
        <v>9611</v>
      </c>
      <c r="B37" s="30">
        <f>Quizzes!L37</f>
        <v>0.57833333333333337</v>
      </c>
      <c r="C37" s="29">
        <f>Homework!J37</f>
        <v>1.2393750000000001</v>
      </c>
      <c r="D37" s="43">
        <f>Exams!B37</f>
        <v>45</v>
      </c>
      <c r="E37" s="27">
        <f>Exams!C37</f>
        <v>38</v>
      </c>
      <c r="F37" s="30">
        <f t="shared" si="0"/>
        <v>4.8777083333333335</v>
      </c>
      <c r="G37" s="30">
        <f t="shared" si="1"/>
        <v>5</v>
      </c>
      <c r="H37" s="28">
        <f t="shared" si="2"/>
        <v>1</v>
      </c>
    </row>
    <row r="38" spans="1:8" ht="29" customHeight="1" x14ac:dyDescent="0.15">
      <c r="A38" s="60">
        <v>9674</v>
      </c>
      <c r="B38" s="30">
        <f>Quizzes!L38</f>
        <v>0.58333333333333326</v>
      </c>
      <c r="C38" s="29">
        <f>Homework!J38</f>
        <v>1.4079910714285715</v>
      </c>
      <c r="D38" s="43">
        <f>Exams!B38</f>
        <v>67</v>
      </c>
      <c r="E38" s="27">
        <f>Exams!C38</f>
        <v>62</v>
      </c>
      <c r="F38" s="30">
        <f t="shared" si="0"/>
        <v>6.7913244047619052</v>
      </c>
      <c r="G38" s="30">
        <f t="shared" si="1"/>
        <v>7</v>
      </c>
      <c r="H38" s="28">
        <f t="shared" si="2"/>
        <v>1</v>
      </c>
    </row>
    <row r="39" spans="1:8" ht="29" customHeight="1" x14ac:dyDescent="0.15">
      <c r="A39" s="60">
        <v>9993</v>
      </c>
      <c r="B39" s="30">
        <f>Quizzes!L39</f>
        <v>0</v>
      </c>
      <c r="C39" s="29">
        <f>Homework!J39</f>
        <v>0</v>
      </c>
      <c r="D39" s="43">
        <f>Exams!B39</f>
        <v>0</v>
      </c>
      <c r="E39" s="27">
        <f>Exams!C39</f>
        <v>0</v>
      </c>
      <c r="F39" s="30">
        <f t="shared" si="0"/>
        <v>0</v>
      </c>
      <c r="G39" s="30">
        <f t="shared" si="1"/>
        <v>0</v>
      </c>
      <c r="H39" s="28">
        <f t="shared" si="2"/>
        <v>0</v>
      </c>
    </row>
    <row r="40" spans="1:8" ht="29" customHeight="1" x14ac:dyDescent="0.15">
      <c r="A40" s="20"/>
      <c r="B40" s="48"/>
      <c r="C40" s="29"/>
      <c r="D40" s="43"/>
      <c r="E40" s="27"/>
      <c r="F40" s="30"/>
      <c r="G40" s="30"/>
      <c r="H40" s="28"/>
    </row>
    <row r="41" spans="1:8" ht="29" customHeight="1" x14ac:dyDescent="0.15">
      <c r="A41" s="14" t="s">
        <v>13</v>
      </c>
      <c r="B41" s="38">
        <f>Quizzes!L41</f>
        <v>1</v>
      </c>
      <c r="C41" s="38">
        <f>Homework!J41</f>
        <v>1.5</v>
      </c>
      <c r="D41" s="31">
        <v>100</v>
      </c>
      <c r="E41" s="32">
        <f>Exams!C41</f>
        <v>100</v>
      </c>
      <c r="F41" s="32">
        <v>10</v>
      </c>
      <c r="G41" s="32">
        <v>10</v>
      </c>
      <c r="H41" s="57">
        <v>38</v>
      </c>
    </row>
    <row r="42" spans="1:8" ht="29" customHeight="1" x14ac:dyDescent="0.15">
      <c r="A42" s="15" t="s">
        <v>14</v>
      </c>
      <c r="B42" s="34">
        <f t="shared" ref="B42:G42" si="3">AVERAGE(B$2:B$39)</f>
        <v>0.33114035087719296</v>
      </c>
      <c r="C42" s="34">
        <f t="shared" si="3"/>
        <v>0.70791999530075189</v>
      </c>
      <c r="D42" s="34">
        <f t="shared" si="3"/>
        <v>32.44736842105263</v>
      </c>
      <c r="E42" s="34">
        <f t="shared" si="3"/>
        <v>30.868421052631579</v>
      </c>
      <c r="F42" s="34">
        <f t="shared" si="3"/>
        <v>3.5026129777568915</v>
      </c>
      <c r="G42" s="34">
        <f t="shared" si="3"/>
        <v>3.5394736842105261</v>
      </c>
      <c r="H42" s="28">
        <f>SUM(H2:H39)</f>
        <v>15</v>
      </c>
    </row>
    <row r="43" spans="1:8" ht="29" customHeight="1" x14ac:dyDescent="0.15">
      <c r="A43" s="16" t="s">
        <v>15</v>
      </c>
      <c r="B43" s="34">
        <f t="shared" ref="B43:G43" si="4">STDEV(B$2:B$39)</f>
        <v>0.21491639035754806</v>
      </c>
      <c r="C43" s="34">
        <f t="shared" si="4"/>
        <v>0.4545871095355965</v>
      </c>
      <c r="D43" s="34">
        <f t="shared" si="4"/>
        <v>20.343931120316078</v>
      </c>
      <c r="E43" s="34">
        <f t="shared" si="4"/>
        <v>20.51785122914109</v>
      </c>
      <c r="F43" s="34">
        <f t="shared" si="4"/>
        <v>2.1307818841991764</v>
      </c>
      <c r="G43" s="34">
        <f t="shared" si="4"/>
        <v>2.209872134454868</v>
      </c>
      <c r="H43" s="57"/>
    </row>
    <row r="44" spans="1:8" ht="29" customHeight="1" x14ac:dyDescent="0.15">
      <c r="A44" s="16" t="s">
        <v>16</v>
      </c>
      <c r="B44" s="34">
        <f t="shared" ref="B44:G44" si="5">MEDIAN(B$2:B$39)</f>
        <v>0.32666666666666666</v>
      </c>
      <c r="C44" s="34">
        <f t="shared" si="5"/>
        <v>0.77809151785714281</v>
      </c>
      <c r="D44" s="34">
        <f t="shared" si="5"/>
        <v>35.5</v>
      </c>
      <c r="E44" s="34">
        <f t="shared" si="5"/>
        <v>29.5</v>
      </c>
      <c r="F44" s="34">
        <f t="shared" si="5"/>
        <v>3.7627529761904759</v>
      </c>
      <c r="G44" s="34">
        <f t="shared" si="5"/>
        <v>3.75</v>
      </c>
      <c r="H44" s="57"/>
    </row>
    <row r="45" spans="1:8" x14ac:dyDescent="0.15">
      <c r="B45"/>
    </row>
    <row r="46" spans="1:8" x14ac:dyDescent="0.15">
      <c r="B46"/>
    </row>
    <row r="47" spans="1:8" x14ac:dyDescent="0.15">
      <c r="B47"/>
    </row>
    <row r="48" spans="1:8" x14ac:dyDescent="0.15">
      <c r="B48"/>
    </row>
    <row r="49" spans="2:2" x14ac:dyDescent="0.15">
      <c r="B49"/>
    </row>
    <row r="50" spans="2:2" x14ac:dyDescent="0.15">
      <c r="B50"/>
    </row>
    <row r="51" spans="2:2" x14ac:dyDescent="0.15">
      <c r="B51"/>
    </row>
    <row r="52" spans="2:2" x14ac:dyDescent="0.15">
      <c r="B52"/>
    </row>
    <row r="53" spans="2:2" x14ac:dyDescent="0.15">
      <c r="B53"/>
    </row>
    <row r="54" spans="2:2" x14ac:dyDescent="0.15">
      <c r="B54"/>
    </row>
    <row r="55" spans="2:2" x14ac:dyDescent="0.15">
      <c r="B55"/>
    </row>
    <row r="56" spans="2:2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6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A2:A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2020-09-07T14:38:33Z</cp:lastPrinted>
  <dcterms:created xsi:type="dcterms:W3CDTF">2008-09-16T13:43:39Z</dcterms:created>
  <dcterms:modified xsi:type="dcterms:W3CDTF">2023-01-01T03:19:20Z</dcterms:modified>
</cp:coreProperties>
</file>