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pple/FEB-2019/Dev/Python/ul-course/et5003/exam-practise/"/>
    </mc:Choice>
  </mc:AlternateContent>
  <bookViews>
    <workbookView xWindow="0" yWindow="460" windowWidth="28800" windowHeight="16760" tabRatio="500" activeTab="1"/>
  </bookViews>
  <sheets>
    <sheet name="Sheet6" sheetId="6" r:id="rId1"/>
    <sheet name="Lesson 13 - Bayes I" sheetId="8" r:id="rId2"/>
    <sheet name="Lesson 9 - Bayes" sheetId="9" r:id="rId3"/>
    <sheet name="Lesson 8 - Rand_Dist" sheetId="1" r:id="rId4"/>
    <sheet name="Lesson 7 - Perm_Comb" sheetId="2" r:id="rId5"/>
    <sheet name="Lesson 6 - Multiple_Events" sheetId="3" r:id="rId6"/>
    <sheet name="Lesson 5 Cond_Prob" sheetId="4" r:id="rId7"/>
    <sheet name="Lesson 4 - Events" sheetId="5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0" i="8" l="1"/>
  <c r="H96" i="8"/>
  <c r="D81" i="8"/>
  <c r="D62" i="8"/>
  <c r="D83" i="8"/>
  <c r="J96" i="8"/>
  <c r="E71" i="8"/>
  <c r="F71" i="8"/>
  <c r="G71" i="8"/>
  <c r="H71" i="8"/>
  <c r="J71" i="8"/>
  <c r="D87" i="8"/>
  <c r="I97" i="8"/>
  <c r="L96" i="8"/>
  <c r="H100" i="8"/>
  <c r="D63" i="8"/>
  <c r="D84" i="8"/>
  <c r="J100" i="8"/>
  <c r="I101" i="8"/>
  <c r="L100" i="8"/>
  <c r="L102" i="8"/>
  <c r="D88" i="8"/>
  <c r="D61" i="8"/>
  <c r="D82" i="8"/>
  <c r="G61" i="8"/>
  <c r="G62" i="8"/>
  <c r="L50" i="8"/>
  <c r="J48" i="8"/>
  <c r="H48" i="8"/>
  <c r="H44" i="8"/>
  <c r="I49" i="8"/>
  <c r="L48" i="8"/>
  <c r="L44" i="8"/>
  <c r="J44" i="8"/>
  <c r="D31" i="8"/>
  <c r="D32" i="8"/>
  <c r="D30" i="8"/>
  <c r="D29" i="8"/>
  <c r="I45" i="8"/>
  <c r="D11" i="8"/>
  <c r="D10" i="8"/>
  <c r="D9" i="8"/>
  <c r="D8" i="8"/>
  <c r="G19" i="8"/>
  <c r="H19" i="8"/>
  <c r="E19" i="8"/>
  <c r="F19" i="8"/>
  <c r="J19" i="8"/>
  <c r="G9" i="8"/>
  <c r="G10" i="8"/>
  <c r="D35" i="8"/>
  <c r="D36" i="8"/>
  <c r="D92" i="4"/>
  <c r="F92" i="4"/>
  <c r="G92" i="4"/>
  <c r="R34" i="3"/>
  <c r="Q32" i="3"/>
  <c r="R32" i="3"/>
  <c r="R31" i="3"/>
  <c r="M46" i="3"/>
  <c r="J44" i="3"/>
  <c r="J45" i="3"/>
  <c r="J46" i="3"/>
  <c r="J47" i="3"/>
  <c r="H47" i="3"/>
  <c r="F47" i="3"/>
  <c r="K47" i="3"/>
  <c r="M102" i="9"/>
  <c r="G105" i="9"/>
  <c r="L103" i="9"/>
  <c r="N103" i="9"/>
  <c r="P103" i="9"/>
  <c r="P102" i="9"/>
  <c r="R102" i="9"/>
  <c r="D71" i="9"/>
  <c r="H76" i="9"/>
  <c r="D72" i="9"/>
  <c r="J76" i="9"/>
  <c r="L76" i="9"/>
  <c r="I75" i="9"/>
  <c r="L75" i="9"/>
  <c r="N75" i="9"/>
  <c r="Q80" i="9"/>
  <c r="M91" i="9"/>
  <c r="G94" i="9"/>
  <c r="P91" i="9"/>
  <c r="L92" i="9"/>
  <c r="N92" i="9"/>
  <c r="P92" i="9"/>
  <c r="R91" i="9"/>
  <c r="D60" i="9"/>
  <c r="J64" i="9"/>
  <c r="D59" i="9"/>
  <c r="H64" i="9"/>
  <c r="L64" i="9"/>
  <c r="I63" i="9"/>
  <c r="L63" i="9"/>
  <c r="N63" i="9"/>
  <c r="I50" i="9"/>
  <c r="K50" i="9"/>
  <c r="Q50" i="9"/>
  <c r="M50" i="9"/>
  <c r="O50" i="9"/>
  <c r="S50" i="9"/>
  <c r="U50" i="9"/>
  <c r="K49" i="9"/>
  <c r="M49" i="9"/>
  <c r="R49" i="9"/>
  <c r="U49" i="9"/>
  <c r="W49" i="9"/>
  <c r="M41" i="9"/>
  <c r="O41" i="9"/>
  <c r="S41" i="9"/>
  <c r="K41" i="9"/>
  <c r="I41" i="9"/>
  <c r="Q41" i="9"/>
  <c r="U41" i="9"/>
  <c r="M40" i="9"/>
  <c r="K40" i="9"/>
  <c r="R40" i="9"/>
  <c r="U40" i="9"/>
  <c r="W40" i="9"/>
  <c r="J21" i="9"/>
  <c r="I20" i="9"/>
  <c r="K20" i="9"/>
  <c r="M20" i="9"/>
  <c r="O20" i="9"/>
  <c r="I10" i="9"/>
  <c r="K10" i="9"/>
  <c r="J11" i="9"/>
  <c r="M10" i="9"/>
  <c r="O10" i="9"/>
  <c r="R45" i="1"/>
  <c r="Q45" i="1"/>
  <c r="O61" i="4"/>
  <c r="N61" i="4"/>
  <c r="N59" i="4"/>
  <c r="N60" i="4"/>
  <c r="C7" i="5"/>
  <c r="C8" i="5"/>
  <c r="D82" i="4"/>
  <c r="F82" i="4"/>
  <c r="G82" i="4"/>
  <c r="F73" i="4"/>
  <c r="G73" i="4"/>
  <c r="F71" i="4"/>
  <c r="D71" i="4"/>
  <c r="G71" i="4"/>
  <c r="F62" i="4"/>
  <c r="D62" i="4"/>
  <c r="G62" i="4"/>
  <c r="G50" i="4"/>
  <c r="G40" i="4"/>
  <c r="G30" i="4"/>
  <c r="D18" i="4"/>
  <c r="E18" i="4"/>
  <c r="D17" i="4"/>
  <c r="D16" i="4"/>
  <c r="C15" i="4"/>
  <c r="J35" i="3"/>
  <c r="J36" i="3"/>
  <c r="J37" i="3"/>
  <c r="H37" i="3"/>
  <c r="F37" i="3"/>
  <c r="K37" i="3"/>
  <c r="J24" i="3"/>
  <c r="J25" i="3"/>
  <c r="J26" i="3"/>
  <c r="J27" i="3"/>
  <c r="K27" i="3"/>
  <c r="H27" i="3"/>
  <c r="F27" i="3"/>
  <c r="H28" i="3"/>
  <c r="J17" i="3"/>
  <c r="J18" i="3"/>
  <c r="J19" i="3"/>
  <c r="K19" i="3"/>
  <c r="J8" i="3"/>
  <c r="J9" i="3"/>
  <c r="J10" i="3"/>
  <c r="K10" i="3"/>
  <c r="H55" i="2"/>
  <c r="H54" i="2"/>
  <c r="J55" i="2"/>
  <c r="H45" i="2"/>
  <c r="H46" i="2"/>
  <c r="J46" i="2"/>
  <c r="H37" i="2"/>
  <c r="H36" i="2"/>
  <c r="J37" i="2"/>
  <c r="H25" i="2"/>
  <c r="H24" i="2"/>
  <c r="J25" i="2"/>
  <c r="D28" i="2"/>
  <c r="F28" i="2"/>
  <c r="H10" i="2"/>
  <c r="H11" i="2"/>
  <c r="J11" i="2"/>
  <c r="D14" i="2"/>
  <c r="F14" i="2"/>
  <c r="H53" i="1"/>
  <c r="H54" i="1"/>
  <c r="H55" i="1"/>
  <c r="H56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H43" i="1"/>
  <c r="H44" i="1"/>
  <c r="H45" i="1"/>
  <c r="H46" i="1"/>
  <c r="C44" i="1"/>
  <c r="C45" i="1"/>
  <c r="C46" i="1"/>
  <c r="C47" i="1"/>
  <c r="C48" i="1"/>
  <c r="C49" i="1"/>
  <c r="C50" i="1"/>
  <c r="C43" i="1"/>
  <c r="E38" i="1"/>
  <c r="E37" i="1"/>
  <c r="E36" i="1"/>
  <c r="E29" i="1"/>
  <c r="E34" i="1"/>
  <c r="I22" i="1"/>
  <c r="F12" i="1"/>
  <c r="F13" i="1"/>
  <c r="F14" i="1"/>
  <c r="G14" i="1"/>
  <c r="H14" i="1"/>
  <c r="F7" i="1"/>
  <c r="F8" i="1"/>
  <c r="F9" i="1"/>
  <c r="G9" i="1"/>
  <c r="H9" i="1"/>
  <c r="F4" i="1"/>
  <c r="H4" i="1"/>
</calcChain>
</file>

<file path=xl/sharedStrings.xml><?xml version="1.0" encoding="utf-8"?>
<sst xmlns="http://schemas.openxmlformats.org/spreadsheetml/2006/main" count="972" uniqueCount="376">
  <si>
    <t>Poisson</t>
  </si>
  <si>
    <t>x</t>
  </si>
  <si>
    <t>theta</t>
  </si>
  <si>
    <t>Avg decays per sec</t>
  </si>
  <si>
    <t>Zero decays per sec</t>
  </si>
  <si>
    <t>One decays per sec</t>
  </si>
  <si>
    <t>Binomial</t>
  </si>
  <si>
    <t>samples space</t>
  </si>
  <si>
    <t>Outcome</t>
  </si>
  <si>
    <t>Flip 1</t>
  </si>
  <si>
    <t>Flip 2</t>
  </si>
  <si>
    <t>H</t>
  </si>
  <si>
    <t>T</t>
  </si>
  <si>
    <t>probabilities</t>
  </si>
  <si>
    <t>Num Heads</t>
  </si>
  <si>
    <t>Probability</t>
  </si>
  <si>
    <t>1/4</t>
  </si>
  <si>
    <t>1/2</t>
  </si>
  <si>
    <t>Prob of getting 1 or more heads</t>
  </si>
  <si>
    <t>Number of independent trials</t>
  </si>
  <si>
    <t>Number successes in trials</t>
  </si>
  <si>
    <t>Binomial distribution using cum dist function</t>
  </si>
  <si>
    <t>Probability of successes in trials (theta)</t>
  </si>
  <si>
    <t>Cumulative Binomial</t>
  </si>
  <si>
    <t>Checking to see what the probability of having this number of successes is</t>
  </si>
  <si>
    <t>Number successes in trials - X</t>
  </si>
  <si>
    <t>Probability of successes in trials - (theta)</t>
  </si>
  <si>
    <t>Number of independent trials - n</t>
  </si>
  <si>
    <t>X</t>
  </si>
  <si>
    <t>Theta</t>
  </si>
  <si>
    <t>n</t>
  </si>
  <si>
    <t>b(x; n, theta)</t>
  </si>
  <si>
    <t>HHH</t>
  </si>
  <si>
    <t>HHT</t>
  </si>
  <si>
    <t>HTH</t>
  </si>
  <si>
    <t>THH</t>
  </si>
  <si>
    <t>HTT</t>
  </si>
  <si>
    <t>TTH</t>
  </si>
  <si>
    <t>THT</t>
  </si>
  <si>
    <t>TTT</t>
  </si>
  <si>
    <t>Element of sample space</t>
  </si>
  <si>
    <t>Prob</t>
  </si>
  <si>
    <t>Value of Random var X(x)</t>
  </si>
  <si>
    <t>F(x)</t>
  </si>
  <si>
    <t>for x</t>
  </si>
  <si>
    <t>Number of Heads</t>
  </si>
  <si>
    <t>Sample space, probabilities and Random variable</t>
  </si>
  <si>
    <t>Coint tossed 3 times, CDF for number of Heads…</t>
  </si>
  <si>
    <t>Lecture 8</t>
  </si>
  <si>
    <t>F(0)</t>
  </si>
  <si>
    <t>F(1)</t>
  </si>
  <si>
    <t>F(4)</t>
  </si>
  <si>
    <t>F(3)</t>
  </si>
  <si>
    <t>F(2)</t>
  </si>
  <si>
    <t>f(0)</t>
  </si>
  <si>
    <t>f(0) + f(1)</t>
  </si>
  <si>
    <t>f(0) + f(1) +f(2)</t>
  </si>
  <si>
    <t>f(0) + f(1) + f(2) + f(3)</t>
  </si>
  <si>
    <t>HHHH</t>
  </si>
  <si>
    <t>HHHT</t>
  </si>
  <si>
    <t>HHTH</t>
  </si>
  <si>
    <t>=</t>
  </si>
  <si>
    <t>f(0) + f(1) + f(2) + f(3) + f(4)</t>
  </si>
  <si>
    <t>Lesson 7</t>
  </si>
  <si>
    <t>S = {1..69}</t>
  </si>
  <si>
    <t>X = {x1, x2, x3, x4, x5}</t>
  </si>
  <si>
    <t xml:space="preserve">P(E) = </t>
  </si>
  <si>
    <t>n(winning combs.) / n(combs.)</t>
  </si>
  <si>
    <t>n is cardinality</t>
  </si>
  <si>
    <t>(without replacement)</t>
  </si>
  <si>
    <t>C_e,s</t>
  </si>
  <si>
    <t>P(E)</t>
  </si>
  <si>
    <t>(with replacement)</t>
  </si>
  <si>
    <t>sample space / options (S)</t>
  </si>
  <si>
    <t>size of combinations (E)</t>
  </si>
  <si>
    <r>
      <t xml:space="preserve">A lottery game where 69 white balls are used by a machine to randomly select 5 of the balls </t>
    </r>
    <r>
      <rPr>
        <sz val="12"/>
        <color rgb="FFFF0000"/>
        <rFont val="Calibri (Body)"/>
      </rPr>
      <t>(without replacement)</t>
    </r>
    <r>
      <rPr>
        <sz val="12"/>
        <color theme="1"/>
        <rFont val="Calibri"/>
        <family val="2"/>
        <scheme val="minor"/>
      </rPr>
      <t xml:space="preserve">. What is the probability of winning the game if the </t>
    </r>
    <r>
      <rPr>
        <b/>
        <sz val="12"/>
        <color rgb="FF7030A0"/>
        <rFont val="Calibri (Body)"/>
      </rPr>
      <t>order</t>
    </r>
    <r>
      <rPr>
        <b/>
        <sz val="12"/>
        <color rgb="FF7030A0"/>
        <rFont val="Calibri"/>
        <family val="2"/>
        <scheme val="minor"/>
      </rPr>
      <t xml:space="preserve"> does matter</t>
    </r>
    <r>
      <rPr>
        <sz val="12"/>
        <color theme="1"/>
        <rFont val="Calibri"/>
        <family val="2"/>
        <scheme val="minor"/>
      </rPr>
      <t>?</t>
    </r>
  </si>
  <si>
    <r>
      <t xml:space="preserve">A lottery game where 69 white balls are used by a machine to randomly select 5 of the balls </t>
    </r>
    <r>
      <rPr>
        <sz val="12"/>
        <color rgb="FFFF0000"/>
        <rFont val="Calibri (Body)"/>
      </rPr>
      <t>(without replacement)</t>
    </r>
    <r>
      <rPr>
        <sz val="12"/>
        <color theme="1"/>
        <rFont val="Calibri"/>
        <family val="2"/>
        <scheme val="minor"/>
      </rPr>
      <t xml:space="preserve">. What is the probability of winning the game if the </t>
    </r>
    <r>
      <rPr>
        <b/>
        <sz val="12"/>
        <color rgb="FF7030A0"/>
        <rFont val="Calibri"/>
        <family val="2"/>
        <scheme val="minor"/>
      </rPr>
      <t xml:space="preserve">order </t>
    </r>
    <r>
      <rPr>
        <b/>
        <sz val="12"/>
        <color rgb="FF7030A0"/>
        <rFont val="Calibri (Body)"/>
      </rPr>
      <t>does not</t>
    </r>
    <r>
      <rPr>
        <b/>
        <sz val="12"/>
        <color rgb="FF7030A0"/>
        <rFont val="Calibri"/>
        <family val="2"/>
        <scheme val="minor"/>
      </rPr>
      <t xml:space="preserve"> matter</t>
    </r>
    <r>
      <rPr>
        <sz val="12"/>
        <color theme="1"/>
        <rFont val="Calibri"/>
        <family val="2"/>
        <scheme val="minor"/>
      </rPr>
      <t>?</t>
    </r>
  </si>
  <si>
    <t>P_e,s</t>
  </si>
  <si>
    <r>
      <t xml:space="preserve">1 / </t>
    </r>
    <r>
      <rPr>
        <b/>
        <sz val="12"/>
        <color rgb="FF7030A0"/>
        <rFont val="Calibri (Body)"/>
      </rPr>
      <t>P_e,s</t>
    </r>
    <r>
      <rPr>
        <sz val="12"/>
        <color theme="1"/>
        <rFont val="Calibri"/>
        <family val="2"/>
        <scheme val="minor"/>
      </rPr>
      <t>(5, 69)</t>
    </r>
  </si>
  <si>
    <r>
      <t xml:space="preserve">1 / </t>
    </r>
    <r>
      <rPr>
        <b/>
        <sz val="12"/>
        <color rgb="FF7030A0"/>
        <rFont val="Calibri (Body)"/>
      </rPr>
      <t>C_e,s</t>
    </r>
    <r>
      <rPr>
        <sz val="12"/>
        <color theme="1"/>
        <rFont val="Calibri"/>
        <family val="2"/>
        <scheme val="minor"/>
      </rPr>
      <t>(5, 69)</t>
    </r>
  </si>
  <si>
    <r>
      <t xml:space="preserve">How many different choices are there where 3 pool balls </t>
    </r>
    <r>
      <rPr>
        <sz val="12"/>
        <color rgb="FFFF0000"/>
        <rFont val="Calibri (Body)"/>
      </rPr>
      <t>(without replacement)</t>
    </r>
    <r>
      <rPr>
        <sz val="12"/>
        <color theme="1"/>
        <rFont val="Calibri"/>
        <family val="2"/>
        <scheme val="minor"/>
      </rPr>
      <t xml:space="preserve"> could be chosen out of 16 </t>
    </r>
    <r>
      <rPr>
        <b/>
        <sz val="12"/>
        <color rgb="FF7030A0"/>
        <rFont val="Calibri (Body)"/>
      </rPr>
      <t>(order does not matter)</t>
    </r>
    <r>
      <rPr>
        <sz val="12"/>
        <color theme="1"/>
        <rFont val="Calibri"/>
        <family val="2"/>
        <scheme val="minor"/>
      </rPr>
      <t>.</t>
    </r>
  </si>
  <si>
    <t>S = {1..16}</t>
  </si>
  <si>
    <t>X = {b1, b2, b3}</t>
  </si>
  <si>
    <r>
      <t xml:space="preserve">There are five flavors of ice cream: banana, chocolate, lemon, strawberry and vanilla (n(S) = 5). We can have three scoops (n(E) =3). </t>
    </r>
    <r>
      <rPr>
        <sz val="12"/>
        <color rgb="FFFF0000"/>
        <rFont val="Calibri (Body)"/>
      </rPr>
      <t>(with replacement)</t>
    </r>
    <r>
      <rPr>
        <sz val="12"/>
        <color theme="1"/>
        <rFont val="Calibri"/>
        <family val="2"/>
        <scheme val="minor"/>
      </rPr>
      <t xml:space="preserve"> How many variations will there be? </t>
    </r>
    <r>
      <rPr>
        <b/>
        <sz val="12"/>
        <color rgb="FF7030A0"/>
        <rFont val="Calibri (Body)"/>
      </rPr>
      <t>(order does not matter)</t>
    </r>
  </si>
  <si>
    <t>X = {s1, s2, s3}</t>
  </si>
  <si>
    <t>S = {b, c, l, s, v}</t>
  </si>
  <si>
    <r>
      <t xml:space="preserve">How many different ways are there that 3 pool balls could be arranged </t>
    </r>
    <r>
      <rPr>
        <sz val="12"/>
        <color rgb="FFFF0000"/>
        <rFont val="Calibri (Body)"/>
      </rPr>
      <t>(without replacement)</t>
    </r>
    <r>
      <rPr>
        <sz val="12"/>
        <color theme="1"/>
        <rFont val="Calibri"/>
        <family val="2"/>
        <scheme val="minor"/>
      </rPr>
      <t xml:space="preserve"> out of 16 balls. </t>
    </r>
    <r>
      <rPr>
        <b/>
        <sz val="12"/>
        <color rgb="FF7030A0"/>
        <rFont val="Calibri (Body)"/>
      </rPr>
      <t>(order does matter)</t>
    </r>
  </si>
  <si>
    <t>Lesson 6</t>
  </si>
  <si>
    <t>S_1</t>
  </si>
  <si>
    <t>S_2</t>
  </si>
  <si>
    <t>{4*w, 12*s)</t>
  </si>
  <si>
    <t>{3*b, 7*p}</t>
  </si>
  <si>
    <t>P(S_1)</t>
  </si>
  <si>
    <t>P(b) = P(p) = /10</t>
  </si>
  <si>
    <t>P(S_2)</t>
  </si>
  <si>
    <t>P(w) = P(s) = /16</t>
  </si>
  <si>
    <t>F = {b}</t>
  </si>
  <si>
    <t>E = {w}</t>
  </si>
  <si>
    <t>P(F) = 3 / 10</t>
  </si>
  <si>
    <t>P(E) = 4 / 16</t>
  </si>
  <si>
    <t>independent</t>
  </si>
  <si>
    <r>
      <t xml:space="preserve">You have 10 pairs of pants and 3 are black. You have 16 shirts and 4 are white. You grab your pants and shirt randomly from the closet. What is the probability that you grab a black pair of pants and a white shirt? </t>
    </r>
    <r>
      <rPr>
        <b/>
        <sz val="12"/>
        <color rgb="FF7030A0"/>
        <rFont val="Calibri (Body)"/>
      </rPr>
      <t>(independent of each other)</t>
    </r>
  </si>
  <si>
    <t>P(F n E)</t>
  </si>
  <si>
    <t>P(F) * P(E) =  3 / 10 * 4 / 16 =3 / 40</t>
  </si>
  <si>
    <t>/</t>
  </si>
  <si>
    <t>F</t>
  </si>
  <si>
    <t>E</t>
  </si>
  <si>
    <t>*</t>
  </si>
  <si>
    <t>P(F)</t>
  </si>
  <si>
    <t>P(F) * P(E)</t>
  </si>
  <si>
    <t>Calculate the probability of obtaining “heads” during two consecutive coin flips.</t>
  </si>
  <si>
    <t>S</t>
  </si>
  <si>
    <t>{h, t}</t>
  </si>
  <si>
    <t>P(S)</t>
  </si>
  <si>
    <t>P(h) = P(t) = 1/2</t>
  </si>
  <si>
    <t>P(F) = 1 / 2</t>
  </si>
  <si>
    <t>P(E) = 1 / 2</t>
  </si>
  <si>
    <r>
      <t xml:space="preserve">We have 52 cards. We want to find out the probability of getting three jacks consecutively if we don’t return the drawn card each draw </t>
    </r>
    <r>
      <rPr>
        <b/>
        <sz val="12"/>
        <color rgb="FF7030A0"/>
        <rFont val="Calibri (Body)"/>
      </rPr>
      <t>(dependent on each other)</t>
    </r>
  </si>
  <si>
    <t>{4 * j, 48*c}</t>
  </si>
  <si>
    <t>P(j) = P(c ) = 1/52</t>
  </si>
  <si>
    <t>E_1</t>
  </si>
  <si>
    <t>E_2</t>
  </si>
  <si>
    <t>E_3</t>
  </si>
  <si>
    <t>card is a jack</t>
  </si>
  <si>
    <t>P(E_1)</t>
  </si>
  <si>
    <t>P(E_2 | E_1)</t>
  </si>
  <si>
    <t>P(E_2 | E_2 | E_1)</t>
  </si>
  <si>
    <t>P(E_1) * P(E_2) * P(E_3)</t>
  </si>
  <si>
    <r>
      <t xml:space="preserve">A bag contains 6 black marbles and 4 white marbles. Two marbles are drawn from the bag, </t>
    </r>
    <r>
      <rPr>
        <b/>
        <sz val="12"/>
        <color rgb="FFFF0000"/>
        <rFont val="Calibri (Body)"/>
      </rPr>
      <t>(without replacement)</t>
    </r>
    <r>
      <rPr>
        <sz val="12"/>
        <color theme="1"/>
        <rFont val="Calibri"/>
        <family val="2"/>
        <scheme val="minor"/>
      </rPr>
      <t xml:space="preserve">. What is the probability that both marbles are white </t>
    </r>
    <r>
      <rPr>
        <b/>
        <sz val="12"/>
        <color rgb="FF7030A0"/>
        <rFont val="Calibri (Body)"/>
      </rPr>
      <t>(dependent on each other)</t>
    </r>
    <r>
      <rPr>
        <sz val="12"/>
        <color theme="1"/>
        <rFont val="Calibri"/>
        <family val="2"/>
        <scheme val="minor"/>
      </rPr>
      <t>?</t>
    </r>
  </si>
  <si>
    <t>S = {b1, b2, b3, b4, b5, b6, w1, w2, w3, w4}</t>
  </si>
  <si>
    <t>P(b) = P(w) = 1/10</t>
  </si>
  <si>
    <t>dependent</t>
  </si>
  <si>
    <t>without replacement</t>
  </si>
  <si>
    <t>F = {w}</t>
  </si>
  <si>
    <t>ball is white</t>
  </si>
  <si>
    <t>P(E | F)</t>
  </si>
  <si>
    <t>P(E | F) * P(F)</t>
  </si>
  <si>
    <t>specific multiplication rule</t>
  </si>
  <si>
    <t>200 patients who had either hip surgery or knee surgery were asked whether they were satisfied or dissatisfied regarding the result of their surgery. The following table summarizes their response.</t>
  </si>
  <si>
    <t>Lesson 5</t>
  </si>
  <si>
    <t>Sugery</t>
  </si>
  <si>
    <t>Satisfied</t>
  </si>
  <si>
    <t>Disatified</t>
  </si>
  <si>
    <t>Total</t>
  </si>
  <si>
    <t>Hip</t>
  </si>
  <si>
    <t>Knee</t>
  </si>
  <si>
    <t>What is the probability that the person was satisfied GIVEN that they had knee surgery.</t>
  </si>
  <si>
    <t>P(E n F)</t>
  </si>
  <si>
    <t>Conditional Probability</t>
  </si>
  <si>
    <t>{1..200}</t>
  </si>
  <si>
    <t>P(1) = P(2) = … = 1/200</t>
  </si>
  <si>
    <t>{1..160}</t>
  </si>
  <si>
    <t>satisfied</t>
  </si>
  <si>
    <t>{1..95}</t>
  </si>
  <si>
    <t>E n F</t>
  </si>
  <si>
    <t>knee surgery</t>
  </si>
  <si>
    <t>satified with knee surgery</t>
  </si>
  <si>
    <t>70 / 200</t>
  </si>
  <si>
    <t>95 / 200</t>
  </si>
  <si>
    <t>70/ 95</t>
  </si>
  <si>
    <t>b) 2 girls GIVEN that at least one is a girl</t>
  </si>
  <si>
    <t>c) 2 girls GIVEN that the older one is a girl</t>
  </si>
  <si>
    <t>a family has two children; assuming that boys and girls are equally likely.  determine the probability that the family has:</t>
  </si>
  <si>
    <t>{bb, gg, bg, gb}</t>
  </si>
  <si>
    <t>P(bb) = P(gg) = … = 1/4</t>
  </si>
  <si>
    <t>{bg, gb}</t>
  </si>
  <si>
    <t>{bb, bg}</t>
  </si>
  <si>
    <r>
      <t xml:space="preserve">a) 1 boy and 1 girl </t>
    </r>
    <r>
      <rPr>
        <b/>
        <sz val="12"/>
        <color theme="1"/>
        <rFont val="Calibri"/>
        <family val="2"/>
        <scheme val="minor"/>
      </rPr>
      <t>GIVEN</t>
    </r>
    <r>
      <rPr>
        <sz val="12"/>
        <color theme="1"/>
        <rFont val="Calibri"/>
        <family val="2"/>
        <scheme val="minor"/>
      </rPr>
      <t xml:space="preserve"> the first child is a boy</t>
    </r>
  </si>
  <si>
    <t>{bg}</t>
  </si>
  <si>
    <t>P{E n F}</t>
  </si>
  <si>
    <t>{gg}</t>
  </si>
  <si>
    <t>{bg, gb, gg}</t>
  </si>
  <si>
    <t>3/4</t>
  </si>
  <si>
    <t>{gb, gg}</t>
  </si>
  <si>
    <t xml:space="preserve">Tossing a die; </t>
  </si>
  <si>
    <t>* “an odd number is thrown”</t>
  </si>
  <si>
    <t>• “the number thrown is less than 3”</t>
  </si>
  <si>
    <t>Lesson 4</t>
  </si>
  <si>
    <t>{1, 2, 3, 4, 5, 6}</t>
  </si>
  <si>
    <t>P(1) = P(2) = … P(6) = 1/6</t>
  </si>
  <si>
    <t>{1, 3, 5}</t>
  </si>
  <si>
    <t>{1, 2}</t>
  </si>
  <si>
    <t>an odd number is thrown</t>
  </si>
  <si>
    <t>the number thrown is less than 3</t>
  </si>
  <si>
    <t>Indpendent Events</t>
  </si>
  <si>
    <t>{1}</t>
  </si>
  <si>
    <t>2/6</t>
  </si>
  <si>
    <t>1/3</t>
  </si>
  <si>
    <t>1/6</t>
  </si>
  <si>
    <t>* E =&gt;  and E are independent events</t>
  </si>
  <si>
    <t>tossing a die; the probability that a 2 was rolled GIVEN an even number has been rolled is 1/3; find the composite probability</t>
  </si>
  <si>
    <t>{2}</t>
  </si>
  <si>
    <t>{2, 4, 6}</t>
  </si>
  <si>
    <t>3/6</t>
  </si>
  <si>
    <t>Composite probability</t>
  </si>
  <si>
    <t xml:space="preserve">* </t>
  </si>
  <si>
    <t>an 2 was rolled</t>
  </si>
  <si>
    <t>an even number was rolled</t>
  </si>
  <si>
    <t>tossing a die; determine the probability that a 2 was rolled GIVEN an even number has been rolled</t>
  </si>
  <si>
    <t>80% chance of rain - log odds</t>
  </si>
  <si>
    <t>LogOdds(E)</t>
  </si>
  <si>
    <t>ln( P(E) / P(E'))</t>
  </si>
  <si>
    <t>P(E')</t>
  </si>
  <si>
    <t>odds of failure</t>
  </si>
  <si>
    <t>odds of success</t>
  </si>
  <si>
    <t>{0, 1}</t>
  </si>
  <si>
    <t>Sample space (S)</t>
  </si>
  <si>
    <t>chance of rain</t>
  </si>
  <si>
    <t>ln (P(E) / P(E'))</t>
  </si>
  <si>
    <t>Log odds</t>
  </si>
  <si>
    <t>Odds ratio (Success / failure)</t>
  </si>
  <si>
    <t>P(1) = P(2) = … = 1/6</t>
  </si>
  <si>
    <r>
      <t xml:space="preserve">tossing a die - </t>
    </r>
    <r>
      <rPr>
        <b/>
        <sz val="12"/>
        <color theme="1"/>
        <rFont val="Calibri"/>
        <family val="2"/>
        <scheme val="minor"/>
      </rPr>
      <t>P(E u F)</t>
    </r>
  </si>
  <si>
    <t>{1, 3, 6}</t>
  </si>
  <si>
    <t>{3, 4, 6}</t>
  </si>
  <si>
    <t>{3, 6}</t>
  </si>
  <si>
    <t>additivity rule</t>
  </si>
  <si>
    <t>general additivitiy rule</t>
  </si>
  <si>
    <t>P(E u F) = P(E) + P(F) - P(E n F)</t>
  </si>
  <si>
    <t>P(E u F)</t>
  </si>
  <si>
    <t>4/6</t>
  </si>
  <si>
    <t>Tossing a fair coin twice.</t>
  </si>
  <si>
    <t>P(hh) = P(ht) = P(th) = P(tt) = 1/4</t>
  </si>
  <si>
    <t>{4, 5, 6}</t>
  </si>
  <si>
    <t>{4, 6}</t>
  </si>
  <si>
    <r>
      <rPr>
        <b/>
        <u/>
        <sz val="12"/>
        <color rgb="FFFF0000"/>
        <rFont val="Calibri (Body)"/>
      </rPr>
      <t>Cumulative</t>
    </r>
    <r>
      <rPr>
        <b/>
        <sz val="12"/>
        <color theme="1"/>
        <rFont val="Calibri"/>
        <family val="2"/>
        <scheme val="minor"/>
      </rPr>
      <t xml:space="preserve"> Distribution Function</t>
    </r>
  </si>
  <si>
    <t>Lesson 9</t>
  </si>
  <si>
    <t xml:space="preserve">P(B) </t>
  </si>
  <si>
    <t xml:space="preserve">(past data tells you that 10% of patients entering your clinic “have liver disease” - A) </t>
  </si>
  <si>
    <t>• P(A)</t>
  </si>
  <si>
    <t xml:space="preserve">(5% of the clinic’s “patients are alcoholics” - B ) </t>
  </si>
  <si>
    <t>• P(B)</t>
  </si>
  <si>
    <t xml:space="preserve">(among those patients diagnosed with liver disease 7% are alcoholics) </t>
  </si>
  <si>
    <t>• P(B|A)</t>
  </si>
  <si>
    <t>• P(A|B)</t>
  </si>
  <si>
    <t>?</t>
  </si>
  <si>
    <r>
      <t xml:space="preserve">Finding out a patient’s probability of having liver disease </t>
    </r>
    <r>
      <rPr>
        <sz val="12"/>
        <color rgb="FFFF0000"/>
        <rFont val="Calibri (Body)"/>
      </rPr>
      <t>P(A)</t>
    </r>
    <r>
      <rPr>
        <sz val="12"/>
        <color theme="1"/>
        <rFont val="Calibri"/>
        <family val="2"/>
        <scheme val="minor"/>
      </rPr>
      <t xml:space="preserve"> if they are an alcoholic </t>
    </r>
    <r>
      <rPr>
        <sz val="12"/>
        <color rgb="FFFF0000"/>
        <rFont val="Calibri (Body)"/>
      </rPr>
      <t>P(A | B)</t>
    </r>
    <r>
      <rPr>
        <sz val="12"/>
        <color theme="1"/>
        <rFont val="Calibri"/>
        <family val="2"/>
        <scheme val="minor"/>
      </rPr>
      <t xml:space="preserve">. “Being an alcoholic” </t>
    </r>
    <r>
      <rPr>
        <sz val="12"/>
        <color rgb="FFFF0000"/>
        <rFont val="Calibri (Body)"/>
      </rPr>
      <t>P(B)</t>
    </r>
    <r>
      <rPr>
        <sz val="12"/>
        <color theme="1"/>
        <rFont val="Calibri"/>
        <family val="2"/>
        <scheme val="minor"/>
      </rPr>
      <t xml:space="preserve"> is the test (kind of like a litmus test) for liver disease. </t>
    </r>
  </si>
  <si>
    <t xml:space="preserve">Litmus test for liver disease: </t>
  </si>
  <si>
    <t>Posterior</t>
  </si>
  <si>
    <t>Likelihood</t>
  </si>
  <si>
    <t>Prior</t>
  </si>
  <si>
    <t>P(A)</t>
  </si>
  <si>
    <t>P(B|A)</t>
  </si>
  <si>
    <t>P(A|B)</t>
  </si>
  <si>
    <t>Evidence</t>
  </si>
  <si>
    <t>probability</t>
  </si>
  <si>
    <t>Testing for Covid-19</t>
  </si>
  <si>
    <t>• P(T+|I+)</t>
  </si>
  <si>
    <t>Antibody Test for Covid-19:</t>
  </si>
  <si>
    <t>(sensitivity - positive test T+ for infected I+)</t>
  </si>
  <si>
    <t>(specificity - negative test T- for non-infected I-)</t>
  </si>
  <si>
    <t>• P(T- |I-)</t>
  </si>
  <si>
    <t>• P(I+)</t>
  </si>
  <si>
    <t>(prevalence)</t>
  </si>
  <si>
    <t>Independent Events E and F:</t>
  </si>
  <si>
    <t>• P(E|F) = P(E)</t>
  </si>
  <si>
    <t>• P(F|E) = P(F)</t>
  </si>
  <si>
    <t>• P(F|E') = P(F)</t>
  </si>
  <si>
    <t>P(E|F) =</t>
  </si>
  <si>
    <t>P(F|E)*P(E)</t>
  </si>
  <si>
    <t>+</t>
  </si>
  <si>
    <t>P(F|E')*P(E')</t>
  </si>
  <si>
    <t>P(F|E) * P(E)</t>
  </si>
  <si>
    <r>
      <t xml:space="preserve">• if two events E and F are </t>
    </r>
    <r>
      <rPr>
        <sz val="12"/>
        <color rgb="FFFF0000"/>
        <rFont val="Calibri (Body)"/>
      </rPr>
      <t>independent</t>
    </r>
    <r>
      <rPr>
        <sz val="12"/>
        <color theme="1"/>
        <rFont val="Calibri"/>
        <family val="2"/>
        <scheme val="minor"/>
      </rPr>
      <t xml:space="preserve"> then:</t>
    </r>
  </si>
  <si>
    <t>What is the probability that the tested person is infected if the test was positive?</t>
  </si>
  <si>
    <t>• P(I+|T+)</t>
  </si>
  <si>
    <t>P(I+|T+)</t>
  </si>
  <si>
    <t>P(T+| I+) * P(I+)</t>
  </si>
  <si>
    <t>P(T+|I+)</t>
  </si>
  <si>
    <t>P(I+)</t>
  </si>
  <si>
    <t>Considering different population with P(I+) = 0.1 (greater risk):</t>
  </si>
  <si>
    <t>There are two bags. Bag I has 7 red and 4 blue balls and bag II has 5 red and 9 blue balls. We draw a ball at random and it turns out to be red. Determine the probability that the ball was from the bag I using the Bayes’ Theorem.</t>
  </si>
  <si>
    <t>ball is from bag I</t>
  </si>
  <si>
    <t>Y</t>
  </si>
  <si>
    <t>ball is from bag II</t>
  </si>
  <si>
    <t>A</t>
  </si>
  <si>
    <t>red ball</t>
  </si>
  <si>
    <t>P(X)</t>
  </si>
  <si>
    <t>P(Y)</t>
  </si>
  <si>
    <t>P(A|X)</t>
  </si>
  <si>
    <t>P(A|Y)</t>
  </si>
  <si>
    <t>7/11</t>
  </si>
  <si>
    <t>5/14</t>
  </si>
  <si>
    <t>P(X|A)</t>
  </si>
  <si>
    <t xml:space="preserve">P(X|A) = </t>
  </si>
  <si>
    <t>P(A|X) * P(X)</t>
  </si>
  <si>
    <t>P(A|Y) * P(Y)</t>
  </si>
  <si>
    <t>If a patient has a disease, the probability of the medical test being positive is 90%. 1% of the population has that disease, and the test returns a false positive 5% of the time. If you receive a positive test, what is your probability of having the disease D?</t>
  </si>
  <si>
    <t>P(+|D)</t>
  </si>
  <si>
    <t>P(D)</t>
  </si>
  <si>
    <t>P(+)</t>
  </si>
  <si>
    <t>P(D|+)</t>
  </si>
  <si>
    <t>P(D|+) =</t>
  </si>
  <si>
    <t>P(+|D) * P(D)</t>
  </si>
  <si>
    <t>P(+|D') * P(D')</t>
  </si>
  <si>
    <t>P(+|D')</t>
  </si>
  <si>
    <t>Posterior probability</t>
  </si>
  <si>
    <t>Posterior ~ Likelihood * Prior</t>
  </si>
  <si>
    <t>Example 1</t>
  </si>
  <si>
    <t>Example 2</t>
  </si>
  <si>
    <t>P(T+| I-) * P(I-)</t>
  </si>
  <si>
    <t>P(T+| T-) * P(I-)</t>
  </si>
  <si>
    <t>Example 3</t>
  </si>
  <si>
    <t>Example 4</t>
  </si>
  <si>
    <t>Example 5</t>
  </si>
  <si>
    <t>Calculate the probability that the student is a girl and she wears pink, P(Wearing pink ∩ Girl) or P(Girl ∩ Wearing pink). Girls are 55 out 100. Girls wearing pink are 23. Boys wearing pink are 2.</t>
  </si>
  <si>
    <t>P(Girl)</t>
  </si>
  <si>
    <t>count(Wearing pink ∩ Girl)</t>
  </si>
  <si>
    <t>count(Girl)</t>
  </si>
  <si>
    <t xml:space="preserve">P(Wearing Pink |Girl) = </t>
  </si>
  <si>
    <t>P(Wearing pink ∩ Girl)</t>
  </si>
  <si>
    <t>count(Wearing pink ∩ Girl) / 100</t>
  </si>
  <si>
    <t>count(Girl) / 100</t>
  </si>
  <si>
    <t>False Positive 5% of the time</t>
  </si>
  <si>
    <t>1% of the population has the disease.</t>
  </si>
  <si>
    <t>Probability of positive test given the patient has the disease is 90%</t>
  </si>
  <si>
    <t>Final belief (a posteriori)</t>
  </si>
  <si>
    <t>Bag1</t>
  </si>
  <si>
    <t>Bag2</t>
  </si>
  <si>
    <t>P(B|A')</t>
  </si>
  <si>
    <t>P(A | B) =</t>
  </si>
  <si>
    <t>P(B|A) * P(A)</t>
  </si>
  <si>
    <t>P(B|A') * P(A')</t>
  </si>
  <si>
    <t>{4,6}</t>
  </si>
  <si>
    <t xml:space="preserve">P (C=yes | A=no ∩ B=no) = 0 </t>
  </si>
  <si>
    <t xml:space="preserve">P (C=yes | A=no ∩ B=yes) = 0.5 (possible not to work) </t>
  </si>
  <si>
    <t xml:space="preserve">P (C=yes | A=yes ∩ B=no) = 1 (100% does not work) </t>
  </si>
  <si>
    <t xml:space="preserve">P (C=yes | A=yes ∩ B=yes) = 1 </t>
  </si>
  <si>
    <r>
      <t>Example</t>
    </r>
    <r>
      <rPr>
        <sz val="12"/>
        <color theme="1"/>
        <rFont val="Calibri"/>
        <family val="2"/>
        <scheme val="minor"/>
      </rPr>
      <t xml:space="preserve">: computer failure (Bayesian inference) – </t>
    </r>
    <r>
      <rPr>
        <b/>
        <sz val="12"/>
        <color rgb="FFBF0000"/>
        <rFont val="Calibri"/>
        <scheme val="minor"/>
      </rPr>
      <t xml:space="preserve">prior probability </t>
    </r>
  </si>
  <si>
    <r>
      <t xml:space="preserve">notation: electricity failure = </t>
    </r>
    <r>
      <rPr>
        <sz val="12"/>
        <color rgb="FFBF0000"/>
        <rFont val="CambriaMath"/>
      </rPr>
      <t>A</t>
    </r>
    <r>
      <rPr>
        <sz val="12"/>
        <color theme="1"/>
        <rFont val="Calibri"/>
      </rPr>
      <t xml:space="preserve">, computer malfunction = </t>
    </r>
    <r>
      <rPr>
        <sz val="12"/>
        <color rgb="FFBF0000"/>
        <rFont val="CambriaMath"/>
      </rPr>
      <t>B</t>
    </r>
    <r>
      <rPr>
        <sz val="12"/>
        <color theme="1"/>
        <rFont val="Calibri"/>
      </rPr>
      <t xml:space="preserve">, computer failure = </t>
    </r>
    <r>
      <rPr>
        <sz val="12"/>
        <color rgb="FFBF0000"/>
        <rFont val="CambriaMath"/>
      </rPr>
      <t xml:space="preserve">C </t>
    </r>
  </si>
  <si>
    <r>
      <t xml:space="preserve">A = {yes, no}; B = {yes, no}; C={yes, no}; A⊥B </t>
    </r>
    <r>
      <rPr>
        <sz val="12"/>
        <color rgb="FFBF0000"/>
        <rFont val="Calibri"/>
      </rPr>
      <t xml:space="preserve">(independent) </t>
    </r>
  </si>
  <si>
    <t>P(C=yes)</t>
  </si>
  <si>
    <t xml:space="preserve">P(C=yes|A∩ B)=1 </t>
  </si>
  <si>
    <t xml:space="preserve">P(A=yes|C=yes)=? </t>
  </si>
  <si>
    <r>
      <t>𝑷 𝒄𝟏 =∑</t>
    </r>
    <r>
      <rPr>
        <vertAlign val="subscript"/>
        <sz val="14"/>
        <color rgb="FFBF0000"/>
        <rFont val="CambriaMath"/>
      </rPr>
      <t>A,B</t>
    </r>
    <r>
      <rPr>
        <sz val="14"/>
        <color rgb="FFBF0000"/>
        <rFont val="CambriaMath"/>
      </rPr>
      <t xml:space="preserve"> 𝑷(𝑨=𝒂∩𝑩=𝒃∩𝑪=𝒄𝟏) 𝒂∈𝑨 𝒃∈𝑩 </t>
    </r>
  </si>
  <si>
    <r>
      <t>Example</t>
    </r>
    <r>
      <rPr>
        <sz val="12"/>
        <color theme="1"/>
        <rFont val="Calibri"/>
        <family val="2"/>
        <scheme val="minor"/>
      </rPr>
      <t xml:space="preserve">: computer failure (Bayesian inference) - </t>
    </r>
    <r>
      <rPr>
        <b/>
        <sz val="12"/>
        <color rgb="FFBF0000"/>
        <rFont val="Calibri"/>
        <scheme val="minor"/>
      </rPr>
      <t xml:space="preserve">posterior probability </t>
    </r>
  </si>
  <si>
    <t>P(A=yes) = 0.1</t>
  </si>
  <si>
    <t>P(A=no) = 0.9</t>
  </si>
  <si>
    <t xml:space="preserve">P(B=yes) = 0.2 </t>
  </si>
  <si>
    <t>P(B=no) = 0.8</t>
  </si>
  <si>
    <t xml:space="preserve">P(C=yes A∩B)∗P(A)∗P(B)
A=no, B=no </t>
  </si>
  <si>
    <t xml:space="preserve">P(C=yes A∩B)∗P(A)∗P(B)
A=no, B=yes </t>
  </si>
  <si>
    <t xml:space="preserve">P(C=yes A∩B)∗P(A)∗P(B)
A=yes, B=no </t>
  </si>
  <si>
    <t xml:space="preserve">P(C=yes A∩B)∗P(A)∗P(B)
A=yes, B=yes </t>
  </si>
  <si>
    <t>P(C=yes)=0.19</t>
  </si>
  <si>
    <t xml:space="preserve">P(C=no)=0.81 </t>
  </si>
  <si>
    <t xml:space="preserve">P(C=yes| A=yes ∩ B=no) ∗ P(A=yes ∩ B=no) / P(C=yes) = </t>
  </si>
  <si>
    <r>
      <t>∑</t>
    </r>
    <r>
      <rPr>
        <vertAlign val="subscript"/>
        <sz val="12"/>
        <color rgb="FFBF0000"/>
        <rFont val="CambriaMath"/>
      </rPr>
      <t>B={yes,no}</t>
    </r>
  </si>
  <si>
    <t xml:space="preserve"> P(C=yes| A=yes ∩ B) ∗ P(A=yes) ∗ P(B)</t>
  </si>
  <si>
    <t xml:space="preserve">P(C=yes| A=yes ∩ B=yes) ∗ P(A=yes ∩ B=yes) / P(C=yes) + </t>
  </si>
  <si>
    <t>Prior probability distribution before observing any evidence</t>
  </si>
  <si>
    <t>Causes</t>
  </si>
  <si>
    <t>Domain Knowledge</t>
  </si>
  <si>
    <r>
      <t>∑</t>
    </r>
    <r>
      <rPr>
        <vertAlign val="subscript"/>
        <sz val="12"/>
        <color rgb="FFC00000"/>
        <rFont val="Cambria Math"/>
      </rPr>
      <t xml:space="preserve">𝐴,𝐵 </t>
    </r>
    <r>
      <rPr>
        <sz val="12"/>
        <color rgb="FFC00000"/>
        <rFont val="Cambria Math"/>
      </rPr>
      <t>P(C=yes∩A∩B) = ∑</t>
    </r>
    <r>
      <rPr>
        <vertAlign val="subscript"/>
        <sz val="12"/>
        <color rgb="FFC00000"/>
        <rFont val="Cambria Math"/>
      </rPr>
      <t>𝐴,𝐵</t>
    </r>
    <r>
      <rPr>
        <sz val="12"/>
        <color rgb="FFC00000"/>
        <rFont val="Cambria Math"/>
      </rPr>
      <t xml:space="preserve"> P(C=yes A∩B)∗P(A)∗P(B) </t>
    </r>
  </si>
  <si>
    <r>
      <t>∑</t>
    </r>
    <r>
      <rPr>
        <vertAlign val="subscript"/>
        <sz val="12"/>
        <color theme="1"/>
        <rFont val="Calibri (Body)"/>
      </rPr>
      <t>𝐴,𝐵</t>
    </r>
    <r>
      <rPr>
        <sz val="12"/>
        <color theme="1"/>
        <rFont val="Calibri"/>
        <family val="2"/>
        <scheme val="minor"/>
      </rPr>
      <t xml:space="preserve"> P(C=yes∩A∩B)</t>
    </r>
  </si>
  <si>
    <t>Computer Malfunction</t>
  </si>
  <si>
    <t>N</t>
  </si>
  <si>
    <t>Electricity Failure</t>
  </si>
  <si>
    <t>Computer Failure</t>
  </si>
  <si>
    <t>B</t>
  </si>
  <si>
    <t>C</t>
  </si>
  <si>
    <t xml:space="preserve">P(Evidence) </t>
  </si>
  <si>
    <t xml:space="preserve"> P(Cause|Evidence)</t>
  </si>
  <si>
    <r>
      <t>P(Evidence</t>
    </r>
    <r>
      <rPr>
        <b/>
        <sz val="12"/>
        <color rgb="FFBF0000"/>
        <rFont val="Calibri"/>
        <scheme val="minor"/>
      </rPr>
      <t>|</t>
    </r>
    <r>
      <rPr>
        <b/>
        <i/>
        <sz val="12"/>
        <color rgb="FFBF0000"/>
        <rFont val="Calibri"/>
        <scheme val="minor"/>
      </rPr>
      <t>Cause) * P(Cause)</t>
    </r>
  </si>
  <si>
    <t>P (A=yes | C=yes) = …</t>
  </si>
  <si>
    <t>Probability the cause of an occurence of computer failure (evidence) is electricity failure (cause)</t>
  </si>
  <si>
    <r>
      <t>∑</t>
    </r>
    <r>
      <rPr>
        <vertAlign val="subscript"/>
        <sz val="12"/>
        <color rgb="FFC00000"/>
        <rFont val="Cambria Math"/>
      </rPr>
      <t>B{𝑦𝑒𝑠,𝑛𝑜}</t>
    </r>
    <r>
      <rPr>
        <sz val="12"/>
        <color rgb="FFC00000"/>
        <rFont val="Cambria Math"/>
      </rPr>
      <t xml:space="preserve"> P (C=yes| A=yes ∩ B) ∗ P (A=yes ∩ B) / P(C=yes) =</t>
    </r>
  </si>
  <si>
    <t>P (A=yes ∩ B | C=yes) = …</t>
  </si>
  <si>
    <t>P (C=yes| A=yes ∩ B=yes)</t>
  </si>
  <si>
    <t>P (C=yes)</t>
  </si>
  <si>
    <t>* P (A=yes ∩ B=yes)</t>
  </si>
  <si>
    <t>P (C=yes| A=yes ∩ B=no)</t>
  </si>
  <si>
    <t>* P (A=yes ∩ B=no)</t>
  </si>
  <si>
    <t>Example 1_2</t>
  </si>
  <si>
    <t>Example 2_2</t>
  </si>
  <si>
    <t>P(c1​) is the probability of computer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</si>
</sst>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b/>
      <sz val="12"/>
      <color rgb="FFFF0000"/>
      <name val="Calibri (Body)"/>
    </font>
    <font>
      <b/>
      <sz val="12"/>
      <color rgb="FF7030A0"/>
      <name val="Calibri (Body)"/>
    </font>
    <font>
      <b/>
      <sz val="12"/>
      <color rgb="FF7030A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rgb="FFFF0000"/>
      <name val="Calibri (Body)"/>
    </font>
    <font>
      <sz val="12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BF0000"/>
      <name val="CambriaMath"/>
    </font>
    <font>
      <i/>
      <sz val="12"/>
      <color theme="1"/>
      <name val="Calibri"/>
      <scheme val="minor"/>
    </font>
    <font>
      <b/>
      <sz val="12"/>
      <color rgb="FFBF0000"/>
      <name val="Calibri"/>
      <scheme val="minor"/>
    </font>
    <font>
      <sz val="12"/>
      <color theme="1"/>
      <name val="Calibri"/>
    </font>
    <font>
      <sz val="12"/>
      <color rgb="FFBF0000"/>
      <name val="CambriaMath"/>
    </font>
    <font>
      <sz val="12"/>
      <color rgb="FFBF0000"/>
      <name val="Calibri"/>
    </font>
    <font>
      <vertAlign val="subscript"/>
      <sz val="14"/>
      <color rgb="FFBF0000"/>
      <name val="CambriaMath"/>
    </font>
    <font>
      <vertAlign val="subscript"/>
      <sz val="12"/>
      <color rgb="FFBF0000"/>
      <name val="CambriaMath"/>
    </font>
    <font>
      <sz val="12"/>
      <color rgb="FFC00000"/>
      <name val="Cambria Math"/>
    </font>
    <font>
      <sz val="12"/>
      <color rgb="FFC00000"/>
      <name val="Calibri"/>
      <family val="2"/>
      <scheme val="minor"/>
    </font>
    <font>
      <vertAlign val="subscript"/>
      <sz val="12"/>
      <color rgb="FFC00000"/>
      <name val="Cambria Math"/>
    </font>
    <font>
      <b/>
      <sz val="12"/>
      <color rgb="FFBF0000"/>
      <name val="CambriaMath"/>
    </font>
    <font>
      <vertAlign val="subscript"/>
      <sz val="12"/>
      <color theme="1"/>
      <name val="Calibri (Body)"/>
    </font>
    <font>
      <b/>
      <i/>
      <sz val="12"/>
      <color rgb="FFC00000"/>
      <name val="Calibri"/>
      <scheme val="minor"/>
    </font>
    <font>
      <b/>
      <i/>
      <sz val="12"/>
      <color rgb="FFBF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1" xfId="0" applyBorder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16" fontId="0" fillId="0" borderId="0" xfId="0" quotePrefix="1" applyNumberFormat="1"/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quotePrefix="1" applyFill="1" applyAlignment="1">
      <alignment horizontal="center"/>
    </xf>
    <xf numFmtId="16" fontId="0" fillId="3" borderId="0" xfId="0" quotePrefix="1" applyNumberFormat="1" applyFill="1" applyAlignment="1">
      <alignment horizontal="center"/>
    </xf>
    <xf numFmtId="0" fontId="0" fillId="3" borderId="0" xfId="0" applyFill="1"/>
    <xf numFmtId="0" fontId="4" fillId="0" borderId="0" xfId="0" applyFont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0" xfId="0" applyFill="1"/>
    <xf numFmtId="0" fontId="5" fillId="0" borderId="0" xfId="0" applyFont="1"/>
    <xf numFmtId="0" fontId="9" fillId="2" borderId="0" xfId="0" applyFont="1" applyFill="1"/>
    <xf numFmtId="0" fontId="8" fillId="2" borderId="0" xfId="0" applyFont="1" applyFill="1"/>
    <xf numFmtId="0" fontId="2" fillId="0" borderId="0" xfId="0" applyFont="1"/>
    <xf numFmtId="0" fontId="9" fillId="0" borderId="0" xfId="0" applyFont="1"/>
    <xf numFmtId="10" fontId="0" fillId="0" borderId="0" xfId="0" applyNumberFormat="1"/>
    <xf numFmtId="0" fontId="3" fillId="3" borderId="0" xfId="0" applyFont="1" applyFill="1" applyAlignment="1">
      <alignment horizontal="center"/>
    </xf>
    <xf numFmtId="10" fontId="0" fillId="3" borderId="0" xfId="0" applyNumberFormat="1" applyFill="1"/>
    <xf numFmtId="0" fontId="7" fillId="0" borderId="0" xfId="0" applyFont="1"/>
    <xf numFmtId="0" fontId="3" fillId="0" borderId="3" xfId="0" applyFont="1" applyBorder="1"/>
    <xf numFmtId="0" fontId="0" fillId="0" borderId="3" xfId="0" applyBorder="1"/>
    <xf numFmtId="0" fontId="0" fillId="0" borderId="0" xfId="0" quotePrefix="1"/>
    <xf numFmtId="0" fontId="0" fillId="4" borderId="0" xfId="0" quotePrefix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quotePrefix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10" fontId="0" fillId="5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0" fontId="0" fillId="2" borderId="2" xfId="0" applyFill="1" applyBorder="1"/>
    <xf numFmtId="0" fontId="0" fillId="2" borderId="0" xfId="0" applyFill="1" applyBorder="1" applyAlignment="1">
      <alignment horizontal="center"/>
    </xf>
    <xf numFmtId="0" fontId="13" fillId="0" borderId="2" xfId="0" applyFont="1" applyBorder="1" applyAlignment="1">
      <alignment horizontal="right"/>
    </xf>
    <xf numFmtId="0" fontId="13" fillId="0" borderId="2" xfId="0" applyFont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3" fillId="0" borderId="0" xfId="0" applyFont="1" applyBorder="1"/>
    <xf numFmtId="0" fontId="13" fillId="0" borderId="2" xfId="0" applyFont="1" applyBorder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Font="1"/>
    <xf numFmtId="0" fontId="18" fillId="0" borderId="0" xfId="0" applyFont="1"/>
    <xf numFmtId="0" fontId="19" fillId="0" borderId="0" xfId="0" applyFont="1"/>
    <xf numFmtId="0" fontId="0" fillId="0" borderId="0" xfId="0" applyFont="1" applyAlignment="1">
      <alignment wrapText="1"/>
    </xf>
    <xf numFmtId="0" fontId="18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19" fillId="4" borderId="0" xfId="0" applyFont="1" applyFill="1"/>
    <xf numFmtId="0" fontId="0" fillId="4" borderId="0" xfId="0" applyFont="1" applyFill="1"/>
    <xf numFmtId="2" fontId="0" fillId="0" borderId="0" xfId="0" applyNumberFormat="1" applyFont="1" applyAlignment="1">
      <alignment horizontal="center"/>
    </xf>
    <xf numFmtId="0" fontId="0" fillId="2" borderId="0" xfId="0" applyFont="1" applyFill="1"/>
    <xf numFmtId="2" fontId="0" fillId="6" borderId="0" xfId="0" applyNumberFormat="1" applyFont="1" applyFill="1" applyAlignment="1">
      <alignment horizontal="center"/>
    </xf>
    <xf numFmtId="0" fontId="23" fillId="0" borderId="0" xfId="0" applyFont="1"/>
    <xf numFmtId="0" fontId="19" fillId="0" borderId="0" xfId="0" applyFont="1" applyAlignment="1">
      <alignment horizontal="right"/>
    </xf>
    <xf numFmtId="0" fontId="24" fillId="0" borderId="2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6" fillId="0" borderId="0" xfId="0" applyFont="1"/>
    <xf numFmtId="0" fontId="23" fillId="0" borderId="0" xfId="0" quotePrefix="1" applyFont="1"/>
    <xf numFmtId="0" fontId="0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24" fillId="3" borderId="0" xfId="0" applyFont="1" applyFill="1" applyAlignment="1">
      <alignment horizontal="center"/>
    </xf>
    <xf numFmtId="0" fontId="29" fillId="3" borderId="2" xfId="0" applyFont="1" applyFill="1" applyBorder="1"/>
    <xf numFmtId="0" fontId="0" fillId="3" borderId="2" xfId="0" applyFont="1" applyFill="1" applyBorder="1"/>
    <xf numFmtId="0" fontId="29" fillId="3" borderId="0" xfId="0" applyFont="1" applyFill="1" applyAlignment="1">
      <alignment horizontal="center"/>
    </xf>
    <xf numFmtId="0" fontId="0" fillId="3" borderId="0" xfId="0" applyFont="1" applyFill="1"/>
    <xf numFmtId="0" fontId="28" fillId="3" borderId="0" xfId="0" applyFont="1" applyFill="1" applyAlignment="1">
      <alignment horizontal="right"/>
    </xf>
    <xf numFmtId="0" fontId="19" fillId="5" borderId="0" xfId="0" applyFont="1" applyFill="1"/>
    <xf numFmtId="0" fontId="26" fillId="5" borderId="0" xfId="0" applyFont="1" applyFill="1"/>
    <xf numFmtId="0" fontId="0" fillId="6" borderId="0" xfId="0" applyFill="1" applyAlignment="1">
      <alignment horizontal="center"/>
    </xf>
    <xf numFmtId="165" fontId="0" fillId="5" borderId="0" xfId="0" applyNumberFormat="1" applyFill="1"/>
    <xf numFmtId="165" fontId="0" fillId="8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topLeftCell="A52" workbookViewId="0">
      <selection activeCell="A69" sqref="A69"/>
    </sheetView>
  </sheetViews>
  <sheetFormatPr baseColWidth="10" defaultRowHeight="16" x14ac:dyDescent="0.2"/>
  <cols>
    <col min="1" max="1" width="12" bestFit="1" customWidth="1"/>
    <col min="2" max="2" width="24.83203125" customWidth="1"/>
    <col min="3" max="3" width="52.5" bestFit="1" customWidth="1"/>
    <col min="4" max="4" width="11.6640625" style="6" bestFit="1" customWidth="1"/>
    <col min="5" max="5" width="22.5" customWidth="1"/>
    <col min="6" max="6" width="21.33203125" customWidth="1"/>
    <col min="7" max="7" width="21.1640625" customWidth="1"/>
    <col min="8" max="8" width="21" customWidth="1"/>
    <col min="10" max="10" width="17.33203125" bestFit="1" customWidth="1"/>
  </cols>
  <sheetData>
    <row r="1" spans="1:10" ht="19" x14ac:dyDescent="0.25">
      <c r="A1" s="58" t="s">
        <v>298</v>
      </c>
    </row>
    <row r="2" spans="1:10" x14ac:dyDescent="0.2">
      <c r="B2" s="60" t="s">
        <v>328</v>
      </c>
      <c r="C2" s="61"/>
      <c r="D2" s="17"/>
      <c r="E2" s="61"/>
      <c r="F2" s="61"/>
      <c r="G2" s="61"/>
      <c r="H2" s="61"/>
      <c r="I2" s="61"/>
      <c r="J2" s="61"/>
    </row>
    <row r="3" spans="1:10" x14ac:dyDescent="0.2">
      <c r="B3" s="61"/>
      <c r="C3" s="61"/>
      <c r="D3" s="17"/>
      <c r="E3" s="61"/>
      <c r="F3" s="2" t="s">
        <v>351</v>
      </c>
      <c r="G3" s="61"/>
      <c r="H3" s="61"/>
      <c r="I3" s="61"/>
      <c r="J3" s="61"/>
    </row>
    <row r="4" spans="1:10" x14ac:dyDescent="0.2">
      <c r="B4" s="62" t="s">
        <v>329</v>
      </c>
      <c r="C4" s="61"/>
      <c r="D4" s="17"/>
      <c r="E4" s="61"/>
      <c r="F4" s="89" t="s">
        <v>359</v>
      </c>
      <c r="G4" s="80" t="s">
        <v>355</v>
      </c>
      <c r="H4" s="79" t="s">
        <v>357</v>
      </c>
      <c r="I4" s="90" t="s">
        <v>275</v>
      </c>
      <c r="J4" s="61"/>
    </row>
    <row r="5" spans="1:10" x14ac:dyDescent="0.2">
      <c r="B5" s="61"/>
      <c r="C5" s="61"/>
      <c r="D5" s="17"/>
      <c r="E5" s="61"/>
      <c r="F5" s="81" t="s">
        <v>273</v>
      </c>
      <c r="G5" s="82">
        <v>0.2</v>
      </c>
      <c r="H5" s="81" t="s">
        <v>273</v>
      </c>
      <c r="I5" s="82">
        <v>0.1</v>
      </c>
      <c r="J5" s="61"/>
    </row>
    <row r="6" spans="1:10" x14ac:dyDescent="0.2">
      <c r="B6" s="63" t="s">
        <v>330</v>
      </c>
      <c r="C6" s="61"/>
      <c r="D6" s="17"/>
      <c r="E6" s="61"/>
      <c r="F6" s="83" t="s">
        <v>356</v>
      </c>
      <c r="G6" s="84">
        <v>0.8</v>
      </c>
      <c r="H6" s="83" t="s">
        <v>356</v>
      </c>
      <c r="I6" s="84">
        <v>0.9</v>
      </c>
      <c r="J6" s="61"/>
    </row>
    <row r="7" spans="1:10" x14ac:dyDescent="0.2">
      <c r="B7" s="61"/>
      <c r="C7" s="61"/>
      <c r="D7" s="5" t="s">
        <v>352</v>
      </c>
      <c r="E7" s="61"/>
      <c r="F7" s="2" t="s">
        <v>244</v>
      </c>
      <c r="G7" s="61"/>
      <c r="H7" s="61"/>
      <c r="I7" s="61"/>
      <c r="J7" s="61"/>
    </row>
    <row r="8" spans="1:10" x14ac:dyDescent="0.2">
      <c r="B8" s="63" t="s">
        <v>336</v>
      </c>
      <c r="C8" s="61"/>
      <c r="D8" s="93">
        <f>I5</f>
        <v>0.1</v>
      </c>
      <c r="E8" s="61"/>
      <c r="F8" s="91" t="s">
        <v>360</v>
      </c>
      <c r="G8" s="92" t="s">
        <v>358</v>
      </c>
      <c r="H8" s="61"/>
      <c r="I8" s="61"/>
      <c r="J8" s="61"/>
    </row>
    <row r="9" spans="1:10" x14ac:dyDescent="0.2">
      <c r="B9" s="63" t="s">
        <v>337</v>
      </c>
      <c r="C9" s="61"/>
      <c r="D9" s="93">
        <f>I6</f>
        <v>0.9</v>
      </c>
      <c r="E9" s="61"/>
      <c r="F9" s="85" t="s">
        <v>273</v>
      </c>
      <c r="G9" s="86">
        <f>J19</f>
        <v>0.19000000000000006</v>
      </c>
      <c r="H9" s="61"/>
      <c r="I9" s="61"/>
      <c r="J9" s="61"/>
    </row>
    <row r="10" spans="1:10" x14ac:dyDescent="0.2">
      <c r="B10" s="63" t="s">
        <v>338</v>
      </c>
      <c r="C10" s="61"/>
      <c r="D10" s="93">
        <f>G5</f>
        <v>0.2</v>
      </c>
      <c r="E10" s="61"/>
      <c r="F10" s="87" t="s">
        <v>356</v>
      </c>
      <c r="G10" s="88">
        <f>1-G9</f>
        <v>0.80999999999999994</v>
      </c>
      <c r="H10" s="61"/>
      <c r="I10" s="61"/>
      <c r="J10" s="61"/>
    </row>
    <row r="11" spans="1:10" x14ac:dyDescent="0.2">
      <c r="B11" s="63" t="s">
        <v>339</v>
      </c>
      <c r="C11" s="61"/>
      <c r="D11" s="93">
        <f>G6</f>
        <v>0.8</v>
      </c>
      <c r="E11" s="61"/>
      <c r="F11" s="61"/>
      <c r="G11" s="61"/>
      <c r="H11" s="61"/>
      <c r="I11" s="61"/>
      <c r="J11" s="61"/>
    </row>
    <row r="12" spans="1:10" x14ac:dyDescent="0.2">
      <c r="B12" s="63"/>
      <c r="C12" s="61"/>
      <c r="D12" s="70"/>
      <c r="E12" s="61"/>
      <c r="F12" s="61"/>
      <c r="G12" s="61"/>
      <c r="H12" s="61"/>
      <c r="I12" s="61"/>
      <c r="J12" s="61"/>
    </row>
    <row r="13" spans="1:10" x14ac:dyDescent="0.2">
      <c r="B13" s="63" t="s">
        <v>324</v>
      </c>
      <c r="C13" s="61"/>
      <c r="D13" s="72">
        <v>0</v>
      </c>
      <c r="E13" s="61"/>
      <c r="F13" s="61"/>
      <c r="G13" s="61"/>
      <c r="H13" s="61"/>
      <c r="I13" s="61"/>
      <c r="J13" s="61"/>
    </row>
    <row r="14" spans="1:10" x14ac:dyDescent="0.2">
      <c r="B14" s="63" t="s">
        <v>325</v>
      </c>
      <c r="C14" s="61"/>
      <c r="D14" s="72">
        <v>0.5</v>
      </c>
      <c r="E14" s="61"/>
      <c r="F14" s="61"/>
      <c r="G14" s="61"/>
      <c r="H14" s="61"/>
      <c r="I14" s="61"/>
      <c r="J14" s="61"/>
    </row>
    <row r="15" spans="1:10" x14ac:dyDescent="0.2">
      <c r="B15" s="63" t="s">
        <v>326</v>
      </c>
      <c r="C15" s="61"/>
      <c r="D15" s="72">
        <v>1</v>
      </c>
      <c r="E15" s="61"/>
      <c r="F15" s="61"/>
      <c r="G15" s="61"/>
      <c r="H15" s="61"/>
      <c r="I15" s="61"/>
      <c r="J15" s="61"/>
    </row>
    <row r="16" spans="1:10" x14ac:dyDescent="0.2">
      <c r="B16" s="63" t="s">
        <v>327</v>
      </c>
      <c r="C16" s="61"/>
      <c r="D16" s="72">
        <v>1</v>
      </c>
      <c r="E16" s="61"/>
      <c r="F16" s="61"/>
      <c r="G16" s="61"/>
      <c r="H16" s="61"/>
      <c r="I16" s="61"/>
      <c r="J16" s="61"/>
    </row>
    <row r="17" spans="1:10" x14ac:dyDescent="0.2">
      <c r="C17" s="61"/>
      <c r="D17" s="17"/>
      <c r="E17" s="61"/>
      <c r="F17" s="61"/>
      <c r="G17" s="61"/>
      <c r="H17" s="61"/>
      <c r="I17" s="61"/>
      <c r="J17" s="61"/>
    </row>
    <row r="18" spans="1:10" ht="33" x14ac:dyDescent="0.25">
      <c r="B18" s="59" t="s">
        <v>334</v>
      </c>
      <c r="C18" s="61"/>
      <c r="D18" s="17"/>
      <c r="E18" s="64" t="s">
        <v>340</v>
      </c>
      <c r="F18" s="64" t="s">
        <v>341</v>
      </c>
      <c r="G18" s="64" t="s">
        <v>342</v>
      </c>
      <c r="H18" s="64" t="s">
        <v>343</v>
      </c>
      <c r="I18" s="61"/>
      <c r="J18" s="61" t="s">
        <v>354</v>
      </c>
    </row>
    <row r="19" spans="1:10" ht="18" x14ac:dyDescent="0.25">
      <c r="B19" s="100" t="s">
        <v>331</v>
      </c>
      <c r="C19" s="78" t="s">
        <v>353</v>
      </c>
      <c r="D19" s="17" t="s">
        <v>61</v>
      </c>
      <c r="E19" s="71">
        <f>$D13 * $D$9 * $D$11</f>
        <v>0</v>
      </c>
      <c r="F19" s="71">
        <f>$D14 * $D$9 * $D$10</f>
        <v>9.0000000000000011E-2</v>
      </c>
      <c r="G19" s="71">
        <f>$D$15 * $D8 * $D$11</f>
        <v>8.0000000000000016E-2</v>
      </c>
      <c r="H19" s="71">
        <f>$D$16 * $D8 * $D$10</f>
        <v>2.0000000000000004E-2</v>
      </c>
      <c r="I19" s="17" t="s">
        <v>61</v>
      </c>
      <c r="J19" s="39">
        <f>SUM(E19:H19)</f>
        <v>0.19000000000000006</v>
      </c>
    </row>
    <row r="20" spans="1:10" x14ac:dyDescent="0.2">
      <c r="B20" s="77" t="s">
        <v>331</v>
      </c>
      <c r="C20" s="77" t="s">
        <v>350</v>
      </c>
      <c r="I20" s="61"/>
      <c r="J20" s="61"/>
    </row>
    <row r="22" spans="1:10" ht="19" x14ac:dyDescent="0.25">
      <c r="A22" s="58" t="s">
        <v>299</v>
      </c>
    </row>
    <row r="23" spans="1:10" x14ac:dyDescent="0.2">
      <c r="B23" s="60" t="s">
        <v>335</v>
      </c>
    </row>
    <row r="24" spans="1:10" x14ac:dyDescent="0.2">
      <c r="B24" s="61"/>
    </row>
    <row r="25" spans="1:10" x14ac:dyDescent="0.2">
      <c r="B25" s="65" t="s">
        <v>329</v>
      </c>
      <c r="C25" s="66"/>
      <c r="D25" s="67"/>
      <c r="F25" s="99" t="s">
        <v>362</v>
      </c>
      <c r="G25" s="94" t="s">
        <v>61</v>
      </c>
      <c r="H25" s="95" t="s">
        <v>363</v>
      </c>
      <c r="I25" s="96"/>
      <c r="J25" s="61"/>
    </row>
    <row r="26" spans="1:10" x14ac:dyDescent="0.2">
      <c r="B26" s="66"/>
      <c r="C26" s="66"/>
      <c r="D26" s="67"/>
      <c r="F26" s="15"/>
      <c r="G26" s="15"/>
      <c r="H26" s="97" t="s">
        <v>361</v>
      </c>
      <c r="I26" s="98"/>
      <c r="J26" s="61"/>
    </row>
    <row r="27" spans="1:10" x14ac:dyDescent="0.2">
      <c r="B27" s="68" t="s">
        <v>330</v>
      </c>
      <c r="C27" s="66"/>
      <c r="D27" s="67"/>
    </row>
    <row r="28" spans="1:10" x14ac:dyDescent="0.2">
      <c r="B28" s="69"/>
      <c r="C28" s="66"/>
      <c r="D28" s="67"/>
    </row>
    <row r="29" spans="1:10" x14ac:dyDescent="0.2">
      <c r="B29" s="68" t="s">
        <v>336</v>
      </c>
      <c r="C29" s="69"/>
      <c r="D29" s="93">
        <f>D8</f>
        <v>0.1</v>
      </c>
    </row>
    <row r="30" spans="1:10" x14ac:dyDescent="0.2">
      <c r="B30" s="68" t="s">
        <v>337</v>
      </c>
      <c r="C30" s="69"/>
      <c r="D30" s="93">
        <f>D9</f>
        <v>0.9</v>
      </c>
    </row>
    <row r="31" spans="1:10" x14ac:dyDescent="0.2">
      <c r="B31" s="68" t="s">
        <v>338</v>
      </c>
      <c r="C31" s="69"/>
      <c r="D31" s="93">
        <f t="shared" ref="D31:D32" si="0">D10</f>
        <v>0.2</v>
      </c>
    </row>
    <row r="32" spans="1:10" x14ac:dyDescent="0.2">
      <c r="B32" s="68" t="s">
        <v>339</v>
      </c>
      <c r="C32" s="69"/>
      <c r="D32" s="93">
        <f t="shared" si="0"/>
        <v>0.8</v>
      </c>
    </row>
    <row r="33" spans="2:12" x14ac:dyDescent="0.2">
      <c r="B33" s="63"/>
    </row>
    <row r="34" spans="2:12" x14ac:dyDescent="0.2">
      <c r="B34" s="63"/>
    </row>
    <row r="35" spans="2:12" x14ac:dyDescent="0.2">
      <c r="B35" s="63" t="s">
        <v>344</v>
      </c>
      <c r="D35" s="38">
        <f>J19</f>
        <v>0.19000000000000006</v>
      </c>
    </row>
    <row r="36" spans="2:12" x14ac:dyDescent="0.2">
      <c r="B36" s="63" t="s">
        <v>345</v>
      </c>
      <c r="D36" s="38">
        <f>1-D35</f>
        <v>0.80999999999999994</v>
      </c>
    </row>
    <row r="37" spans="2:12" x14ac:dyDescent="0.2">
      <c r="B37" s="63" t="s">
        <v>332</v>
      </c>
      <c r="D37" s="102">
        <v>1</v>
      </c>
    </row>
    <row r="38" spans="2:12" x14ac:dyDescent="0.2">
      <c r="B38" s="101" t="s">
        <v>333</v>
      </c>
      <c r="D38" s="40"/>
      <c r="E38" t="s">
        <v>365</v>
      </c>
    </row>
    <row r="40" spans="2:12" x14ac:dyDescent="0.2">
      <c r="B40" s="63" t="s">
        <v>364</v>
      </c>
      <c r="C40" s="78"/>
    </row>
    <row r="41" spans="2:12" x14ac:dyDescent="0.2">
      <c r="B41" s="77" t="s">
        <v>367</v>
      </c>
      <c r="E41" t="s">
        <v>365</v>
      </c>
    </row>
    <row r="42" spans="2:12" ht="18" x14ac:dyDescent="0.25">
      <c r="B42" s="73" t="s">
        <v>366</v>
      </c>
      <c r="E42" t="s">
        <v>365</v>
      </c>
    </row>
    <row r="43" spans="2:12" x14ac:dyDescent="0.2">
      <c r="B43" s="73"/>
    </row>
    <row r="44" spans="2:12" x14ac:dyDescent="0.2">
      <c r="B44" s="73" t="s">
        <v>349</v>
      </c>
      <c r="E44" s="18" t="s">
        <v>368</v>
      </c>
      <c r="F44" s="18" t="s">
        <v>370</v>
      </c>
      <c r="G44" s="6" t="s">
        <v>61</v>
      </c>
      <c r="H44" s="21">
        <f>D37</f>
        <v>1</v>
      </c>
      <c r="I44" s="21" t="s">
        <v>107</v>
      </c>
      <c r="J44" s="21">
        <f>D29*D31</f>
        <v>2.0000000000000004E-2</v>
      </c>
      <c r="K44" s="6" t="s">
        <v>61</v>
      </c>
      <c r="L44" s="103">
        <f>H44*J44/I45</f>
        <v>0.10526315789473684</v>
      </c>
    </row>
    <row r="45" spans="2:12" x14ac:dyDescent="0.2">
      <c r="B45" s="73"/>
      <c r="F45" t="s">
        <v>369</v>
      </c>
      <c r="I45" s="6">
        <f>D35</f>
        <v>0.19000000000000006</v>
      </c>
    </row>
    <row r="46" spans="2:12" x14ac:dyDescent="0.2">
      <c r="D46" s="6" t="s">
        <v>260</v>
      </c>
      <c r="L46" s="6" t="s">
        <v>260</v>
      </c>
    </row>
    <row r="47" spans="2:12" x14ac:dyDescent="0.2">
      <c r="B47" s="73"/>
      <c r="F47" s="6"/>
    </row>
    <row r="48" spans="2:12" x14ac:dyDescent="0.2">
      <c r="B48" s="63" t="s">
        <v>346</v>
      </c>
      <c r="E48" s="18" t="s">
        <v>371</v>
      </c>
      <c r="F48" s="18" t="s">
        <v>372</v>
      </c>
      <c r="G48" s="6" t="s">
        <v>61</v>
      </c>
      <c r="H48" s="21">
        <f>D37</f>
        <v>1</v>
      </c>
      <c r="I48" s="21" t="s">
        <v>107</v>
      </c>
      <c r="J48" s="21">
        <f>D29 * D32</f>
        <v>8.0000000000000016E-2</v>
      </c>
      <c r="K48" s="6" t="s">
        <v>61</v>
      </c>
      <c r="L48" s="103">
        <f>H48*J48/I49</f>
        <v>0.42105263157894735</v>
      </c>
    </row>
    <row r="49" spans="1:12" x14ac:dyDescent="0.2">
      <c r="B49" s="61"/>
      <c r="F49" t="s">
        <v>369</v>
      </c>
      <c r="I49" s="6">
        <f>D35</f>
        <v>0.19000000000000006</v>
      </c>
    </row>
    <row r="50" spans="1:12" ht="18" x14ac:dyDescent="0.25">
      <c r="B50" s="74" t="s">
        <v>347</v>
      </c>
      <c r="C50" s="75" t="s">
        <v>348</v>
      </c>
      <c r="D50" s="6" t="s">
        <v>61</v>
      </c>
      <c r="F50" s="6"/>
      <c r="K50" s="6" t="s">
        <v>61</v>
      </c>
      <c r="L50" s="104">
        <f>L44+L48</f>
        <v>0.52631578947368418</v>
      </c>
    </row>
    <row r="51" spans="1:12" x14ac:dyDescent="0.2">
      <c r="C51" s="76" t="s">
        <v>331</v>
      </c>
    </row>
    <row r="53" spans="1:12" ht="19" x14ac:dyDescent="0.25">
      <c r="A53" s="58" t="s">
        <v>373</v>
      </c>
    </row>
    <row r="54" spans="1:12" x14ac:dyDescent="0.2">
      <c r="B54" s="60" t="s">
        <v>328</v>
      </c>
      <c r="C54" s="61"/>
      <c r="D54" s="17"/>
      <c r="E54" s="61"/>
      <c r="F54" s="61"/>
      <c r="G54" s="61"/>
      <c r="H54" s="61"/>
      <c r="I54" s="61"/>
      <c r="J54" s="61"/>
    </row>
    <row r="55" spans="1:12" x14ac:dyDescent="0.2">
      <c r="B55" s="61"/>
      <c r="C55" s="61"/>
      <c r="D55" s="17"/>
      <c r="E55" s="61"/>
      <c r="F55" s="2" t="s">
        <v>351</v>
      </c>
      <c r="G55" s="61"/>
      <c r="H55" s="61"/>
      <c r="I55" s="61"/>
      <c r="J55" s="61"/>
    </row>
    <row r="56" spans="1:12" x14ac:dyDescent="0.2">
      <c r="B56" s="62" t="s">
        <v>329</v>
      </c>
      <c r="C56" s="61"/>
      <c r="D56" s="17"/>
      <c r="E56" s="61"/>
      <c r="F56" s="89" t="s">
        <v>359</v>
      </c>
      <c r="G56" s="80" t="s">
        <v>355</v>
      </c>
      <c r="H56" s="79" t="s">
        <v>357</v>
      </c>
      <c r="I56" s="90" t="s">
        <v>275</v>
      </c>
      <c r="J56" s="61"/>
    </row>
    <row r="57" spans="1:12" x14ac:dyDescent="0.2">
      <c r="B57" s="61"/>
      <c r="C57" s="61"/>
      <c r="D57" s="17"/>
      <c r="E57" s="61"/>
      <c r="F57" s="81" t="s">
        <v>273</v>
      </c>
      <c r="G57" s="82">
        <v>0.2</v>
      </c>
      <c r="H57" s="81" t="s">
        <v>273</v>
      </c>
      <c r="I57" s="82">
        <v>0.1</v>
      </c>
      <c r="J57" s="61"/>
    </row>
    <row r="58" spans="1:12" x14ac:dyDescent="0.2">
      <c r="B58" s="63" t="s">
        <v>330</v>
      </c>
      <c r="C58" s="61"/>
      <c r="D58" s="17"/>
      <c r="E58" s="61"/>
      <c r="F58" s="83" t="s">
        <v>356</v>
      </c>
      <c r="G58" s="84">
        <v>0.8</v>
      </c>
      <c r="H58" s="83" t="s">
        <v>356</v>
      </c>
      <c r="I58" s="84">
        <v>0.9</v>
      </c>
      <c r="J58" s="61"/>
    </row>
    <row r="59" spans="1:12" x14ac:dyDescent="0.2">
      <c r="B59" s="61"/>
      <c r="C59" s="61"/>
      <c r="D59" s="5" t="s">
        <v>352</v>
      </c>
      <c r="E59" s="61"/>
      <c r="F59" s="2" t="s">
        <v>244</v>
      </c>
      <c r="G59" s="61"/>
      <c r="H59" s="61"/>
      <c r="I59" s="61"/>
      <c r="J59" s="61"/>
    </row>
    <row r="60" spans="1:12" x14ac:dyDescent="0.2">
      <c r="B60" s="63" t="s">
        <v>336</v>
      </c>
      <c r="C60" s="61"/>
      <c r="D60" s="93">
        <f>I57</f>
        <v>0.1</v>
      </c>
      <c r="E60" s="61"/>
      <c r="F60" s="91" t="s">
        <v>360</v>
      </c>
      <c r="G60" s="92" t="s">
        <v>358</v>
      </c>
      <c r="H60" s="61"/>
      <c r="I60" s="61"/>
      <c r="J60" s="61"/>
    </row>
    <row r="61" spans="1:12" x14ac:dyDescent="0.2">
      <c r="B61" s="63" t="s">
        <v>337</v>
      </c>
      <c r="C61" s="61"/>
      <c r="D61" s="93">
        <f>I58</f>
        <v>0.9</v>
      </c>
      <c r="E61" s="61"/>
      <c r="F61" s="85" t="s">
        <v>273</v>
      </c>
      <c r="G61" s="86">
        <f>J71</f>
        <v>0.19000000000000006</v>
      </c>
      <c r="H61" s="61"/>
      <c r="I61" s="61"/>
      <c r="J61" s="61"/>
    </row>
    <row r="62" spans="1:12" x14ac:dyDescent="0.2">
      <c r="B62" s="63" t="s">
        <v>338</v>
      </c>
      <c r="C62" s="61"/>
      <c r="D62" s="93">
        <f>G57</f>
        <v>0.2</v>
      </c>
      <c r="E62" s="61"/>
      <c r="F62" s="87" t="s">
        <v>356</v>
      </c>
      <c r="G62" s="88">
        <f>1-G61</f>
        <v>0.80999999999999994</v>
      </c>
      <c r="H62" s="61"/>
      <c r="I62" s="61"/>
      <c r="J62" s="61"/>
    </row>
    <row r="63" spans="1:12" x14ac:dyDescent="0.2">
      <c r="B63" s="63" t="s">
        <v>339</v>
      </c>
      <c r="C63" s="61"/>
      <c r="D63" s="93">
        <f>G58</f>
        <v>0.8</v>
      </c>
      <c r="E63" s="61"/>
      <c r="F63" s="61"/>
      <c r="G63" s="61"/>
      <c r="H63" s="61"/>
      <c r="I63" s="61"/>
      <c r="J63" s="61"/>
    </row>
    <row r="64" spans="1:12" x14ac:dyDescent="0.2">
      <c r="B64" s="63"/>
      <c r="C64" s="61"/>
      <c r="D64" s="70"/>
      <c r="E64" s="61"/>
      <c r="F64" s="61"/>
      <c r="G64" s="61"/>
      <c r="H64" s="61"/>
      <c r="I64" s="61"/>
      <c r="J64" s="61"/>
    </row>
    <row r="65" spans="1:10" x14ac:dyDescent="0.2">
      <c r="B65" s="63" t="s">
        <v>324</v>
      </c>
      <c r="C65" s="61"/>
      <c r="D65" s="72">
        <v>0</v>
      </c>
      <c r="E65" s="61"/>
      <c r="F65" s="61"/>
      <c r="G65" s="61"/>
      <c r="H65" s="61"/>
      <c r="I65" s="61"/>
      <c r="J65" s="61"/>
    </row>
    <row r="66" spans="1:10" x14ac:dyDescent="0.2">
      <c r="B66" s="63" t="s">
        <v>325</v>
      </c>
      <c r="C66" s="61"/>
      <c r="D66" s="72">
        <v>0.5</v>
      </c>
      <c r="E66" s="61"/>
      <c r="F66" s="61"/>
      <c r="G66" s="61"/>
      <c r="H66" s="61"/>
      <c r="I66" s="61"/>
      <c r="J66" s="61"/>
    </row>
    <row r="67" spans="1:10" x14ac:dyDescent="0.2">
      <c r="B67" s="63" t="s">
        <v>326</v>
      </c>
      <c r="C67" s="61"/>
      <c r="D67" s="72">
        <v>1</v>
      </c>
      <c r="E67" s="61"/>
      <c r="F67" s="61"/>
      <c r="G67" s="61"/>
      <c r="H67" s="61"/>
      <c r="I67" s="61"/>
      <c r="J67" s="61"/>
    </row>
    <row r="68" spans="1:10" x14ac:dyDescent="0.2">
      <c r="B68" s="63" t="s">
        <v>327</v>
      </c>
      <c r="C68" s="61"/>
      <c r="D68" s="72">
        <v>1</v>
      </c>
      <c r="E68" s="61"/>
      <c r="F68" s="61"/>
      <c r="G68" s="61"/>
      <c r="H68" s="61"/>
      <c r="I68" s="61"/>
      <c r="J68" s="61"/>
    </row>
    <row r="69" spans="1:10" x14ac:dyDescent="0.2">
      <c r="B69" s="73" t="s">
        <v>375</v>
      </c>
      <c r="C69" s="61"/>
      <c r="D69" s="17"/>
      <c r="E69" s="61"/>
      <c r="F69" s="61"/>
      <c r="G69" s="61"/>
      <c r="H69" s="61"/>
      <c r="I69" s="61"/>
      <c r="J69" s="61"/>
    </row>
    <row r="70" spans="1:10" ht="33" x14ac:dyDescent="0.25">
      <c r="B70" s="59" t="s">
        <v>334</v>
      </c>
      <c r="C70" s="61"/>
      <c r="D70" s="17"/>
      <c r="E70" s="64" t="s">
        <v>340</v>
      </c>
      <c r="F70" s="64" t="s">
        <v>341</v>
      </c>
      <c r="G70" s="64" t="s">
        <v>342</v>
      </c>
      <c r="H70" s="64" t="s">
        <v>343</v>
      </c>
      <c r="I70" s="61"/>
      <c r="J70" s="61" t="s">
        <v>354</v>
      </c>
    </row>
    <row r="71" spans="1:10" ht="18" x14ac:dyDescent="0.25">
      <c r="B71" s="100" t="s">
        <v>331</v>
      </c>
      <c r="C71" s="78" t="s">
        <v>353</v>
      </c>
      <c r="D71" s="17" t="s">
        <v>61</v>
      </c>
      <c r="E71" s="71">
        <f>$D65 * $D$9 * $D$11</f>
        <v>0</v>
      </c>
      <c r="F71" s="71">
        <f>$D66 * $D$9 * $D$10</f>
        <v>9.0000000000000011E-2</v>
      </c>
      <c r="G71" s="71">
        <f>$D$15 * $D60 * $D$11</f>
        <v>8.0000000000000016E-2</v>
      </c>
      <c r="H71" s="71">
        <f>$D$16 * $D60 * $D$10</f>
        <v>2.0000000000000004E-2</v>
      </c>
      <c r="I71" s="17" t="s">
        <v>61</v>
      </c>
      <c r="J71" s="39">
        <f>SUM(E71:H71)</f>
        <v>0.19000000000000006</v>
      </c>
    </row>
    <row r="72" spans="1:10" x14ac:dyDescent="0.2">
      <c r="B72" s="77" t="s">
        <v>331</v>
      </c>
      <c r="C72" s="77" t="s">
        <v>350</v>
      </c>
      <c r="I72" s="61"/>
      <c r="J72" s="61"/>
    </row>
    <row r="74" spans="1:10" ht="19" x14ac:dyDescent="0.25">
      <c r="A74" s="58" t="s">
        <v>374</v>
      </c>
    </row>
    <row r="75" spans="1:10" x14ac:dyDescent="0.2">
      <c r="B75" s="60" t="s">
        <v>335</v>
      </c>
    </row>
    <row r="76" spans="1:10" x14ac:dyDescent="0.2">
      <c r="B76" s="61"/>
    </row>
    <row r="77" spans="1:10" x14ac:dyDescent="0.2">
      <c r="B77" s="65" t="s">
        <v>329</v>
      </c>
      <c r="C77" s="66"/>
      <c r="D77" s="67"/>
      <c r="F77" s="99" t="s">
        <v>362</v>
      </c>
      <c r="G77" s="94" t="s">
        <v>61</v>
      </c>
      <c r="H77" s="95" t="s">
        <v>363</v>
      </c>
      <c r="I77" s="96"/>
      <c r="J77" s="61"/>
    </row>
    <row r="78" spans="1:10" x14ac:dyDescent="0.2">
      <c r="B78" s="66"/>
      <c r="C78" s="66"/>
      <c r="D78" s="67"/>
      <c r="F78" s="15"/>
      <c r="G78" s="15"/>
      <c r="H78" s="97" t="s">
        <v>361</v>
      </c>
      <c r="I78" s="98"/>
      <c r="J78" s="61"/>
    </row>
    <row r="79" spans="1:10" x14ac:dyDescent="0.2">
      <c r="B79" s="68" t="s">
        <v>330</v>
      </c>
      <c r="C79" s="66"/>
      <c r="D79" s="67"/>
    </row>
    <row r="80" spans="1:10" x14ac:dyDescent="0.2">
      <c r="B80" s="69"/>
      <c r="C80" s="66"/>
      <c r="D80" s="67"/>
    </row>
    <row r="81" spans="2:12" x14ac:dyDescent="0.2">
      <c r="B81" s="68" t="s">
        <v>336</v>
      </c>
      <c r="C81" s="69"/>
      <c r="D81" s="93">
        <f>D60</f>
        <v>0.1</v>
      </c>
    </row>
    <row r="82" spans="2:12" x14ac:dyDescent="0.2">
      <c r="B82" s="68" t="s">
        <v>337</v>
      </c>
      <c r="C82" s="69"/>
      <c r="D82" s="93">
        <f>D61</f>
        <v>0.9</v>
      </c>
    </row>
    <row r="83" spans="2:12" x14ac:dyDescent="0.2">
      <c r="B83" s="68" t="s">
        <v>338</v>
      </c>
      <c r="C83" s="69"/>
      <c r="D83" s="93">
        <f t="shared" ref="D83:D84" si="1">D62</f>
        <v>0.2</v>
      </c>
    </row>
    <row r="84" spans="2:12" x14ac:dyDescent="0.2">
      <c r="B84" s="68" t="s">
        <v>339</v>
      </c>
      <c r="C84" s="69"/>
      <c r="D84" s="93">
        <f t="shared" si="1"/>
        <v>0.8</v>
      </c>
    </row>
    <row r="85" spans="2:12" x14ac:dyDescent="0.2">
      <c r="B85" s="63"/>
    </row>
    <row r="86" spans="2:12" x14ac:dyDescent="0.2">
      <c r="B86" s="63"/>
    </row>
    <row r="87" spans="2:12" x14ac:dyDescent="0.2">
      <c r="B87" s="63" t="s">
        <v>344</v>
      </c>
      <c r="D87" s="38">
        <f>J71</f>
        <v>0.19000000000000006</v>
      </c>
    </row>
    <row r="88" spans="2:12" x14ac:dyDescent="0.2">
      <c r="B88" s="63" t="s">
        <v>345</v>
      </c>
      <c r="D88" s="38">
        <f>1-D87</f>
        <v>0.80999999999999994</v>
      </c>
    </row>
    <row r="89" spans="2:12" x14ac:dyDescent="0.2">
      <c r="B89" s="63" t="s">
        <v>332</v>
      </c>
      <c r="D89" s="102">
        <v>1</v>
      </c>
    </row>
    <row r="90" spans="2:12" x14ac:dyDescent="0.2">
      <c r="B90" s="101" t="s">
        <v>333</v>
      </c>
      <c r="D90" s="40"/>
      <c r="E90" t="s">
        <v>365</v>
      </c>
    </row>
    <row r="92" spans="2:12" x14ac:dyDescent="0.2">
      <c r="B92" s="63" t="s">
        <v>364</v>
      </c>
      <c r="C92" s="78"/>
    </row>
    <row r="93" spans="2:12" x14ac:dyDescent="0.2">
      <c r="B93" s="77" t="s">
        <v>367</v>
      </c>
      <c r="E93" t="s">
        <v>365</v>
      </c>
    </row>
    <row r="94" spans="2:12" ht="18" x14ac:dyDescent="0.25">
      <c r="B94" s="73" t="s">
        <v>366</v>
      </c>
      <c r="E94" t="s">
        <v>365</v>
      </c>
    </row>
    <row r="95" spans="2:12" x14ac:dyDescent="0.2">
      <c r="B95" s="73"/>
    </row>
    <row r="96" spans="2:12" x14ac:dyDescent="0.2">
      <c r="B96" s="73" t="s">
        <v>349</v>
      </c>
      <c r="E96" s="18" t="s">
        <v>368</v>
      </c>
      <c r="F96" s="18" t="s">
        <v>370</v>
      </c>
      <c r="G96" s="6" t="s">
        <v>61</v>
      </c>
      <c r="H96" s="21">
        <f>D89</f>
        <v>1</v>
      </c>
      <c r="I96" s="21" t="s">
        <v>107</v>
      </c>
      <c r="J96" s="21">
        <f>D81*D83</f>
        <v>2.0000000000000004E-2</v>
      </c>
      <c r="K96" s="6" t="s">
        <v>61</v>
      </c>
      <c r="L96" s="103">
        <f>H96*J96/I97</f>
        <v>0.10526315789473684</v>
      </c>
    </row>
    <row r="97" spans="2:12" x14ac:dyDescent="0.2">
      <c r="B97" s="73"/>
      <c r="F97" t="s">
        <v>369</v>
      </c>
      <c r="I97" s="6">
        <f>D87</f>
        <v>0.19000000000000006</v>
      </c>
    </row>
    <row r="98" spans="2:12" x14ac:dyDescent="0.2">
      <c r="D98" s="6" t="s">
        <v>260</v>
      </c>
      <c r="L98" s="6" t="s">
        <v>260</v>
      </c>
    </row>
    <row r="99" spans="2:12" x14ac:dyDescent="0.2">
      <c r="B99" s="73"/>
      <c r="F99" s="6"/>
    </row>
    <row r="100" spans="2:12" x14ac:dyDescent="0.2">
      <c r="B100" s="63" t="s">
        <v>346</v>
      </c>
      <c r="E100" s="18" t="s">
        <v>371</v>
      </c>
      <c r="F100" s="18" t="s">
        <v>372</v>
      </c>
      <c r="G100" s="6" t="s">
        <v>61</v>
      </c>
      <c r="H100" s="21">
        <f>D89</f>
        <v>1</v>
      </c>
      <c r="I100" s="21" t="s">
        <v>107</v>
      </c>
      <c r="J100" s="21">
        <f>D81 * D84</f>
        <v>8.0000000000000016E-2</v>
      </c>
      <c r="K100" s="6" t="s">
        <v>61</v>
      </c>
      <c r="L100" s="103">
        <f>H100*J100/I101</f>
        <v>0.42105263157894735</v>
      </c>
    </row>
    <row r="101" spans="2:12" x14ac:dyDescent="0.2">
      <c r="B101" s="61"/>
      <c r="F101" t="s">
        <v>369</v>
      </c>
      <c r="I101" s="6">
        <f>D87</f>
        <v>0.19000000000000006</v>
      </c>
    </row>
    <row r="102" spans="2:12" ht="18" x14ac:dyDescent="0.25">
      <c r="B102" s="74" t="s">
        <v>347</v>
      </c>
      <c r="C102" s="75" t="s">
        <v>348</v>
      </c>
      <c r="D102" s="6" t="s">
        <v>61</v>
      </c>
      <c r="F102" s="6"/>
      <c r="K102" s="6" t="s">
        <v>61</v>
      </c>
      <c r="L102" s="104">
        <f>L96+L100</f>
        <v>0.52631578947368418</v>
      </c>
    </row>
    <row r="103" spans="2:12" x14ac:dyDescent="0.2">
      <c r="C103" s="76" t="s">
        <v>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A37" zoomScale="124" zoomScaleNormal="124" zoomScalePageLayoutView="124" workbookViewId="0">
      <selection activeCell="C52" sqref="C52"/>
    </sheetView>
  </sheetViews>
  <sheetFormatPr baseColWidth="10" defaultRowHeight="16" x14ac:dyDescent="0.2"/>
  <cols>
    <col min="1" max="1" width="10.5" bestFit="1" customWidth="1"/>
    <col min="2" max="2" width="11.33203125" customWidth="1"/>
    <col min="4" max="4" width="11.5" customWidth="1"/>
    <col min="5" max="5" width="14.6640625" customWidth="1"/>
    <col min="6" max="6" width="11.83203125" customWidth="1"/>
    <col min="7" max="7" width="13.5" customWidth="1"/>
    <col min="8" max="8" width="11.6640625" customWidth="1"/>
    <col min="10" max="10" width="12.5" customWidth="1"/>
  </cols>
  <sheetData>
    <row r="1" spans="1:15" ht="21" x14ac:dyDescent="0.25">
      <c r="A1" s="16" t="s">
        <v>226</v>
      </c>
      <c r="B1" s="16"/>
    </row>
    <row r="2" spans="1:15" x14ac:dyDescent="0.2">
      <c r="A2" s="2" t="s">
        <v>298</v>
      </c>
      <c r="B2" s="2"/>
      <c r="C2" t="s">
        <v>236</v>
      </c>
    </row>
    <row r="3" spans="1:15" x14ac:dyDescent="0.2">
      <c r="A3" s="2"/>
      <c r="B3" s="2"/>
      <c r="C3" t="s">
        <v>237</v>
      </c>
    </row>
    <row r="4" spans="1:15" x14ac:dyDescent="0.2">
      <c r="A4" t="s">
        <v>240</v>
      </c>
      <c r="B4" t="s">
        <v>245</v>
      </c>
      <c r="C4" t="s">
        <v>229</v>
      </c>
      <c r="D4" s="38">
        <v>0.1</v>
      </c>
      <c r="E4" t="s">
        <v>228</v>
      </c>
    </row>
    <row r="5" spans="1:15" x14ac:dyDescent="0.2">
      <c r="A5" t="s">
        <v>244</v>
      </c>
      <c r="B5" t="s">
        <v>245</v>
      </c>
      <c r="C5" t="s">
        <v>231</v>
      </c>
      <c r="D5" s="38">
        <v>0.05</v>
      </c>
      <c r="E5" t="s">
        <v>230</v>
      </c>
    </row>
    <row r="6" spans="1:15" x14ac:dyDescent="0.2">
      <c r="A6" t="s">
        <v>239</v>
      </c>
      <c r="B6" t="s">
        <v>245</v>
      </c>
      <c r="C6" t="s">
        <v>233</v>
      </c>
      <c r="D6" s="38">
        <v>7.0000000000000007E-2</v>
      </c>
      <c r="E6" t="s">
        <v>232</v>
      </c>
    </row>
    <row r="7" spans="1:15" x14ac:dyDescent="0.2">
      <c r="A7" t="s">
        <v>238</v>
      </c>
      <c r="B7" t="s">
        <v>245</v>
      </c>
      <c r="C7" t="s">
        <v>234</v>
      </c>
      <c r="D7" s="40" t="s">
        <v>235</v>
      </c>
    </row>
    <row r="9" spans="1:15" x14ac:dyDescent="0.2">
      <c r="C9" s="5" t="s">
        <v>238</v>
      </c>
      <c r="E9" s="5" t="s">
        <v>239</v>
      </c>
      <c r="F9" s="2"/>
      <c r="G9" s="5" t="s">
        <v>240</v>
      </c>
    </row>
    <row r="10" spans="1:15" x14ac:dyDescent="0.2">
      <c r="C10" s="6" t="s">
        <v>243</v>
      </c>
      <c r="D10" s="6" t="s">
        <v>61</v>
      </c>
      <c r="E10" s="21" t="s">
        <v>242</v>
      </c>
      <c r="F10" s="21" t="s">
        <v>107</v>
      </c>
      <c r="G10" s="21" t="s">
        <v>241</v>
      </c>
      <c r="H10" s="46" t="s">
        <v>61</v>
      </c>
      <c r="I10" s="43">
        <f>D6</f>
        <v>7.0000000000000007E-2</v>
      </c>
      <c r="J10" s="43" t="s">
        <v>107</v>
      </c>
      <c r="K10" s="43">
        <f>D4</f>
        <v>0.1</v>
      </c>
      <c r="L10" s="6" t="s">
        <v>61</v>
      </c>
      <c r="M10" s="40">
        <f>I10 * K10 / J11</f>
        <v>0.14000000000000001</v>
      </c>
      <c r="N10" s="6" t="s">
        <v>61</v>
      </c>
      <c r="O10" s="44">
        <f>M10</f>
        <v>0.14000000000000001</v>
      </c>
    </row>
    <row r="11" spans="1:15" x14ac:dyDescent="0.2">
      <c r="C11" s="6"/>
      <c r="F11" s="6" t="s">
        <v>227</v>
      </c>
      <c r="I11" s="23"/>
      <c r="J11" s="38">
        <f>D5</f>
        <v>0.05</v>
      </c>
      <c r="K11" s="23"/>
      <c r="N11" s="6"/>
    </row>
    <row r="12" spans="1:15" x14ac:dyDescent="0.2">
      <c r="F12" s="5" t="s">
        <v>244</v>
      </c>
    </row>
    <row r="14" spans="1:15" x14ac:dyDescent="0.2">
      <c r="A14" t="s">
        <v>240</v>
      </c>
      <c r="B14" t="s">
        <v>245</v>
      </c>
      <c r="C14" t="s">
        <v>229</v>
      </c>
      <c r="D14" s="38">
        <v>0.2</v>
      </c>
    </row>
    <row r="15" spans="1:15" x14ac:dyDescent="0.2">
      <c r="A15" t="s">
        <v>244</v>
      </c>
      <c r="B15" t="s">
        <v>245</v>
      </c>
      <c r="C15" t="s">
        <v>231</v>
      </c>
      <c r="D15" s="38">
        <v>0.05</v>
      </c>
    </row>
    <row r="16" spans="1:15" x14ac:dyDescent="0.2">
      <c r="A16" t="s">
        <v>239</v>
      </c>
      <c r="B16" t="s">
        <v>245</v>
      </c>
      <c r="C16" t="s">
        <v>233</v>
      </c>
      <c r="D16" s="38">
        <v>7.0000000000000007E-2</v>
      </c>
    </row>
    <row r="17" spans="1:15" x14ac:dyDescent="0.2">
      <c r="A17" t="s">
        <v>238</v>
      </c>
      <c r="B17" t="s">
        <v>245</v>
      </c>
      <c r="C17" t="s">
        <v>234</v>
      </c>
      <c r="D17" s="40" t="s">
        <v>235</v>
      </c>
    </row>
    <row r="19" spans="1:15" x14ac:dyDescent="0.2">
      <c r="C19" s="5" t="s">
        <v>238</v>
      </c>
      <c r="E19" s="5" t="s">
        <v>239</v>
      </c>
      <c r="F19" s="2"/>
      <c r="G19" s="5" t="s">
        <v>240</v>
      </c>
    </row>
    <row r="20" spans="1:15" x14ac:dyDescent="0.2">
      <c r="C20" s="6" t="s">
        <v>243</v>
      </c>
      <c r="D20" s="6" t="s">
        <v>61</v>
      </c>
      <c r="E20" s="21" t="s">
        <v>242</v>
      </c>
      <c r="F20" s="21" t="s">
        <v>107</v>
      </c>
      <c r="G20" s="21" t="s">
        <v>241</v>
      </c>
      <c r="H20" s="46" t="s">
        <v>61</v>
      </c>
      <c r="I20" s="43">
        <f>D16</f>
        <v>7.0000000000000007E-2</v>
      </c>
      <c r="J20" s="43" t="s">
        <v>107</v>
      </c>
      <c r="K20" s="43">
        <f>D14</f>
        <v>0.2</v>
      </c>
      <c r="L20" s="6" t="s">
        <v>61</v>
      </c>
      <c r="M20" s="40">
        <f>I20 * K20 / J21</f>
        <v>0.28000000000000003</v>
      </c>
      <c r="N20" s="6" t="s">
        <v>61</v>
      </c>
      <c r="O20" s="44">
        <f>M20</f>
        <v>0.28000000000000003</v>
      </c>
    </row>
    <row r="21" spans="1:15" x14ac:dyDescent="0.2">
      <c r="C21" s="6"/>
      <c r="F21" s="6" t="s">
        <v>227</v>
      </c>
      <c r="I21" s="23"/>
      <c r="J21" s="38">
        <f>D15</f>
        <v>0.05</v>
      </c>
      <c r="K21" s="23"/>
      <c r="N21" s="6"/>
    </row>
    <row r="22" spans="1:15" x14ac:dyDescent="0.2">
      <c r="F22" s="5" t="s">
        <v>244</v>
      </c>
    </row>
    <row r="23" spans="1:15" x14ac:dyDescent="0.2">
      <c r="F23" s="5"/>
    </row>
    <row r="24" spans="1:15" x14ac:dyDescent="0.2">
      <c r="C24" s="2" t="s">
        <v>254</v>
      </c>
    </row>
    <row r="25" spans="1:15" x14ac:dyDescent="0.2">
      <c r="C25" t="s">
        <v>263</v>
      </c>
    </row>
    <row r="26" spans="1:15" x14ac:dyDescent="0.2">
      <c r="C26" t="s">
        <v>255</v>
      </c>
    </row>
    <row r="27" spans="1:15" x14ac:dyDescent="0.2">
      <c r="C27" t="s">
        <v>256</v>
      </c>
    </row>
    <row r="28" spans="1:15" x14ac:dyDescent="0.2">
      <c r="C28" t="s">
        <v>257</v>
      </c>
    </row>
    <row r="30" spans="1:15" x14ac:dyDescent="0.2">
      <c r="C30" s="6" t="s">
        <v>258</v>
      </c>
      <c r="D30" s="6" t="s">
        <v>66</v>
      </c>
      <c r="E30" s="18"/>
      <c r="F30" s="56" t="s">
        <v>262</v>
      </c>
      <c r="G30" s="18"/>
      <c r="H30" s="46" t="s">
        <v>61</v>
      </c>
    </row>
    <row r="31" spans="1:15" x14ac:dyDescent="0.2">
      <c r="E31" s="57" t="s">
        <v>259</v>
      </c>
      <c r="F31" s="6" t="s">
        <v>260</v>
      </c>
      <c r="G31" s="6" t="s">
        <v>261</v>
      </c>
    </row>
    <row r="33" spans="1:23" x14ac:dyDescent="0.2">
      <c r="A33" s="2" t="s">
        <v>299</v>
      </c>
      <c r="C33" t="s">
        <v>246</v>
      </c>
    </row>
    <row r="34" spans="1:23" x14ac:dyDescent="0.2">
      <c r="C34" t="s">
        <v>248</v>
      </c>
    </row>
    <row r="35" spans="1:23" x14ac:dyDescent="0.2">
      <c r="A35" t="s">
        <v>240</v>
      </c>
      <c r="B35" t="s">
        <v>245</v>
      </c>
      <c r="C35" t="s">
        <v>247</v>
      </c>
      <c r="D35" s="38">
        <v>0.98</v>
      </c>
      <c r="E35" t="s">
        <v>249</v>
      </c>
    </row>
    <row r="36" spans="1:23" x14ac:dyDescent="0.2">
      <c r="A36" t="s">
        <v>244</v>
      </c>
      <c r="B36" t="s">
        <v>245</v>
      </c>
      <c r="C36" t="s">
        <v>251</v>
      </c>
      <c r="D36" s="38">
        <v>0.995</v>
      </c>
      <c r="E36" t="s">
        <v>250</v>
      </c>
    </row>
    <row r="37" spans="1:23" x14ac:dyDescent="0.2">
      <c r="A37" t="s">
        <v>239</v>
      </c>
      <c r="B37" t="s">
        <v>245</v>
      </c>
      <c r="C37" t="s">
        <v>252</v>
      </c>
      <c r="D37" s="38">
        <v>2.9999999999999997E-4</v>
      </c>
      <c r="E37" t="s">
        <v>253</v>
      </c>
    </row>
    <row r="38" spans="1:23" x14ac:dyDescent="0.2">
      <c r="A38" t="s">
        <v>238</v>
      </c>
      <c r="B38" t="s">
        <v>245</v>
      </c>
      <c r="C38" t="s">
        <v>265</v>
      </c>
      <c r="D38" s="40" t="s">
        <v>235</v>
      </c>
      <c r="E38" t="s">
        <v>264</v>
      </c>
    </row>
    <row r="40" spans="1:23" x14ac:dyDescent="0.2">
      <c r="C40" s="6" t="s">
        <v>266</v>
      </c>
      <c r="D40" s="6" t="s">
        <v>61</v>
      </c>
      <c r="E40" s="52" t="s">
        <v>268</v>
      </c>
      <c r="F40" s="53" t="s">
        <v>107</v>
      </c>
      <c r="G40" s="54" t="s">
        <v>269</v>
      </c>
      <c r="H40" s="46" t="s">
        <v>61</v>
      </c>
      <c r="I40" s="21"/>
      <c r="J40" s="18"/>
      <c r="K40" s="43">
        <f>D35</f>
        <v>0.98</v>
      </c>
      <c r="L40" s="43" t="s">
        <v>107</v>
      </c>
      <c r="M40" s="43">
        <f>D37</f>
        <v>2.9999999999999997E-4</v>
      </c>
      <c r="N40" s="18"/>
      <c r="O40" s="18"/>
      <c r="P40" s="6" t="s">
        <v>61</v>
      </c>
      <c r="Q40" s="18"/>
      <c r="R40" s="48">
        <f>K40 * M40</f>
        <v>2.9399999999999999E-4</v>
      </c>
      <c r="S40" s="18"/>
      <c r="T40" s="6" t="s">
        <v>61</v>
      </c>
      <c r="U40" s="49">
        <f>R40</f>
        <v>2.9399999999999999E-4</v>
      </c>
      <c r="V40" s="6" t="s">
        <v>61</v>
      </c>
      <c r="W40">
        <f>U40/U41</f>
        <v>5.5550307038261637E-2</v>
      </c>
    </row>
    <row r="41" spans="1:23" x14ac:dyDescent="0.2">
      <c r="E41" s="55" t="s">
        <v>267</v>
      </c>
      <c r="F41" s="6" t="s">
        <v>260</v>
      </c>
      <c r="G41" s="19" t="s">
        <v>301</v>
      </c>
      <c r="I41" s="38">
        <f>D35</f>
        <v>0.98</v>
      </c>
      <c r="J41" s="38" t="s">
        <v>107</v>
      </c>
      <c r="K41" s="38">
        <f>D37</f>
        <v>2.9999999999999997E-4</v>
      </c>
      <c r="L41" s="38" t="s">
        <v>260</v>
      </c>
      <c r="M41" s="38">
        <f>(1 - D36)</f>
        <v>5.0000000000000044E-3</v>
      </c>
      <c r="N41" s="38" t="s">
        <v>107</v>
      </c>
      <c r="O41" s="23">
        <f>(1-D37)</f>
        <v>0.99970000000000003</v>
      </c>
      <c r="P41" s="6"/>
      <c r="Q41" s="39">
        <f>I41 * K41</f>
        <v>2.9399999999999999E-4</v>
      </c>
      <c r="R41" s="40" t="s">
        <v>260</v>
      </c>
      <c r="S41" s="39">
        <f>M41 * O41</f>
        <v>4.9985000000000047E-3</v>
      </c>
      <c r="U41" s="39">
        <f>Q41+S41</f>
        <v>5.2925000000000047E-3</v>
      </c>
    </row>
    <row r="43" spans="1:23" x14ac:dyDescent="0.2">
      <c r="C43" t="s">
        <v>270</v>
      </c>
    </row>
    <row r="44" spans="1:23" x14ac:dyDescent="0.2">
      <c r="A44" t="s">
        <v>239</v>
      </c>
      <c r="B44" t="s">
        <v>245</v>
      </c>
      <c r="C44" t="s">
        <v>247</v>
      </c>
      <c r="D44" s="38">
        <v>0.98</v>
      </c>
      <c r="E44" t="s">
        <v>249</v>
      </c>
    </row>
    <row r="45" spans="1:23" x14ac:dyDescent="0.2">
      <c r="A45" t="s">
        <v>244</v>
      </c>
      <c r="B45" t="s">
        <v>245</v>
      </c>
      <c r="C45" t="s">
        <v>251</v>
      </c>
      <c r="D45" s="38">
        <v>0.995</v>
      </c>
      <c r="E45" t="s">
        <v>250</v>
      </c>
    </row>
    <row r="46" spans="1:23" x14ac:dyDescent="0.2">
      <c r="A46" t="s">
        <v>240</v>
      </c>
      <c r="B46" t="s">
        <v>245</v>
      </c>
      <c r="C46" t="s">
        <v>252</v>
      </c>
      <c r="D46" s="38">
        <v>0.1</v>
      </c>
      <c r="E46" t="s">
        <v>253</v>
      </c>
    </row>
    <row r="47" spans="1:23" x14ac:dyDescent="0.2">
      <c r="A47" t="s">
        <v>238</v>
      </c>
      <c r="B47" t="s">
        <v>245</v>
      </c>
      <c r="C47" t="s">
        <v>265</v>
      </c>
      <c r="D47" s="40" t="s">
        <v>235</v>
      </c>
      <c r="E47" t="s">
        <v>264</v>
      </c>
    </row>
    <row r="49" spans="1:23" x14ac:dyDescent="0.2">
      <c r="C49" s="6" t="s">
        <v>266</v>
      </c>
      <c r="D49" s="6" t="s">
        <v>61</v>
      </c>
      <c r="E49" s="52" t="s">
        <v>268</v>
      </c>
      <c r="F49" s="53" t="s">
        <v>107</v>
      </c>
      <c r="G49" s="54" t="s">
        <v>269</v>
      </c>
      <c r="H49" s="46" t="s">
        <v>61</v>
      </c>
      <c r="I49" s="21"/>
      <c r="J49" s="18"/>
      <c r="K49" s="43">
        <f>D44</f>
        <v>0.98</v>
      </c>
      <c r="L49" s="43" t="s">
        <v>107</v>
      </c>
      <c r="M49" s="43">
        <f>D46</f>
        <v>0.1</v>
      </c>
      <c r="N49" s="18"/>
      <c r="O49" s="18"/>
      <c r="P49" s="6" t="s">
        <v>61</v>
      </c>
      <c r="Q49" s="18"/>
      <c r="R49" s="48">
        <f>K49 * M49</f>
        <v>9.8000000000000004E-2</v>
      </c>
      <c r="S49" s="18"/>
      <c r="T49" s="6" t="s">
        <v>61</v>
      </c>
      <c r="U49" s="49">
        <f>R49</f>
        <v>9.8000000000000004E-2</v>
      </c>
      <c r="V49" s="6" t="s">
        <v>61</v>
      </c>
      <c r="W49">
        <f>U49/U50</f>
        <v>0.95609756097560972</v>
      </c>
    </row>
    <row r="50" spans="1:23" x14ac:dyDescent="0.2">
      <c r="E50" s="55" t="s">
        <v>267</v>
      </c>
      <c r="F50" s="6" t="s">
        <v>260</v>
      </c>
      <c r="G50" s="19" t="s">
        <v>300</v>
      </c>
      <c r="I50" s="38">
        <f>D44</f>
        <v>0.98</v>
      </c>
      <c r="J50" s="38" t="s">
        <v>107</v>
      </c>
      <c r="K50" s="38">
        <f>D46</f>
        <v>0.1</v>
      </c>
      <c r="L50" s="38" t="s">
        <v>260</v>
      </c>
      <c r="M50" s="38">
        <f>(1 - D45)</f>
        <v>5.0000000000000044E-3</v>
      </c>
      <c r="N50" s="38" t="s">
        <v>107</v>
      </c>
      <c r="O50" s="23">
        <f>(1-D46)</f>
        <v>0.9</v>
      </c>
      <c r="P50" s="6"/>
      <c r="Q50" s="39">
        <f>I50 * K50</f>
        <v>9.8000000000000004E-2</v>
      </c>
      <c r="R50" s="40" t="s">
        <v>260</v>
      </c>
      <c r="S50" s="39">
        <f>M50 * O50</f>
        <v>4.500000000000004E-3</v>
      </c>
      <c r="U50" s="39">
        <f>Q50+S50</f>
        <v>0.10250000000000001</v>
      </c>
    </row>
    <row r="52" spans="1:23" x14ac:dyDescent="0.2">
      <c r="A52" s="2" t="s">
        <v>302</v>
      </c>
      <c r="C52" t="s">
        <v>271</v>
      </c>
    </row>
    <row r="54" spans="1:23" x14ac:dyDescent="0.2">
      <c r="C54" s="4" t="s">
        <v>28</v>
      </c>
      <c r="E54" t="s">
        <v>272</v>
      </c>
      <c r="G54" t="s">
        <v>317</v>
      </c>
    </row>
    <row r="55" spans="1:23" x14ac:dyDescent="0.2">
      <c r="C55" s="4" t="s">
        <v>273</v>
      </c>
      <c r="E55" t="s">
        <v>274</v>
      </c>
      <c r="G55" t="s">
        <v>318</v>
      </c>
    </row>
    <row r="56" spans="1:23" x14ac:dyDescent="0.2">
      <c r="C56" s="4" t="s">
        <v>275</v>
      </c>
      <c r="E56" t="s">
        <v>276</v>
      </c>
    </row>
    <row r="57" spans="1:23" x14ac:dyDescent="0.2">
      <c r="A57" t="s">
        <v>240</v>
      </c>
      <c r="C57" s="4" t="s">
        <v>277</v>
      </c>
      <c r="D57" s="23">
        <v>0.5</v>
      </c>
    </row>
    <row r="58" spans="1:23" x14ac:dyDescent="0.2">
      <c r="A58" t="s">
        <v>240</v>
      </c>
      <c r="C58" s="4" t="s">
        <v>278</v>
      </c>
      <c r="D58" s="23">
        <v>0.5</v>
      </c>
    </row>
    <row r="59" spans="1:23" x14ac:dyDescent="0.2">
      <c r="C59" s="4" t="s">
        <v>279</v>
      </c>
      <c r="D59" s="23">
        <f>7/11</f>
        <v>0.63636363636363635</v>
      </c>
      <c r="E59" s="9" t="s">
        <v>281</v>
      </c>
    </row>
    <row r="60" spans="1:23" x14ac:dyDescent="0.2">
      <c r="C60" s="4" t="s">
        <v>280</v>
      </c>
      <c r="D60" s="23">
        <f>5/14</f>
        <v>0.35714285714285715</v>
      </c>
      <c r="E60" s="10" t="s">
        <v>282</v>
      </c>
    </row>
    <row r="61" spans="1:23" x14ac:dyDescent="0.2">
      <c r="C61" s="4" t="s">
        <v>283</v>
      </c>
      <c r="D61" s="40" t="s">
        <v>235</v>
      </c>
      <c r="E61" s="10"/>
    </row>
    <row r="63" spans="1:23" x14ac:dyDescent="0.2">
      <c r="C63" s="4" t="s">
        <v>284</v>
      </c>
      <c r="D63" s="18"/>
      <c r="E63" s="21" t="s">
        <v>285</v>
      </c>
      <c r="F63" s="18"/>
      <c r="G63" s="6" t="s">
        <v>61</v>
      </c>
      <c r="H63" s="50"/>
      <c r="I63" s="43">
        <f>D59*D57</f>
        <v>0.31818181818181818</v>
      </c>
      <c r="J63" s="50"/>
      <c r="K63" s="6" t="s">
        <v>61</v>
      </c>
      <c r="L63" s="49">
        <f>I63</f>
        <v>0.31818181818181818</v>
      </c>
      <c r="M63" s="6" t="s">
        <v>61</v>
      </c>
      <c r="N63" s="39">
        <f>L63/L64</f>
        <v>0.64052287581699352</v>
      </c>
    </row>
    <row r="64" spans="1:23" x14ac:dyDescent="0.2">
      <c r="D64" s="4" t="s">
        <v>285</v>
      </c>
      <c r="E64" s="6" t="s">
        <v>260</v>
      </c>
      <c r="F64" s="4" t="s">
        <v>286</v>
      </c>
      <c r="H64" s="47">
        <f>D59*D57</f>
        <v>0.31818181818181818</v>
      </c>
      <c r="I64" s="38" t="s">
        <v>260</v>
      </c>
      <c r="J64" s="47">
        <f>D60*D58</f>
        <v>0.17857142857142858</v>
      </c>
      <c r="K64" s="4"/>
      <c r="L64" s="39">
        <f>H64+J64</f>
        <v>0.49675324675324672</v>
      </c>
      <c r="M64" s="4"/>
    </row>
    <row r="66" spans="1:17" x14ac:dyDescent="0.2">
      <c r="C66" s="4" t="s">
        <v>28</v>
      </c>
      <c r="E66" t="s">
        <v>272</v>
      </c>
      <c r="G66" t="s">
        <v>317</v>
      </c>
    </row>
    <row r="67" spans="1:17" x14ac:dyDescent="0.2">
      <c r="C67" s="4" t="s">
        <v>273</v>
      </c>
      <c r="E67" t="s">
        <v>274</v>
      </c>
      <c r="G67" t="s">
        <v>318</v>
      </c>
    </row>
    <row r="68" spans="1:17" x14ac:dyDescent="0.2">
      <c r="C68" s="4" t="s">
        <v>275</v>
      </c>
      <c r="E68" t="s">
        <v>276</v>
      </c>
    </row>
    <row r="69" spans="1:17" x14ac:dyDescent="0.2">
      <c r="C69" s="4" t="s">
        <v>277</v>
      </c>
      <c r="D69" s="23">
        <v>0.5</v>
      </c>
    </row>
    <row r="70" spans="1:17" x14ac:dyDescent="0.2">
      <c r="C70" s="4" t="s">
        <v>278</v>
      </c>
      <c r="D70" s="23">
        <v>0.5</v>
      </c>
    </row>
    <row r="71" spans="1:17" x14ac:dyDescent="0.2">
      <c r="C71" s="4" t="s">
        <v>279</v>
      </c>
      <c r="D71" s="23">
        <f>7/11</f>
        <v>0.63636363636363635</v>
      </c>
      <c r="E71" s="9" t="s">
        <v>281</v>
      </c>
    </row>
    <row r="72" spans="1:17" x14ac:dyDescent="0.2">
      <c r="C72" s="4" t="s">
        <v>280</v>
      </c>
      <c r="D72" s="23">
        <f>5/14</f>
        <v>0.35714285714285715</v>
      </c>
      <c r="E72" s="10" t="s">
        <v>282</v>
      </c>
    </row>
    <row r="73" spans="1:17" x14ac:dyDescent="0.2">
      <c r="C73" s="4" t="s">
        <v>283</v>
      </c>
      <c r="D73" s="40" t="s">
        <v>235</v>
      </c>
      <c r="E73" s="10"/>
    </row>
    <row r="75" spans="1:17" x14ac:dyDescent="0.2">
      <c r="C75" s="4" t="s">
        <v>284</v>
      </c>
      <c r="D75" s="18"/>
      <c r="E75" s="21" t="s">
        <v>285</v>
      </c>
      <c r="F75" s="18"/>
      <c r="G75" s="6" t="s">
        <v>61</v>
      </c>
      <c r="H75" s="50"/>
      <c r="I75" s="43">
        <f>D71*D69</f>
        <v>0.31818181818181818</v>
      </c>
      <c r="J75" s="50"/>
      <c r="K75" s="6" t="s">
        <v>61</v>
      </c>
      <c r="L75" s="49">
        <f>I75</f>
        <v>0.31818181818181818</v>
      </c>
      <c r="M75" s="6" t="s">
        <v>61</v>
      </c>
      <c r="N75" s="39">
        <f>L75/L76</f>
        <v>0.64052287581699352</v>
      </c>
    </row>
    <row r="76" spans="1:17" x14ac:dyDescent="0.2">
      <c r="D76" s="4" t="s">
        <v>285</v>
      </c>
      <c r="E76" s="6" t="s">
        <v>260</v>
      </c>
      <c r="F76" s="4" t="s">
        <v>286</v>
      </c>
      <c r="H76" s="47">
        <f>D71*D69</f>
        <v>0.31818181818181818</v>
      </c>
      <c r="I76" s="38" t="s">
        <v>260</v>
      </c>
      <c r="J76" s="47">
        <f>D72*D70</f>
        <v>0.17857142857142858</v>
      </c>
      <c r="K76" s="4"/>
      <c r="L76" s="39">
        <f>H76+J76</f>
        <v>0.49675324675324672</v>
      </c>
      <c r="M76" s="4"/>
    </row>
    <row r="78" spans="1:17" x14ac:dyDescent="0.2">
      <c r="A78" s="2" t="s">
        <v>303</v>
      </c>
      <c r="C78" t="s">
        <v>305</v>
      </c>
    </row>
    <row r="79" spans="1:17" x14ac:dyDescent="0.2">
      <c r="A79" s="2"/>
    </row>
    <row r="80" spans="1:17" x14ac:dyDescent="0.2">
      <c r="C80" t="s">
        <v>309</v>
      </c>
      <c r="E80" s="20" t="s">
        <v>310</v>
      </c>
      <c r="F80" s="18"/>
      <c r="G80" s="6" t="s">
        <v>61</v>
      </c>
      <c r="H80" s="20" t="s">
        <v>311</v>
      </c>
      <c r="I80" s="18"/>
      <c r="J80" s="18"/>
      <c r="K80" s="6" t="s">
        <v>61</v>
      </c>
      <c r="L80" s="20" t="s">
        <v>307</v>
      </c>
      <c r="M80" s="18"/>
      <c r="N80" s="6" t="s">
        <v>61</v>
      </c>
      <c r="O80" s="49">
        <v>23</v>
      </c>
      <c r="P80" s="6" t="s">
        <v>61</v>
      </c>
      <c r="Q80" s="39">
        <f>O80/O81</f>
        <v>0.41818181818181815</v>
      </c>
    </row>
    <row r="81" spans="1:18" x14ac:dyDescent="0.2">
      <c r="E81" s="45" t="s">
        <v>306</v>
      </c>
      <c r="I81" s="45" t="s">
        <v>312</v>
      </c>
      <c r="L81" s="45" t="s">
        <v>308</v>
      </c>
      <c r="O81" s="39">
        <v>55</v>
      </c>
    </row>
    <row r="83" spans="1:18" x14ac:dyDescent="0.2">
      <c r="A83" s="2" t="s">
        <v>304</v>
      </c>
      <c r="C83" t="s">
        <v>287</v>
      </c>
    </row>
    <row r="85" spans="1:18" x14ac:dyDescent="0.2">
      <c r="A85" t="s">
        <v>240</v>
      </c>
      <c r="C85" t="s">
        <v>289</v>
      </c>
      <c r="D85" s="38">
        <v>0.01</v>
      </c>
      <c r="E85" t="s">
        <v>314</v>
      </c>
    </row>
    <row r="86" spans="1:18" x14ac:dyDescent="0.2">
      <c r="A86" t="s">
        <v>239</v>
      </c>
      <c r="C86" t="s">
        <v>288</v>
      </c>
      <c r="D86" s="38">
        <v>0.9</v>
      </c>
      <c r="E86" t="s">
        <v>315</v>
      </c>
    </row>
    <row r="87" spans="1:18" x14ac:dyDescent="0.2">
      <c r="C87" t="s">
        <v>295</v>
      </c>
      <c r="D87" s="38">
        <v>0.05</v>
      </c>
      <c r="E87" t="s">
        <v>313</v>
      </c>
    </row>
    <row r="88" spans="1:18" x14ac:dyDescent="0.2">
      <c r="A88" t="s">
        <v>238</v>
      </c>
      <c r="C88" t="s">
        <v>291</v>
      </c>
      <c r="D88" s="40" t="s">
        <v>235</v>
      </c>
    </row>
    <row r="90" spans="1:18" x14ac:dyDescent="0.2">
      <c r="A90" s="2"/>
      <c r="C90" s="2" t="s">
        <v>296</v>
      </c>
    </row>
    <row r="91" spans="1:18" x14ac:dyDescent="0.2">
      <c r="C91" t="s">
        <v>292</v>
      </c>
      <c r="D91" s="21" t="s">
        <v>288</v>
      </c>
      <c r="E91" s="21" t="s">
        <v>107</v>
      </c>
      <c r="F91" s="21" t="s">
        <v>289</v>
      </c>
      <c r="G91" s="46" t="s">
        <v>61</v>
      </c>
      <c r="H91" s="50"/>
      <c r="I91" s="43" t="s">
        <v>293</v>
      </c>
      <c r="J91" s="50"/>
      <c r="K91" s="46" t="s">
        <v>61</v>
      </c>
      <c r="L91" s="50"/>
      <c r="M91" s="43">
        <f>D86 * D85</f>
        <v>9.0000000000000011E-3</v>
      </c>
      <c r="N91" s="50"/>
      <c r="O91" s="6" t="s">
        <v>61</v>
      </c>
      <c r="P91" s="48">
        <f>M91</f>
        <v>9.0000000000000011E-3</v>
      </c>
      <c r="Q91" s="6" t="s">
        <v>61</v>
      </c>
      <c r="R91" s="39">
        <f>P91/P92</f>
        <v>0.15384615384615385</v>
      </c>
    </row>
    <row r="92" spans="1:18" x14ac:dyDescent="0.2">
      <c r="E92" s="6" t="s">
        <v>290</v>
      </c>
      <c r="H92" s="51" t="s">
        <v>293</v>
      </c>
      <c r="I92" s="38" t="s">
        <v>260</v>
      </c>
      <c r="J92" s="51" t="s">
        <v>294</v>
      </c>
      <c r="L92" s="38">
        <f>D86*D85</f>
        <v>9.0000000000000011E-3</v>
      </c>
      <c r="M92" s="51" t="s">
        <v>260</v>
      </c>
      <c r="N92" s="23">
        <f>D87*(1-D85)</f>
        <v>4.9500000000000002E-2</v>
      </c>
      <c r="P92" s="40">
        <f>L92+N92</f>
        <v>5.8500000000000003E-2</v>
      </c>
    </row>
    <row r="94" spans="1:18" x14ac:dyDescent="0.2">
      <c r="A94" t="s">
        <v>316</v>
      </c>
      <c r="C94" t="s">
        <v>297</v>
      </c>
      <c r="F94" s="6" t="s">
        <v>61</v>
      </c>
      <c r="G94" s="38">
        <f>M91</f>
        <v>9.0000000000000011E-3</v>
      </c>
    </row>
    <row r="96" spans="1:18" x14ac:dyDescent="0.2">
      <c r="A96" t="s">
        <v>240</v>
      </c>
      <c r="C96" t="s">
        <v>241</v>
      </c>
      <c r="D96" s="38">
        <v>0.2</v>
      </c>
    </row>
    <row r="97" spans="1:18" x14ac:dyDescent="0.2">
      <c r="A97" t="s">
        <v>239</v>
      </c>
      <c r="C97" t="s">
        <v>242</v>
      </c>
      <c r="D97" s="38">
        <v>0.6</v>
      </c>
    </row>
    <row r="98" spans="1:18" x14ac:dyDescent="0.2">
      <c r="C98" t="s">
        <v>319</v>
      </c>
      <c r="D98" s="38">
        <v>0.25</v>
      </c>
    </row>
    <row r="99" spans="1:18" x14ac:dyDescent="0.2">
      <c r="A99" t="s">
        <v>238</v>
      </c>
      <c r="C99" t="s">
        <v>243</v>
      </c>
      <c r="D99" s="40" t="s">
        <v>235</v>
      </c>
    </row>
    <row r="101" spans="1:18" x14ac:dyDescent="0.2">
      <c r="A101" s="2"/>
      <c r="C101" s="2" t="s">
        <v>296</v>
      </c>
    </row>
    <row r="102" spans="1:18" x14ac:dyDescent="0.2">
      <c r="C102" t="s">
        <v>320</v>
      </c>
      <c r="D102" s="21" t="s">
        <v>288</v>
      </c>
      <c r="E102" s="21" t="s">
        <v>107</v>
      </c>
      <c r="F102" s="21" t="s">
        <v>289</v>
      </c>
      <c r="G102" s="46" t="s">
        <v>61</v>
      </c>
      <c r="H102" s="50"/>
      <c r="I102" s="43" t="s">
        <v>321</v>
      </c>
      <c r="J102" s="50"/>
      <c r="K102" s="46" t="s">
        <v>61</v>
      </c>
      <c r="L102" s="50"/>
      <c r="M102" s="43">
        <f>D97 * D96</f>
        <v>0.12</v>
      </c>
      <c r="N102" s="50"/>
      <c r="O102" s="6" t="s">
        <v>61</v>
      </c>
      <c r="P102" s="48">
        <f>M102</f>
        <v>0.12</v>
      </c>
      <c r="Q102" s="6" t="s">
        <v>61</v>
      </c>
      <c r="R102" s="39">
        <f>P102/P103</f>
        <v>0.375</v>
      </c>
    </row>
    <row r="103" spans="1:18" x14ac:dyDescent="0.2">
      <c r="E103" s="6" t="s">
        <v>290</v>
      </c>
      <c r="H103" s="43" t="s">
        <v>321</v>
      </c>
      <c r="I103" s="38" t="s">
        <v>260</v>
      </c>
      <c r="J103" s="43" t="s">
        <v>322</v>
      </c>
      <c r="L103" s="38">
        <f>D97*D96</f>
        <v>0.12</v>
      </c>
      <c r="M103" s="51" t="s">
        <v>260</v>
      </c>
      <c r="N103" s="23">
        <f>D98*(1-D96)</f>
        <v>0.2</v>
      </c>
      <c r="P103" s="40">
        <f>L103+N103</f>
        <v>0.32</v>
      </c>
    </row>
    <row r="105" spans="1:18" x14ac:dyDescent="0.2">
      <c r="A105" t="s">
        <v>316</v>
      </c>
      <c r="C105" t="s">
        <v>297</v>
      </c>
      <c r="F105" s="6" t="s">
        <v>61</v>
      </c>
      <c r="G105" s="38">
        <f>M102</f>
        <v>0.12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workbookViewId="0"/>
  </sheetViews>
  <sheetFormatPr baseColWidth="10" defaultRowHeight="16" x14ac:dyDescent="0.2"/>
  <cols>
    <col min="1" max="1" width="11.33203125" bestFit="1" customWidth="1"/>
    <col min="2" max="2" width="18" customWidth="1"/>
  </cols>
  <sheetData>
    <row r="1" spans="1:8" ht="21" x14ac:dyDescent="0.25">
      <c r="A1" s="16" t="s">
        <v>48</v>
      </c>
    </row>
    <row r="2" spans="1:8" x14ac:dyDescent="0.2">
      <c r="B2" s="2" t="s">
        <v>0</v>
      </c>
    </row>
    <row r="3" spans="1:8" x14ac:dyDescent="0.2">
      <c r="B3" t="s">
        <v>3</v>
      </c>
      <c r="C3" t="s">
        <v>2</v>
      </c>
      <c r="D3">
        <v>2</v>
      </c>
    </row>
    <row r="4" spans="1:8" x14ac:dyDescent="0.2">
      <c r="B4" t="s">
        <v>4</v>
      </c>
      <c r="C4" t="s">
        <v>1</v>
      </c>
      <c r="D4">
        <v>0</v>
      </c>
      <c r="F4">
        <f>(EXP(-$D3) * $D3^$D4) / FACT($D4)</f>
        <v>0.1353352832366127</v>
      </c>
      <c r="H4">
        <f>F4</f>
        <v>0.1353352832366127</v>
      </c>
    </row>
    <row r="6" spans="1:8" x14ac:dyDescent="0.2">
      <c r="B6" t="s">
        <v>3</v>
      </c>
      <c r="C6" t="s">
        <v>2</v>
      </c>
      <c r="D6">
        <v>2</v>
      </c>
    </row>
    <row r="7" spans="1:8" x14ac:dyDescent="0.2">
      <c r="B7" t="s">
        <v>4</v>
      </c>
      <c r="C7" t="s">
        <v>1</v>
      </c>
      <c r="D7">
        <v>0</v>
      </c>
      <c r="F7">
        <f>(EXP(-$D6) * $D6^$D7) / FACT($D7)</f>
        <v>0.1353352832366127</v>
      </c>
    </row>
    <row r="8" spans="1:8" x14ac:dyDescent="0.2">
      <c r="B8" t="s">
        <v>5</v>
      </c>
      <c r="C8" t="s">
        <v>1</v>
      </c>
      <c r="D8">
        <v>1</v>
      </c>
      <c r="F8">
        <f>(EXP(-$D$6) * $D$6^$D8) / FACT($D8)</f>
        <v>0.2706705664732254</v>
      </c>
    </row>
    <row r="9" spans="1:8" x14ac:dyDescent="0.2">
      <c r="F9" s="1">
        <f>SUM(F7:F8)</f>
        <v>0.40600584970983811</v>
      </c>
      <c r="G9">
        <f>1-F9</f>
        <v>0.59399415029016189</v>
      </c>
      <c r="H9">
        <f>G9</f>
        <v>0.59399415029016189</v>
      </c>
    </row>
    <row r="11" spans="1:8" x14ac:dyDescent="0.2">
      <c r="B11" t="s">
        <v>3</v>
      </c>
      <c r="C11" t="s">
        <v>2</v>
      </c>
      <c r="D11">
        <v>2</v>
      </c>
    </row>
    <row r="12" spans="1:8" x14ac:dyDescent="0.2">
      <c r="B12" t="s">
        <v>4</v>
      </c>
      <c r="C12" t="s">
        <v>1</v>
      </c>
      <c r="D12">
        <v>0</v>
      </c>
      <c r="F12">
        <f>(EXP(-$D11) * $D11^$D12) / FACT($D12)</f>
        <v>0.1353352832366127</v>
      </c>
    </row>
    <row r="13" spans="1:8" x14ac:dyDescent="0.2">
      <c r="B13" t="s">
        <v>5</v>
      </c>
      <c r="C13" t="s">
        <v>1</v>
      </c>
      <c r="D13">
        <v>1</v>
      </c>
      <c r="F13">
        <f>(EXP(-$D$6) * $D$6^$D13) / FACT($D13)</f>
        <v>0.2706705664732254</v>
      </c>
    </row>
    <row r="14" spans="1:8" x14ac:dyDescent="0.2">
      <c r="F14" s="1">
        <f>SUM(F12:F13)</f>
        <v>0.40600584970983811</v>
      </c>
      <c r="G14">
        <f>1-F14</f>
        <v>0.59399415029016189</v>
      </c>
      <c r="H14">
        <f>G14</f>
        <v>0.59399415029016189</v>
      </c>
    </row>
    <row r="17" spans="2:10" x14ac:dyDescent="0.2">
      <c r="B17" s="2" t="s">
        <v>6</v>
      </c>
    </row>
    <row r="18" spans="2:10" x14ac:dyDescent="0.2">
      <c r="B18" s="2" t="s">
        <v>7</v>
      </c>
      <c r="G18" s="2" t="s">
        <v>13</v>
      </c>
    </row>
    <row r="19" spans="2:10" x14ac:dyDescent="0.2">
      <c r="B19" s="5" t="s">
        <v>8</v>
      </c>
      <c r="C19" s="5" t="s">
        <v>9</v>
      </c>
      <c r="D19" s="5" t="s">
        <v>10</v>
      </c>
      <c r="E19" s="5" t="s">
        <v>14</v>
      </c>
      <c r="G19" s="5" t="s">
        <v>14</v>
      </c>
      <c r="H19" s="5" t="s">
        <v>15</v>
      </c>
    </row>
    <row r="20" spans="2:10" x14ac:dyDescent="0.2">
      <c r="B20" s="6">
        <v>1</v>
      </c>
      <c r="C20" s="6" t="s">
        <v>11</v>
      </c>
      <c r="D20" s="6" t="s">
        <v>11</v>
      </c>
      <c r="E20" s="6">
        <v>2</v>
      </c>
      <c r="G20" s="6">
        <v>0</v>
      </c>
      <c r="H20" s="9" t="s">
        <v>16</v>
      </c>
    </row>
    <row r="21" spans="2:10" x14ac:dyDescent="0.2">
      <c r="B21" s="6">
        <v>2</v>
      </c>
      <c r="C21" s="6" t="s">
        <v>11</v>
      </c>
      <c r="D21" s="6" t="s">
        <v>12</v>
      </c>
      <c r="E21" s="6">
        <v>1</v>
      </c>
      <c r="G21" s="12">
        <v>1</v>
      </c>
      <c r="H21" s="13" t="s">
        <v>17</v>
      </c>
    </row>
    <row r="22" spans="2:10" x14ac:dyDescent="0.2">
      <c r="B22" s="6">
        <v>3</v>
      </c>
      <c r="C22" s="6" t="s">
        <v>12</v>
      </c>
      <c r="D22" s="6" t="s">
        <v>11</v>
      </c>
      <c r="E22" s="6">
        <v>1</v>
      </c>
      <c r="G22" s="12">
        <v>2</v>
      </c>
      <c r="H22" s="14" t="s">
        <v>16</v>
      </c>
      <c r="I22" s="15">
        <f>0.75</f>
        <v>0.75</v>
      </c>
      <c r="J22" s="15" t="s">
        <v>18</v>
      </c>
    </row>
    <row r="23" spans="2:10" x14ac:dyDescent="0.2">
      <c r="B23" s="11">
        <v>4</v>
      </c>
      <c r="C23" s="6" t="s">
        <v>12</v>
      </c>
      <c r="D23" s="6" t="s">
        <v>12</v>
      </c>
      <c r="E23" s="6">
        <v>0</v>
      </c>
    </row>
    <row r="25" spans="2:10" x14ac:dyDescent="0.2">
      <c r="B25" s="2" t="s">
        <v>23</v>
      </c>
    </row>
    <row r="26" spans="2:10" x14ac:dyDescent="0.2">
      <c r="B26" t="s">
        <v>20</v>
      </c>
      <c r="E26">
        <v>1</v>
      </c>
    </row>
    <row r="27" spans="2:10" x14ac:dyDescent="0.2">
      <c r="B27" t="s">
        <v>19</v>
      </c>
      <c r="E27">
        <v>2</v>
      </c>
    </row>
    <row r="28" spans="2:10" x14ac:dyDescent="0.2">
      <c r="B28" t="s">
        <v>22</v>
      </c>
      <c r="E28">
        <v>0.5</v>
      </c>
    </row>
    <row r="29" spans="2:10" x14ac:dyDescent="0.2">
      <c r="B29" t="s">
        <v>21</v>
      </c>
      <c r="E29">
        <f>_xlfn.BINOM.DIST(E26, E27, E28, TRUE)</f>
        <v>0.75</v>
      </c>
    </row>
    <row r="31" spans="2:10" x14ac:dyDescent="0.2">
      <c r="B31" t="s">
        <v>25</v>
      </c>
      <c r="E31">
        <v>1</v>
      </c>
      <c r="F31" t="s">
        <v>24</v>
      </c>
    </row>
    <row r="32" spans="2:10" x14ac:dyDescent="0.2">
      <c r="B32" t="s">
        <v>27</v>
      </c>
      <c r="E32">
        <v>2</v>
      </c>
    </row>
    <row r="33" spans="2:18" x14ac:dyDescent="0.2">
      <c r="B33" t="s">
        <v>26</v>
      </c>
      <c r="E33">
        <v>0.5</v>
      </c>
    </row>
    <row r="34" spans="2:18" x14ac:dyDescent="0.2">
      <c r="B34" t="s">
        <v>21</v>
      </c>
      <c r="E34">
        <f>_xlfn.BINOM.DIST(E31, E32, E33, TRUE)</f>
        <v>0.75</v>
      </c>
    </row>
    <row r="35" spans="2:18" x14ac:dyDescent="0.2">
      <c r="B35" s="5" t="s">
        <v>28</v>
      </c>
      <c r="C35" s="5" t="s">
        <v>30</v>
      </c>
      <c r="D35" s="5" t="s">
        <v>29</v>
      </c>
      <c r="E35" s="5" t="s">
        <v>31</v>
      </c>
    </row>
    <row r="36" spans="2:18" x14ac:dyDescent="0.2">
      <c r="B36" s="6">
        <v>0</v>
      </c>
      <c r="C36" s="6">
        <v>2</v>
      </c>
      <c r="D36" s="6">
        <v>0.5</v>
      </c>
      <c r="E36">
        <f>_xlfn.BINOM.DIST(B36, C36, D36, FALSE)</f>
        <v>0.25</v>
      </c>
    </row>
    <row r="37" spans="2:18" x14ac:dyDescent="0.2">
      <c r="B37" s="6">
        <v>1</v>
      </c>
      <c r="C37" s="6">
        <v>2</v>
      </c>
      <c r="D37" s="6">
        <v>0.5</v>
      </c>
      <c r="E37">
        <f>_xlfn.BINOM.DIST(B37, C37, D37, FALSE)</f>
        <v>0.49999999999999994</v>
      </c>
    </row>
    <row r="38" spans="2:18" x14ac:dyDescent="0.2">
      <c r="B38" s="6">
        <v>2</v>
      </c>
      <c r="C38" s="6">
        <v>2</v>
      </c>
      <c r="D38" s="6">
        <v>0.5</v>
      </c>
      <c r="E38">
        <f>_xlfn.BINOM.DIST(B38, C38, D38, FALSE)</f>
        <v>0.25</v>
      </c>
    </row>
    <row r="40" spans="2:18" x14ac:dyDescent="0.2">
      <c r="B40" t="s">
        <v>47</v>
      </c>
    </row>
    <row r="41" spans="2:18" x14ac:dyDescent="0.2">
      <c r="B41" s="2" t="s">
        <v>46</v>
      </c>
      <c r="G41" s="2" t="s">
        <v>225</v>
      </c>
      <c r="O41" t="s">
        <v>45</v>
      </c>
    </row>
    <row r="42" spans="2:18" x14ac:dyDescent="0.2">
      <c r="B42" s="5" t="s">
        <v>40</v>
      </c>
      <c r="C42" s="5" t="s">
        <v>41</v>
      </c>
      <c r="D42" s="3" t="s">
        <v>42</v>
      </c>
      <c r="L42" s="17">
        <v>0</v>
      </c>
      <c r="N42" s="5" t="s">
        <v>1</v>
      </c>
      <c r="O42" s="5" t="s">
        <v>43</v>
      </c>
      <c r="P42" t="s">
        <v>44</v>
      </c>
    </row>
    <row r="43" spans="2:18" x14ac:dyDescent="0.2">
      <c r="B43" s="6" t="s">
        <v>32</v>
      </c>
      <c r="C43" s="6">
        <f>1/8</f>
        <v>0.125</v>
      </c>
      <c r="D43" s="6">
        <v>3</v>
      </c>
      <c r="G43" t="s">
        <v>49</v>
      </c>
      <c r="H43">
        <f>1/8</f>
        <v>0.125</v>
      </c>
      <c r="I43" t="s">
        <v>54</v>
      </c>
      <c r="L43" s="6">
        <v>0.125</v>
      </c>
      <c r="N43" s="6">
        <v>0</v>
      </c>
      <c r="O43" s="6">
        <v>1</v>
      </c>
    </row>
    <row r="44" spans="2:18" x14ac:dyDescent="0.2">
      <c r="B44" s="6" t="s">
        <v>33</v>
      </c>
      <c r="C44" s="6">
        <f t="shared" ref="C44:C50" si="0">1/8</f>
        <v>0.125</v>
      </c>
      <c r="D44" s="6">
        <v>2</v>
      </c>
      <c r="G44" t="s">
        <v>50</v>
      </c>
      <c r="H44">
        <f>H43 + (0.125*3)</f>
        <v>0.5</v>
      </c>
      <c r="I44" t="s">
        <v>55</v>
      </c>
      <c r="L44" s="6">
        <v>0.5</v>
      </c>
      <c r="N44" s="6">
        <v>1</v>
      </c>
      <c r="O44" s="6">
        <v>3</v>
      </c>
    </row>
    <row r="45" spans="2:18" x14ac:dyDescent="0.2">
      <c r="B45" s="6" t="s">
        <v>34</v>
      </c>
      <c r="C45" s="6">
        <f t="shared" si="0"/>
        <v>0.125</v>
      </c>
      <c r="D45" s="6">
        <v>2</v>
      </c>
      <c r="G45" t="s">
        <v>53</v>
      </c>
      <c r="H45">
        <f>H44 + (0.125*3)</f>
        <v>0.875</v>
      </c>
      <c r="I45" t="s">
        <v>56</v>
      </c>
      <c r="L45" s="6">
        <v>0.875</v>
      </c>
      <c r="N45" s="6">
        <v>2</v>
      </c>
      <c r="O45" s="6">
        <v>2</v>
      </c>
      <c r="Q45">
        <f>3/5</f>
        <v>0.6</v>
      </c>
      <c r="R45">
        <f>3/8</f>
        <v>0.375</v>
      </c>
    </row>
    <row r="46" spans="2:18" x14ac:dyDescent="0.2">
      <c r="B46" s="6" t="s">
        <v>35</v>
      </c>
      <c r="C46" s="6">
        <f t="shared" si="0"/>
        <v>0.125</v>
      </c>
      <c r="D46" s="6">
        <v>2</v>
      </c>
      <c r="G46" t="s">
        <v>52</v>
      </c>
      <c r="H46">
        <f>H45 + (0.125*1)</f>
        <v>1</v>
      </c>
      <c r="I46" t="s">
        <v>57</v>
      </c>
      <c r="L46" s="6">
        <v>1</v>
      </c>
      <c r="N46" s="6">
        <v>3</v>
      </c>
      <c r="O46" s="6">
        <v>1</v>
      </c>
    </row>
    <row r="47" spans="2:18" x14ac:dyDescent="0.2">
      <c r="B47" s="6" t="s">
        <v>36</v>
      </c>
      <c r="C47" s="6">
        <f t="shared" si="0"/>
        <v>0.125</v>
      </c>
      <c r="D47" s="6">
        <v>1</v>
      </c>
    </row>
    <row r="48" spans="2:18" x14ac:dyDescent="0.2">
      <c r="B48" s="6" t="s">
        <v>37</v>
      </c>
      <c r="C48" s="6">
        <f t="shared" si="0"/>
        <v>0.125</v>
      </c>
      <c r="D48" s="6">
        <v>1</v>
      </c>
    </row>
    <row r="49" spans="2:9" x14ac:dyDescent="0.2">
      <c r="B49" s="6" t="s">
        <v>38</v>
      </c>
      <c r="C49" s="6">
        <f t="shared" si="0"/>
        <v>0.125</v>
      </c>
      <c r="D49" s="6">
        <v>1</v>
      </c>
    </row>
    <row r="50" spans="2:9" x14ac:dyDescent="0.2">
      <c r="B50" s="6" t="s">
        <v>39</v>
      </c>
      <c r="C50" s="6">
        <f t="shared" si="0"/>
        <v>0.125</v>
      </c>
      <c r="D50" s="6">
        <v>0</v>
      </c>
    </row>
    <row r="52" spans="2:9" x14ac:dyDescent="0.2">
      <c r="B52" s="6" t="s">
        <v>58</v>
      </c>
      <c r="C52" s="6">
        <f t="shared" ref="C52:C67" si="1">1/16</f>
        <v>6.25E-2</v>
      </c>
      <c r="D52" s="6">
        <v>4</v>
      </c>
      <c r="G52" t="s">
        <v>49</v>
      </c>
      <c r="H52">
        <v>6.25E-2</v>
      </c>
      <c r="I52" t="s">
        <v>54</v>
      </c>
    </row>
    <row r="53" spans="2:9" x14ac:dyDescent="0.2">
      <c r="B53" s="6" t="s">
        <v>59</v>
      </c>
      <c r="C53" s="6">
        <f t="shared" si="1"/>
        <v>6.25E-2</v>
      </c>
      <c r="D53" s="6">
        <v>3</v>
      </c>
      <c r="G53" t="s">
        <v>50</v>
      </c>
      <c r="H53">
        <f>H52 + (0.0625*4)</f>
        <v>0.3125</v>
      </c>
      <c r="I53" t="s">
        <v>55</v>
      </c>
    </row>
    <row r="54" spans="2:9" x14ac:dyDescent="0.2">
      <c r="B54" s="6" t="s">
        <v>60</v>
      </c>
      <c r="C54" s="6">
        <f t="shared" si="1"/>
        <v>6.25E-2</v>
      </c>
      <c r="D54" s="6">
        <v>3</v>
      </c>
      <c r="G54" t="s">
        <v>53</v>
      </c>
      <c r="H54">
        <f>H53 + (0.0625*6)</f>
        <v>0.6875</v>
      </c>
      <c r="I54" t="s">
        <v>56</v>
      </c>
    </row>
    <row r="55" spans="2:9" x14ac:dyDescent="0.2">
      <c r="C55" s="6">
        <f t="shared" si="1"/>
        <v>6.25E-2</v>
      </c>
      <c r="D55" s="6">
        <v>3</v>
      </c>
      <c r="G55" t="s">
        <v>52</v>
      </c>
      <c r="H55">
        <f>H54 + (0.0625*4)</f>
        <v>0.9375</v>
      </c>
      <c r="I55" t="s">
        <v>57</v>
      </c>
    </row>
    <row r="56" spans="2:9" x14ac:dyDescent="0.2">
      <c r="C56" s="6">
        <f t="shared" si="1"/>
        <v>6.25E-2</v>
      </c>
      <c r="D56" s="6">
        <v>3</v>
      </c>
      <c r="G56" t="s">
        <v>51</v>
      </c>
      <c r="H56">
        <f>H55 + (0.0625*1)</f>
        <v>1</v>
      </c>
      <c r="I56" t="s">
        <v>62</v>
      </c>
    </row>
    <row r="57" spans="2:9" x14ac:dyDescent="0.2">
      <c r="C57" s="6">
        <f t="shared" si="1"/>
        <v>6.25E-2</v>
      </c>
      <c r="D57" s="6">
        <v>2</v>
      </c>
    </row>
    <row r="58" spans="2:9" x14ac:dyDescent="0.2">
      <c r="C58" s="6">
        <f t="shared" si="1"/>
        <v>6.25E-2</v>
      </c>
      <c r="D58" s="6">
        <v>2</v>
      </c>
    </row>
    <row r="59" spans="2:9" x14ac:dyDescent="0.2">
      <c r="C59" s="6">
        <f t="shared" si="1"/>
        <v>6.25E-2</v>
      </c>
      <c r="D59" s="6">
        <v>2</v>
      </c>
    </row>
    <row r="60" spans="2:9" x14ac:dyDescent="0.2">
      <c r="C60" s="6">
        <f t="shared" si="1"/>
        <v>6.25E-2</v>
      </c>
      <c r="D60" s="6">
        <v>2</v>
      </c>
    </row>
    <row r="61" spans="2:9" x14ac:dyDescent="0.2">
      <c r="C61" s="6">
        <f t="shared" si="1"/>
        <v>6.25E-2</v>
      </c>
      <c r="D61" s="6">
        <v>2</v>
      </c>
    </row>
    <row r="62" spans="2:9" x14ac:dyDescent="0.2">
      <c r="C62" s="6">
        <f t="shared" si="1"/>
        <v>6.25E-2</v>
      </c>
      <c r="D62" s="6">
        <v>2</v>
      </c>
    </row>
    <row r="63" spans="2:9" x14ac:dyDescent="0.2">
      <c r="C63" s="6">
        <f t="shared" si="1"/>
        <v>6.25E-2</v>
      </c>
      <c r="D63" s="6">
        <v>1</v>
      </c>
    </row>
    <row r="64" spans="2:9" x14ac:dyDescent="0.2">
      <c r="C64" s="6">
        <f t="shared" si="1"/>
        <v>6.25E-2</v>
      </c>
      <c r="D64" s="6">
        <v>1</v>
      </c>
    </row>
    <row r="65" spans="3:4" x14ac:dyDescent="0.2">
      <c r="C65" s="6">
        <f t="shared" si="1"/>
        <v>6.25E-2</v>
      </c>
      <c r="D65" s="6">
        <v>1</v>
      </c>
    </row>
    <row r="66" spans="3:4" x14ac:dyDescent="0.2">
      <c r="C66" s="6">
        <f t="shared" si="1"/>
        <v>6.25E-2</v>
      </c>
      <c r="D66" s="6">
        <v>1</v>
      </c>
    </row>
    <row r="67" spans="3:4" x14ac:dyDescent="0.2">
      <c r="C67" s="6">
        <f t="shared" si="1"/>
        <v>6.25E-2</v>
      </c>
      <c r="D67" s="6">
        <v>0</v>
      </c>
    </row>
    <row r="68" spans="3:4" x14ac:dyDescent="0.2">
      <c r="C68" s="6">
        <f>SUM(C52:C67)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24" workbookViewId="0"/>
  </sheetViews>
  <sheetFormatPr baseColWidth="10" defaultRowHeight="16" x14ac:dyDescent="0.2"/>
  <cols>
    <col min="6" max="6" width="11.83203125" bestFit="1" customWidth="1"/>
    <col min="8" max="8" width="14" customWidth="1"/>
    <col min="10" max="10" width="11.83203125" bestFit="1" customWidth="1"/>
  </cols>
  <sheetData>
    <row r="1" spans="1:10" ht="21" x14ac:dyDescent="0.25">
      <c r="A1" s="16" t="s">
        <v>63</v>
      </c>
    </row>
    <row r="2" spans="1:10" x14ac:dyDescent="0.2">
      <c r="B2" t="s">
        <v>76</v>
      </c>
    </row>
    <row r="4" spans="1:10" x14ac:dyDescent="0.2">
      <c r="B4" t="s">
        <v>64</v>
      </c>
    </row>
    <row r="5" spans="1:10" x14ac:dyDescent="0.2">
      <c r="B5" t="s">
        <v>65</v>
      </c>
    </row>
    <row r="6" spans="1:10" x14ac:dyDescent="0.2">
      <c r="B6" t="s">
        <v>66</v>
      </c>
      <c r="C6" s="19" t="s">
        <v>67</v>
      </c>
      <c r="F6" t="s">
        <v>68</v>
      </c>
    </row>
    <row r="7" spans="1:10" x14ac:dyDescent="0.2">
      <c r="C7" t="s">
        <v>79</v>
      </c>
    </row>
    <row r="9" spans="1:10" x14ac:dyDescent="0.2">
      <c r="C9" s="24" t="s">
        <v>69</v>
      </c>
    </row>
    <row r="10" spans="1:10" x14ac:dyDescent="0.2">
      <c r="C10" s="25" t="s">
        <v>70</v>
      </c>
      <c r="D10" t="s">
        <v>73</v>
      </c>
      <c r="F10">
        <v>69</v>
      </c>
      <c r="H10" s="18">
        <f>FACT(F10)</f>
        <v>1.7112245242814127E+98</v>
      </c>
    </row>
    <row r="11" spans="1:10" x14ac:dyDescent="0.2">
      <c r="C11" s="23"/>
      <c r="D11" t="s">
        <v>74</v>
      </c>
      <c r="F11">
        <v>5</v>
      </c>
      <c r="H11">
        <f>FACT(F11) * FACT(F10 - F11)</f>
        <v>1.5226431862306097E+91</v>
      </c>
      <c r="I11" t="s">
        <v>61</v>
      </c>
      <c r="J11" s="23">
        <f>H10/H11</f>
        <v>11238512.999999998</v>
      </c>
    </row>
    <row r="13" spans="1:10" x14ac:dyDescent="0.2">
      <c r="C13" s="15" t="s">
        <v>71</v>
      </c>
      <c r="D13" s="22">
        <v>1</v>
      </c>
      <c r="E13" s="15"/>
      <c r="F13" s="15"/>
    </row>
    <row r="14" spans="1:10" x14ac:dyDescent="0.2">
      <c r="C14" s="15"/>
      <c r="D14" s="12">
        <f>J11</f>
        <v>11238512.999999998</v>
      </c>
      <c r="E14" s="15" t="s">
        <v>61</v>
      </c>
      <c r="F14" s="15">
        <f>D13/D14</f>
        <v>8.8979743138616307E-8</v>
      </c>
    </row>
    <row r="16" spans="1:10" x14ac:dyDescent="0.2">
      <c r="B16" t="s">
        <v>75</v>
      </c>
    </row>
    <row r="18" spans="2:10" x14ac:dyDescent="0.2">
      <c r="B18" t="s">
        <v>64</v>
      </c>
    </row>
    <row r="19" spans="2:10" x14ac:dyDescent="0.2">
      <c r="B19" t="s">
        <v>65</v>
      </c>
    </row>
    <row r="20" spans="2:10" x14ac:dyDescent="0.2">
      <c r="B20" t="s">
        <v>66</v>
      </c>
      <c r="C20" s="19" t="s">
        <v>67</v>
      </c>
      <c r="F20" t="s">
        <v>68</v>
      </c>
    </row>
    <row r="21" spans="2:10" x14ac:dyDescent="0.2">
      <c r="C21" t="s">
        <v>78</v>
      </c>
    </row>
    <row r="23" spans="2:10" x14ac:dyDescent="0.2">
      <c r="C23" s="24" t="s">
        <v>69</v>
      </c>
    </row>
    <row r="24" spans="2:10" x14ac:dyDescent="0.2">
      <c r="C24" s="26" t="s">
        <v>77</v>
      </c>
      <c r="D24" t="s">
        <v>73</v>
      </c>
      <c r="F24">
        <v>69</v>
      </c>
      <c r="H24" s="18">
        <f>FACT(F24)</f>
        <v>1.7112245242814127E+98</v>
      </c>
    </row>
    <row r="25" spans="2:10" x14ac:dyDescent="0.2">
      <c r="C25" s="23"/>
      <c r="D25" t="s">
        <v>74</v>
      </c>
      <c r="F25">
        <v>5</v>
      </c>
      <c r="H25">
        <f>FACT(F24 - F25)</f>
        <v>1.2688693218588414E+89</v>
      </c>
      <c r="I25" t="s">
        <v>61</v>
      </c>
      <c r="J25" s="23">
        <f>H24/H25</f>
        <v>1348621560</v>
      </c>
    </row>
    <row r="27" spans="2:10" x14ac:dyDescent="0.2">
      <c r="C27" s="15" t="s">
        <v>71</v>
      </c>
      <c r="D27" s="22">
        <v>1</v>
      </c>
      <c r="E27" s="15"/>
      <c r="F27" s="15"/>
    </row>
    <row r="28" spans="2:10" x14ac:dyDescent="0.2">
      <c r="C28" s="15"/>
      <c r="D28" s="12">
        <f>J25</f>
        <v>1348621560</v>
      </c>
      <c r="E28" s="15" t="s">
        <v>61</v>
      </c>
      <c r="F28" s="15">
        <f>D27/D28</f>
        <v>7.4149785948846908E-10</v>
      </c>
    </row>
    <row r="30" spans="2:10" x14ac:dyDescent="0.2">
      <c r="B30" t="s">
        <v>80</v>
      </c>
    </row>
    <row r="32" spans="2:10" x14ac:dyDescent="0.2">
      <c r="B32" t="s">
        <v>81</v>
      </c>
    </row>
    <row r="33" spans="2:10" x14ac:dyDescent="0.2">
      <c r="B33" t="s">
        <v>82</v>
      </c>
    </row>
    <row r="35" spans="2:10" x14ac:dyDescent="0.2">
      <c r="C35" s="27" t="s">
        <v>69</v>
      </c>
    </row>
    <row r="36" spans="2:10" x14ac:dyDescent="0.2">
      <c r="C36" s="25" t="s">
        <v>70</v>
      </c>
      <c r="D36" t="s">
        <v>73</v>
      </c>
      <c r="F36">
        <v>16</v>
      </c>
      <c r="H36" s="18">
        <f>FACT(F36)</f>
        <v>20922789888000</v>
      </c>
    </row>
    <row r="37" spans="2:10" x14ac:dyDescent="0.2">
      <c r="C37" s="23"/>
      <c r="D37" t="s">
        <v>74</v>
      </c>
      <c r="F37">
        <v>3</v>
      </c>
      <c r="H37">
        <f>FACT(F37) * FACT(F36 - F37)</f>
        <v>37362124800</v>
      </c>
      <c r="I37" t="s">
        <v>61</v>
      </c>
      <c r="J37" s="23">
        <f>H36/H37</f>
        <v>560</v>
      </c>
    </row>
    <row r="39" spans="2:10" x14ac:dyDescent="0.2">
      <c r="B39" t="s">
        <v>83</v>
      </c>
    </row>
    <row r="41" spans="2:10" x14ac:dyDescent="0.2">
      <c r="B41" t="s">
        <v>85</v>
      </c>
    </row>
    <row r="42" spans="2:10" x14ac:dyDescent="0.2">
      <c r="B42" t="s">
        <v>84</v>
      </c>
    </row>
    <row r="44" spans="2:10" x14ac:dyDescent="0.2">
      <c r="C44" s="27" t="s">
        <v>72</v>
      </c>
    </row>
    <row r="45" spans="2:10" x14ac:dyDescent="0.2">
      <c r="C45" s="25" t="s">
        <v>70</v>
      </c>
      <c r="D45" t="s">
        <v>73</v>
      </c>
      <c r="F45">
        <v>5</v>
      </c>
      <c r="H45" s="18">
        <f>FACT(F45 + F46 - 1)</f>
        <v>5040</v>
      </c>
    </row>
    <row r="46" spans="2:10" x14ac:dyDescent="0.2">
      <c r="C46" s="23"/>
      <c r="D46" t="s">
        <v>74</v>
      </c>
      <c r="F46">
        <v>3</v>
      </c>
      <c r="H46">
        <f>FACT(F46) * FACT(F45 - 1)</f>
        <v>144</v>
      </c>
      <c r="I46" t="s">
        <v>61</v>
      </c>
      <c r="J46" s="23">
        <f>H45/H46</f>
        <v>35</v>
      </c>
    </row>
    <row r="48" spans="2:10" x14ac:dyDescent="0.2">
      <c r="B48" t="s">
        <v>86</v>
      </c>
    </row>
    <row r="50" spans="2:10" x14ac:dyDescent="0.2">
      <c r="B50" t="s">
        <v>81</v>
      </c>
    </row>
    <row r="51" spans="2:10" x14ac:dyDescent="0.2">
      <c r="B51" t="s">
        <v>82</v>
      </c>
    </row>
    <row r="53" spans="2:10" x14ac:dyDescent="0.2">
      <c r="C53" s="27" t="s">
        <v>69</v>
      </c>
    </row>
    <row r="54" spans="2:10" x14ac:dyDescent="0.2">
      <c r="C54" s="25" t="s">
        <v>77</v>
      </c>
      <c r="D54" t="s">
        <v>73</v>
      </c>
      <c r="F54">
        <v>16</v>
      </c>
      <c r="H54" s="18">
        <f>FACT(F54)</f>
        <v>20922789888000</v>
      </c>
    </row>
    <row r="55" spans="2:10" x14ac:dyDescent="0.2">
      <c r="C55" s="23"/>
      <c r="D55" t="s">
        <v>74</v>
      </c>
      <c r="F55">
        <v>3</v>
      </c>
      <c r="H55">
        <f>FACT(F54 - F55)</f>
        <v>6227020800</v>
      </c>
      <c r="I55" t="s">
        <v>61</v>
      </c>
      <c r="J55" s="23">
        <f>H54/H55</f>
        <v>3360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A25" zoomScale="120" zoomScaleNormal="120" zoomScalePageLayoutView="120" workbookViewId="0">
      <selection activeCell="S31" sqref="S31"/>
    </sheetView>
  </sheetViews>
  <sheetFormatPr baseColWidth="10" defaultRowHeight="16" x14ac:dyDescent="0.2"/>
  <cols>
    <col min="4" max="4" width="20.5" customWidth="1"/>
    <col min="5" max="5" width="12.1640625" bestFit="1" customWidth="1"/>
  </cols>
  <sheetData>
    <row r="1" spans="1:11" ht="21" x14ac:dyDescent="0.25">
      <c r="A1" s="16" t="s">
        <v>87</v>
      </c>
    </row>
    <row r="2" spans="1:11" x14ac:dyDescent="0.2">
      <c r="B2" t="s">
        <v>101</v>
      </c>
    </row>
    <row r="4" spans="1:11" x14ac:dyDescent="0.2">
      <c r="B4" t="s">
        <v>88</v>
      </c>
      <c r="C4" t="s">
        <v>91</v>
      </c>
    </row>
    <row r="5" spans="1:11" x14ac:dyDescent="0.2">
      <c r="B5" t="s">
        <v>89</v>
      </c>
      <c r="C5" t="s">
        <v>90</v>
      </c>
    </row>
    <row r="6" spans="1:11" x14ac:dyDescent="0.2">
      <c r="B6" t="s">
        <v>92</v>
      </c>
      <c r="C6">
        <v>1</v>
      </c>
      <c r="D6" t="s">
        <v>93</v>
      </c>
    </row>
    <row r="7" spans="1:11" x14ac:dyDescent="0.2">
      <c r="B7" t="s">
        <v>94</v>
      </c>
      <c r="C7">
        <v>1</v>
      </c>
      <c r="D7" t="s">
        <v>95</v>
      </c>
    </row>
    <row r="8" spans="1:11" x14ac:dyDescent="0.2">
      <c r="B8" t="s">
        <v>96</v>
      </c>
      <c r="C8" t="s">
        <v>98</v>
      </c>
      <c r="E8" s="5" t="s">
        <v>108</v>
      </c>
      <c r="F8" s="12">
        <v>3</v>
      </c>
      <c r="G8" s="12" t="s">
        <v>104</v>
      </c>
      <c r="H8" s="12">
        <v>10</v>
      </c>
      <c r="I8" s="12" t="s">
        <v>61</v>
      </c>
      <c r="J8" s="12">
        <f>F8 / H8</f>
        <v>0.3</v>
      </c>
    </row>
    <row r="9" spans="1:11" x14ac:dyDescent="0.2">
      <c r="B9" t="s">
        <v>97</v>
      </c>
      <c r="C9" t="s">
        <v>99</v>
      </c>
      <c r="E9" s="5" t="s">
        <v>71</v>
      </c>
      <c r="F9" s="12">
        <v>4</v>
      </c>
      <c r="G9" s="12" t="s">
        <v>104</v>
      </c>
      <c r="H9" s="12">
        <v>16</v>
      </c>
      <c r="I9" s="12" t="s">
        <v>61</v>
      </c>
      <c r="J9" s="12">
        <f>F9 / H9</f>
        <v>0.25</v>
      </c>
    </row>
    <row r="10" spans="1:11" x14ac:dyDescent="0.2">
      <c r="E10" s="28" t="s">
        <v>100</v>
      </c>
      <c r="F10" s="15"/>
      <c r="G10" s="15"/>
      <c r="H10" s="30" t="s">
        <v>109</v>
      </c>
      <c r="I10" s="15" t="s">
        <v>61</v>
      </c>
      <c r="J10" s="12">
        <f>J8 * J9</f>
        <v>7.4999999999999997E-2</v>
      </c>
      <c r="K10" s="31">
        <f>J10</f>
        <v>7.4999999999999997E-2</v>
      </c>
    </row>
    <row r="11" spans="1:11" x14ac:dyDescent="0.2">
      <c r="B11" s="28" t="s">
        <v>100</v>
      </c>
    </row>
    <row r="12" spans="1:11" x14ac:dyDescent="0.2">
      <c r="B12" t="s">
        <v>102</v>
      </c>
      <c r="C12" t="s">
        <v>103</v>
      </c>
    </row>
    <row r="14" spans="1:11" x14ac:dyDescent="0.2">
      <c r="B14" t="s">
        <v>110</v>
      </c>
    </row>
    <row r="15" spans="1:11" x14ac:dyDescent="0.2">
      <c r="B15" t="s">
        <v>111</v>
      </c>
      <c r="C15" t="s">
        <v>112</v>
      </c>
    </row>
    <row r="16" spans="1:11" x14ac:dyDescent="0.2">
      <c r="B16" t="s">
        <v>113</v>
      </c>
      <c r="C16">
        <v>1</v>
      </c>
      <c r="D16" t="s">
        <v>114</v>
      </c>
    </row>
    <row r="17" spans="2:18" x14ac:dyDescent="0.2">
      <c r="B17" t="s">
        <v>96</v>
      </c>
      <c r="C17" t="s">
        <v>115</v>
      </c>
      <c r="E17" s="5" t="s">
        <v>108</v>
      </c>
      <c r="F17" s="12">
        <v>1</v>
      </c>
      <c r="G17" s="12" t="s">
        <v>104</v>
      </c>
      <c r="H17" s="12">
        <v>2</v>
      </c>
      <c r="I17" s="12" t="s">
        <v>61</v>
      </c>
      <c r="J17" s="12">
        <f>F17 / H17</f>
        <v>0.5</v>
      </c>
    </row>
    <row r="18" spans="2:18" x14ac:dyDescent="0.2">
      <c r="B18" t="s">
        <v>97</v>
      </c>
      <c r="C18" t="s">
        <v>116</v>
      </c>
      <c r="E18" s="5" t="s">
        <v>71</v>
      </c>
      <c r="F18" s="12">
        <v>1</v>
      </c>
      <c r="G18" s="12" t="s">
        <v>104</v>
      </c>
      <c r="H18" s="12">
        <v>2</v>
      </c>
      <c r="I18" s="12" t="s">
        <v>61</v>
      </c>
      <c r="J18" s="12">
        <f>F18 / H18</f>
        <v>0.5</v>
      </c>
    </row>
    <row r="19" spans="2:18" x14ac:dyDescent="0.2">
      <c r="E19" s="28" t="s">
        <v>100</v>
      </c>
      <c r="F19" s="15"/>
      <c r="G19" s="15"/>
      <c r="H19" s="30" t="s">
        <v>109</v>
      </c>
      <c r="I19" s="15" t="s">
        <v>61</v>
      </c>
      <c r="J19" s="12">
        <f>J17 * J18</f>
        <v>0.25</v>
      </c>
      <c r="K19" s="31">
        <f>J19</f>
        <v>0.25</v>
      </c>
    </row>
    <row r="21" spans="2:18" x14ac:dyDescent="0.2">
      <c r="B21" t="s">
        <v>117</v>
      </c>
    </row>
    <row r="22" spans="2:18" x14ac:dyDescent="0.2">
      <c r="B22" t="s">
        <v>111</v>
      </c>
      <c r="C22" t="s">
        <v>118</v>
      </c>
    </row>
    <row r="23" spans="2:18" x14ac:dyDescent="0.2">
      <c r="B23" t="s">
        <v>113</v>
      </c>
      <c r="C23">
        <v>1</v>
      </c>
      <c r="D23" t="s">
        <v>119</v>
      </c>
    </row>
    <row r="24" spans="2:18" x14ac:dyDescent="0.2">
      <c r="B24" t="s">
        <v>120</v>
      </c>
      <c r="C24" t="s">
        <v>123</v>
      </c>
      <c r="D24" t="s">
        <v>124</v>
      </c>
      <c r="E24" s="6" t="s">
        <v>61</v>
      </c>
      <c r="F24" s="12">
        <v>4</v>
      </c>
      <c r="G24" s="12" t="s">
        <v>104</v>
      </c>
      <c r="H24" s="12">
        <v>52</v>
      </c>
      <c r="I24" s="12" t="s">
        <v>61</v>
      </c>
      <c r="J24" s="12">
        <f>F24/H24</f>
        <v>7.6923076923076927E-2</v>
      </c>
    </row>
    <row r="25" spans="2:18" x14ac:dyDescent="0.2">
      <c r="B25" t="s">
        <v>121</v>
      </c>
      <c r="C25" t="s">
        <v>123</v>
      </c>
      <c r="D25" t="s">
        <v>125</v>
      </c>
      <c r="E25" s="6" t="s">
        <v>61</v>
      </c>
      <c r="F25" s="12">
        <v>3</v>
      </c>
      <c r="G25" s="12" t="s">
        <v>104</v>
      </c>
      <c r="H25" s="12">
        <v>51</v>
      </c>
      <c r="I25" s="12" t="s">
        <v>61</v>
      </c>
      <c r="J25" s="12">
        <f>F25/H25</f>
        <v>5.8823529411764705E-2</v>
      </c>
    </row>
    <row r="26" spans="2:18" x14ac:dyDescent="0.2">
      <c r="B26" t="s">
        <v>122</v>
      </c>
      <c r="C26" t="s">
        <v>123</v>
      </c>
      <c r="D26" t="s">
        <v>126</v>
      </c>
      <c r="E26" s="6" t="s">
        <v>61</v>
      </c>
      <c r="F26" s="12">
        <v>2</v>
      </c>
      <c r="G26" s="12" t="s">
        <v>104</v>
      </c>
      <c r="H26" s="12">
        <v>50</v>
      </c>
      <c r="I26" s="12" t="s">
        <v>61</v>
      </c>
      <c r="J26" s="12">
        <f>F26/H26</f>
        <v>0.04</v>
      </c>
    </row>
    <row r="27" spans="2:18" x14ac:dyDescent="0.2">
      <c r="D27" t="s">
        <v>127</v>
      </c>
      <c r="F27" s="12">
        <f>F24 * F25 * F26</f>
        <v>24</v>
      </c>
      <c r="G27" s="12" t="s">
        <v>104</v>
      </c>
      <c r="H27" s="15">
        <f>H24 * H25 * H26</f>
        <v>132600</v>
      </c>
      <c r="I27" s="15"/>
      <c r="J27" s="15">
        <f>J24 * J25 * J26</f>
        <v>1.809954751131222E-4</v>
      </c>
      <c r="K27" s="31">
        <f>J27</f>
        <v>1.809954751131222E-4</v>
      </c>
    </row>
    <row r="28" spans="2:18" x14ac:dyDescent="0.2">
      <c r="F28" s="12">
        <v>1</v>
      </c>
      <c r="G28" s="12" t="s">
        <v>104</v>
      </c>
      <c r="H28" s="15">
        <f>H27 / F27</f>
        <v>5525</v>
      </c>
      <c r="I28" s="15"/>
      <c r="J28" s="15"/>
    </row>
    <row r="30" spans="2:18" x14ac:dyDescent="0.2">
      <c r="B30" t="s">
        <v>128</v>
      </c>
    </row>
    <row r="31" spans="2:18" x14ac:dyDescent="0.2">
      <c r="B31" t="s">
        <v>129</v>
      </c>
      <c r="Q31">
        <v>30</v>
      </c>
      <c r="R31">
        <f>Q31/2</f>
        <v>15</v>
      </c>
    </row>
    <row r="32" spans="2:18" x14ac:dyDescent="0.2">
      <c r="B32" t="s">
        <v>113</v>
      </c>
      <c r="C32">
        <v>1</v>
      </c>
      <c r="D32" t="s">
        <v>130</v>
      </c>
      <c r="Q32">
        <f>14*13</f>
        <v>182</v>
      </c>
      <c r="R32">
        <f>Q32/2</f>
        <v>91</v>
      </c>
    </row>
    <row r="33" spans="2:18" x14ac:dyDescent="0.2">
      <c r="B33" s="28" t="s">
        <v>131</v>
      </c>
    </row>
    <row r="34" spans="2:18" x14ac:dyDescent="0.2">
      <c r="B34" s="32" t="s">
        <v>132</v>
      </c>
      <c r="R34">
        <f>15/91</f>
        <v>0.16483516483516483</v>
      </c>
    </row>
    <row r="35" spans="2:18" x14ac:dyDescent="0.2">
      <c r="B35" t="s">
        <v>133</v>
      </c>
      <c r="C35" t="s">
        <v>134</v>
      </c>
      <c r="D35" t="s">
        <v>108</v>
      </c>
      <c r="E35" s="12" t="s">
        <v>61</v>
      </c>
      <c r="F35" s="12">
        <v>4</v>
      </c>
      <c r="G35" s="12" t="s">
        <v>104</v>
      </c>
      <c r="H35" s="12">
        <v>10</v>
      </c>
      <c r="I35" s="12" t="s">
        <v>61</v>
      </c>
      <c r="J35" s="12">
        <f>F35/H35</f>
        <v>0.4</v>
      </c>
    </row>
    <row r="36" spans="2:18" x14ac:dyDescent="0.2">
      <c r="B36" t="s">
        <v>97</v>
      </c>
      <c r="C36" t="s">
        <v>134</v>
      </c>
      <c r="D36" t="s">
        <v>135</v>
      </c>
      <c r="E36" s="12" t="s">
        <v>61</v>
      </c>
      <c r="F36" s="12">
        <v>3</v>
      </c>
      <c r="G36" s="12" t="s">
        <v>104</v>
      </c>
      <c r="H36" s="12">
        <v>9</v>
      </c>
      <c r="I36" s="12" t="s">
        <v>61</v>
      </c>
      <c r="J36" s="12">
        <f>F36/H36</f>
        <v>0.33333333333333331</v>
      </c>
    </row>
    <row r="37" spans="2:18" x14ac:dyDescent="0.2">
      <c r="D37" t="s">
        <v>102</v>
      </c>
      <c r="E37" s="6" t="s">
        <v>136</v>
      </c>
      <c r="F37" s="12">
        <f>F35 * F36</f>
        <v>12</v>
      </c>
      <c r="G37" s="12" t="s">
        <v>104</v>
      </c>
      <c r="H37" s="12">
        <f>H35 * H36</f>
        <v>90</v>
      </c>
      <c r="I37" s="12"/>
      <c r="J37" s="12">
        <f>J35 * J36</f>
        <v>0.13333333333333333</v>
      </c>
      <c r="K37" s="31">
        <f>J37</f>
        <v>0.13333333333333333</v>
      </c>
      <c r="L37" t="s">
        <v>137</v>
      </c>
    </row>
    <row r="39" spans="2:18" x14ac:dyDescent="0.2">
      <c r="B39" t="s">
        <v>128</v>
      </c>
    </row>
    <row r="40" spans="2:18" x14ac:dyDescent="0.2">
      <c r="B40" t="s">
        <v>129</v>
      </c>
    </row>
    <row r="41" spans="2:18" x14ac:dyDescent="0.2">
      <c r="B41" t="s">
        <v>113</v>
      </c>
      <c r="C41">
        <v>1</v>
      </c>
      <c r="D41" t="s">
        <v>130</v>
      </c>
    </row>
    <row r="42" spans="2:18" x14ac:dyDescent="0.2">
      <c r="B42" s="28" t="s">
        <v>131</v>
      </c>
    </row>
    <row r="43" spans="2:18" x14ac:dyDescent="0.2">
      <c r="B43" s="32" t="s">
        <v>132</v>
      </c>
    </row>
    <row r="44" spans="2:18" x14ac:dyDescent="0.2">
      <c r="B44" t="s">
        <v>133</v>
      </c>
      <c r="C44" t="s">
        <v>134</v>
      </c>
      <c r="D44" t="s">
        <v>108</v>
      </c>
      <c r="E44" s="12" t="s">
        <v>61</v>
      </c>
      <c r="F44" s="12">
        <v>4</v>
      </c>
      <c r="G44" s="12" t="s">
        <v>104</v>
      </c>
      <c r="H44" s="12">
        <v>10</v>
      </c>
      <c r="I44" s="12" t="s">
        <v>61</v>
      </c>
      <c r="J44" s="12">
        <f>F44/H44</f>
        <v>0.4</v>
      </c>
    </row>
    <row r="45" spans="2:18" x14ac:dyDescent="0.2">
      <c r="B45" t="s">
        <v>97</v>
      </c>
      <c r="C45" t="s">
        <v>134</v>
      </c>
      <c r="D45" t="s">
        <v>135</v>
      </c>
      <c r="E45" s="12" t="s">
        <v>61</v>
      </c>
      <c r="F45" s="12">
        <v>3</v>
      </c>
      <c r="G45" s="12" t="s">
        <v>104</v>
      </c>
      <c r="H45" s="12">
        <v>9</v>
      </c>
      <c r="I45" s="12" t="s">
        <v>61</v>
      </c>
      <c r="J45" s="12">
        <f>F45/H45</f>
        <v>0.33333333333333331</v>
      </c>
    </row>
    <row r="46" spans="2:18" x14ac:dyDescent="0.2">
      <c r="E46" s="12" t="s">
        <v>61</v>
      </c>
      <c r="F46" s="12">
        <v>2</v>
      </c>
      <c r="G46" s="12" t="s">
        <v>104</v>
      </c>
      <c r="H46" s="12">
        <v>8</v>
      </c>
      <c r="I46" s="12" t="s">
        <v>61</v>
      </c>
      <c r="J46" s="12">
        <f>F46/H46</f>
        <v>0.25</v>
      </c>
      <c r="M46">
        <f>1/30</f>
        <v>3.3333333333333333E-2</v>
      </c>
    </row>
    <row r="47" spans="2:18" x14ac:dyDescent="0.2">
      <c r="D47" t="s">
        <v>102</v>
      </c>
      <c r="E47" s="6" t="s">
        <v>136</v>
      </c>
      <c r="F47" s="12">
        <f>F44 * F45*F46</f>
        <v>24</v>
      </c>
      <c r="G47" s="12" t="s">
        <v>104</v>
      </c>
      <c r="H47" s="12">
        <f>H44 * H45*H46</f>
        <v>720</v>
      </c>
      <c r="I47" s="12" t="s">
        <v>61</v>
      </c>
      <c r="J47" s="12">
        <f>J44 * J45 * J46</f>
        <v>3.3333333333333333E-2</v>
      </c>
      <c r="K47" s="31">
        <f>J47</f>
        <v>3.3333333333333333E-2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topLeftCell="A62" zoomScale="120" zoomScaleNormal="120" zoomScalePageLayoutView="120" workbookViewId="0">
      <selection activeCell="F94" sqref="F94"/>
    </sheetView>
  </sheetViews>
  <sheetFormatPr baseColWidth="10" defaultRowHeight="16" x14ac:dyDescent="0.2"/>
  <cols>
    <col min="1" max="1" width="19.6640625" bestFit="1" customWidth="1"/>
  </cols>
  <sheetData>
    <row r="1" spans="1:6" ht="21" x14ac:dyDescent="0.25">
      <c r="A1" s="16" t="s">
        <v>139</v>
      </c>
    </row>
    <row r="2" spans="1:6" x14ac:dyDescent="0.2">
      <c r="B2" t="s">
        <v>138</v>
      </c>
    </row>
    <row r="4" spans="1:6" x14ac:dyDescent="0.2">
      <c r="B4" s="33" t="s">
        <v>140</v>
      </c>
      <c r="C4" s="33" t="s">
        <v>141</v>
      </c>
      <c r="D4" s="33" t="s">
        <v>142</v>
      </c>
      <c r="E4" s="33" t="s">
        <v>143</v>
      </c>
    </row>
    <row r="5" spans="1:6" x14ac:dyDescent="0.2">
      <c r="B5" s="34" t="s">
        <v>145</v>
      </c>
      <c r="C5" s="34">
        <v>70</v>
      </c>
      <c r="D5" s="34">
        <v>25</v>
      </c>
      <c r="E5" s="34">
        <v>95</v>
      </c>
    </row>
    <row r="6" spans="1:6" x14ac:dyDescent="0.2">
      <c r="B6" s="34" t="s">
        <v>144</v>
      </c>
      <c r="C6" s="34">
        <v>90</v>
      </c>
      <c r="D6" s="34">
        <v>15</v>
      </c>
      <c r="E6" s="34">
        <v>105</v>
      </c>
    </row>
    <row r="7" spans="1:6" x14ac:dyDescent="0.2">
      <c r="B7" s="34" t="s">
        <v>143</v>
      </c>
      <c r="C7" s="34">
        <v>160</v>
      </c>
      <c r="D7" s="34">
        <v>40</v>
      </c>
      <c r="E7" s="34">
        <v>200</v>
      </c>
    </row>
    <row r="9" spans="1:6" x14ac:dyDescent="0.2">
      <c r="B9" t="s">
        <v>146</v>
      </c>
    </row>
    <row r="10" spans="1:6" x14ac:dyDescent="0.2">
      <c r="A10" t="s">
        <v>148</v>
      </c>
      <c r="B10" s="2" t="s">
        <v>135</v>
      </c>
      <c r="C10" s="5" t="s">
        <v>61</v>
      </c>
      <c r="D10" s="5" t="s">
        <v>147</v>
      </c>
      <c r="E10" s="5" t="s">
        <v>104</v>
      </c>
      <c r="F10" s="5" t="s">
        <v>108</v>
      </c>
    </row>
    <row r="11" spans="1:6" x14ac:dyDescent="0.2">
      <c r="B11" t="s">
        <v>111</v>
      </c>
      <c r="C11" t="s">
        <v>149</v>
      </c>
    </row>
    <row r="12" spans="1:6" x14ac:dyDescent="0.2">
      <c r="B12" t="s">
        <v>113</v>
      </c>
      <c r="C12" s="6">
        <v>1</v>
      </c>
      <c r="D12" t="s">
        <v>150</v>
      </c>
    </row>
    <row r="13" spans="1:6" x14ac:dyDescent="0.2">
      <c r="B13" t="s">
        <v>106</v>
      </c>
      <c r="C13" t="s">
        <v>151</v>
      </c>
      <c r="D13" t="s">
        <v>152</v>
      </c>
    </row>
    <row r="14" spans="1:6" x14ac:dyDescent="0.2">
      <c r="B14" t="s">
        <v>105</v>
      </c>
      <c r="C14" t="s">
        <v>153</v>
      </c>
      <c r="D14" t="s">
        <v>155</v>
      </c>
    </row>
    <row r="15" spans="1:6" x14ac:dyDescent="0.2">
      <c r="B15" t="s">
        <v>154</v>
      </c>
      <c r="C15" s="6">
        <f xml:space="preserve"> 70</f>
        <v>70</v>
      </c>
      <c r="D15" t="s">
        <v>156</v>
      </c>
    </row>
    <row r="16" spans="1:6" x14ac:dyDescent="0.2">
      <c r="B16" t="s">
        <v>147</v>
      </c>
      <c r="C16" t="s">
        <v>157</v>
      </c>
      <c r="D16">
        <f>70 / 200</f>
        <v>0.35</v>
      </c>
    </row>
    <row r="17" spans="1:7" x14ac:dyDescent="0.2">
      <c r="B17" t="s">
        <v>108</v>
      </c>
      <c r="C17" t="s">
        <v>158</v>
      </c>
      <c r="D17">
        <f>95/200</f>
        <v>0.47499999999999998</v>
      </c>
    </row>
    <row r="18" spans="1:7" x14ac:dyDescent="0.2">
      <c r="B18" t="s">
        <v>135</v>
      </c>
      <c r="C18" t="s">
        <v>159</v>
      </c>
      <c r="D18">
        <f>70/95</f>
        <v>0.73684210526315785</v>
      </c>
      <c r="E18" s="29">
        <f>D18</f>
        <v>0.73684210526315785</v>
      </c>
    </row>
    <row r="21" spans="1:7" x14ac:dyDescent="0.2">
      <c r="B21" t="s">
        <v>162</v>
      </c>
    </row>
    <row r="22" spans="1:7" x14ac:dyDescent="0.2">
      <c r="B22" t="s">
        <v>167</v>
      </c>
    </row>
    <row r="23" spans="1:7" x14ac:dyDescent="0.2">
      <c r="A23" t="s">
        <v>148</v>
      </c>
      <c r="B23" s="2" t="s">
        <v>135</v>
      </c>
      <c r="C23" s="5" t="s">
        <v>61</v>
      </c>
      <c r="D23" s="5" t="s">
        <v>147</v>
      </c>
      <c r="E23" s="5" t="s">
        <v>104</v>
      </c>
      <c r="F23" s="5" t="s">
        <v>108</v>
      </c>
    </row>
    <row r="24" spans="1:7" x14ac:dyDescent="0.2">
      <c r="B24" t="s">
        <v>111</v>
      </c>
      <c r="C24" t="s">
        <v>163</v>
      </c>
    </row>
    <row r="25" spans="1:7" x14ac:dyDescent="0.2">
      <c r="B25" t="s">
        <v>113</v>
      </c>
      <c r="C25">
        <v>1</v>
      </c>
      <c r="D25" t="s">
        <v>164</v>
      </c>
    </row>
    <row r="26" spans="1:7" x14ac:dyDescent="0.2">
      <c r="B26" t="s">
        <v>106</v>
      </c>
      <c r="C26" t="s">
        <v>165</v>
      </c>
      <c r="D26" t="s">
        <v>71</v>
      </c>
      <c r="E26" s="36"/>
    </row>
    <row r="27" spans="1:7" x14ac:dyDescent="0.2">
      <c r="B27" t="s">
        <v>105</v>
      </c>
      <c r="C27" t="s">
        <v>166</v>
      </c>
      <c r="D27" t="s">
        <v>108</v>
      </c>
      <c r="E27" s="10" t="s">
        <v>17</v>
      </c>
    </row>
    <row r="28" spans="1:7" x14ac:dyDescent="0.2">
      <c r="B28" t="s">
        <v>154</v>
      </c>
      <c r="C28" t="s">
        <v>168</v>
      </c>
      <c r="D28" t="s">
        <v>169</v>
      </c>
      <c r="E28" s="9" t="s">
        <v>16</v>
      </c>
    </row>
    <row r="29" spans="1:7" x14ac:dyDescent="0.2">
      <c r="B29" s="2" t="s">
        <v>135</v>
      </c>
      <c r="C29" s="5" t="s">
        <v>61</v>
      </c>
      <c r="D29" s="5" t="s">
        <v>147</v>
      </c>
      <c r="E29" s="5" t="s">
        <v>104</v>
      </c>
      <c r="F29" s="5" t="s">
        <v>108</v>
      </c>
    </row>
    <row r="30" spans="1:7" x14ac:dyDescent="0.2">
      <c r="D30" s="12">
        <v>0.25</v>
      </c>
      <c r="E30" s="12" t="s">
        <v>104</v>
      </c>
      <c r="F30" s="12">
        <v>0.5</v>
      </c>
      <c r="G30" s="12">
        <f>D30 / F30</f>
        <v>0.5</v>
      </c>
    </row>
    <row r="32" spans="1:7" x14ac:dyDescent="0.2">
      <c r="B32" t="s">
        <v>160</v>
      </c>
    </row>
    <row r="33" spans="1:7" x14ac:dyDescent="0.2">
      <c r="A33" t="s">
        <v>148</v>
      </c>
      <c r="B33" s="2" t="s">
        <v>135</v>
      </c>
      <c r="C33" s="5" t="s">
        <v>61</v>
      </c>
      <c r="D33" s="5" t="s">
        <v>147</v>
      </c>
      <c r="E33" s="5" t="s">
        <v>104</v>
      </c>
      <c r="F33" s="5" t="s">
        <v>108</v>
      </c>
    </row>
    <row r="34" spans="1:7" x14ac:dyDescent="0.2">
      <c r="B34" t="s">
        <v>111</v>
      </c>
      <c r="C34" t="s">
        <v>163</v>
      </c>
    </row>
    <row r="35" spans="1:7" x14ac:dyDescent="0.2">
      <c r="B35" t="s">
        <v>113</v>
      </c>
      <c r="C35">
        <v>1</v>
      </c>
      <c r="D35" t="s">
        <v>164</v>
      </c>
    </row>
    <row r="36" spans="1:7" x14ac:dyDescent="0.2">
      <c r="B36" t="s">
        <v>106</v>
      </c>
      <c r="C36" t="s">
        <v>170</v>
      </c>
      <c r="D36" t="s">
        <v>71</v>
      </c>
      <c r="E36" s="36"/>
    </row>
    <row r="37" spans="1:7" x14ac:dyDescent="0.2">
      <c r="B37" t="s">
        <v>105</v>
      </c>
      <c r="C37" t="s">
        <v>171</v>
      </c>
      <c r="D37" t="s">
        <v>108</v>
      </c>
      <c r="E37" s="10" t="s">
        <v>172</v>
      </c>
    </row>
    <row r="38" spans="1:7" x14ac:dyDescent="0.2">
      <c r="B38" t="s">
        <v>154</v>
      </c>
      <c r="C38" t="s">
        <v>170</v>
      </c>
      <c r="D38" t="s">
        <v>169</v>
      </c>
      <c r="E38" s="9" t="s">
        <v>16</v>
      </c>
    </row>
    <row r="39" spans="1:7" x14ac:dyDescent="0.2">
      <c r="B39" s="2" t="s">
        <v>135</v>
      </c>
      <c r="C39" s="5" t="s">
        <v>61</v>
      </c>
      <c r="D39" s="5" t="s">
        <v>147</v>
      </c>
      <c r="E39" s="5" t="s">
        <v>104</v>
      </c>
      <c r="F39" s="5" t="s">
        <v>108</v>
      </c>
    </row>
    <row r="40" spans="1:7" x14ac:dyDescent="0.2">
      <c r="D40" s="37">
        <v>0.25</v>
      </c>
      <c r="E40" s="12" t="s">
        <v>104</v>
      </c>
      <c r="F40" s="37">
        <v>0.75</v>
      </c>
      <c r="G40" s="12">
        <f>D40 / F40</f>
        <v>0.33333333333333331</v>
      </c>
    </row>
    <row r="41" spans="1:7" x14ac:dyDescent="0.2">
      <c r="G41" s="7"/>
    </row>
    <row r="42" spans="1:7" x14ac:dyDescent="0.2">
      <c r="B42" t="s">
        <v>161</v>
      </c>
    </row>
    <row r="43" spans="1:7" x14ac:dyDescent="0.2">
      <c r="A43" t="s">
        <v>148</v>
      </c>
      <c r="B43" s="2" t="s">
        <v>135</v>
      </c>
      <c r="C43" s="5" t="s">
        <v>61</v>
      </c>
      <c r="D43" s="5" t="s">
        <v>147</v>
      </c>
      <c r="E43" s="5" t="s">
        <v>104</v>
      </c>
      <c r="F43" s="5" t="s">
        <v>108</v>
      </c>
    </row>
    <row r="44" spans="1:7" x14ac:dyDescent="0.2">
      <c r="B44" t="s">
        <v>111</v>
      </c>
      <c r="C44" t="s">
        <v>163</v>
      </c>
    </row>
    <row r="45" spans="1:7" x14ac:dyDescent="0.2">
      <c r="B45" t="s">
        <v>113</v>
      </c>
      <c r="C45">
        <v>1</v>
      </c>
      <c r="D45" t="s">
        <v>164</v>
      </c>
    </row>
    <row r="46" spans="1:7" x14ac:dyDescent="0.2">
      <c r="B46" t="s">
        <v>106</v>
      </c>
      <c r="C46" t="s">
        <v>170</v>
      </c>
      <c r="D46" t="s">
        <v>71</v>
      </c>
      <c r="E46" s="36"/>
    </row>
    <row r="47" spans="1:7" x14ac:dyDescent="0.2">
      <c r="B47" t="s">
        <v>105</v>
      </c>
      <c r="C47" t="s">
        <v>173</v>
      </c>
      <c r="D47" t="s">
        <v>108</v>
      </c>
      <c r="E47" s="10" t="s">
        <v>17</v>
      </c>
    </row>
    <row r="48" spans="1:7" x14ac:dyDescent="0.2">
      <c r="B48" t="s">
        <v>154</v>
      </c>
      <c r="C48" t="s">
        <v>170</v>
      </c>
      <c r="D48" t="s">
        <v>169</v>
      </c>
      <c r="E48" s="9" t="s">
        <v>16</v>
      </c>
    </row>
    <row r="49" spans="1:15" x14ac:dyDescent="0.2">
      <c r="B49" s="2" t="s">
        <v>135</v>
      </c>
      <c r="C49" s="5" t="s">
        <v>61</v>
      </c>
      <c r="D49" s="5" t="s">
        <v>147</v>
      </c>
      <c r="E49" s="5" t="s">
        <v>104</v>
      </c>
      <c r="F49" s="5" t="s">
        <v>108</v>
      </c>
    </row>
    <row r="50" spans="1:15" x14ac:dyDescent="0.2">
      <c r="D50" s="37">
        <v>0.25</v>
      </c>
      <c r="E50" s="12" t="s">
        <v>104</v>
      </c>
      <c r="F50" s="37">
        <v>0.5</v>
      </c>
      <c r="G50" s="12">
        <f>D50 / F50</f>
        <v>0.5</v>
      </c>
    </row>
    <row r="52" spans="1:15" x14ac:dyDescent="0.2">
      <c r="A52" t="s">
        <v>184</v>
      </c>
      <c r="B52" t="s">
        <v>174</v>
      </c>
    </row>
    <row r="53" spans="1:15" x14ac:dyDescent="0.2">
      <c r="B53" t="s">
        <v>175</v>
      </c>
    </row>
    <row r="54" spans="1:15" x14ac:dyDescent="0.2">
      <c r="B54" t="s">
        <v>176</v>
      </c>
    </row>
    <row r="56" spans="1:15" x14ac:dyDescent="0.2">
      <c r="B56" t="s">
        <v>111</v>
      </c>
      <c r="C56" t="s">
        <v>178</v>
      </c>
    </row>
    <row r="57" spans="1:15" x14ac:dyDescent="0.2">
      <c r="B57" t="s">
        <v>113</v>
      </c>
      <c r="C57">
        <v>1</v>
      </c>
      <c r="D57" t="s">
        <v>179</v>
      </c>
    </row>
    <row r="58" spans="1:15" x14ac:dyDescent="0.2">
      <c r="B58" t="s">
        <v>106</v>
      </c>
      <c r="C58" t="s">
        <v>180</v>
      </c>
      <c r="D58" t="s">
        <v>71</v>
      </c>
      <c r="E58" s="36" t="s">
        <v>17</v>
      </c>
      <c r="F58" t="s">
        <v>107</v>
      </c>
      <c r="I58" t="s">
        <v>182</v>
      </c>
      <c r="M58" s="35" t="s">
        <v>192</v>
      </c>
    </row>
    <row r="59" spans="1:15" x14ac:dyDescent="0.2">
      <c r="B59" t="s">
        <v>105</v>
      </c>
      <c r="C59" t="s">
        <v>181</v>
      </c>
      <c r="D59" t="s">
        <v>108</v>
      </c>
      <c r="E59" s="9" t="s">
        <v>187</v>
      </c>
      <c r="I59" t="s">
        <v>183</v>
      </c>
      <c r="M59" s="8" t="s">
        <v>223</v>
      </c>
      <c r="N59">
        <f>3/6</f>
        <v>0.5</v>
      </c>
    </row>
    <row r="60" spans="1:15" x14ac:dyDescent="0.2">
      <c r="B60" t="s">
        <v>154</v>
      </c>
      <c r="C60" t="s">
        <v>185</v>
      </c>
      <c r="D60" t="s">
        <v>147</v>
      </c>
      <c r="E60" s="10" t="s">
        <v>188</v>
      </c>
      <c r="M60" t="s">
        <v>224</v>
      </c>
      <c r="N60">
        <f>2/6</f>
        <v>0.33333333333333331</v>
      </c>
    </row>
    <row r="61" spans="1:15" x14ac:dyDescent="0.2">
      <c r="B61" s="2" t="s">
        <v>135</v>
      </c>
      <c r="C61" s="5" t="s">
        <v>61</v>
      </c>
      <c r="D61" s="5" t="s">
        <v>147</v>
      </c>
      <c r="E61" s="5" t="s">
        <v>104</v>
      </c>
      <c r="F61" s="5" t="s">
        <v>108</v>
      </c>
      <c r="N61">
        <f>0.333 / 0.5</f>
        <v>0.66600000000000004</v>
      </c>
      <c r="O61">
        <f>2/3</f>
        <v>0.66666666666666663</v>
      </c>
    </row>
    <row r="62" spans="1:15" x14ac:dyDescent="0.2">
      <c r="D62" s="37">
        <f>1/6</f>
        <v>0.16666666666666666</v>
      </c>
      <c r="E62" s="12" t="s">
        <v>104</v>
      </c>
      <c r="F62" s="37">
        <f>1/3</f>
        <v>0.33333333333333331</v>
      </c>
      <c r="G62" s="12">
        <f>D62 / F62</f>
        <v>0.5</v>
      </c>
      <c r="H62" t="s">
        <v>107</v>
      </c>
      <c r="I62" t="s">
        <v>189</v>
      </c>
    </row>
    <row r="64" spans="1:15" x14ac:dyDescent="0.2">
      <c r="B64" t="s">
        <v>190</v>
      </c>
    </row>
    <row r="65" spans="1:9" x14ac:dyDescent="0.2">
      <c r="B65" t="s">
        <v>111</v>
      </c>
      <c r="C65" t="s">
        <v>178</v>
      </c>
    </row>
    <row r="66" spans="1:9" x14ac:dyDescent="0.2">
      <c r="B66" t="s">
        <v>113</v>
      </c>
      <c r="C66">
        <v>1</v>
      </c>
      <c r="D66" t="s">
        <v>179</v>
      </c>
    </row>
    <row r="67" spans="1:9" x14ac:dyDescent="0.2">
      <c r="B67" t="s">
        <v>106</v>
      </c>
      <c r="C67" t="s">
        <v>191</v>
      </c>
      <c r="D67" t="s">
        <v>71</v>
      </c>
      <c r="E67" s="36" t="s">
        <v>188</v>
      </c>
      <c r="I67" t="s">
        <v>196</v>
      </c>
    </row>
    <row r="68" spans="1:9" x14ac:dyDescent="0.2">
      <c r="B68" t="s">
        <v>105</v>
      </c>
      <c r="C68" t="s">
        <v>192</v>
      </c>
      <c r="D68" t="s">
        <v>108</v>
      </c>
      <c r="E68" s="9" t="s">
        <v>193</v>
      </c>
      <c r="I68" t="s">
        <v>197</v>
      </c>
    </row>
    <row r="69" spans="1:9" x14ac:dyDescent="0.2">
      <c r="B69" t="s">
        <v>154</v>
      </c>
      <c r="C69" t="s">
        <v>191</v>
      </c>
      <c r="D69" t="s">
        <v>147</v>
      </c>
      <c r="E69" s="10" t="s">
        <v>188</v>
      </c>
    </row>
    <row r="70" spans="1:9" x14ac:dyDescent="0.2">
      <c r="B70" s="5" t="s">
        <v>135</v>
      </c>
      <c r="C70" s="5" t="s">
        <v>61</v>
      </c>
      <c r="D70" s="5" t="s">
        <v>147</v>
      </c>
      <c r="E70" s="5" t="s">
        <v>104</v>
      </c>
      <c r="F70" s="5" t="s">
        <v>108</v>
      </c>
    </row>
    <row r="71" spans="1:9" x14ac:dyDescent="0.2">
      <c r="D71" s="37">
        <f>1/6</f>
        <v>0.16666666666666666</v>
      </c>
      <c r="E71" s="12" t="s">
        <v>104</v>
      </c>
      <c r="F71" s="37">
        <f>3/6</f>
        <v>0.5</v>
      </c>
      <c r="G71" s="12">
        <f>D71 / F71</f>
        <v>0.33333333333333331</v>
      </c>
    </row>
    <row r="72" spans="1:9" x14ac:dyDescent="0.2">
      <c r="A72" t="s">
        <v>194</v>
      </c>
      <c r="B72" s="5" t="s">
        <v>147</v>
      </c>
      <c r="C72" s="10" t="s">
        <v>61</v>
      </c>
      <c r="D72" s="5" t="s">
        <v>135</v>
      </c>
      <c r="E72" s="6" t="s">
        <v>107</v>
      </c>
      <c r="F72" s="5" t="s">
        <v>108</v>
      </c>
    </row>
    <row r="73" spans="1:9" x14ac:dyDescent="0.2">
      <c r="D73" s="40">
        <v>0.33333000000000002</v>
      </c>
      <c r="E73" s="40" t="s">
        <v>195</v>
      </c>
      <c r="F73" s="40">
        <f>3/6</f>
        <v>0.5</v>
      </c>
      <c r="G73" s="40">
        <f>D73 * F73</f>
        <v>0.16666500000000001</v>
      </c>
    </row>
    <row r="75" spans="1:9" x14ac:dyDescent="0.2">
      <c r="B75" t="s">
        <v>198</v>
      </c>
    </row>
    <row r="76" spans="1:9" x14ac:dyDescent="0.2">
      <c r="B76" t="s">
        <v>111</v>
      </c>
      <c r="C76" t="s">
        <v>178</v>
      </c>
    </row>
    <row r="77" spans="1:9" x14ac:dyDescent="0.2">
      <c r="B77" t="s">
        <v>113</v>
      </c>
      <c r="C77">
        <v>1</v>
      </c>
      <c r="D77" t="s">
        <v>179</v>
      </c>
    </row>
    <row r="78" spans="1:9" x14ac:dyDescent="0.2">
      <c r="B78" t="s">
        <v>106</v>
      </c>
      <c r="C78" t="s">
        <v>191</v>
      </c>
      <c r="D78" t="s">
        <v>71</v>
      </c>
      <c r="E78" s="36" t="s">
        <v>188</v>
      </c>
    </row>
    <row r="79" spans="1:9" x14ac:dyDescent="0.2">
      <c r="B79" t="s">
        <v>105</v>
      </c>
      <c r="C79" t="s">
        <v>192</v>
      </c>
      <c r="D79" t="s">
        <v>108</v>
      </c>
      <c r="E79" s="9" t="s">
        <v>193</v>
      </c>
    </row>
    <row r="80" spans="1:9" x14ac:dyDescent="0.2">
      <c r="B80" t="s">
        <v>154</v>
      </c>
      <c r="C80" t="s">
        <v>191</v>
      </c>
      <c r="D80" t="s">
        <v>147</v>
      </c>
      <c r="E80" s="10" t="s">
        <v>188</v>
      </c>
    </row>
    <row r="81" spans="2:7" x14ac:dyDescent="0.2">
      <c r="B81" s="5" t="s">
        <v>135</v>
      </c>
      <c r="C81" s="5" t="s">
        <v>61</v>
      </c>
      <c r="D81" s="5" t="s">
        <v>147</v>
      </c>
      <c r="E81" s="5" t="s">
        <v>104</v>
      </c>
      <c r="F81" s="5" t="s">
        <v>108</v>
      </c>
    </row>
    <row r="82" spans="2:7" x14ac:dyDescent="0.2">
      <c r="D82" s="37">
        <f>1/6</f>
        <v>0.16666666666666666</v>
      </c>
      <c r="E82" s="12" t="s">
        <v>104</v>
      </c>
      <c r="F82" s="37">
        <f>3/6</f>
        <v>0.5</v>
      </c>
      <c r="G82" s="12">
        <f>D82 / F82</f>
        <v>0.33333333333333331</v>
      </c>
    </row>
    <row r="85" spans="2:7" x14ac:dyDescent="0.2">
      <c r="B85" t="s">
        <v>198</v>
      </c>
    </row>
    <row r="86" spans="2:7" x14ac:dyDescent="0.2">
      <c r="B86" t="s">
        <v>111</v>
      </c>
      <c r="C86" t="s">
        <v>178</v>
      </c>
    </row>
    <row r="87" spans="2:7" x14ac:dyDescent="0.2">
      <c r="B87" t="s">
        <v>113</v>
      </c>
      <c r="C87">
        <v>1</v>
      </c>
      <c r="D87" t="s">
        <v>179</v>
      </c>
    </row>
    <row r="88" spans="2:7" x14ac:dyDescent="0.2">
      <c r="B88" t="s">
        <v>106</v>
      </c>
      <c r="C88" t="s">
        <v>192</v>
      </c>
      <c r="D88" t="s">
        <v>71</v>
      </c>
      <c r="E88" s="36" t="s">
        <v>193</v>
      </c>
    </row>
    <row r="89" spans="2:7" x14ac:dyDescent="0.2">
      <c r="B89" t="s">
        <v>105</v>
      </c>
      <c r="C89" t="s">
        <v>223</v>
      </c>
      <c r="D89" t="s">
        <v>108</v>
      </c>
      <c r="E89" s="9" t="s">
        <v>193</v>
      </c>
    </row>
    <row r="90" spans="2:7" x14ac:dyDescent="0.2">
      <c r="B90" t="s">
        <v>154</v>
      </c>
      <c r="C90" t="s">
        <v>323</v>
      </c>
      <c r="D90" t="s">
        <v>147</v>
      </c>
      <c r="E90" s="10" t="s">
        <v>186</v>
      </c>
    </row>
    <row r="91" spans="2:7" x14ac:dyDescent="0.2">
      <c r="B91" s="5" t="s">
        <v>135</v>
      </c>
      <c r="C91" s="5" t="s">
        <v>61</v>
      </c>
      <c r="D91" s="5" t="s">
        <v>147</v>
      </c>
      <c r="E91" s="5" t="s">
        <v>104</v>
      </c>
      <c r="F91" s="5" t="s">
        <v>108</v>
      </c>
    </row>
    <row r="92" spans="2:7" x14ac:dyDescent="0.2">
      <c r="D92" s="37">
        <f>2/6</f>
        <v>0.33333333333333331</v>
      </c>
      <c r="E92" s="12" t="s">
        <v>104</v>
      </c>
      <c r="F92" s="37">
        <f>3/6</f>
        <v>0.5</v>
      </c>
      <c r="G92" s="12">
        <f>D92 / F92</f>
        <v>0.66666666666666663</v>
      </c>
    </row>
    <row r="93" spans="2:7" x14ac:dyDescent="0.2">
      <c r="D93" s="35" t="s">
        <v>186</v>
      </c>
      <c r="E93" t="s">
        <v>104</v>
      </c>
      <c r="F93" s="7">
        <v>45080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C8" sqref="C8"/>
    </sheetView>
  </sheetViews>
  <sheetFormatPr baseColWidth="10" defaultRowHeight="16" x14ac:dyDescent="0.2"/>
  <cols>
    <col min="2" max="2" width="24.83203125" bestFit="1" customWidth="1"/>
    <col min="3" max="3" width="13.1640625" style="6" bestFit="1" customWidth="1"/>
    <col min="4" max="4" width="12.83203125" bestFit="1" customWidth="1"/>
  </cols>
  <sheetData>
    <row r="1" spans="1:6" ht="21" x14ac:dyDescent="0.25">
      <c r="A1" s="16" t="s">
        <v>177</v>
      </c>
    </row>
    <row r="2" spans="1:6" x14ac:dyDescent="0.2">
      <c r="B2" t="s">
        <v>199</v>
      </c>
    </row>
    <row r="3" spans="1:6" x14ac:dyDescent="0.2">
      <c r="B3" s="5" t="s">
        <v>200</v>
      </c>
      <c r="C3" s="5" t="s">
        <v>61</v>
      </c>
      <c r="D3" s="5" t="s">
        <v>201</v>
      </c>
    </row>
    <row r="4" spans="1:6" x14ac:dyDescent="0.2">
      <c r="B4" t="s">
        <v>206</v>
      </c>
      <c r="C4" s="6" t="s">
        <v>205</v>
      </c>
    </row>
    <row r="5" spans="1:6" x14ac:dyDescent="0.2">
      <c r="B5" t="s">
        <v>106</v>
      </c>
      <c r="D5" t="s">
        <v>207</v>
      </c>
    </row>
    <row r="6" spans="1:6" x14ac:dyDescent="0.2">
      <c r="B6" t="s">
        <v>71</v>
      </c>
      <c r="C6" s="6">
        <v>0.8</v>
      </c>
      <c r="D6" t="s">
        <v>204</v>
      </c>
    </row>
    <row r="7" spans="1:6" x14ac:dyDescent="0.2">
      <c r="B7" t="s">
        <v>202</v>
      </c>
      <c r="C7" s="6">
        <f>1 - C6</f>
        <v>0.19999999999999996</v>
      </c>
      <c r="D7" t="s">
        <v>203</v>
      </c>
    </row>
    <row r="8" spans="1:6" x14ac:dyDescent="0.2">
      <c r="B8" t="s">
        <v>208</v>
      </c>
      <c r="C8" s="6">
        <f>LN(C6 / C7)</f>
        <v>1.3862943611198908</v>
      </c>
    </row>
    <row r="9" spans="1:6" x14ac:dyDescent="0.2">
      <c r="B9" t="s">
        <v>210</v>
      </c>
      <c r="C9" s="6">
        <v>4</v>
      </c>
    </row>
    <row r="10" spans="1:6" x14ac:dyDescent="0.2">
      <c r="B10" t="s">
        <v>209</v>
      </c>
      <c r="C10" s="6">
        <v>1.38</v>
      </c>
    </row>
    <row r="12" spans="1:6" x14ac:dyDescent="0.2">
      <c r="B12" t="s">
        <v>212</v>
      </c>
    </row>
    <row r="13" spans="1:6" x14ac:dyDescent="0.2">
      <c r="B13" t="s">
        <v>111</v>
      </c>
      <c r="C13" s="6" t="s">
        <v>178</v>
      </c>
    </row>
    <row r="14" spans="1:6" x14ac:dyDescent="0.2">
      <c r="B14" t="s">
        <v>113</v>
      </c>
      <c r="C14" s="6">
        <v>1</v>
      </c>
      <c r="D14" t="s">
        <v>211</v>
      </c>
    </row>
    <row r="15" spans="1:6" x14ac:dyDescent="0.2">
      <c r="B15" t="s">
        <v>106</v>
      </c>
      <c r="C15" s="6" t="s">
        <v>213</v>
      </c>
      <c r="E15" s="6" t="s">
        <v>71</v>
      </c>
      <c r="F15" s="10" t="s">
        <v>193</v>
      </c>
    </row>
    <row r="16" spans="1:6" x14ac:dyDescent="0.2">
      <c r="B16" t="s">
        <v>105</v>
      </c>
      <c r="C16" s="6" t="s">
        <v>214</v>
      </c>
      <c r="E16" s="6" t="s">
        <v>108</v>
      </c>
      <c r="F16" s="10" t="s">
        <v>193</v>
      </c>
    </row>
    <row r="17" spans="2:8" x14ac:dyDescent="0.2">
      <c r="B17" t="s">
        <v>154</v>
      </c>
      <c r="C17" s="6" t="s">
        <v>215</v>
      </c>
      <c r="E17" s="5" t="s">
        <v>147</v>
      </c>
      <c r="F17" s="10" t="s">
        <v>186</v>
      </c>
      <c r="H17" t="s">
        <v>216</v>
      </c>
    </row>
    <row r="18" spans="2:8" x14ac:dyDescent="0.2">
      <c r="B18" s="2" t="s">
        <v>218</v>
      </c>
      <c r="E18" s="42" t="s">
        <v>219</v>
      </c>
      <c r="F18" s="41" t="s">
        <v>220</v>
      </c>
      <c r="H18" t="s">
        <v>217</v>
      </c>
    </row>
    <row r="20" spans="2:8" x14ac:dyDescent="0.2">
      <c r="B20" t="s">
        <v>221</v>
      </c>
    </row>
    <row r="21" spans="2:8" x14ac:dyDescent="0.2">
      <c r="B21" t="s">
        <v>111</v>
      </c>
      <c r="C21" s="6" t="s">
        <v>178</v>
      </c>
    </row>
    <row r="22" spans="2:8" x14ac:dyDescent="0.2">
      <c r="B22" t="s">
        <v>113</v>
      </c>
      <c r="C22" s="6">
        <v>1</v>
      </c>
      <c r="D22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Sheet6</vt:lpstr>
      <vt:lpstr>Lesson 13 - Bayes I</vt:lpstr>
      <vt:lpstr>Lesson 9 - Bayes</vt:lpstr>
      <vt:lpstr>Lesson 8 - Rand_Dist</vt:lpstr>
      <vt:lpstr>Lesson 7 - Perm_Comb</vt:lpstr>
      <vt:lpstr>Lesson 6 - Multiple_Events</vt:lpstr>
      <vt:lpstr>Lesson 5 Cond_Prob</vt:lpstr>
      <vt:lpstr>Lesson 4 - Events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2023-11-19T13:56:29Z</dcterms:created>
  <dcterms:modified xsi:type="dcterms:W3CDTF">2023-12-02T23:57:51Z</dcterms:modified>
</cp:coreProperties>
</file>