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renda\Gitlab\nutifood\NutifoodApp\angular\src\assets\sampleFiles\"/>
    </mc:Choice>
  </mc:AlternateContent>
  <bookViews>
    <workbookView xWindow="0" yWindow="0" windowWidth="28800" windowHeight="11130" tabRatio="931"/>
  </bookViews>
  <sheets>
    <sheet name="Template" sheetId="32" r:id="rId1"/>
    <sheet name="GhiChuCachNhap" sheetId="37" r:id="rId2"/>
    <sheet name="part6" sheetId="33" r:id="rId3"/>
    <sheet name="part4" sheetId="29" r:id="rId4"/>
    <sheet name="part3" sheetId="30" r:id="rId5"/>
    <sheet name="part2" sheetId="28" r:id="rId6"/>
    <sheet name="part1" sheetId="27" r:id="rId7"/>
  </sheets>
  <calcPr calcId="162913"/>
</workbook>
</file>

<file path=xl/calcChain.xml><?xml version="1.0" encoding="utf-8"?>
<calcChain xmlns="http://schemas.openxmlformats.org/spreadsheetml/2006/main">
  <c r="K149" i="33" l="1"/>
  <c r="J149" i="33"/>
  <c r="I149" i="33"/>
  <c r="F149" i="33"/>
  <c r="K148" i="33"/>
  <c r="J148" i="33"/>
  <c r="I148" i="33"/>
  <c r="F148" i="33"/>
  <c r="K147" i="33"/>
  <c r="J147" i="33"/>
  <c r="I147" i="33"/>
  <c r="F147" i="33"/>
  <c r="K146" i="33"/>
  <c r="J146" i="33"/>
  <c r="I146" i="33"/>
  <c r="F146" i="33"/>
  <c r="K145" i="33"/>
  <c r="J145" i="33"/>
  <c r="I145" i="33"/>
  <c r="F145" i="33"/>
  <c r="K144" i="33"/>
  <c r="J144" i="33"/>
  <c r="I144" i="33"/>
  <c r="F144" i="33"/>
  <c r="K143" i="33"/>
  <c r="J143" i="33"/>
  <c r="I143" i="33"/>
  <c r="F143" i="33"/>
  <c r="K142" i="33"/>
  <c r="J142" i="33"/>
  <c r="I142" i="33"/>
  <c r="F142" i="33"/>
  <c r="K141" i="33"/>
  <c r="J141" i="33"/>
  <c r="I141" i="33"/>
  <c r="F141" i="33"/>
  <c r="K140" i="33"/>
  <c r="J140" i="33"/>
  <c r="I140" i="33"/>
  <c r="F140" i="33"/>
  <c r="K139" i="33"/>
  <c r="J139" i="33"/>
  <c r="I139" i="33"/>
  <c r="F139" i="33"/>
  <c r="K138" i="33"/>
  <c r="J138" i="33"/>
  <c r="I138" i="33"/>
  <c r="F138" i="33"/>
  <c r="K137" i="33"/>
  <c r="J137" i="33"/>
  <c r="I137" i="33"/>
  <c r="F137" i="33"/>
  <c r="K136" i="33"/>
  <c r="J136" i="33"/>
  <c r="I136" i="33"/>
  <c r="F136" i="33"/>
  <c r="K135" i="33"/>
  <c r="J135" i="33"/>
  <c r="I135" i="33"/>
  <c r="F135" i="33"/>
  <c r="K134" i="33"/>
  <c r="J134" i="33"/>
  <c r="I134" i="33"/>
  <c r="F134" i="33"/>
  <c r="K133" i="33"/>
  <c r="J133" i="33"/>
  <c r="I133" i="33"/>
  <c r="F133" i="33"/>
  <c r="K132" i="33"/>
  <c r="J132" i="33"/>
  <c r="I132" i="33"/>
  <c r="F132" i="33"/>
  <c r="K131" i="33"/>
  <c r="J131" i="33"/>
  <c r="I131" i="33"/>
  <c r="F131" i="33"/>
  <c r="K130" i="33"/>
  <c r="J130" i="33"/>
  <c r="I130" i="33"/>
  <c r="F130" i="33"/>
  <c r="K129" i="33"/>
  <c r="J129" i="33"/>
  <c r="I129" i="33"/>
  <c r="F129" i="33"/>
  <c r="K128" i="33"/>
  <c r="J128" i="33"/>
  <c r="I128" i="33"/>
  <c r="F128" i="33"/>
  <c r="K127" i="33"/>
  <c r="J127" i="33"/>
  <c r="I127" i="33"/>
  <c r="F127" i="33"/>
  <c r="K126" i="33"/>
  <c r="J126" i="33"/>
  <c r="I126" i="33"/>
  <c r="F126" i="33"/>
  <c r="K125" i="33"/>
  <c r="J125" i="33"/>
  <c r="I125" i="33"/>
  <c r="F125" i="33"/>
  <c r="K124" i="33"/>
  <c r="J124" i="33"/>
  <c r="I124" i="33"/>
  <c r="F124" i="33"/>
  <c r="K123" i="33"/>
  <c r="J123" i="33"/>
  <c r="I123" i="33"/>
  <c r="F123" i="33"/>
  <c r="K122" i="33"/>
  <c r="J122" i="33"/>
  <c r="I122" i="33"/>
  <c r="F122" i="33"/>
  <c r="K121" i="33"/>
  <c r="J121" i="33"/>
  <c r="I121" i="33"/>
  <c r="F121" i="33"/>
  <c r="K120" i="33"/>
  <c r="J120" i="33"/>
  <c r="I120" i="33"/>
  <c r="F120" i="33"/>
  <c r="K119" i="33"/>
  <c r="J119" i="33"/>
  <c r="I119" i="33"/>
  <c r="F119" i="33"/>
  <c r="K118" i="33"/>
  <c r="J118" i="33"/>
  <c r="I118" i="33"/>
  <c r="F118" i="33"/>
  <c r="K117" i="33"/>
  <c r="J117" i="33"/>
  <c r="I117" i="33"/>
  <c r="F117" i="33"/>
  <c r="K116" i="33"/>
  <c r="J116" i="33"/>
  <c r="I116" i="33"/>
  <c r="F116" i="33"/>
  <c r="K115" i="33"/>
  <c r="J115" i="33"/>
  <c r="I115" i="33"/>
  <c r="F115" i="33"/>
  <c r="K114" i="33"/>
  <c r="J114" i="33"/>
  <c r="I114" i="33"/>
  <c r="F114" i="33"/>
  <c r="K113" i="33"/>
  <c r="J113" i="33"/>
  <c r="I113" i="33"/>
  <c r="F113" i="33"/>
  <c r="K112" i="33"/>
  <c r="J112" i="33"/>
  <c r="I112" i="33"/>
  <c r="F112" i="33"/>
  <c r="K111" i="33"/>
  <c r="J111" i="33"/>
  <c r="I111" i="33"/>
  <c r="F111" i="33"/>
  <c r="K110" i="33"/>
  <c r="J110" i="33"/>
  <c r="I110" i="33"/>
  <c r="F110" i="33"/>
  <c r="K109" i="33"/>
  <c r="J109" i="33"/>
  <c r="I109" i="33"/>
  <c r="F109" i="33"/>
  <c r="K108" i="33"/>
  <c r="J108" i="33"/>
  <c r="I108" i="33"/>
  <c r="F108" i="33"/>
  <c r="K107" i="33"/>
  <c r="J107" i="33"/>
  <c r="I107" i="33"/>
  <c r="F107" i="33"/>
  <c r="K106" i="33"/>
  <c r="J106" i="33"/>
  <c r="I106" i="33"/>
  <c r="F106" i="33"/>
  <c r="K105" i="33"/>
  <c r="J105" i="33"/>
  <c r="I105" i="33"/>
  <c r="F105" i="33"/>
  <c r="K104" i="33"/>
  <c r="J104" i="33"/>
  <c r="I104" i="33"/>
  <c r="F104" i="33"/>
  <c r="K103" i="33"/>
  <c r="J103" i="33"/>
  <c r="I103" i="33"/>
  <c r="F103" i="33"/>
  <c r="K102" i="33"/>
  <c r="J102" i="33"/>
  <c r="I102" i="33"/>
  <c r="F102" i="33"/>
  <c r="K101" i="33"/>
  <c r="J101" i="33"/>
  <c r="I101" i="33"/>
  <c r="F101" i="33"/>
  <c r="K100" i="33"/>
  <c r="J100" i="33"/>
  <c r="I100" i="33"/>
  <c r="F100" i="33"/>
  <c r="K99" i="33"/>
  <c r="J99" i="33"/>
  <c r="I99" i="33"/>
  <c r="F99" i="33"/>
  <c r="K98" i="33"/>
  <c r="J98" i="33"/>
  <c r="I98" i="33"/>
  <c r="F98" i="33"/>
  <c r="K97" i="33"/>
  <c r="J97" i="33"/>
  <c r="I97" i="33"/>
  <c r="F97" i="33"/>
  <c r="K96" i="33"/>
  <c r="J96" i="33"/>
  <c r="I96" i="33"/>
  <c r="F96" i="33"/>
  <c r="K95" i="33"/>
  <c r="J95" i="33"/>
  <c r="I95" i="33"/>
  <c r="F95" i="33"/>
  <c r="K94" i="33"/>
  <c r="J94" i="33"/>
  <c r="I94" i="33"/>
  <c r="F94" i="33"/>
  <c r="K93" i="33"/>
  <c r="J93" i="33"/>
  <c r="I93" i="33"/>
  <c r="F93" i="33"/>
  <c r="R92" i="33"/>
  <c r="K92" i="33"/>
  <c r="J92" i="33"/>
  <c r="I92" i="33"/>
  <c r="F92" i="33"/>
  <c r="K91" i="33"/>
  <c r="J91" i="33"/>
  <c r="I91" i="33"/>
  <c r="F91" i="33"/>
  <c r="K90" i="33"/>
  <c r="J90" i="33"/>
  <c r="I90" i="33"/>
  <c r="F90" i="33"/>
  <c r="K89" i="33"/>
  <c r="J89" i="33"/>
  <c r="I89" i="33"/>
  <c r="F89" i="33"/>
  <c r="K88" i="33"/>
  <c r="J88" i="33"/>
  <c r="I88" i="33"/>
  <c r="F88" i="33"/>
  <c r="K87" i="33"/>
  <c r="J87" i="33"/>
  <c r="I87" i="33"/>
  <c r="F87" i="33"/>
  <c r="K86" i="33"/>
  <c r="J86" i="33"/>
  <c r="I86" i="33"/>
  <c r="F86" i="33"/>
  <c r="K85" i="33"/>
  <c r="J85" i="33"/>
  <c r="I85" i="33"/>
  <c r="F85" i="33"/>
  <c r="K84" i="33"/>
  <c r="J84" i="33"/>
  <c r="I84" i="33"/>
  <c r="F84" i="33"/>
  <c r="K83" i="33"/>
  <c r="J83" i="33"/>
  <c r="I83" i="33"/>
  <c r="F83" i="33"/>
  <c r="K82" i="33"/>
  <c r="J82" i="33"/>
  <c r="I82" i="33"/>
  <c r="F82" i="33"/>
  <c r="K81" i="33"/>
  <c r="J81" i="33"/>
  <c r="I81" i="33"/>
  <c r="F81" i="33"/>
  <c r="K80" i="33"/>
  <c r="J80" i="33"/>
  <c r="I80" i="33"/>
  <c r="F80" i="33"/>
  <c r="K79" i="33"/>
  <c r="J79" i="33"/>
  <c r="I79" i="33"/>
  <c r="F79" i="33"/>
  <c r="K78" i="33"/>
  <c r="J78" i="33"/>
  <c r="I78" i="33"/>
  <c r="F78" i="33"/>
  <c r="K77" i="33"/>
  <c r="J77" i="33"/>
  <c r="I77" i="33"/>
  <c r="F77" i="33"/>
  <c r="K76" i="33"/>
  <c r="J76" i="33"/>
  <c r="I76" i="33"/>
  <c r="F76" i="33"/>
  <c r="K75" i="33"/>
  <c r="J75" i="33"/>
  <c r="I75" i="33"/>
  <c r="F75" i="33"/>
  <c r="K74" i="33"/>
  <c r="J74" i="33"/>
  <c r="I74" i="33"/>
  <c r="F74" i="33"/>
  <c r="K73" i="33"/>
  <c r="J73" i="33"/>
  <c r="I73" i="33"/>
  <c r="F73" i="33"/>
  <c r="G31" i="33"/>
  <c r="G30" i="33"/>
  <c r="G29" i="33"/>
  <c r="G28" i="33"/>
  <c r="G20" i="33"/>
  <c r="G19" i="33"/>
  <c r="G18" i="33"/>
  <c r="G17" i="33"/>
  <c r="G16" i="33"/>
  <c r="G87" i="29" l="1"/>
  <c r="G86" i="29"/>
  <c r="G85" i="29"/>
  <c r="G84" i="29"/>
  <c r="G83" i="29"/>
  <c r="G82" i="29"/>
  <c r="G81" i="29"/>
  <c r="G80" i="29"/>
  <c r="G92" i="28"/>
  <c r="G91" i="28"/>
  <c r="G90" i="28"/>
  <c r="G89" i="28"/>
  <c r="G88" i="28"/>
  <c r="G87" i="28"/>
  <c r="G86" i="28"/>
  <c r="G85" i="28"/>
  <c r="G84" i="28"/>
  <c r="CM94" i="27"/>
  <c r="CL94" i="27"/>
  <c r="CK94" i="27"/>
  <c r="CJ94" i="27"/>
  <c r="AY94" i="27"/>
  <c r="AX94" i="27"/>
  <c r="AV94" i="27"/>
  <c r="AU94" i="27"/>
  <c r="AT94" i="27"/>
  <c r="AR94" i="27"/>
  <c r="BF93" i="27"/>
  <c r="BE93" i="27"/>
  <c r="BD93" i="27"/>
  <c r="AZ93" i="27"/>
  <c r="AY93" i="27"/>
  <c r="AX93" i="27"/>
  <c r="AV93" i="27"/>
  <c r="AU93" i="27"/>
  <c r="AT93" i="27"/>
  <c r="AS93" i="27"/>
  <c r="AR93" i="27"/>
</calcChain>
</file>

<file path=xl/comments1.xml><?xml version="1.0" encoding="utf-8"?>
<comments xmlns="http://schemas.openxmlformats.org/spreadsheetml/2006/main">
  <authors>
    <author>Nguyễn Việt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Nguyễn Việt:</t>
        </r>
        <r>
          <rPr>
            <sz val="9"/>
            <color indexed="81"/>
            <rFont val="Tahoma"/>
            <charset val="1"/>
          </rPr>
          <t xml:space="preserve">
Nhóm thực phẩm KEY
trong bảng danh mục nhóm thực phẩm </t>
        </r>
      </text>
    </comment>
    <comment ref="H2" authorId="0" shapeId="0">
      <text>
        <r>
          <rPr>
            <b/>
            <sz val="9"/>
            <color indexed="81"/>
            <rFont val="Tahoma"/>
            <charset val="1"/>
          </rPr>
          <t>Nguyễn Việt:</t>
        </r>
        <r>
          <rPr>
            <sz val="9"/>
            <color indexed="81"/>
            <rFont val="Tahoma"/>
            <charset val="1"/>
          </rPr>
          <t xml:space="preserve">
DINH DUONG KEY
Lấy tại bảng danh Mục dich dưỡng </t>
        </r>
      </text>
    </comment>
  </commentList>
</comments>
</file>

<file path=xl/comments2.xml><?xml version="1.0" encoding="utf-8"?>
<comments xmlns="http://schemas.openxmlformats.org/spreadsheetml/2006/main">
  <authors>
    <author>Nguyễn Việt</author>
  </authors>
  <commentList>
    <comment ref="H2" authorId="0" shapeId="0">
      <text>
        <r>
          <rPr>
            <b/>
            <sz val="9"/>
            <color indexed="81"/>
            <rFont val="Tahoma"/>
            <charset val="1"/>
          </rPr>
          <t>Nguyễn Việt:</t>
        </r>
        <r>
          <rPr>
            <sz val="9"/>
            <color indexed="81"/>
            <rFont val="Tahoma"/>
            <charset val="1"/>
          </rPr>
          <t xml:space="preserve">
DINH DUONG KEY
</t>
        </r>
      </text>
    </comment>
  </commentList>
</comments>
</file>

<file path=xl/comments3.xml><?xml version="1.0" encoding="utf-8"?>
<comments xmlns="http://schemas.openxmlformats.org/spreadsheetml/2006/main">
  <authors>
    <author>Nguyễn Việt</author>
  </authors>
  <commentList>
    <comment ref="H2" authorId="0" shapeId="0">
      <text>
        <r>
          <rPr>
            <b/>
            <sz val="9"/>
            <color indexed="81"/>
            <rFont val="Tahoma"/>
            <charset val="1"/>
          </rPr>
          <t>Nguyễn Việt:</t>
        </r>
        <r>
          <rPr>
            <sz val="9"/>
            <color indexed="81"/>
            <rFont val="Tahoma"/>
            <charset val="1"/>
          </rPr>
          <t xml:space="preserve">
DINH DUONG KEY
</t>
        </r>
      </text>
    </comment>
  </commentList>
</comments>
</file>

<file path=xl/comments4.xml><?xml version="1.0" encoding="utf-8"?>
<comments xmlns="http://schemas.openxmlformats.org/spreadsheetml/2006/main">
  <authors>
    <author>Nguyễn Việt</author>
  </authors>
  <commentList>
    <comment ref="H2" authorId="0" shapeId="0">
      <text>
        <r>
          <rPr>
            <b/>
            <sz val="9"/>
            <color indexed="81"/>
            <rFont val="Tahoma"/>
            <charset val="1"/>
          </rPr>
          <t>Nguyễn Việt:</t>
        </r>
        <r>
          <rPr>
            <sz val="9"/>
            <color indexed="81"/>
            <rFont val="Tahoma"/>
            <charset val="1"/>
          </rPr>
          <t xml:space="preserve">
DINH DUONG KEY
</t>
        </r>
      </text>
    </comment>
  </commentList>
</comments>
</file>

<file path=xl/comments5.xml><?xml version="1.0" encoding="utf-8"?>
<comments xmlns="http://schemas.openxmlformats.org/spreadsheetml/2006/main">
  <authors>
    <author>Nguyễn Việt</author>
  </authors>
  <commentList>
    <comment ref="H2" authorId="0" shapeId="0">
      <text>
        <r>
          <rPr>
            <b/>
            <sz val="9"/>
            <color indexed="81"/>
            <rFont val="Tahoma"/>
            <charset val="1"/>
          </rPr>
          <t>Nguyễn Việt:</t>
        </r>
        <r>
          <rPr>
            <sz val="9"/>
            <color indexed="81"/>
            <rFont val="Tahoma"/>
            <charset val="1"/>
          </rPr>
          <t xml:space="preserve">
DINH DUONG KEY
</t>
        </r>
      </text>
    </comment>
  </commentList>
</comments>
</file>

<file path=xl/comments6.xml><?xml version="1.0" encoding="utf-8"?>
<comments xmlns="http://schemas.openxmlformats.org/spreadsheetml/2006/main">
  <authors>
    <author>Nguyễn Việt</author>
  </authors>
  <commentList>
    <comment ref="H2" authorId="0" shapeId="0">
      <text>
        <r>
          <rPr>
            <b/>
            <sz val="9"/>
            <color indexed="81"/>
            <rFont val="Tahoma"/>
            <charset val="1"/>
          </rPr>
          <t>Nguyễn Việt:</t>
        </r>
        <r>
          <rPr>
            <sz val="9"/>
            <color indexed="81"/>
            <rFont val="Tahoma"/>
            <charset val="1"/>
          </rPr>
          <t xml:space="preserve">
DINH DUONG KEY
</t>
        </r>
      </text>
    </comment>
  </commentList>
</comments>
</file>

<file path=xl/sharedStrings.xml><?xml version="1.0" encoding="utf-8"?>
<sst xmlns="http://schemas.openxmlformats.org/spreadsheetml/2006/main" count="42567" uniqueCount="2114">
  <si>
    <t>Thải bỏ</t>
  </si>
  <si>
    <t>CARY BỘT</t>
  </si>
  <si>
    <t>-</t>
  </si>
  <si>
    <t>GỪNG KHÔ (BỘT)</t>
  </si>
  <si>
    <t>GỪNG TƯƠI</t>
  </si>
  <si>
    <t>HẠT TIÊU</t>
  </si>
  <si>
    <t>MUỐI</t>
  </si>
  <si>
    <t>NGHỆ, KHÔ, BỘT</t>
  </si>
  <si>
    <t>NGHỆ TƯƠI</t>
  </si>
  <si>
    <t>ỚT KHÔ BỘT</t>
  </si>
  <si>
    <t>RIỀNG</t>
  </si>
  <si>
    <t>MAGI</t>
  </si>
  <si>
    <t>MẮM TÔM ĐẶC</t>
  </si>
  <si>
    <t>MẮM TÔM LOÃNG</t>
  </si>
  <si>
    <t>MẮM TÉP CHUA</t>
  </si>
  <si>
    <t>NƯỚC MẮM CÁ (LOẠI ĐẶC BIỆT)</t>
  </si>
  <si>
    <t>NƯỚC MẮM LOẠI II</t>
  </si>
  <si>
    <t>NƯỚC MẮM CÁ LOẠI I</t>
  </si>
  <si>
    <t>NƯỚC MẮM CÁ</t>
  </si>
  <si>
    <t>NƯỚC MẮM CÔ</t>
  </si>
  <si>
    <t>TƯƠNG NGÔ</t>
  </si>
  <si>
    <t>TƯƠNG NẾP</t>
  </si>
  <si>
    <t>TƯƠNG ỚT</t>
  </si>
  <si>
    <t>XÌ DẦU</t>
  </si>
  <si>
    <t>SỐT MAYONNAISE</t>
  </si>
  <si>
    <t>BIA (CỒN: 4,5 G)</t>
  </si>
  <si>
    <t>CÔ NHẮC (CỒN 32 G)</t>
  </si>
  <si>
    <t>CỐC TAI (CỒN 13 G)</t>
  </si>
  <si>
    <t>COCA COLA</t>
  </si>
  <si>
    <t>NƯỚC CAM TƯƠI</t>
  </si>
  <si>
    <t>NƯỚC DỪA NON TƯƠI</t>
  </si>
  <si>
    <t>NƯỚC ÉP CÀ CHUA</t>
  </si>
  <si>
    <t>NƯỚC KHOÁNG</t>
  </si>
  <si>
    <t>NƯỚC QUÝT TƯƠI</t>
  </si>
  <si>
    <t>RƯỢU, CAM, CHANH (CỒN 24.2 G)</t>
  </si>
  <si>
    <t>RƯỢU NẾP (80G/ 24 ML) (CỒN 5 G)</t>
  </si>
  <si>
    <t>RƯỢU TRẮNG (CỒN 39 G)</t>
  </si>
  <si>
    <t>RƯỢU VANG ĐỎ (CỒN 9.5 G)</t>
  </si>
  <si>
    <t>RƯỢU VANG TRẮNG (CỒN 9.5 G)</t>
  </si>
  <si>
    <t>RƯỢU VANG TRẮNG NGỌT (CỒN 10.2 G)</t>
  </si>
  <si>
    <t>RƯỢU WHSKY (CỒN 35.2 G)</t>
  </si>
  <si>
    <t>GẠO NẾP MÁY (Loại Thường)</t>
  </si>
  <si>
    <t>GẠO TẺ GIÃ</t>
  </si>
  <si>
    <t xml:space="preserve">GẠO TẺ MÁY </t>
  </si>
  <si>
    <t>GẠO LỨT</t>
  </si>
  <si>
    <t>KÊ</t>
  </si>
  <si>
    <t>NGÔ BẮP TƯƠI</t>
  </si>
  <si>
    <t>NGÔ VÀNG HẠT KHÔ</t>
  </si>
  <si>
    <t>BÁNH BAO NHÂN THỊT</t>
  </si>
  <si>
    <t xml:space="preserve">BÁNH ĐA NEM </t>
  </si>
  <si>
    <t>BÁNH ĐÚC</t>
  </si>
  <si>
    <t>BÁNH MỲ</t>
  </si>
  <si>
    <t>BÁNH PHỞ</t>
  </si>
  <si>
    <t>BÁNH QUẤY</t>
  </si>
  <si>
    <t>BỎNG NGÔ</t>
  </si>
  <si>
    <t>BỘT GẠO NẾP</t>
  </si>
  <si>
    <t>BỘT GẠO TẺ</t>
  </si>
  <si>
    <t>BỘT MÌ</t>
  </si>
  <si>
    <t xml:space="preserve">BỘT NGÔ VÀNG </t>
  </si>
  <si>
    <t>BÚN</t>
  </si>
  <si>
    <t>CỐM</t>
  </si>
  <si>
    <t>MỲ SỢI</t>
  </si>
  <si>
    <t xml:space="preserve">NGÔ NẾP LUỘC </t>
  </si>
  <si>
    <t>BƯỞI</t>
  </si>
  <si>
    <t>CAM</t>
  </si>
  <si>
    <t>CHANH</t>
  </si>
  <si>
    <t>CHÔM CHÔM</t>
  </si>
  <si>
    <t>CHUỐI KHÔ</t>
  </si>
  <si>
    <t>CHUỐI TÂY</t>
  </si>
  <si>
    <t>CHUỐI TIÊU</t>
  </si>
  <si>
    <t>DÂU GIA</t>
  </si>
  <si>
    <t>DÂU TÂY</t>
  </si>
  <si>
    <t>DƯA BỞ</t>
  </si>
  <si>
    <t>DƯA HẤU</t>
  </si>
  <si>
    <t>DƯA HỒNG</t>
  </si>
  <si>
    <t>DƯA LÊ</t>
  </si>
  <si>
    <t>ĐÀO</t>
  </si>
  <si>
    <t>ĐU ĐỦ CHÍN</t>
  </si>
  <si>
    <t>GIOI</t>
  </si>
  <si>
    <t>HỒNG BỈ</t>
  </si>
  <si>
    <t>HỒNG ĐỎ</t>
  </si>
  <si>
    <t>HỒNG NGÂM</t>
  </si>
  <si>
    <t>HỒNG XIÊM</t>
  </si>
  <si>
    <t>LÊ</t>
  </si>
  <si>
    <t>LỰU</t>
  </si>
  <si>
    <t xml:space="preserve">MÃNG CẦU XIÊM </t>
  </si>
  <si>
    <t>MÍT DAI</t>
  </si>
  <si>
    <t>MÍT KHÔ</t>
  </si>
  <si>
    <t>MÍT MẬT</t>
  </si>
  <si>
    <t>MƠ</t>
  </si>
  <si>
    <t>MƠ KHÔ</t>
  </si>
  <si>
    <t>MUỖM, QUÉO</t>
  </si>
  <si>
    <t>NA</t>
  </si>
  <si>
    <t>NHÃN</t>
  </si>
  <si>
    <t>Bơ</t>
  </si>
  <si>
    <t>Dầu Thảo Mộc (Lạc, Vừng, Cám)</t>
  </si>
  <si>
    <t>0</t>
  </si>
  <si>
    <t>Mỡ Lợn Muối</t>
  </si>
  <si>
    <t>Mỡ Lợn Nước</t>
  </si>
  <si>
    <t>Bơ Thực Vật</t>
  </si>
  <si>
    <t>Dầu Bông</t>
  </si>
  <si>
    <t>Dầu Cám Gạo</t>
  </si>
  <si>
    <t>Dầu Cọ</t>
  </si>
  <si>
    <t>Dầu Dừa</t>
  </si>
  <si>
    <t>Dầu Đậu Tương</t>
  </si>
  <si>
    <t>Dầu Lạc</t>
  </si>
  <si>
    <t>Dầu Mè</t>
  </si>
  <si>
    <t>Dầu Ngô</t>
  </si>
  <si>
    <t>Dầu Oliu</t>
  </si>
  <si>
    <t>BẦU</t>
  </si>
  <si>
    <t>BÍ ĐAO (BÍ XANH)</t>
  </si>
  <si>
    <t>BÍ NGÔ</t>
  </si>
  <si>
    <t>CÀ BÁT</t>
  </si>
  <si>
    <t>CÀ CHUA</t>
  </si>
  <si>
    <t>CÀ PHÁO</t>
  </si>
  <si>
    <t>CÀ RỐT (CỦ ĐỎ,VÀNG)</t>
  </si>
  <si>
    <t>CÀ RỐT KHÔ</t>
  </si>
  <si>
    <t>CÀ TÍM</t>
  </si>
  <si>
    <t>CẢI BẮP</t>
  </si>
  <si>
    <t>CẢI BẮP ĐỎ</t>
  </si>
  <si>
    <t>CẢI BẮP KHÔ</t>
  </si>
  <si>
    <t>CẢI CÚC</t>
  </si>
  <si>
    <t>CẢI SOONG</t>
  </si>
  <si>
    <t>CẢI THÌA (CẢI TRẮNG)</t>
  </si>
  <si>
    <t>CẢI XANH</t>
  </si>
  <si>
    <t>CẦN TÂY</t>
  </si>
  <si>
    <t xml:space="preserve"> CHUỐI XANH</t>
  </si>
  <si>
    <t>CỦ CẢI ĐỎ</t>
  </si>
  <si>
    <t>CỦ CẢI TRẮNG</t>
  </si>
  <si>
    <t>CỦ CẢI TRẮNG KHÔ</t>
  </si>
  <si>
    <t xml:space="preserve"> -</t>
  </si>
  <si>
    <t>CỦ ĐẬU</t>
  </si>
  <si>
    <t>CỦ NIỄNG</t>
  </si>
  <si>
    <t>DỌC CỦ CẢI (NON)</t>
  </si>
  <si>
    <t>DỌC MÙNG</t>
  </si>
  <si>
    <t>DƯA CHUỘT</t>
  </si>
  <si>
    <t>DƯA GANG</t>
  </si>
  <si>
    <t>ĐẬU CÔ VE</t>
  </si>
  <si>
    <t>ĐẬU ĐŨA</t>
  </si>
  <si>
    <t>ĐẬU HÀ LAN</t>
  </si>
  <si>
    <t>ĐẬU RỒNG (QUẢ NON)</t>
  </si>
  <si>
    <t>ĐU ĐỦ XANH</t>
  </si>
  <si>
    <t>GẤC</t>
  </si>
  <si>
    <t>GIÁ ĐẬU TƯƠNG</t>
  </si>
  <si>
    <t>GIÁ ĐẬU XANH</t>
  </si>
  <si>
    <t>HÀNH CỦ TƯƠI</t>
  </si>
  <si>
    <t>HÀNH LÁ (HÀNH HOA)</t>
  </si>
  <si>
    <t>HÀNH TÂY</t>
  </si>
  <si>
    <t>HẠT SEN TƯƠI</t>
  </si>
  <si>
    <t>HẠT SEN KHÔ</t>
  </si>
  <si>
    <t>HẸ LÁ</t>
  </si>
  <si>
    <t>HOA CHUỐI</t>
  </si>
  <si>
    <t>HOA LÝ</t>
  </si>
  <si>
    <t>KHẾ</t>
  </si>
  <si>
    <t>LÁ LỐT</t>
  </si>
  <si>
    <t>LÁ ME</t>
  </si>
  <si>
    <t>LÁ MƠ LÔNG</t>
  </si>
  <si>
    <t>LÁ SẮN TƯƠI</t>
  </si>
  <si>
    <t>MĂNG CHUA</t>
  </si>
  <si>
    <t>MĂNG KHÔ</t>
  </si>
  <si>
    <t>MĂNG TÂY</t>
  </si>
  <si>
    <t>MĂNG TRE</t>
  </si>
  <si>
    <t>MƯỚP</t>
  </si>
  <si>
    <t>MƯỚP ĐẮNG</t>
  </si>
  <si>
    <t>MƯỚP NHẬT BẢN</t>
  </si>
  <si>
    <t>NGẢI CỨU</t>
  </si>
  <si>
    <t>NGÔ BAO TỬ</t>
  </si>
  <si>
    <t>NGÓ SEN</t>
  </si>
  <si>
    <t>NỤ MƯỚP</t>
  </si>
  <si>
    <t>ỚT ĐỎ TO</t>
  </si>
  <si>
    <t>ỚT VÀNG TO</t>
  </si>
  <si>
    <t>ỚT XANH TO</t>
  </si>
  <si>
    <t>0.010</t>
  </si>
  <si>
    <t>QUẢ DỌC</t>
  </si>
  <si>
    <t>QUẢ ME CHUA</t>
  </si>
  <si>
    <t>RAU BÍ</t>
  </si>
  <si>
    <t>0.290</t>
  </si>
  <si>
    <t>RAU CÂU KHÔ</t>
  </si>
  <si>
    <t>5.80</t>
  </si>
  <si>
    <t>RAU CÂU TƯƠI</t>
  </si>
  <si>
    <t>RAU DIẾP</t>
  </si>
  <si>
    <t>0.40</t>
  </si>
  <si>
    <t>RAU ĐAY</t>
  </si>
  <si>
    <t>RAU GIẤP CÁ, DIẾP CÁ</t>
  </si>
  <si>
    <t>RAU GIỀN CƠM</t>
  </si>
  <si>
    <t>RAU GIỀN ĐỎ</t>
  </si>
  <si>
    <t>RAU GIỀN TRẮNG</t>
  </si>
  <si>
    <t>RAU HÚNG</t>
  </si>
  <si>
    <t>RAU KHOAI LANG</t>
  </si>
  <si>
    <t>RAU KINH GIỚI</t>
  </si>
  <si>
    <t>RAU MÁ RỪNG</t>
  </si>
  <si>
    <t>RAU MÁ, MÁ MƠ</t>
  </si>
  <si>
    <t>RAU MỒNG TƠI</t>
  </si>
  <si>
    <t>RAU MÙI</t>
  </si>
  <si>
    <t>0.87</t>
  </si>
  <si>
    <t>0.149</t>
  </si>
  <si>
    <t>RAU MÙI TÀU</t>
  </si>
  <si>
    <t>RAU MUỐNG</t>
  </si>
  <si>
    <t>RAU MUỐNG KHÔ</t>
  </si>
  <si>
    <t>RAU NGỔ</t>
  </si>
  <si>
    <t>RAU NGÓT</t>
  </si>
  <si>
    <t>RAU NGÓT KHÔ</t>
  </si>
  <si>
    <t>RAU RĂM</t>
  </si>
  <si>
    <t>RAU RÚT</t>
  </si>
  <si>
    <t>RAU SÀ LÁCH</t>
  </si>
  <si>
    <t>0.90</t>
  </si>
  <si>
    <t>RAU SAM</t>
  </si>
  <si>
    <t>RAU SẮNG(CHÙA HƯƠNG)</t>
  </si>
  <si>
    <t>RAU TÀU BAY</t>
  </si>
  <si>
    <t>RAU THƠM</t>
  </si>
  <si>
    <t>SẤU XANH</t>
  </si>
  <si>
    <t>SU HÀO</t>
  </si>
  <si>
    <t>SU HAO KHÔ</t>
  </si>
  <si>
    <t>SÚP LƠ TRẮNG</t>
  </si>
  <si>
    <t>SÚP LƠ XANH</t>
  </si>
  <si>
    <t>THÌA LÀ</t>
  </si>
  <si>
    <t>TÍA TÔ</t>
  </si>
  <si>
    <t>TỎI TA</t>
  </si>
  <si>
    <t>TỎI TÂY (CẢ LÁ)</t>
  </si>
  <si>
    <t>TRÁM ĐEN CHÍN</t>
  </si>
  <si>
    <t>TRÁM XANH SỐNG, TRÁM TRẮNG</t>
  </si>
  <si>
    <t>XƯƠNG SÔNG</t>
  </si>
  <si>
    <t>CÀ CHUA MUỐI</t>
  </si>
  <si>
    <t>CÀ MUỐI NÉN</t>
  </si>
  <si>
    <t>CÀ MUỐI SỐI</t>
  </si>
  <si>
    <t>DƯA CẢI BẮP</t>
  </si>
  <si>
    <t>DƯA CẢI BẸ</t>
  </si>
  <si>
    <t>DƯA CẢI SEN</t>
  </si>
  <si>
    <t>DƯA CHUỘT MUỐI</t>
  </si>
  <si>
    <t>DƯA GIÁ (ĐẬU XANH)</t>
  </si>
  <si>
    <t>HÀNH CỦ MUỐI</t>
  </si>
  <si>
    <t>KIỆU MUỐI</t>
  </si>
  <si>
    <t>NHÚT (MUỐI TỪ MÍT NON, NGỌN  ĐẬU XANH NON)</t>
  </si>
  <si>
    <t>MEN BIA KHÔ</t>
  </si>
  <si>
    <t>MEN BIA TƯƠI</t>
  </si>
  <si>
    <t>MỘC NHĨ</t>
  </si>
  <si>
    <t>NẤM HƯƠNG KHÔ</t>
  </si>
  <si>
    <t>NẤM HƯƠNG TƯƠI</t>
  </si>
  <si>
    <t>NẤM MỠ (NẤM TÂY)</t>
  </si>
  <si>
    <t>NẤM RƠM</t>
  </si>
  <si>
    <t>NẤM THƯỜNG TƯƠI</t>
  </si>
  <si>
    <t>CÙI DỪA GIÀ</t>
  </si>
  <si>
    <t>CÙI DỪA NON</t>
  </si>
  <si>
    <t>ĐẬU CÔ VE (HẠT)</t>
  </si>
  <si>
    <t>ĐẬU ĐEN (HẠT)</t>
  </si>
  <si>
    <t>ĐẬU ĐŨA (HẠT)</t>
  </si>
  <si>
    <t>ĐẬU HÀ LAN (HẠT)</t>
  </si>
  <si>
    <t>ĐẬU TƯƠNG (ĐẬU NÀNH)</t>
  </si>
  <si>
    <t>ĐẬU TRẮNG HẠT (ĐẬU TÂY)</t>
  </si>
  <si>
    <t>ĐẬU TRỨNG CUỐC</t>
  </si>
  <si>
    <t>ĐẬU XANH (ĐẬU TẮT)</t>
  </si>
  <si>
    <t>HẠT DẺ TO</t>
  </si>
  <si>
    <t>HẠT DẺ TƯƠI</t>
  </si>
  <si>
    <t>HẠT DẺ KHÔ</t>
  </si>
  <si>
    <t>HẠT ĐEN</t>
  </si>
  <si>
    <t>HẠT ĐIỀU</t>
  </si>
  <si>
    <t>HẠT MÍT</t>
  </si>
  <si>
    <t>LẠC HẠT</t>
  </si>
  <si>
    <t>QUẢ CỌ TƯƠI</t>
  </si>
  <si>
    <t>QUẢ ĐẠI HÁI TƯƠI</t>
  </si>
  <si>
    <t>VỪNG (ĐEN, TRẮNG)</t>
  </si>
  <si>
    <t>BỘT ĐẬU TƯƠNG ĐÃ LOẠI BÉO (ĐẬU NÀNH)</t>
  </si>
  <si>
    <t>BỘT ĐẬU TƯƠNG RANG CHÍN</t>
  </si>
  <si>
    <t>BỘT ĐẬU XANH</t>
  </si>
  <si>
    <t>BỘT LẠC</t>
  </si>
  <si>
    <t>ĐẬU PHỤ</t>
  </si>
  <si>
    <t>ĐẬU PHỤ CHÚC</t>
  </si>
  <si>
    <t>ĐẬU PHỤ NƯỚNG</t>
  </si>
  <si>
    <t>HẠT BÍ ĐỎ RANG</t>
  </si>
  <si>
    <t>HẠT DƯA ĐỎ RANG (DƯA HẤU)</t>
  </si>
  <si>
    <t>HẠT ĐIỀU KHÔ, CHIÊN DẦU</t>
  </si>
  <si>
    <t>SỮA BỘT ĐẬU NÀNH</t>
  </si>
  <si>
    <t>SỮA ĐẬU NÀNH (100G ĐẬU/LÍT)</t>
  </si>
  <si>
    <t>TÀO PHỚ</t>
  </si>
  <si>
    <t>CỦ ẤU</t>
  </si>
  <si>
    <t>CỦ CÁI</t>
  </si>
  <si>
    <t xml:space="preserve">CỦ DONG </t>
  </si>
  <si>
    <t>CỦ SẮN</t>
  </si>
  <si>
    <t xml:space="preserve">CỦ SẮN DÂY </t>
  </si>
  <si>
    <t>CỦ SÚNG KHÔ (ĐÃ BỎ VỎ)</t>
  </si>
  <si>
    <t xml:space="preserve">CỦ TỪ </t>
  </si>
  <si>
    <t>KHOAI LANG</t>
  </si>
  <si>
    <t>KHOAI LANG NGHỆ</t>
  </si>
  <si>
    <t xml:space="preserve">KHOAI MÔN </t>
  </si>
  <si>
    <t>KHOAI NƯỚC</t>
  </si>
  <si>
    <t xml:space="preserve">KHOAI RIỀNG </t>
  </si>
  <si>
    <t>KHOAI SỌ</t>
  </si>
  <si>
    <t>KHOAI TÂY</t>
  </si>
  <si>
    <t xml:space="preserve">MIẾN DONG </t>
  </si>
  <si>
    <t xml:space="preserve">BỘT DONG LỌC </t>
  </si>
  <si>
    <t>BỘT KHOAI LANG</t>
  </si>
  <si>
    <t>BỘT KHOAI RIỀNG( BỘT ĐAO)</t>
  </si>
  <si>
    <t>BỘT KHOAI TÂY( LỌC)</t>
  </si>
  <si>
    <t xml:space="preserve">BỘT SẮN </t>
  </si>
  <si>
    <t xml:space="preserve">BỘT SẮN DÂY </t>
  </si>
  <si>
    <t xml:space="preserve">KHOAI LANG KHÔ </t>
  </si>
  <si>
    <t>KHOAI TÂY KHÔ</t>
  </si>
  <si>
    <t>KHOAI TÂY LÁT CHIÊN</t>
  </si>
  <si>
    <t xml:space="preserve">SẮN KHÔ </t>
  </si>
  <si>
    <t xml:space="preserve">TRÂN CHÂU SẮN </t>
  </si>
  <si>
    <t>CHUỐI NƯỚC ĐƯỜNG</t>
  </si>
  <si>
    <t xml:space="preserve">DƯA CHUỘT HỘP </t>
  </si>
  <si>
    <t>DỨA HỘP</t>
  </si>
  <si>
    <t xml:space="preserve">LẠC CHAO DẦU </t>
  </si>
  <si>
    <t>MẮC COỌC NƯỚC ĐƯỜNG</t>
  </si>
  <si>
    <t>MẬN NƯỚC ĐƯỜNG</t>
  </si>
  <si>
    <t>MỨT BÍ NGÔ</t>
  </si>
  <si>
    <t>MỨT CAM CÓ VỎ</t>
  </si>
  <si>
    <t>MỨT CHUỐI</t>
  </si>
  <si>
    <t>MỨT DỨA</t>
  </si>
  <si>
    <t>MỨT ĐU ĐỦ</t>
  </si>
  <si>
    <t>NHÃN NƯỚC ĐƯỜNG</t>
  </si>
  <si>
    <t>NƯỚC DỨA HỘP</t>
  </si>
  <si>
    <t>VẢI NƯỚC ĐƯỜNG</t>
  </si>
  <si>
    <t>CÁ THU HỘP</t>
  </si>
  <si>
    <t>CÁ TRÍCH HỘP</t>
  </si>
  <si>
    <t>THỊT BÒ HỘP</t>
  </si>
  <si>
    <t xml:space="preserve">THỊT GÀ HỘP </t>
  </si>
  <si>
    <t xml:space="preserve">THỊT LỢN HỘP </t>
  </si>
  <si>
    <t xml:space="preserve">THỊT LỢN, THỊT BÒ XAY HỘP </t>
  </si>
  <si>
    <t xml:space="preserve">THỊT VỊT HẦM </t>
  </si>
  <si>
    <t>BÁNH BÍCH QUY</t>
  </si>
  <si>
    <t>BÁNH CHẢ</t>
  </si>
  <si>
    <t>BÁNH CON CÁ</t>
  </si>
  <si>
    <t>BÁNH ĐẬU XANH</t>
  </si>
  <si>
    <t>BÁNH KEM XỐP</t>
  </si>
  <si>
    <t>BÁNH KHẢO CHAY</t>
  </si>
  <si>
    <t>BÁNH QUẾ</t>
  </si>
  <si>
    <t>BÁNH SÔ CÔ LA</t>
  </si>
  <si>
    <t>BÁNH THỎI SÔ CÔ LA</t>
  </si>
  <si>
    <t>BÁNH TRỨNG NHỆN</t>
  </si>
  <si>
    <t>BỘT CA CAO</t>
  </si>
  <si>
    <t>ĐƯỜNG CÁT</t>
  </si>
  <si>
    <t>ĐƯỜNG KÍNH</t>
  </si>
  <si>
    <t>KẸO BƠ CỨNG</t>
  </si>
  <si>
    <t>KẸO CÀ PHÊ</t>
  </si>
  <si>
    <t>KẸO CAM CHANH</t>
  </si>
  <si>
    <t>KẸO DỪA MỀM</t>
  </si>
  <si>
    <t>KẸO DỨA MỀM</t>
  </si>
  <si>
    <t>KẸO LẠC</t>
  </si>
  <si>
    <t>KẸO PASTILLE (KẸO NGẬM BẠC HÀ)</t>
  </si>
  <si>
    <t>KẸO SÔ CÔ LA</t>
  </si>
  <si>
    <t>KẸO SỮA</t>
  </si>
  <si>
    <t>KẸO VỪNG VIÊN</t>
  </si>
  <si>
    <t>MẠCH NHA</t>
  </si>
  <si>
    <t>MẬT ONG</t>
  </si>
  <si>
    <t>MỨT LẠC</t>
  </si>
  <si>
    <t>LÒNG ĐỎ TRỨNG GÀ</t>
  </si>
  <si>
    <t>LÒNG TRẮNG TRỨNG GÀ</t>
  </si>
  <si>
    <t>TRỨNG VỊT</t>
  </si>
  <si>
    <t>LÒNG ĐỎ TRỨNG VỊT</t>
  </si>
  <si>
    <t>LÒNG TRẮNG TRỨNG VỊT</t>
  </si>
  <si>
    <t>TRỨNG CHIM CÚT</t>
  </si>
  <si>
    <t>TRỨNG CÁ</t>
  </si>
  <si>
    <t>TRỨNG CÁ MUỐI</t>
  </si>
  <si>
    <t>TRỨNG VỊT LỘN</t>
  </si>
  <si>
    <t>BỘT TRỨNG</t>
  </si>
  <si>
    <t>SỮA BÒ TƯƠI</t>
  </si>
  <si>
    <t>SỮA DÊ TƯƠI</t>
  </si>
  <si>
    <t>SỮA MẸ (SỮA NGƯỜI)</t>
  </si>
  <si>
    <t>SỮA CHUA (TỪ SỮA BÒ)</t>
  </si>
  <si>
    <t>SỮA CHUA VỚT BÉO</t>
  </si>
  <si>
    <t>SỮA BỘT TOÀN PHẦN</t>
  </si>
  <si>
    <t>SỮA BỘT TÁCH BÉO</t>
  </si>
  <si>
    <t>SỮA ĐẶC CÓ ĐƯỜNG VIỆT NAM</t>
  </si>
  <si>
    <t>PHO MÁT</t>
  </si>
  <si>
    <t>0.0</t>
  </si>
  <si>
    <t>0.000</t>
  </si>
  <si>
    <t>0.510</t>
  </si>
  <si>
    <t>0.390</t>
  </si>
  <si>
    <t>THỊT BÊ NẠC</t>
  </si>
  <si>
    <t>0.440</t>
  </si>
  <si>
    <t>0.270</t>
  </si>
  <si>
    <t>0.830</t>
  </si>
  <si>
    <t>0.080</t>
  </si>
  <si>
    <t>0.740</t>
  </si>
  <si>
    <t>0.190</t>
  </si>
  <si>
    <t>THỊT BÒ LOẠI I</t>
  </si>
  <si>
    <t>0.900</t>
  </si>
  <si>
    <t>0.630</t>
  </si>
  <si>
    <t>0.090</t>
  </si>
  <si>
    <t>0.030</t>
  </si>
  <si>
    <t>THỊT BÒ LOẠI II</t>
  </si>
  <si>
    <t>THỊT BÒ, LƯNG, NẠC</t>
  </si>
  <si>
    <t>0.860</t>
  </si>
  <si>
    <t>0.480</t>
  </si>
  <si>
    <t>0.120</t>
  </si>
  <si>
    <t>0.170</t>
  </si>
  <si>
    <t>0.140</t>
  </si>
  <si>
    <t xml:space="preserve">THỊT BÒ, LƯNG, NẠC VÀ MỠ </t>
  </si>
  <si>
    <t>0.310</t>
  </si>
  <si>
    <t>0.020</t>
  </si>
  <si>
    <t xml:space="preserve">THỊT BỒ CÂU RA RÀNG </t>
  </si>
  <si>
    <t xml:space="preserve">THỊT CHÓ SẤN </t>
  </si>
  <si>
    <t>THỊT CHÓ VAI</t>
  </si>
  <si>
    <t>THỊT CỪU, NẠC</t>
  </si>
  <si>
    <t>0.300</t>
  </si>
  <si>
    <t>THỊT DÊ , NẠC</t>
  </si>
  <si>
    <t>0.330</t>
  </si>
  <si>
    <t>0.040</t>
  </si>
  <si>
    <t>0.940</t>
  </si>
  <si>
    <t>0.100</t>
  </si>
  <si>
    <t xml:space="preserve">THỊT GÀ RỪNG </t>
  </si>
  <si>
    <t>THỊT GÀ TA</t>
  </si>
  <si>
    <t>0.870</t>
  </si>
  <si>
    <t>THỊT GÀ TÂY</t>
  </si>
  <si>
    <t>0.820</t>
  </si>
  <si>
    <t>0.840</t>
  </si>
  <si>
    <t>0.180</t>
  </si>
  <si>
    <t>THỊT HƯƠU</t>
  </si>
  <si>
    <t>0.410</t>
  </si>
  <si>
    <t>0.070</t>
  </si>
  <si>
    <t xml:space="preserve">THỊT LỢN MỠ </t>
  </si>
  <si>
    <t>0.990</t>
  </si>
  <si>
    <t xml:space="preserve">THỊT LỢN NẠC </t>
  </si>
  <si>
    <t>0.770</t>
  </si>
  <si>
    <t>0.230</t>
  </si>
  <si>
    <t>0.620</t>
  </si>
  <si>
    <t>THỊT LỢN NỬA NẠC, NỬA MỠ</t>
  </si>
  <si>
    <t>0.580</t>
  </si>
  <si>
    <t>0.160</t>
  </si>
  <si>
    <t>THỊT NGỖNG</t>
  </si>
  <si>
    <t>0.980</t>
  </si>
  <si>
    <t>0.210</t>
  </si>
  <si>
    <t>THỊT NGỰA</t>
  </si>
  <si>
    <t>2.0</t>
  </si>
  <si>
    <t>0.050</t>
  </si>
  <si>
    <t>0.960</t>
  </si>
  <si>
    <t>THỊT THỎ NHÀ</t>
  </si>
  <si>
    <t>0.260</t>
  </si>
  <si>
    <t>0.220</t>
  </si>
  <si>
    <t xml:space="preserve">THỊT THỎ RỪNG </t>
  </si>
  <si>
    <t>0.520</t>
  </si>
  <si>
    <t>0.110</t>
  </si>
  <si>
    <t>0.540</t>
  </si>
  <si>
    <t>0.360</t>
  </si>
  <si>
    <t>THỊT TRÂU</t>
  </si>
  <si>
    <t>0.250</t>
  </si>
  <si>
    <t>0.370</t>
  </si>
  <si>
    <t xml:space="preserve">THỊT TRÂU BẮP </t>
  </si>
  <si>
    <t xml:space="preserve">THỊT TRÂU CỐ </t>
  </si>
  <si>
    <t>THỊT TRÂU ĐÙI</t>
  </si>
  <si>
    <t xml:space="preserve">THỊT TRÂU THĂN </t>
  </si>
  <si>
    <t>THỊT VỊT</t>
  </si>
  <si>
    <t>BẦU DỤC BÒ</t>
  </si>
  <si>
    <t>BẦU DỤC LỢN</t>
  </si>
  <si>
    <t>0.970</t>
  </si>
  <si>
    <t>BÌ LỢN</t>
  </si>
  <si>
    <t xml:space="preserve">CHÂN GIÒ LỢN </t>
  </si>
  <si>
    <t>0.530</t>
  </si>
  <si>
    <t>DẠ DÀY BÒ</t>
  </si>
  <si>
    <t xml:space="preserve">DẠ DÀY LỢN </t>
  </si>
  <si>
    <t xml:space="preserve">ĐẦU BÒ </t>
  </si>
  <si>
    <t>ĐẦU LỢN</t>
  </si>
  <si>
    <t>ĐUÔI BÒ</t>
  </si>
  <si>
    <t>ĐUÔI LỢN</t>
  </si>
  <si>
    <t>0.280</t>
  </si>
  <si>
    <t>GAN BÒ</t>
  </si>
  <si>
    <t>GAN GÀ</t>
  </si>
  <si>
    <t>GAN LỢN</t>
  </si>
  <si>
    <t>GAN VỊT</t>
  </si>
  <si>
    <t>GÂN CHÂN BÒ</t>
  </si>
  <si>
    <t>LƯỠI BÒ</t>
  </si>
  <si>
    <t>LƯỠI LỢN</t>
  </si>
  <si>
    <t>LÒNG LỢN (RUỘT GIÀ)</t>
  </si>
  <si>
    <t>LÒNG LỢN (RUỘT NON)</t>
  </si>
  <si>
    <t>MỀ GÀ</t>
  </si>
  <si>
    <t>ÓC BÒ</t>
  </si>
  <si>
    <t>ÓC LỢN</t>
  </si>
  <si>
    <t>PHỔI BÒ</t>
  </si>
  <si>
    <t>PHỔI LỢN</t>
  </si>
  <si>
    <t>TAI LỢN</t>
  </si>
  <si>
    <t>TIM BÒ</t>
  </si>
  <si>
    <t>TIM GÀ</t>
  </si>
  <si>
    <t>TIM LỢN</t>
  </si>
  <si>
    <t>TIẾT BÒ</t>
  </si>
  <si>
    <t>TIẾT LỢN LUỘC</t>
  </si>
  <si>
    <t>TIẾT LỢN SỐNG</t>
  </si>
  <si>
    <t>TUỶ XƯƠNG BÒ</t>
  </si>
  <si>
    <t>TUỶ XƯƠNG LỢN</t>
  </si>
  <si>
    <t>BA TÊ</t>
  </si>
  <si>
    <t xml:space="preserve">CHẢ LỢN </t>
  </si>
  <si>
    <t>CHẢ QUẾ LỢN</t>
  </si>
  <si>
    <t>DĂM BÔNG LỢN</t>
  </si>
  <si>
    <t>DỒI LỢN</t>
  </si>
  <si>
    <t>GIÒ BÒ</t>
  </si>
  <si>
    <t>GIÒ LỤA</t>
  </si>
  <si>
    <t xml:space="preserve">GIÒ THỦ LỢN </t>
  </si>
  <si>
    <t>LẠP XƯỞNG</t>
  </si>
  <si>
    <t>NEM CHẠO</t>
  </si>
  <si>
    <t xml:space="preserve">NEM CHUA </t>
  </si>
  <si>
    <t>RUỐC THỊT LỢN</t>
  </si>
  <si>
    <t>THỊT BÒ KHÔ</t>
  </si>
  <si>
    <t>THỊT TRÂU KHÔ</t>
  </si>
  <si>
    <t>XÚC XÍCH</t>
  </si>
  <si>
    <t>BỘT CÓC</t>
  </si>
  <si>
    <t>CHÂU CHẤU</t>
  </si>
  <si>
    <t>ẾCH ( THỊT ĐÙI)</t>
  </si>
  <si>
    <t>NHỘNG</t>
  </si>
  <si>
    <t>LÒNG GÀ (CẢ BỘ)</t>
  </si>
  <si>
    <t>CÁ BỐNG</t>
  </si>
  <si>
    <t>CÁ CHÀY</t>
  </si>
  <si>
    <t>CÁ CHÉP</t>
  </si>
  <si>
    <t>CÁ DƯA</t>
  </si>
  <si>
    <t>CÁ DẦU</t>
  </si>
  <si>
    <t>CÁ DIẾC</t>
  </si>
  <si>
    <t>CÁ ĐAO</t>
  </si>
  <si>
    <t>CÁ ĐÉ</t>
  </si>
  <si>
    <t>CÁ ĐỐI</t>
  </si>
  <si>
    <t xml:space="preserve">CÁ ĐỒNG TIỀN </t>
  </si>
  <si>
    <t>CÁ HỒI</t>
  </si>
  <si>
    <t>CÁ KHÔ ( CHIM, THU, NỤ, ĐÉ)</t>
  </si>
  <si>
    <t>CÁ LÁC</t>
  </si>
  <si>
    <t>CÁ MÈ</t>
  </si>
  <si>
    <t>CÁ MỠ</t>
  </si>
  <si>
    <t>CÁ MỐI</t>
  </si>
  <si>
    <t>CÁ NẠC</t>
  </si>
  <si>
    <t>CÁ NGỪ</t>
  </si>
  <si>
    <t>CÁ NỤC</t>
  </si>
  <si>
    <t>CÁ PHÈN</t>
  </si>
  <si>
    <t>CÁ QUẢ</t>
  </si>
  <si>
    <t>CÁ RÔ ĐỒNG</t>
  </si>
  <si>
    <t>CÁ RÔ PHI</t>
  </si>
  <si>
    <t>CÁ THỜN BƠN (CÁ BƠN)</t>
  </si>
  <si>
    <t>CÁ THU</t>
  </si>
  <si>
    <t>CÁ THU ĐAO</t>
  </si>
  <si>
    <t>CÁ TRẠCH (CÁ CHẠCH)</t>
  </si>
  <si>
    <t>CÁ TRẮM CỎ</t>
  </si>
  <si>
    <t>CÁ TRÊ</t>
  </si>
  <si>
    <t>CÁ TRÍCH</t>
  </si>
  <si>
    <t>CÁ TRÔI</t>
  </si>
  <si>
    <t>CUA BẾ</t>
  </si>
  <si>
    <t>CUA ĐỒNG</t>
  </si>
  <si>
    <t>HẢI SÂM</t>
  </si>
  <si>
    <t>HẾN</t>
  </si>
  <si>
    <t>LƯƠN</t>
  </si>
  <si>
    <t>MỰC KHÔ</t>
  </si>
  <si>
    <t>MỰC TƯƠI</t>
  </si>
  <si>
    <t>ỐC BƯƠU</t>
  </si>
  <si>
    <t>ỐC ĐÁ</t>
  </si>
  <si>
    <t>ỐC NHỒI</t>
  </si>
  <si>
    <t>ỐC VẶN</t>
  </si>
  <si>
    <t>RẠM (MUỐI, ĐỒ)</t>
  </si>
  <si>
    <t>RẠM TƯƠI</t>
  </si>
  <si>
    <t>RƯƠI</t>
  </si>
  <si>
    <t>SÒ</t>
  </si>
  <si>
    <t>TÉP GẠO</t>
  </si>
  <si>
    <t>TÉP KHÔ</t>
  </si>
  <si>
    <t>TÔM BIỂN</t>
  </si>
  <si>
    <t>TÔM ĐỒNG</t>
  </si>
  <si>
    <t>TÔM KHÔ</t>
  </si>
  <si>
    <t>TRAI</t>
  </si>
  <si>
    <t>BÁNH PHỒNG TÔM RÁN</t>
  </si>
  <si>
    <t>BÁNH PHỒNG TÔM SỐNG</t>
  </si>
  <si>
    <t>BỘT CÁ</t>
  </si>
  <si>
    <t>RUỐC CÁ QUẢ</t>
  </si>
  <si>
    <t>RUỐC TÔM</t>
  </si>
  <si>
    <t xml:space="preserve">NHÃN KHÔ </t>
  </si>
  <si>
    <t>NHO NGỌT</t>
  </si>
  <si>
    <t>NHO TA ( NHO CHUA )</t>
  </si>
  <si>
    <t>NHÓT</t>
  </si>
  <si>
    <t>ỔI</t>
  </si>
  <si>
    <t>QUẢ BƠ VỎ TÍM</t>
  </si>
  <si>
    <t>QUẢ CÓC</t>
  </si>
  <si>
    <t>QUẢ THANH LONG</t>
  </si>
  <si>
    <t>QUẢ TRỨNG GÀ</t>
  </si>
  <si>
    <t>QUẤT CHÍN (CẢ VỎ)</t>
  </si>
  <si>
    <t>QUÍT</t>
  </si>
  <si>
    <t>SẦU RIÊNG</t>
  </si>
  <si>
    <t>SẤU CHÍN</t>
  </si>
  <si>
    <t>TÁO TA</t>
  </si>
  <si>
    <t>TÁO TÂY</t>
  </si>
  <si>
    <t>VẢI</t>
  </si>
  <si>
    <t>VẢI KHÔ</t>
  </si>
  <si>
    <t xml:space="preserve">VÚ SỮA </t>
  </si>
  <si>
    <t>XOÀI CHÍN</t>
  </si>
  <si>
    <t>QUẢ KIWI</t>
  </si>
  <si>
    <t>Mã thực phẩm</t>
  </si>
  <si>
    <t>Fresh maize seeds, raw</t>
  </si>
  <si>
    <t xml:space="preserve">Yellow maize, dried seeds </t>
  </si>
  <si>
    <t>Wheat flour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</si>
  <si>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</si>
  <si>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</si>
  <si>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</si>
  <si>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</si>
  <si>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</si>
  <si>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</si>
  <si>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</si>
  <si>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</si>
  <si>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</si>
  <si>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</si>
  <si>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</si>
  <si>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</si>
  <si>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</si>
  <si>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</si>
  <si>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</si>
  <si>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</si>
  <si>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</si>
  <si>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</si>
  <si>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</si>
  <si>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</si>
  <si>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</si>
  <si>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</si>
  <si>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</si>
  <si>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</si>
  <si>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</si>
  <si>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</si>
  <si>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</si>
  <si>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</si>
  <si>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</si>
  <si>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</si>
  <si>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</si>
  <si>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</si>
  <si>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</si>
  <si>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</si>
  <si>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</si>
  <si>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</si>
  <si>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</si>
  <si>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</si>
  <si>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</si>
  <si>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</si>
  <si>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</si>
  <si>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</si>
  <si>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</si>
  <si>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</si>
  <si>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</si>
  <si>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</si>
  <si>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</si>
  <si>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</si>
  <si>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Glutinous rice, milled, raw</t>
  </si>
  <si>
    <t>Rice, brown or hulled,raw</t>
  </si>
  <si>
    <t xml:space="preserve">Foxtail millet,raw </t>
  </si>
  <si>
    <t>Fill steam bread</t>
  </si>
  <si>
    <t>Vietnamese rice paper, raw</t>
  </si>
  <si>
    <t>Rice cake made of rice flour, and lime water, cooked</t>
  </si>
  <si>
    <t>Bread, French style</t>
  </si>
  <si>
    <t>Rice noodles, raw</t>
  </si>
  <si>
    <t>Fried breadstick, Youtiao</t>
  </si>
  <si>
    <t>Winged yam, purple yam</t>
  </si>
  <si>
    <t>Arrow root, raw</t>
  </si>
  <si>
    <t>Cassava, manioc, raw</t>
  </si>
  <si>
    <t>Kudzu root, Japanese arrowroot</t>
  </si>
  <si>
    <t>Troppical water lilies root, dried</t>
  </si>
  <si>
    <t>Taro, Indian taro, raw</t>
  </si>
  <si>
    <t>Water taro, raw</t>
  </si>
  <si>
    <t>Edible canna, raw</t>
  </si>
  <si>
    <t>Taro tuber, raw</t>
  </si>
  <si>
    <t>Arrow root flour</t>
  </si>
  <si>
    <t>Flour sweet potato</t>
  </si>
  <si>
    <t>Edible canna flour</t>
  </si>
  <si>
    <t>White potato flour</t>
  </si>
  <si>
    <t>Cassava flour</t>
  </si>
  <si>
    <t>Kudzu root flour</t>
  </si>
  <si>
    <t>Sweet potato, dried</t>
  </si>
  <si>
    <t>Potato crisp, fried</t>
  </si>
  <si>
    <t>Casava, dried</t>
  </si>
  <si>
    <t>Topioca</t>
  </si>
  <si>
    <t>White potato, dried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</si>
  <si>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</si>
  <si>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</si>
  <si>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</si>
  <si>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</si>
  <si>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</si>
  <si>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</si>
  <si>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</si>
  <si>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</si>
  <si>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</si>
  <si>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</si>
  <si>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</si>
  <si>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</si>
  <si>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</si>
  <si>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</si>
  <si>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</si>
  <si>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</si>
  <si>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</si>
  <si>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</si>
  <si>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</si>
  <si>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</si>
  <si>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</si>
  <si>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</si>
  <si>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</si>
  <si>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</si>
  <si>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</si>
  <si>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</si>
  <si>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</si>
  <si>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</si>
  <si>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</si>
  <si>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</si>
  <si>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</si>
  <si>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</si>
  <si>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</si>
  <si>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Coconut meat, mature, raw</t>
  </si>
  <si>
    <t>Coconut meat, immature, raw</t>
  </si>
  <si>
    <t>French bean seeds, dried</t>
  </si>
  <si>
    <t>Black bean seeds, dried</t>
  </si>
  <si>
    <t>Yardlong bean, seed, dried</t>
  </si>
  <si>
    <t>Fried peas, seed, dried</t>
  </si>
  <si>
    <t>Soybean, seed, dried</t>
  </si>
  <si>
    <t>Kidney bean, white bean, seeds, dried</t>
  </si>
  <si>
    <t>Egg bird bean seeds, dried</t>
  </si>
  <si>
    <t>Mungo bean</t>
  </si>
  <si>
    <t>Chestnut, fresh</t>
  </si>
  <si>
    <t>Chestnut, dried</t>
  </si>
  <si>
    <t>Black seed</t>
  </si>
  <si>
    <t>Cashew nut, common</t>
  </si>
  <si>
    <t>Jack fruit, seed, raw</t>
  </si>
  <si>
    <t>Peanut, dried</t>
  </si>
  <si>
    <t>Palm fruit fresh</t>
  </si>
  <si>
    <t>Hodgsonia fruit, raw</t>
  </si>
  <si>
    <t>Sesame seeds, dried, black or white</t>
  </si>
  <si>
    <t>Soybeans flour, defatted</t>
  </si>
  <si>
    <t>Roasted soybeans flour</t>
  </si>
  <si>
    <t>Mungo bean flour</t>
  </si>
  <si>
    <t>Peanut flour</t>
  </si>
  <si>
    <t>Tofu, raw</t>
  </si>
  <si>
    <t>Tofu skin, yuba, bean curd skin, bean curd sheet</t>
  </si>
  <si>
    <t>Tofu, grilled</t>
  </si>
  <si>
    <t>Pumpkin seeds, fried</t>
  </si>
  <si>
    <t>Water melon seeds, fried</t>
  </si>
  <si>
    <t>Cashew nut, roasted with oil</t>
  </si>
  <si>
    <t>Soy flour, made from roasted soybeans</t>
  </si>
  <si>
    <t>Soybean milk (100 g soybean/l)</t>
  </si>
  <si>
    <t xml:space="preserve">Tofu in light syrup 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</si>
  <si>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</si>
  <si>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</si>
  <si>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</si>
  <si>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</si>
  <si>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</si>
  <si>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</si>
  <si>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</si>
  <si>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</si>
  <si>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</si>
  <si>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</si>
  <si>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</si>
  <si>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</si>
  <si>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</si>
  <si>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</si>
  <si>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</si>
  <si>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</si>
  <si>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</si>
  <si>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</si>
  <si>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</si>
  <si>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</si>
  <si>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</si>
  <si>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</si>
  <si>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</si>
  <si>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</si>
  <si>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</si>
  <si>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</si>
  <si>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</si>
  <si>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</si>
  <si>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</si>
  <si>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</si>
  <si>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</si>
  <si>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</si>
  <si>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</si>
  <si>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</si>
  <si>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</si>
  <si>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</si>
  <si>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</si>
  <si>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</si>
  <si>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</si>
  <si>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</si>
  <si>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</si>
  <si>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</si>
  <si>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</si>
  <si>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</si>
  <si>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</si>
  <si>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</si>
  <si>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</si>
  <si>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</si>
  <si>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</si>
  <si>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</si>
  <si>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</si>
  <si>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</si>
  <si>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</si>
  <si>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</si>
  <si>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</si>
  <si>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</si>
  <si>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</si>
  <si>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</si>
  <si>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</si>
  <si>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</si>
  <si>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</si>
  <si>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</si>
  <si>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</si>
  <si>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</si>
  <si>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</si>
  <si>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</si>
  <si>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</si>
  <si>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</si>
  <si>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</si>
  <si>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</si>
  <si>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</si>
  <si>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</si>
  <si>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</si>
  <si>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</si>
  <si>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</si>
  <si>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</si>
  <si>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</si>
  <si>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</si>
  <si>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</si>
  <si>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</si>
  <si>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</si>
  <si>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</si>
  <si>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</si>
  <si>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</si>
  <si>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</si>
  <si>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</si>
  <si>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</si>
  <si>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</si>
  <si>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</si>
  <si>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</si>
  <si>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</si>
  <si>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</si>
  <si>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</si>
  <si>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</si>
  <si>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</si>
  <si>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</si>
  <si>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</si>
  <si>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</si>
  <si>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</si>
  <si>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</si>
  <si>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</si>
  <si>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</si>
  <si>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</si>
  <si>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</si>
  <si>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</si>
  <si>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</si>
  <si>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</si>
  <si>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</si>
  <si>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</si>
  <si>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</si>
  <si>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</si>
  <si>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</si>
  <si>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</si>
  <si>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</si>
  <si>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</si>
  <si>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</si>
  <si>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</si>
  <si>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</si>
  <si>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</si>
  <si>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</si>
  <si>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</si>
  <si>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</si>
  <si>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</si>
  <si>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</si>
  <si>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</si>
  <si>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</si>
  <si>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</si>
  <si>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</si>
  <si>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</si>
  <si>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</si>
  <si>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</si>
  <si>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</si>
  <si>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</si>
  <si>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</si>
  <si>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</si>
  <si>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</si>
  <si>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</si>
  <si>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</si>
  <si>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</si>
  <si>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</si>
  <si>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</si>
  <si>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</si>
  <si>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</si>
  <si>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</si>
  <si>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</si>
  <si>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</si>
  <si>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</si>
  <si>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</si>
  <si>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</si>
  <si>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</si>
  <si>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</si>
  <si>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</si>
  <si>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</si>
  <si>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</si>
  <si>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</si>
  <si>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</si>
  <si>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</si>
  <si>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</si>
  <si>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</si>
  <si>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</si>
  <si>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</si>
  <si>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</si>
  <si>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</si>
  <si>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</si>
  <si>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</si>
  <si>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</si>
  <si>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</si>
  <si>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</si>
  <si>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</si>
  <si>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</si>
  <si>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</si>
  <si>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</si>
  <si>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</si>
  <si>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</si>
  <si>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</si>
  <si>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</si>
  <si>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</si>
  <si>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</si>
  <si>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</si>
  <si>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</si>
  <si>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</si>
  <si>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</si>
  <si>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Calabash, Bottle gourd, raw</t>
  </si>
  <si>
    <t>Asgourd, winter melon, raw</t>
  </si>
  <si>
    <t>Pumpkin squash, raw</t>
  </si>
  <si>
    <t>Egg plant, large round, raw</t>
  </si>
  <si>
    <t>Tomato, raw</t>
  </si>
  <si>
    <t>Egg plant - small, raw</t>
  </si>
  <si>
    <t>Carrots, all variety, raw</t>
  </si>
  <si>
    <t>Carrots, dried</t>
  </si>
  <si>
    <t>Aubergine, raw</t>
  </si>
  <si>
    <t>Cabbage, common, raw</t>
  </si>
  <si>
    <t>Dried cabbage</t>
  </si>
  <si>
    <t>Crown daisy, raw</t>
  </si>
  <si>
    <t>Water cress, raw</t>
  </si>
  <si>
    <t>Chinese cabbage, raw</t>
  </si>
  <si>
    <t>Cabbage, red, raw</t>
  </si>
  <si>
    <t>Mustard green, raw</t>
  </si>
  <si>
    <t>CẦN TA</t>
  </si>
  <si>
    <t>Water drop- wort, raw</t>
  </si>
  <si>
    <t>Celary, raw</t>
  </si>
  <si>
    <t>Banana common varieties, unripe</t>
  </si>
  <si>
    <t>Red radish oriental, raw</t>
  </si>
  <si>
    <t>Radish gadent while, raw</t>
  </si>
  <si>
    <t>White radish, dried</t>
  </si>
  <si>
    <t>Jicama, Mexican yam bean</t>
  </si>
  <si>
    <t>Manchurian wild rice, stem, raw</t>
  </si>
  <si>
    <t>Radish garden, immature, raw</t>
  </si>
  <si>
    <t>Indian taro, stem, raw</t>
  </si>
  <si>
    <t>Cucumber</t>
  </si>
  <si>
    <t>Large cucumber</t>
  </si>
  <si>
    <t>Commond bean, string bean, raw</t>
  </si>
  <si>
    <t>Yardlong bean, raw</t>
  </si>
  <si>
    <t>Green peas; field pea, raw</t>
  </si>
  <si>
    <t>Winger bean, asparagus pea, raw</t>
  </si>
  <si>
    <t>Papaya, unripe, raw</t>
  </si>
  <si>
    <t>Gac fruit, whole, raw</t>
  </si>
  <si>
    <t>Sprout of soybeans, raw</t>
  </si>
  <si>
    <t>Mungobean sprouts</t>
  </si>
  <si>
    <t>Onion, bulb onion, raw</t>
  </si>
  <si>
    <t>Onion, leave</t>
  </si>
  <si>
    <t>Onion, common, garden, raw</t>
  </si>
  <si>
    <t>Lotus seed, raw</t>
  </si>
  <si>
    <t>Dried lotus seed</t>
  </si>
  <si>
    <t>Onion, fragrant, Chinese leek, raw</t>
  </si>
  <si>
    <t>Banana, buds and flowers, raw</t>
  </si>
  <si>
    <t>Carambola; Star fruit, raw</t>
  </si>
  <si>
    <t>Lolot pepper, raw</t>
  </si>
  <si>
    <t>Daylily, lemon flowers, raw</t>
  </si>
  <si>
    <t>Skunk vine</t>
  </si>
  <si>
    <t>Cassava leaves, raw</t>
  </si>
  <si>
    <t>Bamboo shoot, fermented, raw</t>
  </si>
  <si>
    <t>Bamboo shoot, dried</t>
  </si>
  <si>
    <t>Asparagus, white, raw</t>
  </si>
  <si>
    <t>Bamboo shoots, raw</t>
  </si>
  <si>
    <t>Gourd, sponge gourd, raw</t>
  </si>
  <si>
    <t>Balsam- pear, Bitter gourd</t>
  </si>
  <si>
    <t>Sponge gourd, Japanese origin, raw</t>
  </si>
  <si>
    <t>Mugwort, wormwood, raw</t>
  </si>
  <si>
    <t>Baby corn, raw</t>
  </si>
  <si>
    <t>Lotus, stem underground, raw</t>
  </si>
  <si>
    <t>Sponge gourd, young flower, raw</t>
  </si>
  <si>
    <t>Peppers, red, raw</t>
  </si>
  <si>
    <t>Peppers, yellow, raw</t>
  </si>
  <si>
    <t>Peppers, green, raw</t>
  </si>
  <si>
    <t>Bira tai, raw</t>
  </si>
  <si>
    <t>Tamarind fruit, pulp, raw</t>
  </si>
  <si>
    <t>Pumpkin leaves, raw</t>
  </si>
  <si>
    <t>Dried seaweed</t>
  </si>
  <si>
    <t>Seaweed, fresh</t>
  </si>
  <si>
    <t>Lettuce, garden, raw</t>
  </si>
  <si>
    <t>Jute potherb, raw</t>
  </si>
  <si>
    <t>Lizard tail, fishwort, raw</t>
  </si>
  <si>
    <t>Amaranth, spineless, raw</t>
  </si>
  <si>
    <t>Amaranth, sp. Red, raw</t>
  </si>
  <si>
    <t>Amaranth, sp. White raw</t>
  </si>
  <si>
    <t>Basil sweet leaves raw</t>
  </si>
  <si>
    <t>Sweet potato leaves, raw</t>
  </si>
  <si>
    <t>Vietnamese Balm, raw</t>
  </si>
  <si>
    <t>Wild centella, raw</t>
  </si>
  <si>
    <t>Centella, gotu kola, raw</t>
  </si>
  <si>
    <t>Malabar, Ceylon spinach, raw</t>
  </si>
  <si>
    <t>Coriander, raw</t>
  </si>
  <si>
    <t>Parsley, curley, raw</t>
  </si>
  <si>
    <t>Water spinach, dried</t>
  </si>
  <si>
    <t>Buffalo spinach, raw</t>
  </si>
  <si>
    <t>Sauropus, sp. Leaves, raw</t>
  </si>
  <si>
    <t>Sauropus, dried</t>
  </si>
  <si>
    <t>Water mimosa, raw</t>
  </si>
  <si>
    <t>Lettuce, garden, asparagus, raw</t>
  </si>
  <si>
    <t>Purslane, pursley, raw</t>
  </si>
  <si>
    <t>Redflower ragleaf, fireweed, raw</t>
  </si>
  <si>
    <t>Mint leaves, raw</t>
  </si>
  <si>
    <t>Perfume pagoda wild plant</t>
  </si>
  <si>
    <t>Fruit of Dracontomelon duperreanum, immature, raw</t>
  </si>
  <si>
    <t xml:space="preserve"> Kohlrabi, turnip cabbage, raw</t>
  </si>
  <si>
    <t>Dried kohlrabi</t>
  </si>
  <si>
    <t xml:space="preserve">Chayote, fruit raw </t>
  </si>
  <si>
    <t>SU SU</t>
  </si>
  <si>
    <t>Cauliflower, raw</t>
  </si>
  <si>
    <t>Broccoli, raw</t>
  </si>
  <si>
    <t>Dill, raw</t>
  </si>
  <si>
    <t>Balm-mint, gadent- balm, raw</t>
  </si>
  <si>
    <t>Garlic bulbs, raw</t>
  </si>
  <si>
    <t xml:space="preserve"> Chinese Leek, Onion fragrant, raw</t>
  </si>
  <si>
    <t>Fruit of Canarium pimela, ripe</t>
  </si>
  <si>
    <t>Canarium nut, pili nut, Java almond, raw</t>
  </si>
  <si>
    <t>CẢI NGỌT</t>
  </si>
  <si>
    <t>CẢI THẢO</t>
  </si>
  <si>
    <t>NGỌN SU SU</t>
  </si>
  <si>
    <t>ĐẬU VÁN</t>
  </si>
  <si>
    <t>Elongated mustard, raw</t>
  </si>
  <si>
    <t>Chayote, young stem and leaves raw</t>
  </si>
  <si>
    <t>Hyacinth bean, Australian pea, raw</t>
  </si>
  <si>
    <t>04127</t>
  </si>
  <si>
    <t>04128</t>
  </si>
  <si>
    <t>04129</t>
  </si>
  <si>
    <t>04130</t>
  </si>
  <si>
    <t>Tomato, pickled with salt</t>
  </si>
  <si>
    <t>Eggplant, pickled with salt</t>
  </si>
  <si>
    <t>Edible leaves of Blumea lanceolaria, raw</t>
  </si>
  <si>
    <t>Cabbage Chinese, pickled with salt</t>
  </si>
  <si>
    <t>Field mustard, pickled with salt</t>
  </si>
  <si>
    <t>Mustard green, pickled with salt</t>
  </si>
  <si>
    <t>Cucumber, pickled with salt</t>
  </si>
  <si>
    <t>Mungobean sprouts, pickled with salt</t>
  </si>
  <si>
    <t>Onion, pickled with salt</t>
  </si>
  <si>
    <t>Onion shallot, scallion, pickled with salt</t>
  </si>
  <si>
    <t>Brewer's yeast, fried enzyme</t>
  </si>
  <si>
    <t>Baker's yeast, compressed</t>
  </si>
  <si>
    <t>Mix pickled from young jack fruit, Mung bean leaves and other</t>
  </si>
  <si>
    <t>Jew's ear, Wood-ear, Tender variety, dried</t>
  </si>
  <si>
    <t>Mushroom, shiitake, raw</t>
  </si>
  <si>
    <t>Common mushroom,table musroom, raw</t>
  </si>
  <si>
    <t>Mushroom, shiitake, raw, dried</t>
  </si>
  <si>
    <t>Straw mushroom, raw</t>
  </si>
  <si>
    <t>Gilled mushroom, meadow musroom, raw</t>
  </si>
  <si>
    <t xml:space="preserve">Swamp cabbage,water spinach, raw </t>
  </si>
  <si>
    <t>Vietnamese mint,hot mint, raw</t>
  </si>
  <si>
    <t>Orange</t>
  </si>
  <si>
    <t xml:space="preserve">Banana </t>
  </si>
  <si>
    <t>Fruit of Baccaurea sapida</t>
  </si>
  <si>
    <t>Strawbery</t>
  </si>
  <si>
    <t>DỨA TA</t>
  </si>
  <si>
    <t>DỨA TÂY</t>
  </si>
  <si>
    <t xml:space="preserve">Peach </t>
  </si>
  <si>
    <t xml:space="preserve">Wampee, Chinese; Wampi </t>
  </si>
  <si>
    <t>Persimmon kaki, Hard-type, ripe</t>
  </si>
  <si>
    <t xml:space="preserve">Pear </t>
  </si>
  <si>
    <t>Soursop</t>
  </si>
  <si>
    <t>Wild Himalayan pear</t>
  </si>
  <si>
    <t>MẬN TÍM</t>
  </si>
  <si>
    <t>MẮC COỌC</t>
  </si>
  <si>
    <t xml:space="preserve">Japanese, plum </t>
  </si>
  <si>
    <t xml:space="preserve">Jack fruit, honey </t>
  </si>
  <si>
    <t xml:space="preserve">Sugar apple, sweetsop </t>
  </si>
  <si>
    <t xml:space="preserve">Longan </t>
  </si>
  <si>
    <t>Hog plum,Tahitian apple, Otaheite apple, Goden apple</t>
  </si>
  <si>
    <t>Dragon's eyes fruit</t>
  </si>
  <si>
    <t>Lúcuma</t>
  </si>
  <si>
    <t>Mandarin</t>
  </si>
  <si>
    <t>Tangerine; Orange; Mandarin</t>
  </si>
  <si>
    <t xml:space="preserve">Durian, Civet </t>
  </si>
  <si>
    <t>Sanpidus, ripe</t>
  </si>
  <si>
    <t>Litchi, dried with shells</t>
  </si>
  <si>
    <t xml:space="preserve">Mango, common; India mango, ripe </t>
  </si>
  <si>
    <t>Kiwi fruit, Chinaese gooseberry</t>
  </si>
  <si>
    <t>Tamarind, leaves</t>
  </si>
  <si>
    <t xml:space="preserve">Honey dew melon </t>
  </si>
  <si>
    <t>QUẢ BƠ VỎ XANH</t>
  </si>
  <si>
    <t>Under milled, home-pounded rice,raw</t>
  </si>
  <si>
    <t>Ordinary polished rice, raw</t>
  </si>
  <si>
    <t>Corn flakes</t>
  </si>
  <si>
    <t xml:space="preserve">Glutinous rice flour </t>
  </si>
  <si>
    <t xml:space="preserve">Rice ordinary flour </t>
  </si>
  <si>
    <t>Yellow maize flour</t>
  </si>
  <si>
    <t>Rice vermicelli, soft noodles</t>
  </si>
  <si>
    <t xml:space="preserve">Rice, unriped. Raw </t>
  </si>
  <si>
    <t>Wheat noodles, raw</t>
  </si>
  <si>
    <t>Glutinous maize, boiled</t>
  </si>
  <si>
    <t>Water-caltrops, buffalo nut, seed, raw</t>
  </si>
  <si>
    <t>Lesser Yam, raw</t>
  </si>
  <si>
    <t>Sweet potato, raw</t>
  </si>
  <si>
    <t>Sweet potato, yellow, raw</t>
  </si>
  <si>
    <t>Potato, white, raw</t>
  </si>
  <si>
    <t>Vermicelli from  arrow root, raw</t>
  </si>
  <si>
    <t>Pomelo, Pummelo; Shaddock</t>
  </si>
  <si>
    <t>Lemon</t>
  </si>
  <si>
    <t xml:space="preserve">Rambutan </t>
  </si>
  <si>
    <t>Banana, dried</t>
  </si>
  <si>
    <t xml:space="preserve">Banana, dwarf </t>
  </si>
  <si>
    <t xml:space="preserve">Musk melon, Spanish melon, Cantaloupe </t>
  </si>
  <si>
    <t>Watermelon</t>
  </si>
  <si>
    <t>Honey dew melon</t>
  </si>
  <si>
    <t xml:space="preserve">Pineapple, wild </t>
  </si>
  <si>
    <t xml:space="preserve">Pineapple </t>
  </si>
  <si>
    <t>Papaya, ripe</t>
  </si>
  <si>
    <t>Ohia; Malaya roseapple</t>
  </si>
  <si>
    <t xml:space="preserve">Persimmon kaki, soft type, ripe </t>
  </si>
  <si>
    <t xml:space="preserve">Sapodilla, sapota ponderosa </t>
  </si>
  <si>
    <t xml:space="preserve">Pome granate </t>
  </si>
  <si>
    <t>Jackfruit, mature</t>
  </si>
  <si>
    <t>Dried jackfruit</t>
  </si>
  <si>
    <t xml:space="preserve">Apricot, Apricot nectar </t>
  </si>
  <si>
    <t xml:space="preserve">Apricot dried, unsulfured </t>
  </si>
  <si>
    <t>Mango, common; Indian mango, unripe</t>
  </si>
  <si>
    <t xml:space="preserve">Longan, dried </t>
  </si>
  <si>
    <t>Grape, European, sweet</t>
  </si>
  <si>
    <t xml:space="preserve">Grape fruit </t>
  </si>
  <si>
    <t xml:space="preserve">Silver berry </t>
  </si>
  <si>
    <t xml:space="preserve">Guava common </t>
  </si>
  <si>
    <t>Avocado, Alligator Pear</t>
  </si>
  <si>
    <t xml:space="preserve">Avocado, Alligator Pear </t>
  </si>
  <si>
    <t xml:space="preserve">Jujube, common or Chinese; Chinese date </t>
  </si>
  <si>
    <t>Apple, common, domestic</t>
  </si>
  <si>
    <t xml:space="preserve">Litchi; lychee </t>
  </si>
  <si>
    <t xml:space="preserve">Starapple, cainito 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</si>
  <si>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</si>
  <si>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</si>
  <si>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</si>
  <si>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</si>
  <si>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</si>
  <si>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</si>
  <si>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</si>
  <si>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</si>
  <si>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</si>
  <si>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</si>
  <si>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</si>
  <si>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</si>
  <si>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</si>
  <si>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</si>
  <si>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</si>
  <si>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</si>
  <si>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</si>
  <si>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</si>
  <si>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</si>
  <si>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</si>
  <si>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</si>
  <si>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</si>
  <si>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</si>
  <si>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</si>
  <si>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</si>
  <si>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</si>
  <si>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</si>
  <si>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</si>
  <si>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</si>
  <si>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</si>
  <si>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</si>
  <si>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</si>
  <si>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</si>
  <si>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</si>
  <si>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</si>
  <si>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</si>
  <si>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</si>
  <si>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</si>
  <si>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</si>
  <si>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</si>
  <si>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</si>
  <si>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</si>
  <si>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</si>
  <si>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</si>
  <si>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</si>
  <si>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</si>
  <si>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</si>
  <si>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</si>
  <si>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</si>
  <si>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</si>
  <si>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</si>
  <si>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</si>
  <si>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</si>
  <si>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</si>
  <si>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</si>
  <si>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</si>
  <si>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</si>
  <si>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</si>
  <si>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</si>
  <si>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</si>
  <si>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</si>
  <si>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</si>
  <si>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</si>
  <si>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</si>
  <si>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</si>
  <si>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</si>
  <si>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</si>
  <si>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</si>
  <si>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</si>
  <si>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</si>
  <si>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</si>
  <si>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</si>
  <si>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BÁNH BAO CHIÊN CÓ NHÂN</t>
  </si>
  <si>
    <t>BÁNH BÈO</t>
  </si>
  <si>
    <t>BÁNH BỘT LỌC</t>
  </si>
  <si>
    <t>BÁNH CHAY</t>
  </si>
  <si>
    <t>BÁNH CHÍN TẦNG MÂY</t>
  </si>
  <si>
    <t>BÁNH CHƯNG</t>
  </si>
  <si>
    <t>BÁNH CHUỐI</t>
  </si>
  <si>
    <t>BÁNH CỐM</t>
  </si>
  <si>
    <t>BÁNH CUỐN</t>
  </si>
  <si>
    <t>BÁNH CUỐN NÓNG NHÂN THỊT</t>
  </si>
  <si>
    <t>BÁNH DẺO NHÂN THẬP CẨM</t>
  </si>
  <si>
    <t>BÁNH DẺO NHÂN TRỨNG</t>
  </si>
  <si>
    <t>BÁNH ĐÚC NGUỘI</t>
  </si>
  <si>
    <t>BÁNH ĐÚC NÓNG</t>
  </si>
  <si>
    <t>BÁNH GAI</t>
  </si>
  <si>
    <t>BÁNH GIO</t>
  </si>
  <si>
    <t>BÁNH GIÒ</t>
  </si>
  <si>
    <t>BÁNH KHOAI</t>
  </si>
  <si>
    <t>BÁNH KHOÁI</t>
  </si>
  <si>
    <t>BÁNH KHOAI SỌ CHIÊN</t>
  </si>
  <si>
    <t>BÁNH KHÚC</t>
  </si>
  <si>
    <t>BÁNH MÈ</t>
  </si>
  <si>
    <t>BÁNH MÌ XÍU MẠI</t>
  </si>
  <si>
    <t>BÁNH MÌ PATE</t>
  </si>
  <si>
    <t>BÁNH NẾP</t>
  </si>
  <si>
    <t>BÁNH NƯỚNG NHÂN THẬP CẨM</t>
  </si>
  <si>
    <t>BÁNH NƯỚNG NHÂN TRỨNG ĐỖ XANH</t>
  </si>
  <si>
    <t>BÁNH PHU THÊ (SU SÊ, XU XUÊ)</t>
  </si>
  <si>
    <t>BÁNH RÁN BỌC ĐƯỜNG</t>
  </si>
  <si>
    <t>BÁNH TẺ</t>
  </si>
  <si>
    <t>BÁNH TÔM</t>
  </si>
  <si>
    <t>BÁNH TRÔI</t>
  </si>
  <si>
    <t>BÚN BÒ NAM BỘ</t>
  </si>
  <si>
    <t>BÚN CHẢ</t>
  </si>
  <si>
    <t>BÚN CUA</t>
  </si>
  <si>
    <t>BÚN ĐẬU</t>
  </si>
  <si>
    <t>BÚN DỌC MÙNG</t>
  </si>
  <si>
    <t>BÚN NEM</t>
  </si>
  <si>
    <t>BÚN ỐC</t>
  </si>
  <si>
    <t>CARAMEN</t>
  </si>
  <si>
    <t>CHẢ QUẾ</t>
  </si>
  <si>
    <t>CHÁO LÒNG</t>
  </si>
  <si>
    <t>CHÁO SƯỜN</t>
  </si>
  <si>
    <t>CHÁO TRAI</t>
  </si>
  <si>
    <t>CHÈ BƯỞI</t>
  </si>
  <si>
    <t>CHÈ CHUỐI</t>
  </si>
  <si>
    <t>CHÈ CỐM</t>
  </si>
  <si>
    <t>CHÈ ĐỖ ĐEN</t>
  </si>
  <si>
    <t>CHÈ ĐỖ ĐỎ</t>
  </si>
  <si>
    <t>CHÈ ĐỖ XANH</t>
  </si>
  <si>
    <t>CHÈ HẠT SEN</t>
  </si>
  <si>
    <t>CHÈ KHOAI SỌ</t>
  </si>
  <si>
    <t>CHÈ NGÔ CỐM</t>
  </si>
  <si>
    <t>CHÈ SẮN</t>
  </si>
  <si>
    <t>CHÈ THÁI</t>
  </si>
  <si>
    <t>CƠM RANG</t>
  </si>
  <si>
    <t>GÀ TẦN</t>
  </si>
  <si>
    <t>MIẾN LƯƠN</t>
  </si>
  <si>
    <t>MIẾN NGAN</t>
  </si>
  <si>
    <t>MỲ VẰN THẮN</t>
  </si>
  <si>
    <t>MỲ XÀO</t>
  </si>
  <si>
    <t>NEM LỤI</t>
  </si>
  <si>
    <t>NEM RÁN</t>
  </si>
  <si>
    <t>NỘM TAI LỢN</t>
  </si>
  <si>
    <t>PHỞ BÒ CHÍN</t>
  </si>
  <si>
    <t>PHỞ BÒ TÁI</t>
  </si>
  <si>
    <t>PHỞ GÀ</t>
  </si>
  <si>
    <t>THỊT XIÊN NƯỚNG</t>
  </si>
  <si>
    <t>XÔI ĐỖ XANH</t>
  </si>
  <si>
    <t>XÔI GẤC</t>
  </si>
  <si>
    <t>XÔI LẠC</t>
  </si>
  <si>
    <t>XÔI NGÔ</t>
  </si>
  <si>
    <t>XÔI XÉO</t>
  </si>
  <si>
    <t>Filled steamed bread, fried</t>
  </si>
  <si>
    <t>Bloating Fern-shaped cake</t>
  </si>
  <si>
    <t>Rice dumpling cake</t>
  </si>
  <si>
    <t>Stuffed sticky rice cake</t>
  </si>
  <si>
    <t>Banana cake</t>
  </si>
  <si>
    <t>Young rice cake</t>
  </si>
  <si>
    <t>Stuffed pancake, with pork</t>
  </si>
  <si>
    <t>Sticky rice cake (Filled with preserved fruit and meat)</t>
  </si>
  <si>
    <t>Sticky rice cake (Filled with egg)</t>
  </si>
  <si>
    <t>Stuffed pancake</t>
  </si>
  <si>
    <t>Stuffed sticky rice balls, large</t>
  </si>
  <si>
    <t>Plain rice flan; rice cake made of rice flour and lime water</t>
  </si>
  <si>
    <t>Plain rice flan; rice cake made of rice flour and lime water hot</t>
  </si>
  <si>
    <t>Stuffed sticky rice cake with ramie leaves</t>
  </si>
  <si>
    <t>Sticky rice cake with ash water</t>
  </si>
  <si>
    <t>Pyramidal rice dumpling (filled with meat, onion, mushroom), meat pie</t>
  </si>
  <si>
    <t>Cake made of sweet potato meat (mixed with rice flour)</t>
  </si>
  <si>
    <t>Plain rice flan</t>
  </si>
  <si>
    <t>Taro cake, fried</t>
  </si>
  <si>
    <t>Cake made of glutinous rice mixed with everlasting gnaphalium leaves (filled with green bean paste and sprinkled with grains of cooked glutinous rice)</t>
  </si>
  <si>
    <t>Bread with egg and sesame seed, fried</t>
  </si>
  <si>
    <t>Bread with egg and beef</t>
  </si>
  <si>
    <t>Bread with pate</t>
  </si>
  <si>
    <t>Sticky rice cake</t>
  </si>
  <si>
    <t>Pie filled  with various fruit and meat</t>
  </si>
  <si>
    <t>Pie filled  with egg and mungbean</t>
  </si>
  <si>
    <t>Yellow-coloured weeding pastry</t>
  </si>
  <si>
    <t>Rice cake, fried with sugar</t>
  </si>
  <si>
    <t>Rice cake, filled with meat</t>
  </si>
  <si>
    <t>Crisp shimp pastry</t>
  </si>
  <si>
    <t>Stuffed sticky rice balls</t>
  </si>
  <si>
    <t>Vermicelli noodles with beef, southern style</t>
  </si>
  <si>
    <t>Vermicelli noodles with grilled pork</t>
  </si>
  <si>
    <t>Vermicelli noodles with fresh water crab</t>
  </si>
  <si>
    <t>Vermicelli noodles with tofu, dried</t>
  </si>
  <si>
    <t>Vermicelli noodles with giant elephant ear stem</t>
  </si>
  <si>
    <t>Vermicelli noodles with pork rolls</t>
  </si>
  <si>
    <t>Vermicelli noodles with snail</t>
  </si>
  <si>
    <t>Caramen cake</t>
  </si>
  <si>
    <t>Roaster cinnamon pork</t>
  </si>
  <si>
    <t>Pig's triped soup</t>
  </si>
  <si>
    <t>Rice soup with pork rips</t>
  </si>
  <si>
    <t>Rice soup with clams</t>
  </si>
  <si>
    <t>Sweets gruel with pomelo flavor</t>
  </si>
  <si>
    <t>Sweets gruel with banana</t>
  </si>
  <si>
    <t>Sweets gruel with young rice</t>
  </si>
  <si>
    <t>Sweets gruel with black bean</t>
  </si>
  <si>
    <t>Sweets gruel with red bean</t>
  </si>
  <si>
    <t>Sweets gruel with mungbean</t>
  </si>
  <si>
    <t>Sweets gruel with lotus seed</t>
  </si>
  <si>
    <t>Sweets gruel with taro</t>
  </si>
  <si>
    <t>Sweets gruel with corn and young rice seeds</t>
  </si>
  <si>
    <t>Sweets gruel with Kudzu root</t>
  </si>
  <si>
    <t>Sweets gruel, Thailand style</t>
  </si>
  <si>
    <t>Fried rice with egg and pork</t>
  </si>
  <si>
    <t>Stewed chicken with medicinal herbs</t>
  </si>
  <si>
    <t>Vermicelli made of cassava, with eels</t>
  </si>
  <si>
    <t>Vermicelli made of cassava, with goose meat</t>
  </si>
  <si>
    <t>Wonton soup</t>
  </si>
  <si>
    <t>Instand noodle, fried with vegetable and meat</t>
  </si>
  <si>
    <t>Roll pork meat, grilled</t>
  </si>
  <si>
    <t>Spring roll, fried</t>
  </si>
  <si>
    <t>Pork ear salad</t>
  </si>
  <si>
    <t>Rice noodle with beef, cooked</t>
  </si>
  <si>
    <t>Rice noodle with beef, rare</t>
  </si>
  <si>
    <t>Rice noodle with chicken</t>
  </si>
  <si>
    <t>Pork meat, grilled</t>
  </si>
  <si>
    <t>Sticky rice with mungbean, cooked</t>
  </si>
  <si>
    <t>Sticky rice with Gac fruit, cooked</t>
  </si>
  <si>
    <t>Sticky rice with peanut, cooked</t>
  </si>
  <si>
    <t>Sticky rice with corn, cooked</t>
  </si>
  <si>
    <t>Sticky rice with mungbean paste, cooked</t>
  </si>
  <si>
    <t>06001</t>
  </si>
  <si>
    <t xml:space="preserve"> Butter, unsalted</t>
  </si>
  <si>
    <t>06002</t>
  </si>
  <si>
    <t>Vegetable oil, mix</t>
  </si>
  <si>
    <t>06003</t>
  </si>
  <si>
    <t xml:space="preserve"> Lard, salted</t>
  </si>
  <si>
    <t>06004</t>
  </si>
  <si>
    <t>Lard, liquid</t>
  </si>
  <si>
    <t>06005</t>
  </si>
  <si>
    <t>Butter-margarine blend, stick, unsalted</t>
  </si>
  <si>
    <t>06006</t>
  </si>
  <si>
    <t>Cottonseed oil, salad or cooking</t>
  </si>
  <si>
    <t>06007</t>
  </si>
  <si>
    <t xml:space="preserve"> Rice bran oil</t>
  </si>
  <si>
    <t>06008</t>
  </si>
  <si>
    <t xml:space="preserve"> Palm oil</t>
  </si>
  <si>
    <t>06009</t>
  </si>
  <si>
    <t xml:space="preserve"> Coconut oil</t>
  </si>
  <si>
    <t>06010</t>
  </si>
  <si>
    <t>Soybean oil, salad or cooking</t>
  </si>
  <si>
    <t>06011</t>
  </si>
  <si>
    <t>Peanut oil, salad or cooking</t>
  </si>
  <si>
    <t>06012</t>
  </si>
  <si>
    <t>Sesame oil, salad or cooking</t>
  </si>
  <si>
    <t>06013</t>
  </si>
  <si>
    <t xml:space="preserve"> Corn oil, salad or cooking</t>
  </si>
  <si>
    <t>06014</t>
  </si>
  <si>
    <t>Olive oil, salad or cooking</t>
  </si>
  <si>
    <t>07002</t>
  </si>
  <si>
    <t xml:space="preserve"> Veal meat, lean only</t>
  </si>
  <si>
    <t>07003</t>
  </si>
  <si>
    <t>Beef, grade I</t>
  </si>
  <si>
    <t>07004</t>
  </si>
  <si>
    <t>Beef, grade II</t>
  </si>
  <si>
    <t>07005</t>
  </si>
  <si>
    <t>Beef, top loin, seperable lean only, trimmed to 1/8" fat, prime, raw</t>
  </si>
  <si>
    <t>07006</t>
  </si>
  <si>
    <t>Beef, top loin, seperable lean only, trimmed to 1/4" fat, prime, raw</t>
  </si>
  <si>
    <t>07007</t>
  </si>
  <si>
    <t xml:space="preserve"> Pigeon young bird flesh skin and giblets</t>
  </si>
  <si>
    <t>07008</t>
  </si>
  <si>
    <t xml:space="preserve"> Dog meat</t>
  </si>
  <si>
    <t>07009</t>
  </si>
  <si>
    <t>Dog, shoulder</t>
  </si>
  <si>
    <t>07010</t>
  </si>
  <si>
    <t>Mutton meat, lean</t>
  </si>
  <si>
    <t>07011</t>
  </si>
  <si>
    <t>Goat, meat, lean</t>
  </si>
  <si>
    <t>07012</t>
  </si>
  <si>
    <t>Grouse field chicken</t>
  </si>
  <si>
    <t>07013</t>
  </si>
  <si>
    <t>Chicken meat, average</t>
  </si>
  <si>
    <t>07014</t>
  </si>
  <si>
    <t>Turkey raw flesh and skin giblets</t>
  </si>
  <si>
    <t>07015</t>
  </si>
  <si>
    <t>Deer meat</t>
  </si>
  <si>
    <t>07016</t>
  </si>
  <si>
    <t xml:space="preserve"> Pork, lean and fat</t>
  </si>
  <si>
    <t>07017</t>
  </si>
  <si>
    <t>Pork, lean</t>
  </si>
  <si>
    <t>07018</t>
  </si>
  <si>
    <t xml:space="preserve"> Pork, medium fat </t>
  </si>
  <si>
    <t>07019</t>
  </si>
  <si>
    <t>Goose meat</t>
  </si>
  <si>
    <t>07020</t>
  </si>
  <si>
    <t xml:space="preserve"> Horse meat</t>
  </si>
  <si>
    <t>07021</t>
  </si>
  <si>
    <t>Rabbit meat, raw</t>
  </si>
  <si>
    <t>07022</t>
  </si>
  <si>
    <t>Hare rabbit (field or wild)</t>
  </si>
  <si>
    <t>07023</t>
  </si>
  <si>
    <t>Buffalo meat, average</t>
  </si>
  <si>
    <t>07024</t>
  </si>
  <si>
    <t>Buffalo meat (shoulder)</t>
  </si>
  <si>
    <t>07025</t>
  </si>
  <si>
    <t>Buffalo meat, neck</t>
  </si>
  <si>
    <t>07026</t>
  </si>
  <si>
    <t>Buffalo meat, leg</t>
  </si>
  <si>
    <t>07027</t>
  </si>
  <si>
    <t>Buffalo meat, lean (loin)</t>
  </si>
  <si>
    <t>07028</t>
  </si>
  <si>
    <t xml:space="preserve">Duck meat, average </t>
  </si>
  <si>
    <t>07029</t>
  </si>
  <si>
    <t xml:space="preserve"> Beef, kidney</t>
  </si>
  <si>
    <t>07030</t>
  </si>
  <si>
    <t xml:space="preserve">Pork, kidney </t>
  </si>
  <si>
    <t>07031</t>
  </si>
  <si>
    <t xml:space="preserve"> Pork skin </t>
  </si>
  <si>
    <t>07032</t>
  </si>
  <si>
    <t xml:space="preserve"> Pork, leg </t>
  </si>
  <si>
    <t>07033</t>
  </si>
  <si>
    <t>Stomach, beef</t>
  </si>
  <si>
    <t>07034</t>
  </si>
  <si>
    <t>Stomach, hog</t>
  </si>
  <si>
    <t>07035</t>
  </si>
  <si>
    <t xml:space="preserve"> Head of beef (without tongue, brain, ears)</t>
  </si>
  <si>
    <t>07036</t>
  </si>
  <si>
    <t xml:space="preserve"> Hog, head</t>
  </si>
  <si>
    <t>07037</t>
  </si>
  <si>
    <t>Beef, tail</t>
  </si>
  <si>
    <t>07038</t>
  </si>
  <si>
    <t>Hog, tail</t>
  </si>
  <si>
    <t>07039</t>
  </si>
  <si>
    <t>Beef, liver</t>
  </si>
  <si>
    <t>07040</t>
  </si>
  <si>
    <t>Chicken liver</t>
  </si>
  <si>
    <t>07041</t>
  </si>
  <si>
    <t>Pork liver</t>
  </si>
  <si>
    <t>07042</t>
  </si>
  <si>
    <t>Duck liver</t>
  </si>
  <si>
    <t>07043</t>
  </si>
  <si>
    <t>Beef tendon-leg</t>
  </si>
  <si>
    <t>07044</t>
  </si>
  <si>
    <t>Beef tongue</t>
  </si>
  <si>
    <t>07045</t>
  </si>
  <si>
    <t>Hog, tongue</t>
  </si>
  <si>
    <t>07046</t>
  </si>
  <si>
    <t>Hog, intestine large raw</t>
  </si>
  <si>
    <t>07047</t>
  </si>
  <si>
    <t>Hog intestine small raw without fat</t>
  </si>
  <si>
    <t>07048</t>
  </si>
  <si>
    <t xml:space="preserve"> Chicken gizzard</t>
  </si>
  <si>
    <t>07049</t>
  </si>
  <si>
    <t xml:space="preserve"> Brain beef</t>
  </si>
  <si>
    <t>07050</t>
  </si>
  <si>
    <t>Hog brain</t>
  </si>
  <si>
    <t>07051</t>
  </si>
  <si>
    <t xml:space="preserve"> Beef, lung</t>
  </si>
  <si>
    <t>07052</t>
  </si>
  <si>
    <t>Hog lung, raw</t>
  </si>
  <si>
    <t>07053</t>
  </si>
  <si>
    <t xml:space="preserve">SƯỜN LỢN </t>
  </si>
  <si>
    <t xml:space="preserve"> Pork, ribs</t>
  </si>
  <si>
    <t>07054</t>
  </si>
  <si>
    <t>Hog ears</t>
  </si>
  <si>
    <t>07055</t>
  </si>
  <si>
    <t>Beef, heart</t>
  </si>
  <si>
    <t>07056</t>
  </si>
  <si>
    <t>Chicken heart</t>
  </si>
  <si>
    <t>07057</t>
  </si>
  <si>
    <t xml:space="preserve"> Hog heart</t>
  </si>
  <si>
    <t>07058</t>
  </si>
  <si>
    <t>Beef, blood</t>
  </si>
  <si>
    <t>07059</t>
  </si>
  <si>
    <t>Hog blood, boiled</t>
  </si>
  <si>
    <t>07060</t>
  </si>
  <si>
    <t>Hog blood, raw</t>
  </si>
  <si>
    <t>07061</t>
  </si>
  <si>
    <t>Beef bone marrow</t>
  </si>
  <si>
    <t>07062</t>
  </si>
  <si>
    <t>Hog, bone marrow</t>
  </si>
  <si>
    <t>07063</t>
  </si>
  <si>
    <t>Pa te</t>
  </si>
  <si>
    <t>07064</t>
  </si>
  <si>
    <t xml:space="preserve"> Pork, mince fat meat grilled</t>
  </si>
  <si>
    <t>07065</t>
  </si>
  <si>
    <t>Pork, cinnamon mince grilled</t>
  </si>
  <si>
    <t>07066</t>
  </si>
  <si>
    <t>Ham, pork</t>
  </si>
  <si>
    <t>07067</t>
  </si>
  <si>
    <t>Blood mix-pudding with viscera in large intestine</t>
  </si>
  <si>
    <t>07068</t>
  </si>
  <si>
    <t xml:space="preserve"> Beef, mince lean meat steamed</t>
  </si>
  <si>
    <t>07069</t>
  </si>
  <si>
    <t>Pork, mince lean meat steamed</t>
  </si>
  <si>
    <t>07070</t>
  </si>
  <si>
    <t>Pork, head meat, steamed</t>
  </si>
  <si>
    <t>07071</t>
  </si>
  <si>
    <t xml:space="preserve"> Chinese sausage</t>
  </si>
  <si>
    <t>07072</t>
  </si>
  <si>
    <t>Roll with pork skin and pork meat</t>
  </si>
  <si>
    <t>07073</t>
  </si>
  <si>
    <t>Pork mince, fermented</t>
  </si>
  <si>
    <t>07074</t>
  </si>
  <si>
    <t>Salted shredded pork</t>
  </si>
  <si>
    <t>07075</t>
  </si>
  <si>
    <t>Dried beef</t>
  </si>
  <si>
    <t>07076</t>
  </si>
  <si>
    <t>Buffalo meat, dried</t>
  </si>
  <si>
    <t>07077</t>
  </si>
  <si>
    <t>Pork sausage</t>
  </si>
  <si>
    <t>07078</t>
  </si>
  <si>
    <t>Toad meat powder</t>
  </si>
  <si>
    <t>07079</t>
  </si>
  <si>
    <t xml:space="preserve"> Locust</t>
  </si>
  <si>
    <t>07080</t>
  </si>
  <si>
    <t xml:space="preserve"> Frog</t>
  </si>
  <si>
    <t>07081</t>
  </si>
  <si>
    <t>Silk worm</t>
  </si>
  <si>
    <t>07082</t>
  </si>
  <si>
    <t>Chicken giblets</t>
  </si>
  <si>
    <t>07083</t>
  </si>
  <si>
    <t>THỊT LỢN, NẠC VAI</t>
  </si>
  <si>
    <t>Pork, lean meat, shoulder</t>
  </si>
  <si>
    <t>07084</t>
  </si>
  <si>
    <t>THỊT LỢN, NẠC MÔNG</t>
  </si>
  <si>
    <t>Pork, lean meat, thighs</t>
  </si>
  <si>
    <t>07085</t>
  </si>
  <si>
    <t>THỊT LỢN, NẠC THĂN</t>
  </si>
  <si>
    <t>Pork, lean meat, tenderloin</t>
  </si>
  <si>
    <t>07086</t>
  </si>
  <si>
    <t>THỊT LỢN NỬA NẠC, NỬA MỠ, NƯỚNG</t>
  </si>
  <si>
    <t>Pork, lean  and fat meat, grill</t>
  </si>
  <si>
    <t>07087</t>
  </si>
  <si>
    <t>THỊT GÀ CÔNG NGHIỆP, CÁNH</t>
  </si>
  <si>
    <t>Chicken, wing</t>
  </si>
  <si>
    <t>07088</t>
  </si>
  <si>
    <t>THỊT GÀ CÔNG NGHIỆP, ĐÙI</t>
  </si>
  <si>
    <t>Chicken, thighs</t>
  </si>
  <si>
    <t>07089</t>
  </si>
  <si>
    <t>THỊT GÀ CÔNG NGHIỆP, LƯỜN</t>
  </si>
  <si>
    <t>Chicken, breast</t>
  </si>
  <si>
    <t>07090</t>
  </si>
  <si>
    <t>THỊT NGAN</t>
  </si>
  <si>
    <t>07091</t>
  </si>
  <si>
    <t>CHẢ LÁ LỐT</t>
  </si>
  <si>
    <t>Pork roll with lolot pepper leaves</t>
  </si>
  <si>
    <t>08001</t>
  </si>
  <si>
    <t>Goby fish</t>
  </si>
  <si>
    <t>08002</t>
  </si>
  <si>
    <t>Barbel chub</t>
  </si>
  <si>
    <t>08003</t>
  </si>
  <si>
    <t>Carp</t>
  </si>
  <si>
    <t>08004</t>
  </si>
  <si>
    <t>Daggertooth pike conger</t>
  </si>
  <si>
    <t>08005</t>
  </si>
  <si>
    <t>08006</t>
  </si>
  <si>
    <t>Mullet, harder</t>
  </si>
  <si>
    <t>08007</t>
  </si>
  <si>
    <t>Sawfish</t>
  </si>
  <si>
    <t>08008</t>
  </si>
  <si>
    <t>Chinese herring or  shad</t>
  </si>
  <si>
    <t>08009</t>
  </si>
  <si>
    <t>Flathead grey mullet</t>
  </si>
  <si>
    <t>08010</t>
  </si>
  <si>
    <t>Goby</t>
  </si>
  <si>
    <t>08011</t>
  </si>
  <si>
    <t>Salmon</t>
  </si>
  <si>
    <t>08012</t>
  </si>
  <si>
    <t>Dried fish</t>
  </si>
  <si>
    <t>08013</t>
  </si>
  <si>
    <t>08014</t>
  </si>
  <si>
    <t>Silver carp</t>
  </si>
  <si>
    <t>08015</t>
  </si>
  <si>
    <t>CÁ MÒI (CÁ SARDIN)</t>
  </si>
  <si>
    <t>Sardin</t>
  </si>
  <si>
    <t>08016</t>
  </si>
  <si>
    <t>08017</t>
  </si>
  <si>
    <t>Lizardfish</t>
  </si>
  <si>
    <t>08018</t>
  </si>
  <si>
    <t>Fish low fat</t>
  </si>
  <si>
    <t>08019</t>
  </si>
  <si>
    <t>Flying fish, tuna</t>
  </si>
  <si>
    <t>08020</t>
  </si>
  <si>
    <t>Anchovy</t>
  </si>
  <si>
    <t>08021</t>
  </si>
  <si>
    <t>Goatfishes</t>
  </si>
  <si>
    <t>08022</t>
  </si>
  <si>
    <t>Snakehead fish</t>
  </si>
  <si>
    <t>08023</t>
  </si>
  <si>
    <t>Climbing perch</t>
  </si>
  <si>
    <t>08024</t>
  </si>
  <si>
    <t>Tilapia</t>
  </si>
  <si>
    <t>08025</t>
  </si>
  <si>
    <t>Flatfishes</t>
  </si>
  <si>
    <t>08026</t>
  </si>
  <si>
    <t>Mackerel, kingfish</t>
  </si>
  <si>
    <t>08027</t>
  </si>
  <si>
    <t>Pacific saury</t>
  </si>
  <si>
    <t>08028</t>
  </si>
  <si>
    <t>Spiny eels</t>
  </si>
  <si>
    <t>08029</t>
  </si>
  <si>
    <t>Grass carp</t>
  </si>
  <si>
    <t>08030</t>
  </si>
  <si>
    <t>Catfish</t>
  </si>
  <si>
    <t>08031</t>
  </si>
  <si>
    <t>Herring</t>
  </si>
  <si>
    <t>08032</t>
  </si>
  <si>
    <t>Mrigal carp</t>
  </si>
  <si>
    <t>08033</t>
  </si>
  <si>
    <t>Crab sea water</t>
  </si>
  <si>
    <t>08034</t>
  </si>
  <si>
    <t>Crab, fresh water</t>
  </si>
  <si>
    <t>08035</t>
  </si>
  <si>
    <t>CUA GHẸ</t>
  </si>
  <si>
    <t>Flower crab, blue crab, or sand crab</t>
  </si>
  <si>
    <t>08036</t>
  </si>
  <si>
    <t>Sea slug, sea cucumber</t>
  </si>
  <si>
    <t>08037</t>
  </si>
  <si>
    <t>Clam</t>
  </si>
  <si>
    <t>08038</t>
  </si>
  <si>
    <t>Eel, silver - pike</t>
  </si>
  <si>
    <t>08039</t>
  </si>
  <si>
    <t>Dried cuttle fish squid</t>
  </si>
  <si>
    <t>08040</t>
  </si>
  <si>
    <t>Cuttle fish, raw (Squid)</t>
  </si>
  <si>
    <t>08041</t>
  </si>
  <si>
    <t>Snail medium - size, edible</t>
  </si>
  <si>
    <t>08042</t>
  </si>
  <si>
    <t>Marble snail, Chinese mysterysnail</t>
  </si>
  <si>
    <t>08043</t>
  </si>
  <si>
    <t>Snail, large</t>
  </si>
  <si>
    <t>08044</t>
  </si>
  <si>
    <t>Helix</t>
  </si>
  <si>
    <t>08045</t>
  </si>
  <si>
    <t>Small sea - crab bicled, steamed</t>
  </si>
  <si>
    <t>08046</t>
  </si>
  <si>
    <t>Small sea - crab</t>
  </si>
  <si>
    <t>08047</t>
  </si>
  <si>
    <t>Tylorhynchus sinensis</t>
  </si>
  <si>
    <t>08048</t>
  </si>
  <si>
    <t>Oyster</t>
  </si>
  <si>
    <t>08049</t>
  </si>
  <si>
    <t>Tiny shrimp, fresh water</t>
  </si>
  <si>
    <t>08050</t>
  </si>
  <si>
    <t>Tiny shrimp, sea water, dried</t>
  </si>
  <si>
    <t>08051</t>
  </si>
  <si>
    <t xml:space="preserve">Shrimp, sea-water </t>
  </si>
  <si>
    <t>08052</t>
  </si>
  <si>
    <t xml:space="preserve">Shrimp, fresh-water </t>
  </si>
  <si>
    <t>08053</t>
  </si>
  <si>
    <t>Shrimp dried</t>
  </si>
  <si>
    <t>08054</t>
  </si>
  <si>
    <t>Mussel fresh water</t>
  </si>
  <si>
    <t>08055</t>
  </si>
  <si>
    <t>Dried shrimp chips</t>
  </si>
  <si>
    <t>08056</t>
  </si>
  <si>
    <t>Raw shrimp chips</t>
  </si>
  <si>
    <t>08057</t>
  </si>
  <si>
    <t>Fish flour bones include-ed</t>
  </si>
  <si>
    <t>08058</t>
  </si>
  <si>
    <t>Fish snake head dried flour with fish sauce</t>
  </si>
  <si>
    <t>08059</t>
  </si>
  <si>
    <t>Shrimp dried flour with fish sauce</t>
  </si>
  <si>
    <t>08060</t>
  </si>
  <si>
    <t>CÁ CHIM</t>
  </si>
  <si>
    <t>Black pomfret</t>
  </si>
  <si>
    <t>08061</t>
  </si>
  <si>
    <t>CÁ CHIM TRẮNG</t>
  </si>
  <si>
    <t>Silver or white pomfret</t>
  </si>
  <si>
    <t>08062</t>
  </si>
  <si>
    <t>CÁ ĐIÊU HỒNG</t>
  </si>
  <si>
    <t>Red tilapia</t>
  </si>
  <si>
    <t>08063</t>
  </si>
  <si>
    <t>CÁ BASA, PHI LÊ</t>
  </si>
  <si>
    <t>Basafish, Catfish, fillet</t>
  </si>
  <si>
    <t>08064</t>
  </si>
  <si>
    <t>CHẢ CÁ BASA</t>
  </si>
  <si>
    <t>Basafish,fishball</t>
  </si>
  <si>
    <t>08065</t>
  </si>
  <si>
    <t>CON TRÙNG TRỤC</t>
  </si>
  <si>
    <t>Mussel, fresh water</t>
  </si>
  <si>
    <t>08066</t>
  </si>
  <si>
    <t>NGAO BIỂN TRẮNG</t>
  </si>
  <si>
    <t>Sea water clams</t>
  </si>
  <si>
    <t>09002</t>
  </si>
  <si>
    <t>Hen egg, yolk</t>
  </si>
  <si>
    <t>09003</t>
  </si>
  <si>
    <t>Hen egg, white</t>
  </si>
  <si>
    <t>09004</t>
  </si>
  <si>
    <t>Duck egg</t>
  </si>
  <si>
    <t>09005</t>
  </si>
  <si>
    <t>Duck egg, yolk</t>
  </si>
  <si>
    <t>09006</t>
  </si>
  <si>
    <t>Duck egg, white</t>
  </si>
  <si>
    <t>09007</t>
  </si>
  <si>
    <t>Quail egg</t>
  </si>
  <si>
    <t>09008</t>
  </si>
  <si>
    <t xml:space="preserve"> Fish roe</t>
  </si>
  <si>
    <t>09009</t>
  </si>
  <si>
    <t>Fish caviar, black and red, granule</t>
  </si>
  <si>
    <t>09010</t>
  </si>
  <si>
    <t>Duck  embryonated egg</t>
  </si>
  <si>
    <t>09011</t>
  </si>
  <si>
    <t>Egg powder</t>
  </si>
  <si>
    <t>09012</t>
  </si>
  <si>
    <t>TRỨNG GÀ CÔNG NGHIỆP</t>
  </si>
  <si>
    <t xml:space="preserve">Milk cow, fresh (fluid) </t>
  </si>
  <si>
    <t>Milk goat's whole</t>
  </si>
  <si>
    <t>Breast milk (Milk human, fluid, whole)</t>
  </si>
  <si>
    <t>Yogurt</t>
  </si>
  <si>
    <t>Yogurt (Skimmed milk)</t>
  </si>
  <si>
    <t>Milk, dried, powder, whole</t>
  </si>
  <si>
    <t>Skimmed milk powder</t>
  </si>
  <si>
    <t>Milk condensed sweetened</t>
  </si>
  <si>
    <t>Cheese (type whole fat)</t>
  </si>
  <si>
    <t>Banana, canned, sweetened</t>
  </si>
  <si>
    <t>Cucumber (canned)</t>
  </si>
  <si>
    <t>Pineapple, canned, sweetened</t>
  </si>
  <si>
    <t>Peanut, oil fried</t>
  </si>
  <si>
    <t>Pyrus pachis in syrup</t>
  </si>
  <si>
    <t>Plum, canned, sweetened</t>
  </si>
  <si>
    <t>Pumpkin jam</t>
  </si>
  <si>
    <t>Orange marmalade, jellies</t>
  </si>
  <si>
    <t>Banana jam</t>
  </si>
  <si>
    <t>Pineapple jam</t>
  </si>
  <si>
    <t>Papaya jam</t>
  </si>
  <si>
    <t>Longan, canned, sweetened</t>
  </si>
  <si>
    <t>Pineapple juice</t>
  </si>
  <si>
    <t>Litchi, canned, sweetened</t>
  </si>
  <si>
    <t>Mackerel, canned</t>
  </si>
  <si>
    <t>Herring, canned</t>
  </si>
  <si>
    <t>Beef, canned</t>
  </si>
  <si>
    <t>Chicken, canned</t>
  </si>
  <si>
    <t>Pork, canned</t>
  </si>
  <si>
    <t>Pork  beef minced canned</t>
  </si>
  <si>
    <t>Duck, stewed meat</t>
  </si>
  <si>
    <t>Biscuits, plain</t>
  </si>
  <si>
    <t>Small biscuit, fried</t>
  </si>
  <si>
    <t>Small biscuit, fish figured</t>
  </si>
  <si>
    <t>Mungbean cake</t>
  </si>
  <si>
    <t>Wafers filled</t>
  </si>
  <si>
    <t>Rice cake, plain</t>
  </si>
  <si>
    <t>Cinnamon waffle (roll)</t>
  </si>
  <si>
    <t>Chocolate, filled</t>
  </si>
  <si>
    <t>Chocolate sweet</t>
  </si>
  <si>
    <t>Small biscuit</t>
  </si>
  <si>
    <t>Cocoa powder</t>
  </si>
  <si>
    <t>Sugar crude, brown</t>
  </si>
  <si>
    <t>Granulated sugar</t>
  </si>
  <si>
    <t>Toffee, sweets</t>
  </si>
  <si>
    <t>Coffee sweets</t>
  </si>
  <si>
    <t>Sweets, caramel with citron, orange aroma</t>
  </si>
  <si>
    <t>Sweets with coconut aroma</t>
  </si>
  <si>
    <t>Pineapple sweets candy</t>
  </si>
  <si>
    <t>Peanut candy</t>
  </si>
  <si>
    <t>Menthol pastille</t>
  </si>
  <si>
    <t>Sweets with chocolate</t>
  </si>
  <si>
    <t>Sweets with milk</t>
  </si>
  <si>
    <t>Sesame candy</t>
  </si>
  <si>
    <t>Malt</t>
  </si>
  <si>
    <t>Honey</t>
  </si>
  <si>
    <t>Peanut sugar (Jam)</t>
  </si>
  <si>
    <t>Cari powder</t>
  </si>
  <si>
    <t>Ginger root dried</t>
  </si>
  <si>
    <t>Ginger root fresh</t>
  </si>
  <si>
    <t>Pepper black seeds</t>
  </si>
  <si>
    <t>Table salt</t>
  </si>
  <si>
    <t>Turmeric rhizome, dried</t>
  </si>
  <si>
    <t>Turmeric rhizome, fresh</t>
  </si>
  <si>
    <t>Red pepper, dried powder</t>
  </si>
  <si>
    <t>Alpinia root</t>
  </si>
  <si>
    <t>Soybean sauce</t>
  </si>
  <si>
    <t>Shrimp sauce concentrate</t>
  </si>
  <si>
    <t>Shrimp sauce</t>
  </si>
  <si>
    <t>River shrimp (small) sauce</t>
  </si>
  <si>
    <t>Fish - sauce (high quality).</t>
  </si>
  <si>
    <t xml:space="preserve"> Fish sauce liquid, grade I</t>
  </si>
  <si>
    <t xml:space="preserve"> Fish sauce liquid, grade II</t>
  </si>
  <si>
    <t>Fish sauce, ready-to-serve</t>
  </si>
  <si>
    <t>Fish sauce dried</t>
  </si>
  <si>
    <t>Soybean sauce with rice and maize</t>
  </si>
  <si>
    <t>Soybean sauce with glutinous rice</t>
  </si>
  <si>
    <t>Chili sauce</t>
  </si>
  <si>
    <t>Mayonnaise</t>
  </si>
  <si>
    <t>Beer light (4,5 % Alcohol)</t>
  </si>
  <si>
    <t>Cognac (32% alcohol)</t>
  </si>
  <si>
    <t>Cocktail (13% alcohol)</t>
  </si>
  <si>
    <t>Coca Cola</t>
  </si>
  <si>
    <t>Orange juice, fresh</t>
  </si>
  <si>
    <t xml:space="preserve">Water from immature coconut </t>
  </si>
  <si>
    <t>Tomato juice, without salt added</t>
  </si>
  <si>
    <t>Mineral water</t>
  </si>
  <si>
    <t>Mandarins juice (fresh)</t>
  </si>
  <si>
    <t>Liqueur orange, citron</t>
  </si>
  <si>
    <t>Rice glutinous Vodka</t>
  </si>
  <si>
    <t>Vodka (39% alcohol)</t>
  </si>
  <si>
    <t>Red wine (9.5% alcohol)</t>
  </si>
  <si>
    <t>White wine (9.5% alcohol)</t>
  </si>
  <si>
    <t>White wine, sweet (10.2% alcohol)</t>
  </si>
  <si>
    <t>Whisky liqueur (35.2% alcohol)</t>
  </si>
  <si>
    <t>15001</t>
  </si>
  <si>
    <t>Nhóm TP</t>
  </si>
  <si>
    <t>Năng lượng Kcal</t>
  </si>
  <si>
    <t>Năng lượng KJ</t>
  </si>
  <si>
    <t>Tên tiếng Việt</t>
  </si>
  <si>
    <t xml:space="preserve">Tên tiếng anh </t>
  </si>
  <si>
    <t>Mứt dừa</t>
  </si>
  <si>
    <t>Mứt dâu</t>
  </si>
  <si>
    <t>Strawbery jam</t>
  </si>
  <si>
    <t xml:space="preserve">Bánh Plan , hỗn hợp khô, sữa trứng caramen </t>
  </si>
  <si>
    <t>Flan, caramel custard, dry mix</t>
  </si>
  <si>
    <t xml:space="preserve">Bánh Plan, được chuẩn bị với sữa nguyên chất, hỗn hợp khô, sữa trứng caramel 
</t>
  </si>
  <si>
    <t>Flan, prepared with whole milk, dry mix, caramel custard</t>
  </si>
  <si>
    <t>Bánh su kem</t>
  </si>
  <si>
    <t>Bánh mì nhân Cade</t>
  </si>
  <si>
    <t>Bread filled custard cream</t>
  </si>
  <si>
    <t>Bánh Petit Beurre</t>
  </si>
  <si>
    <t>Bánh xếp Pate</t>
  </si>
  <si>
    <t>Meat pie</t>
  </si>
  <si>
    <t>Bánh dẻo nhân đậu xanh</t>
  </si>
  <si>
    <t>Moon cake, sticky type</t>
  </si>
  <si>
    <t>Bánh trung thu thập cẩm 2 trứng</t>
  </si>
  <si>
    <t>Moon cake with two eggs, baked type</t>
  </si>
  <si>
    <t>Kẹo socola đậu phộng</t>
  </si>
  <si>
    <t>Chocolate ball filled peanut</t>
  </si>
  <si>
    <t>Bánh pía</t>
  </si>
  <si>
    <t>Siro trái cây</t>
  </si>
  <si>
    <t>Fruit syrup</t>
  </si>
  <si>
    <t>Nước tương Vifon</t>
  </si>
  <si>
    <t>Nước tương Kikkoman</t>
  </si>
  <si>
    <t>Tương ớt</t>
  </si>
  <si>
    <t>Sauce hot chile</t>
  </si>
  <si>
    <t>Sauce, hot chile, sriracha</t>
  </si>
  <si>
    <t>Tương cà</t>
  </si>
  <si>
    <t>Tomato chili sauce</t>
  </si>
  <si>
    <t>Nước ép nho 100% VNM</t>
  </si>
  <si>
    <t>Nước ép táo 100% VNM</t>
  </si>
  <si>
    <t>Nước ép cà rốt 100%</t>
  </si>
  <si>
    <t>Fanta</t>
  </si>
  <si>
    <t>7up, sprite</t>
  </si>
  <si>
    <t>Nước ép dưa hấu 100%</t>
  </si>
  <si>
    <t>Nước ép trái cây đóng hộp</t>
  </si>
  <si>
    <t>Cà phê sữa đá tươi Nuticafé- vị truyền thống</t>
  </si>
  <si>
    <t>Cà phê sữa đá tươi Nuticafé- đậm vị cà phê</t>
  </si>
  <si>
    <t>Cà phê sữa nóng tươi Nuticafé</t>
  </si>
  <si>
    <t>Cà phê đen đá tươi Nuticafé</t>
  </si>
  <si>
    <t>Hamburger McDONALD'S</t>
  </si>
  <si>
    <t xml:space="preserve">Hamburger bò của Burger King </t>
  </si>
  <si>
    <t>Hamberger, Burger King</t>
  </si>
  <si>
    <t xml:space="preserve">Burger King , Hamburger </t>
  </si>
  <si>
    <t xml:space="preserve">Hamburger dưa chua </t>
  </si>
  <si>
    <t>Pickle relish, hamburger</t>
  </si>
  <si>
    <t xml:space="preserve">Rolls, hỗn hợp ngũ cốc, hamburger và hotdog
</t>
  </si>
  <si>
    <t>Rolls, mixed-grain, hamburger or hotdog</t>
  </si>
  <si>
    <t xml:space="preserve">Gà rán KFC phần đùi tỏi da giòn
</t>
  </si>
  <si>
    <t>Kfc, Fried Chicken, Extra Crispy, Drumstick, Meat Only, Skin And Breading Removed</t>
  </si>
  <si>
    <t xml:space="preserve">Gà rán KFC phần đùi lớn da giòn
</t>
  </si>
  <si>
    <t>Kfc, Fried Chicken, Extra Crispy, Thigh, Meat Only, Skin And Breading Removed</t>
  </si>
  <si>
    <t xml:space="preserve">Gà rán KFC phần cánh da giòn
</t>
  </si>
  <si>
    <t>Kfc, Fried Chicken, Extra Crispy, Wing, Meat Only, Skin And Breading Removed</t>
  </si>
  <si>
    <t xml:space="preserve">Gà rán KFC phần đùi truyền thống, 
</t>
  </si>
  <si>
    <t>Kfc, Fried Chicken, Original Recipe, Drumstick, Meat And Skin With Breading</t>
  </si>
  <si>
    <t xml:space="preserve">Gà rán KFC phần cánh  truyền thống, 
</t>
  </si>
  <si>
    <t>Kfc, Fried Chicken, Original Recipe, Wing, Meat And Skin With Breading</t>
  </si>
  <si>
    <t xml:space="preserve">Gà rán KFC phần đùi lớn truyền thống
</t>
  </si>
  <si>
    <t>Kfc, Fried Chicken, Original Recipe, Thigh, Meat And Skin With Breading</t>
  </si>
  <si>
    <t xml:space="preserve">Gà rán Popeyes phần cánh
</t>
  </si>
  <si>
    <t>Popeyes, Fried Chicken, Mild, Wing, Meat And Skin With Breading</t>
  </si>
  <si>
    <t xml:space="preserve">Gà rán Popeyes phần đùi
</t>
  </si>
  <si>
    <t>Popeyes, Fried Chicken, Mild, Drumstick, Meat And Skin With Breading</t>
  </si>
  <si>
    <t xml:space="preserve">Pizza Hut vị phô mai size 14 đế mỏng giòn
</t>
  </si>
  <si>
    <t>Pizza Hut 14" Cheese Pizza, Thin 'n Crispy Crust</t>
  </si>
  <si>
    <t xml:space="preserve">Pizza Hut vị phô mai size 14 đế dày
</t>
  </si>
  <si>
    <t>Pizza Hut 14" Cheese Pizza, Pan Crust</t>
  </si>
  <si>
    <t xml:space="preserve">Pizza Hut vị tiêu đen size 14 đế dày
</t>
  </si>
  <si>
    <t>Pizza Hut 14" Pepperoni Pizza, Pan Crust</t>
  </si>
  <si>
    <t>Piizza Hut xúc xích sizze 14 đế dày</t>
  </si>
  <si>
    <t>Pizza Hut 14" Sausage Pizza, Pan Crust</t>
  </si>
  <si>
    <t>Pizza Hut phô mai size 12 đế dày</t>
  </si>
  <si>
    <t>PIZZA HUT 12" Cheese Pizza, Pan Crust</t>
  </si>
  <si>
    <t>Pizza Hut tiêu đen size 12 đế dày</t>
  </si>
  <si>
    <t>Pizza Hut 12" Pepperoni Pizza, Pan Crust</t>
  </si>
  <si>
    <t>Pizza Hut đặc biệt size 12</t>
  </si>
  <si>
    <t>Pizza Hut 12" Super Supreme Pizza, Hand-tossed Crust</t>
  </si>
  <si>
    <t>Pizza Hut  phô mai size 12</t>
  </si>
  <si>
    <t>Pizza Hut 12" Cheese Pizza, Hand-tossed Crust</t>
  </si>
  <si>
    <t>Pizza Domino tiêu đen Size 14, Đế hình đĩa</t>
  </si>
  <si>
    <t>Domino's 14" Pepperoni Pizza, Ultimate Deep Dish Crust</t>
  </si>
  <si>
    <t>Pizza Domino tiêu đen Size 14, Đế mỏng giòn</t>
  </si>
  <si>
    <t>Domino's 14" Pepperoni Pizza, Crunchy Thin Crust</t>
  </si>
  <si>
    <t xml:space="preserve">Pizza Domino phô mai size 14, Đế hình dĩa
</t>
  </si>
  <si>
    <t xml:space="preserve">DOMINO'S 14" Cheese Pizza, Ultimate Deep Dish Crust
</t>
  </si>
  <si>
    <t>Pizza Domino phô mai size 14, đế mỏng giòn</t>
  </si>
  <si>
    <t>DOMINO'S 14" Cheese Pizza, Crunchy Thin Crust</t>
  </si>
  <si>
    <t>Pizza Domono xúc xích size 14, đế mỏng giòn</t>
  </si>
  <si>
    <t>Domino's 14" Sausage Pizza, Crunchy Thin Crust</t>
  </si>
  <si>
    <t>Pizza Domino xúc xích size 14, đế hình dĩa</t>
  </si>
  <si>
    <t>Domino's 14" Sausage Pizza, Ultimate Deep Dish Crust</t>
  </si>
  <si>
    <t>Sushi cuộn rau củ</t>
  </si>
  <si>
    <t>Sushi roll vegetable</t>
  </si>
  <si>
    <t xml:space="preserve">Sushi cuộn cá ngừ </t>
  </si>
  <si>
    <t>Sushi roll Tuna</t>
  </si>
  <si>
    <t>Sushi  cá ngừ</t>
  </si>
  <si>
    <t>Sushi, topped with tuna</t>
  </si>
  <si>
    <t xml:space="preserve">Sushi cuộn cá hồi </t>
  </si>
  <si>
    <t>Salmon Sushi Rolls</t>
  </si>
  <si>
    <t>Shushi cá hồi</t>
  </si>
  <si>
    <t>Sushi, topped with salmon</t>
  </si>
  <si>
    <t xml:space="preserve">Sushi cuộn tôm </t>
  </si>
  <si>
    <t>Shrimp Sushi  Rolls</t>
  </si>
  <si>
    <t>Shushi tôm</t>
  </si>
  <si>
    <t>Sushi, topped with shrimp</t>
  </si>
  <si>
    <t xml:space="preserve">Sushi cuộn lươn </t>
  </si>
  <si>
    <t>Sushi roll, eel</t>
  </si>
  <si>
    <t>Sushi trứng</t>
  </si>
  <si>
    <t>Sushi, topped with egg</t>
  </si>
  <si>
    <t>Bánh mì tươi nhân sosola Kinh Đô</t>
  </si>
  <si>
    <t>Bánh mì tươi vị bơ sữa Kinh Đô</t>
  </si>
  <si>
    <t>Bành mì tươi chà bông Kinh Đô</t>
  </si>
  <si>
    <t>Bánh mì tươi nhân thịt Otto</t>
  </si>
  <si>
    <t>Bánh mì tươi nhân bơ sữa Otto</t>
  </si>
  <si>
    <t>Mì tôm chua cay Hảo Hảo 75g/gói (Acecook)</t>
  </si>
  <si>
    <t>Mì sa tế hành tím Hảo Hảo 75g/gói (Acecook)</t>
  </si>
  <si>
    <t>Mì sườn heo tỏi phi Hảo Hảo 73g/gói (Acecook)</t>
  </si>
  <si>
    <t>Mì gà vàng Hảo Hảo 74g/gói (Acecook)</t>
  </si>
  <si>
    <t>Mì tôm chua cay Hảo 100 65g/gói (Acecook)</t>
  </si>
  <si>
    <t>Mì lẩu thái tôm 80g/gói (Acecook)</t>
  </si>
  <si>
    <t>14043</t>
  </si>
  <si>
    <t>Mì hoành thánh tôm 76g/gói (Acecook)</t>
  </si>
  <si>
    <t>Mì hải sản SiuKay 128g/gói (Acecook)</t>
  </si>
  <si>
    <t>Mì bò SiuKay 127g/gói (Acecook)</t>
  </si>
  <si>
    <t>Mì gà cay phô mai SiuKay 129g/gói (Acecook)</t>
  </si>
  <si>
    <t>Mì Udon Nhật Bản 75g/gói (Acecook)</t>
  </si>
  <si>
    <t>Mì Udon cà ri 79g/gói (Acecook)</t>
  </si>
  <si>
    <t>Mì vị riêu cua Đậu Đậu 76g/gói (Acecook)</t>
  </si>
  <si>
    <t>Mì vị gà lá chanh Đậu Đậu 73g/gói (Acecook)</t>
  </si>
  <si>
    <t>Mì thịt bằm Đệ Nhất 82g/gói (Acecook)</t>
  </si>
  <si>
    <t>Mì tôm chua cay Số Đỏ 65g/gói (Acecook)</t>
  </si>
  <si>
    <t>Mì vị bò bít tết Gấu Đỏ 63g/gói (TP Á Châu)</t>
  </si>
  <si>
    <t>Mì vị thịt bằm Gấu Đỏ 63g/gói (TP Á Châu)</t>
  </si>
  <si>
    <t>Mì vị tôm và gà Gấu Đỏ 63g/gói (TP Á Châu)</t>
  </si>
  <si>
    <t>Mì vị gà sợi phở hành phi Gấu Đỏ 65g/gói (TP Á Châu)</t>
  </si>
  <si>
    <t>Mì vị tôm chua cay Gấu Đỏ 63g/gói (TP Á Châu)</t>
  </si>
  <si>
    <t>Mì thịt bò Hoàng Gia 120g/gói (Vifon)</t>
  </si>
  <si>
    <t>Mì thịt bằm Hoàng Gia 120g/gói (Vifon)</t>
  </si>
  <si>
    <t xml:space="preserve">Mì gà tím Vifon 75g/gói </t>
  </si>
  <si>
    <t>Mì Hai tôm sa tế Vifon 75g/gói</t>
  </si>
  <si>
    <t>Mì khoai tây tôm chua cay Omachi 78g/gói (Masan)</t>
  </si>
  <si>
    <t>Mì khoai tây xốt bò hầm Omachi 80g/gói (Masan)</t>
  </si>
  <si>
    <t>Mì khoai tây sườn hầm ngũ quả Omachi 80g/gói (Masan)</t>
  </si>
  <si>
    <t>Mì ly tôm chua cay Ngon Ngon 60g/ly (Vifon)</t>
  </si>
  <si>
    <t>Mì ly lẩu thái Tomyum Ngon Ngon 60g/ly (Vifon)</t>
  </si>
  <si>
    <t>Mì ly gà Ngon Ngon 60g/ly (Vifon)</t>
  </si>
  <si>
    <t>Mì ly khoai tây sườn hầm ngũ quả Omachi 68g/ly (Masan)</t>
  </si>
  <si>
    <t>Mì ly khoai tây xốt bò hầm-có cây thịt thật Omachi 113g/ly (Masan)</t>
  </si>
  <si>
    <t>Mì không chiên vị lẩu thái tôm Mikochi 84g/gói (Acecook)</t>
  </si>
  <si>
    <t>Mì không chiên vị sườn heo Mikochi 80g/gói (Acecook)</t>
  </si>
  <si>
    <t>Mì không chiên vị nấm Samurai 79g/gói (Acecook)</t>
  </si>
  <si>
    <t>Mì không chiên vị sườn heo Samurai 80g/gói (Acecook)</t>
  </si>
  <si>
    <t>Mì xào tôm hành Hảo Hảo 75g/gói (Acecook)</t>
  </si>
  <si>
    <t>Mì xào tôm chua ngọt Hảo Hảo 75g/gói (Acecook)</t>
  </si>
  <si>
    <t>Mì xào thịt bằm xốt cà chua Táo Quân 85g/gói (Acecook)</t>
  </si>
  <si>
    <t>Mì xào kim chi tôm Táo Quân 85g/gói (Acecook)</t>
  </si>
  <si>
    <t>Mì xào thập cẩm Táo Quân 85g/gói (Acecook)</t>
  </si>
  <si>
    <t>Mì trộn Xốt tôm phô mai trứng muối Omachi 105g/gói (Masan)</t>
  </si>
  <si>
    <t>Mì chay khoai tây Cung Đình 70g/gói (Micoem)</t>
  </si>
  <si>
    <t>Mì chay vị rau nấm Hảo Hảo 74g/gói (Acecook)</t>
  </si>
  <si>
    <t>Mì chay vị rau nấm Gấu Đỏ 62g/gói (TP Á Châu)</t>
  </si>
  <si>
    <t>Mì chay vị rau nấm Vifon 65g/gói</t>
  </si>
  <si>
    <t>Mì chay vị lẩu thái Vifon 65g/gói</t>
  </si>
  <si>
    <t>Phở gà Hà Nội Cung Đình 68g/gói (Micoem)</t>
  </si>
  <si>
    <t>Phở bò Đệ Nhất 65g/gói (Acecook)</t>
  </si>
  <si>
    <t>Phở gà Đệ Nhất 65g/gói (Acecook)</t>
  </si>
  <si>
    <t>Phở gà lá chanh Đệ Nhất 65g/gói (Acecook)</t>
  </si>
  <si>
    <t>Phở nghêu Đệ Nhất 64g/gói (Acecook)</t>
  </si>
  <si>
    <t>Phở bò Xưa và Nay 70g/gói (Acecook)</t>
  </si>
  <si>
    <t>Phở bò Premium Xưa và Nay 69g/gói (Acecook)</t>
  </si>
  <si>
    <t>Phở gà Premium Xưa và Nay 68g/gói (Acecook)</t>
  </si>
  <si>
    <t>Phở bò Hoàng Gia 120g/gói (Vifon)</t>
  </si>
  <si>
    <t>Phở gà Hoàng Gia 120g/gói (Vifon)</t>
  </si>
  <si>
    <t>Phở trộn vị bò Đệ Nhất 84g/gói (Acecook)</t>
  </si>
  <si>
    <t>Phở trộn vị thập cẩm cay Đệ Nhất 82g/gói (Acecook)</t>
  </si>
  <si>
    <t>Phở xào chua ngọt Vifon 80g/khay</t>
  </si>
  <si>
    <t>Phở xào bò Vifon 80g/khay</t>
  </si>
  <si>
    <t>Phở chay rau nấm Vifon 65g/gói</t>
  </si>
  <si>
    <t>Phở chay Như Ý 65g/gói (Thiên Hương Group)</t>
  </si>
  <si>
    <t>Miến thịt bằm Phú Hương 58g/gói (Acecook)</t>
  </si>
  <si>
    <t>Miến thịt heo nấu măng Phú Hương 57g/gói (Acecook)</t>
  </si>
  <si>
    <t>Miến sườn heo Phú Hương 58g/gói (Acecook)</t>
  </si>
  <si>
    <t>Miến lẩu thái tôm Phú Hương 63g/gói (Acecook)</t>
  </si>
  <si>
    <t>Miến trộn vị xốt cua Phú Hương 60g/gói (Acecook)</t>
  </si>
  <si>
    <t>Miến cua Vifon 50g/ly</t>
  </si>
  <si>
    <t>Cháo thịt bằm Vifon 70g/gói</t>
  </si>
  <si>
    <t>Cháo thịt gà Vifon 70g/gói</t>
  </si>
  <si>
    <t>Cháo sườn Vifon 70g/gói</t>
  </si>
  <si>
    <t>Cháo nấm đông cô Vifon 70g/gói</t>
  </si>
  <si>
    <t>Cháo thịt bằm Gấu Đỏ 50g/gói (TP Á Châu)</t>
  </si>
  <si>
    <t>Cháo cá Gấu Đỏ 50g/gói (TP Á Châu)</t>
  </si>
  <si>
    <t>Cháo gà Gấu Đỏ 50g/gói (TP Á Châu)</t>
  </si>
  <si>
    <t>Chả giò chiên</t>
  </si>
  <si>
    <t>Thạch</t>
  </si>
  <si>
    <t>Thạch dừa</t>
  </si>
  <si>
    <t>Nước chanh (có đường)</t>
  </si>
  <si>
    <t>Nước rau má (có đường)</t>
  </si>
  <si>
    <t>Cocktail trái cây</t>
  </si>
  <si>
    <t>Sinh tố cà chua</t>
  </si>
  <si>
    <t>Sinh tố bơ</t>
  </si>
  <si>
    <t>Sinh tố đu đủ</t>
  </si>
  <si>
    <t>Kem Cornetto</t>
  </si>
  <si>
    <t>Kem que trái cây</t>
  </si>
  <si>
    <t xml:space="preserve">Kem hộp </t>
  </si>
  <si>
    <t>Đậu phộng tôm</t>
  </si>
  <si>
    <t>Đậu phộng rau củ</t>
  </si>
  <si>
    <t>Khoai lang chiên</t>
  </si>
  <si>
    <t>Nước mía ép</t>
  </si>
  <si>
    <t>Nước sâm</t>
  </si>
  <si>
    <t xml:space="preserve">Nước </t>
  </si>
  <si>
    <t>Chất Đạm</t>
  </si>
  <si>
    <t>Chất Béo</t>
  </si>
  <si>
    <t>Chất bột đường</t>
  </si>
  <si>
    <t>Chất xơ</t>
  </si>
  <si>
    <t>Tro</t>
  </si>
  <si>
    <t>Canxi</t>
  </si>
  <si>
    <t>Phospho</t>
  </si>
  <si>
    <t>Sắt</t>
  </si>
  <si>
    <t>Kẽm</t>
  </si>
  <si>
    <t>Natri</t>
  </si>
  <si>
    <t>Kali</t>
  </si>
  <si>
    <t>Magie</t>
  </si>
  <si>
    <t>Mangan</t>
  </si>
  <si>
    <t>Đồng</t>
  </si>
  <si>
    <t>Selen</t>
  </si>
  <si>
    <t>Vitamin C</t>
  </si>
  <si>
    <t>Vitamin B1</t>
  </si>
  <si>
    <t>Vitamin B2</t>
  </si>
  <si>
    <t>Vitamin PP</t>
  </si>
  <si>
    <t>Vitamin B5</t>
  </si>
  <si>
    <t>Vitamin B6</t>
  </si>
  <si>
    <t>Folat</t>
  </si>
  <si>
    <t>Vitamin B9</t>
  </si>
  <si>
    <t>Vitamin H</t>
  </si>
  <si>
    <t>Vitamin B12</t>
  </si>
  <si>
    <t>Retinol</t>
  </si>
  <si>
    <t>Vitamin A</t>
  </si>
  <si>
    <t>Vitamin D</t>
  </si>
  <si>
    <t>Vitamin E</t>
  </si>
  <si>
    <t>Vitamin K</t>
  </si>
  <si>
    <t>Beta Caroten</t>
  </si>
  <si>
    <t>Alpha Caroten</t>
  </si>
  <si>
    <t>Beta cryptoxanthin</t>
  </si>
  <si>
    <t>Tổng số a.béo no</t>
  </si>
  <si>
    <t>Palmitic</t>
  </si>
  <si>
    <t>Margaric</t>
  </si>
  <si>
    <t>Stearic</t>
  </si>
  <si>
    <t>Arachidic</t>
  </si>
  <si>
    <t>Behenic</t>
  </si>
  <si>
    <t>Lignoceric</t>
  </si>
  <si>
    <t>Tổng số a.béo không no một nối đôi</t>
  </si>
  <si>
    <t>Myristoleic</t>
  </si>
  <si>
    <t>Palmitoleic</t>
  </si>
  <si>
    <t>Oleic</t>
  </si>
  <si>
    <t>Tổng số a. béo không no nhiều nối đôi</t>
  </si>
  <si>
    <t>Linoleic</t>
  </si>
  <si>
    <t>Linolenic</t>
  </si>
  <si>
    <t>Arachidonic</t>
  </si>
  <si>
    <t>Eicosapentaenoic</t>
  </si>
  <si>
    <t>Docosahexaenoic</t>
  </si>
  <si>
    <t>Tổng số a. béo Trans</t>
  </si>
  <si>
    <t>Cholesterol</t>
  </si>
  <si>
    <t>Lysin</t>
  </si>
  <si>
    <t>Methionin</t>
  </si>
  <si>
    <t>Tryptophan</t>
  </si>
  <si>
    <t>Phenylalanin</t>
  </si>
  <si>
    <t>Threonin</t>
  </si>
  <si>
    <t>Valin</t>
  </si>
  <si>
    <t>Leucin</t>
  </si>
  <si>
    <t>Isoleucin</t>
  </si>
  <si>
    <t>Arginin</t>
  </si>
  <si>
    <t>Histidin</t>
  </si>
  <si>
    <t>Cystein</t>
  </si>
  <si>
    <t>Tyrosin</t>
  </si>
  <si>
    <t>Alanin</t>
  </si>
  <si>
    <t>Acid aspatic</t>
  </si>
  <si>
    <t>Acid Glutamic</t>
  </si>
  <si>
    <t>Glycin</t>
  </si>
  <si>
    <t>Prolin</t>
  </si>
  <si>
    <t>Serin</t>
  </si>
  <si>
    <t>Đường tổng số</t>
  </si>
  <si>
    <t>Galactoza</t>
  </si>
  <si>
    <t>Maltoza</t>
  </si>
  <si>
    <t>Lactoza</t>
  </si>
  <si>
    <t>Fructoza</t>
  </si>
  <si>
    <t>Glucoza</t>
  </si>
  <si>
    <t>Sacaroza</t>
  </si>
  <si>
    <t>Lycopen</t>
  </si>
  <si>
    <t>Lutein + Zeaxanthin</t>
  </si>
  <si>
    <t>Tổng số Isoflavon</t>
  </si>
  <si>
    <t>Daidzein</t>
  </si>
  <si>
    <t>Genistein</t>
  </si>
  <si>
    <t>Glycetin</t>
  </si>
  <si>
    <t>Phytosterol</t>
  </si>
  <si>
    <t>Purin</t>
  </si>
  <si>
    <t>Nhóm TP:</t>
  </si>
  <si>
    <t>KEY trong bảng DANH MỤC NHÓM THỰC PHẨM 
http://nutifood.orenda.vn/app/thuc-pham-dinh-duong/nhom-thuc-pham</t>
  </si>
  <si>
    <t>DinhDuong</t>
  </si>
  <si>
    <t>Đạm động vật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</si>
</sst>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1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2"/>
      <color rgb="FF242EF8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42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double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double">
        <color indexed="64"/>
      </left>
      <right style="double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theme="0" tint="-0.14996795556505021"/>
      </top>
      <bottom style="double">
        <color indexed="64"/>
      </bottom>
      <diagonal/>
    </border>
    <border>
      <left style="double">
        <color indexed="64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double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double">
        <color indexed="64"/>
      </left>
      <right style="thin">
        <color theme="0" tint="-0.14996795556505021"/>
      </right>
      <top style="thin">
        <color theme="0" tint="-0.14996795556505021"/>
      </top>
      <bottom style="double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double">
        <color indexed="64"/>
      </bottom>
      <diagonal/>
    </border>
    <border>
      <left style="thin">
        <color theme="0" tint="-0.14996795556505021"/>
      </left>
      <right style="double">
        <color indexed="64"/>
      </right>
      <top style="thin">
        <color theme="0" tint="-0.14996795556505021"/>
      </top>
      <bottom style="double">
        <color indexed="64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double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double">
        <color indexed="64"/>
      </bottom>
      <diagonal/>
    </border>
    <border>
      <left style="thin">
        <color theme="0" tint="-0.14993743705557422"/>
      </left>
      <right style="double">
        <color indexed="64"/>
      </right>
      <top style="thin">
        <color theme="0" tint="-0.14996795556505021"/>
      </top>
      <bottom style="double">
        <color indexed="64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 style="double">
        <color indexed="64"/>
      </bottom>
      <diagonal/>
    </border>
    <border>
      <left/>
      <right style="double">
        <color indexed="64"/>
      </right>
      <top style="thin">
        <color theme="0" tint="-0.14996795556505021"/>
      </top>
      <bottom style="double">
        <color indexed="64"/>
      </bottom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double">
        <color indexed="64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theme="0" tint="-0.14996795556505021"/>
      </top>
      <bottom/>
      <diagonal/>
    </border>
    <border>
      <left/>
      <right style="double">
        <color indexed="64"/>
      </right>
      <top style="thin">
        <color theme="0" tint="-0.14996795556505021"/>
      </top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381">
    <xf numFmtId="0" fontId="0" fillId="0" borderId="0" xfId="0"/>
    <xf numFmtId="0" fontId="1" fillId="0" borderId="0" xfId="0" applyFont="1" applyAlignment="1">
      <alignment horizontal="left" vertical="center"/>
    </xf>
    <xf numFmtId="2" fontId="1" fillId="0" borderId="0" xfId="0" quotePrefix="1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2" fontId="1" fillId="0" borderId="0" xfId="0" applyNumberFormat="1" applyFont="1" applyFill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2" fontId="1" fillId="0" borderId="0" xfId="0" applyNumberFormat="1" applyFont="1" applyAlignment="1">
      <alignment horizontal="left" vertical="center"/>
    </xf>
    <xf numFmtId="2" fontId="1" fillId="0" borderId="2" xfId="0" applyNumberFormat="1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5" xfId="0" applyFont="1" applyBorder="1" applyAlignment="1">
      <alignment horizontal="left" vertical="center"/>
    </xf>
    <xf numFmtId="2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2" fontId="1" fillId="0" borderId="5" xfId="0" quotePrefix="1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4" xfId="0" quotePrefix="1" applyNumberFormat="1" applyFont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2" fontId="1" fillId="0" borderId="2" xfId="0" quotePrefix="1" applyNumberFormat="1" applyFont="1" applyBorder="1" applyAlignment="1">
      <alignment horizontal="center" vertical="center"/>
    </xf>
    <xf numFmtId="2" fontId="1" fillId="0" borderId="1" xfId="0" quotePrefix="1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6" xfId="0" quotePrefix="1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2" fontId="1" fillId="0" borderId="0" xfId="0" quotePrefix="1" applyNumberFormat="1" applyFont="1" applyBorder="1" applyAlignment="1">
      <alignment horizontal="center" vertical="center"/>
    </xf>
    <xf numFmtId="0" fontId="1" fillId="0" borderId="9" xfId="0" applyFont="1" applyFill="1" applyBorder="1" applyAlignment="1">
      <alignment horizontal="left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13" xfId="0" applyNumberFormat="1" applyFont="1" applyFill="1" applyBorder="1" applyAlignment="1">
      <alignment horizontal="center" vertical="center"/>
    </xf>
    <xf numFmtId="2" fontId="1" fillId="0" borderId="14" xfId="0" applyNumberFormat="1" applyFont="1" applyFill="1" applyBorder="1" applyAlignment="1">
      <alignment horizontal="center" vertical="center"/>
    </xf>
    <xf numFmtId="2" fontId="1" fillId="0" borderId="15" xfId="0" applyNumberFormat="1" applyFont="1" applyFill="1" applyBorder="1" applyAlignment="1">
      <alignment horizontal="center" vertical="center"/>
    </xf>
    <xf numFmtId="2" fontId="1" fillId="0" borderId="16" xfId="0" applyNumberFormat="1" applyFont="1" applyFill="1" applyBorder="1" applyAlignment="1">
      <alignment horizontal="center" vertical="center"/>
    </xf>
    <xf numFmtId="2" fontId="1" fillId="0" borderId="17" xfId="0" applyNumberFormat="1" applyFont="1" applyFill="1" applyBorder="1" applyAlignment="1">
      <alignment horizontal="center" vertical="center"/>
    </xf>
    <xf numFmtId="2" fontId="1" fillId="0" borderId="18" xfId="0" applyNumberFormat="1" applyFont="1" applyFill="1" applyBorder="1" applyAlignment="1">
      <alignment horizontal="center" vertical="center"/>
    </xf>
    <xf numFmtId="2" fontId="1" fillId="0" borderId="26" xfId="0" applyNumberFormat="1" applyFont="1" applyFill="1" applyBorder="1" applyAlignment="1">
      <alignment horizontal="center" vertical="center"/>
    </xf>
    <xf numFmtId="0" fontId="1" fillId="0" borderId="0" xfId="0" applyFont="1" applyBorder="1"/>
    <xf numFmtId="2" fontId="1" fillId="0" borderId="3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2" fontId="1" fillId="0" borderId="30" xfId="0" applyNumberFormat="1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2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2" fontId="1" fillId="0" borderId="2" xfId="0" applyNumberFormat="1" applyFont="1" applyBorder="1" applyAlignment="1">
      <alignment horizontal="left" vertical="center"/>
    </xf>
    <xf numFmtId="2" fontId="1" fillId="0" borderId="1" xfId="0" applyNumberFormat="1" applyFont="1" applyBorder="1" applyAlignment="1">
      <alignment horizontal="left" vertical="center"/>
    </xf>
    <xf numFmtId="0" fontId="2" fillId="0" borderId="2" xfId="0" quotePrefix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1" fillId="0" borderId="0" xfId="0" quotePrefix="1" applyNumberFormat="1" applyFont="1" applyAlignment="1">
      <alignment horizontal="center" vertical="center"/>
    </xf>
    <xf numFmtId="165" fontId="1" fillId="0" borderId="1" xfId="0" quotePrefix="1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1" fillId="0" borderId="2" xfId="0" quotePrefix="1" applyFont="1" applyFill="1" applyBorder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65" fontId="1" fillId="0" borderId="0" xfId="0" applyNumberFormat="1" applyFont="1" applyFill="1" applyAlignment="1">
      <alignment horizontal="center" vertical="center"/>
    </xf>
    <xf numFmtId="0" fontId="1" fillId="0" borderId="0" xfId="0" applyFont="1" applyFill="1"/>
    <xf numFmtId="165" fontId="1" fillId="0" borderId="1" xfId="0" applyNumberFormat="1" applyFont="1" applyFill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0" xfId="0" quotePrefix="1" applyFont="1" applyFill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164" fontId="1" fillId="0" borderId="1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65" fontId="1" fillId="0" borderId="4" xfId="0" quotePrefix="1" applyNumberFormat="1" applyFont="1" applyBorder="1" applyAlignment="1">
      <alignment horizontal="center" vertical="center"/>
    </xf>
    <xf numFmtId="164" fontId="1" fillId="0" borderId="9" xfId="0" applyNumberFormat="1" applyFont="1" applyFill="1" applyBorder="1" applyAlignment="1">
      <alignment horizontal="center" vertical="center"/>
    </xf>
    <xf numFmtId="1" fontId="1" fillId="0" borderId="13" xfId="0" applyNumberFormat="1" applyFont="1" applyFill="1" applyBorder="1" applyAlignment="1">
      <alignment horizontal="center" vertical="center"/>
    </xf>
    <xf numFmtId="1" fontId="1" fillId="0" borderId="14" xfId="0" applyNumberFormat="1" applyFont="1" applyFill="1" applyBorder="1" applyAlignment="1">
      <alignment horizontal="center" vertical="center"/>
    </xf>
    <xf numFmtId="1" fontId="1" fillId="0" borderId="16" xfId="0" applyNumberFormat="1" applyFont="1" applyFill="1" applyBorder="1" applyAlignment="1">
      <alignment horizontal="center" vertical="center"/>
    </xf>
    <xf numFmtId="1" fontId="1" fillId="0" borderId="17" xfId="0" applyNumberFormat="1" applyFont="1" applyFill="1" applyBorder="1" applyAlignment="1">
      <alignment horizontal="center" vertical="center"/>
    </xf>
    <xf numFmtId="165" fontId="1" fillId="0" borderId="14" xfId="0" applyNumberFormat="1" applyFont="1" applyFill="1" applyBorder="1" applyAlignment="1">
      <alignment horizontal="center" vertical="center"/>
    </xf>
    <xf numFmtId="165" fontId="1" fillId="0" borderId="17" xfId="0" applyNumberFormat="1" applyFont="1" applyFill="1" applyBorder="1" applyAlignment="1">
      <alignment horizontal="center" vertical="center"/>
    </xf>
    <xf numFmtId="1" fontId="1" fillId="0" borderId="29" xfId="0" applyNumberFormat="1" applyFont="1" applyFill="1" applyBorder="1" applyAlignment="1">
      <alignment horizontal="center" vertical="center"/>
    </xf>
    <xf numFmtId="1" fontId="1" fillId="0" borderId="30" xfId="0" applyNumberFormat="1" applyFont="1" applyFill="1" applyBorder="1" applyAlignment="1">
      <alignment horizontal="center" vertical="center"/>
    </xf>
    <xf numFmtId="1" fontId="1" fillId="0" borderId="15" xfId="0" applyNumberFormat="1" applyFont="1" applyFill="1" applyBorder="1" applyAlignment="1">
      <alignment horizontal="center" vertical="center"/>
    </xf>
    <xf numFmtId="1" fontId="1" fillId="0" borderId="18" xfId="0" applyNumberFormat="1" applyFont="1" applyFill="1" applyBorder="1" applyAlignment="1">
      <alignment horizontal="center" vertical="center"/>
    </xf>
    <xf numFmtId="165" fontId="1" fillId="0" borderId="15" xfId="0" applyNumberFormat="1" applyFont="1" applyFill="1" applyBorder="1" applyAlignment="1">
      <alignment horizontal="center" vertical="center"/>
    </xf>
    <xf numFmtId="165" fontId="1" fillId="0" borderId="18" xfId="0" applyNumberFormat="1" applyFont="1" applyFill="1" applyBorder="1" applyAlignment="1">
      <alignment horizontal="center" vertical="center"/>
    </xf>
    <xf numFmtId="165" fontId="1" fillId="0" borderId="22" xfId="0" applyNumberFormat="1" applyFont="1" applyFill="1" applyBorder="1" applyAlignment="1">
      <alignment horizontal="center" vertical="center"/>
    </xf>
    <xf numFmtId="165" fontId="1" fillId="0" borderId="23" xfId="0" applyNumberFormat="1" applyFont="1" applyFill="1" applyBorder="1" applyAlignment="1">
      <alignment horizontal="center" vertical="center"/>
    </xf>
    <xf numFmtId="0" fontId="2" fillId="0" borderId="2" xfId="0" quotePrefix="1" applyFont="1" applyFill="1" applyBorder="1" applyAlignment="1">
      <alignment horizontal="center" vertical="center"/>
    </xf>
    <xf numFmtId="0" fontId="2" fillId="0" borderId="0" xfId="0" applyFont="1" applyFill="1"/>
    <xf numFmtId="2" fontId="1" fillId="0" borderId="0" xfId="0" quotePrefix="1" applyNumberFormat="1" applyFont="1" applyFill="1" applyAlignment="1">
      <alignment horizontal="center" vertical="center"/>
    </xf>
    <xf numFmtId="2" fontId="1" fillId="0" borderId="33" xfId="0" applyNumberFormat="1" applyFont="1" applyBorder="1" applyAlignment="1">
      <alignment horizontal="center" vertical="center"/>
    </xf>
    <xf numFmtId="1" fontId="1" fillId="0" borderId="5" xfId="0" applyNumberFormat="1" applyFont="1" applyFill="1" applyBorder="1" applyAlignment="1">
      <alignment horizontal="center" vertical="center"/>
    </xf>
    <xf numFmtId="1" fontId="1" fillId="0" borderId="4" xfId="0" applyNumberFormat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2" fontId="1" fillId="0" borderId="10" xfId="0" applyNumberFormat="1" applyFont="1" applyFill="1" applyBorder="1" applyAlignment="1">
      <alignment horizontal="center"/>
    </xf>
    <xf numFmtId="1" fontId="1" fillId="0" borderId="32" xfId="0" applyNumberFormat="1" applyFont="1" applyFill="1" applyBorder="1" applyAlignment="1">
      <alignment horizontal="center"/>
    </xf>
    <xf numFmtId="164" fontId="1" fillId="0" borderId="9" xfId="0" applyNumberFormat="1" applyFont="1" applyFill="1" applyBorder="1" applyAlignment="1">
      <alignment horizontal="center"/>
    </xf>
    <xf numFmtId="2" fontId="1" fillId="0" borderId="30" xfId="0" applyNumberFormat="1" applyFont="1" applyFill="1" applyBorder="1" applyAlignment="1">
      <alignment horizontal="center"/>
    </xf>
    <xf numFmtId="2" fontId="1" fillId="0" borderId="17" xfId="0" applyNumberFormat="1" applyFont="1" applyFill="1" applyBorder="1" applyAlignment="1">
      <alignment horizontal="center"/>
    </xf>
    <xf numFmtId="2" fontId="1" fillId="0" borderId="18" xfId="0" applyNumberFormat="1" applyFont="1" applyFill="1" applyBorder="1" applyAlignment="1">
      <alignment horizontal="center"/>
    </xf>
    <xf numFmtId="1" fontId="1" fillId="0" borderId="16" xfId="0" applyNumberFormat="1" applyFont="1" applyFill="1" applyBorder="1" applyAlignment="1">
      <alignment horizontal="center"/>
    </xf>
    <xf numFmtId="1" fontId="1" fillId="0" borderId="17" xfId="0" applyNumberFormat="1" applyFont="1" applyFill="1" applyBorder="1" applyAlignment="1">
      <alignment horizontal="center"/>
    </xf>
    <xf numFmtId="165" fontId="1" fillId="0" borderId="17" xfId="0" applyNumberFormat="1" applyFont="1" applyFill="1" applyBorder="1" applyAlignment="1">
      <alignment horizontal="center"/>
    </xf>
    <xf numFmtId="2" fontId="1" fillId="0" borderId="16" xfId="0" applyNumberFormat="1" applyFont="1" applyFill="1" applyBorder="1" applyAlignment="1">
      <alignment horizontal="center"/>
    </xf>
    <xf numFmtId="1" fontId="1" fillId="0" borderId="30" xfId="0" applyNumberFormat="1" applyFont="1" applyFill="1" applyBorder="1" applyAlignment="1">
      <alignment horizontal="center"/>
    </xf>
    <xf numFmtId="1" fontId="1" fillId="0" borderId="18" xfId="0" applyNumberFormat="1" applyFont="1" applyFill="1" applyBorder="1" applyAlignment="1">
      <alignment horizontal="center"/>
    </xf>
    <xf numFmtId="165" fontId="1" fillId="0" borderId="18" xfId="0" applyNumberFormat="1" applyFont="1" applyFill="1" applyBorder="1" applyAlignment="1">
      <alignment horizontal="center"/>
    </xf>
    <xf numFmtId="2" fontId="1" fillId="0" borderId="26" xfId="0" applyNumberFormat="1" applyFont="1" applyFill="1" applyBorder="1" applyAlignment="1">
      <alignment horizontal="center"/>
    </xf>
    <xf numFmtId="165" fontId="1" fillId="0" borderId="22" xfId="0" applyNumberFormat="1" applyFont="1" applyFill="1" applyBorder="1" applyAlignment="1">
      <alignment horizontal="center"/>
    </xf>
    <xf numFmtId="165" fontId="1" fillId="0" borderId="23" xfId="0" applyNumberFormat="1" applyFont="1" applyFill="1" applyBorder="1" applyAlignment="1">
      <alignment horizontal="center"/>
    </xf>
    <xf numFmtId="164" fontId="1" fillId="0" borderId="10" xfId="0" applyNumberFormat="1" applyFont="1" applyFill="1" applyBorder="1" applyAlignment="1">
      <alignment horizontal="center"/>
    </xf>
    <xf numFmtId="0" fontId="2" fillId="0" borderId="0" xfId="0" applyFont="1" applyFill="1" applyBorder="1"/>
    <xf numFmtId="1" fontId="1" fillId="0" borderId="0" xfId="0" applyNumberFormat="1" applyFont="1" applyFill="1" applyBorder="1" applyAlignment="1">
      <alignment horizontal="center"/>
    </xf>
    <xf numFmtId="0" fontId="1" fillId="0" borderId="8" xfId="0" applyFont="1" applyFill="1" applyBorder="1" applyAlignment="1">
      <alignment horizontal="left" wrapText="1"/>
    </xf>
    <xf numFmtId="0" fontId="1" fillId="0" borderId="10" xfId="0" applyFont="1" applyFill="1" applyBorder="1" applyAlignment="1">
      <alignment horizontal="left"/>
    </xf>
    <xf numFmtId="0" fontId="2" fillId="0" borderId="6" xfId="0" quotePrefix="1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2" fontId="1" fillId="0" borderId="12" xfId="0" applyNumberFormat="1" applyFont="1" applyFill="1" applyBorder="1" applyAlignment="1">
      <alignment horizontal="center"/>
    </xf>
    <xf numFmtId="1" fontId="1" fillId="0" borderId="31" xfId="0" applyNumberFormat="1" applyFont="1" applyFill="1" applyBorder="1" applyAlignment="1">
      <alignment horizontal="center"/>
    </xf>
    <xf numFmtId="164" fontId="1" fillId="0" borderId="12" xfId="0" applyNumberFormat="1" applyFont="1" applyFill="1" applyBorder="1" applyAlignment="1">
      <alignment horizontal="center"/>
    </xf>
    <xf numFmtId="2" fontId="1" fillId="0" borderId="31" xfId="0" applyNumberFormat="1" applyFont="1" applyFill="1" applyBorder="1" applyAlignment="1">
      <alignment horizontal="center"/>
    </xf>
    <xf numFmtId="2" fontId="1" fillId="0" borderId="20" xfId="0" applyNumberFormat="1" applyFont="1" applyFill="1" applyBorder="1" applyAlignment="1">
      <alignment horizontal="center"/>
    </xf>
    <xf numFmtId="2" fontId="1" fillId="0" borderId="21" xfId="0" applyNumberFormat="1" applyFont="1" applyFill="1" applyBorder="1" applyAlignment="1">
      <alignment horizontal="center"/>
    </xf>
    <xf numFmtId="1" fontId="1" fillId="0" borderId="19" xfId="0" applyNumberFormat="1" applyFont="1" applyFill="1" applyBorder="1" applyAlignment="1">
      <alignment horizontal="center"/>
    </xf>
    <xf numFmtId="1" fontId="1" fillId="0" borderId="20" xfId="0" applyNumberFormat="1" applyFont="1" applyFill="1" applyBorder="1" applyAlignment="1">
      <alignment horizontal="center"/>
    </xf>
    <xf numFmtId="165" fontId="1" fillId="0" borderId="20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1" fontId="1" fillId="0" borderId="21" xfId="0" applyNumberFormat="1" applyFont="1" applyFill="1" applyBorder="1" applyAlignment="1">
      <alignment horizontal="center"/>
    </xf>
    <xf numFmtId="165" fontId="1" fillId="0" borderId="21" xfId="0" applyNumberFormat="1" applyFont="1" applyFill="1" applyBorder="1" applyAlignment="1">
      <alignment horizontal="center"/>
    </xf>
    <xf numFmtId="2" fontId="1" fillId="0" borderId="27" xfId="0" applyNumberFormat="1" applyFont="1" applyFill="1" applyBorder="1" applyAlignment="1">
      <alignment horizontal="center"/>
    </xf>
    <xf numFmtId="165" fontId="1" fillId="0" borderId="24" xfId="0" applyNumberFormat="1" applyFont="1" applyFill="1" applyBorder="1" applyAlignment="1">
      <alignment horizontal="center"/>
    </xf>
    <xf numFmtId="165" fontId="1" fillId="0" borderId="25" xfId="0" applyNumberFormat="1" applyFont="1" applyFill="1" applyBorder="1" applyAlignment="1">
      <alignment horizontal="center"/>
    </xf>
    <xf numFmtId="1" fontId="1" fillId="0" borderId="37" xfId="0" applyNumberFormat="1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left"/>
    </xf>
    <xf numFmtId="1" fontId="1" fillId="0" borderId="7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1" fontId="1" fillId="0" borderId="2" xfId="0" applyNumberFormat="1" applyFont="1" applyBorder="1" applyAlignment="1">
      <alignment horizontal="center" vertical="center"/>
    </xf>
    <xf numFmtId="164" fontId="1" fillId="0" borderId="2" xfId="0" quotePrefix="1" applyNumberFormat="1" applyFont="1" applyBorder="1" applyAlignment="1">
      <alignment horizontal="center" vertical="center"/>
    </xf>
    <xf numFmtId="1" fontId="1" fillId="0" borderId="0" xfId="0" quotePrefix="1" applyNumberFormat="1" applyFont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2" xfId="0" quotePrefix="1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165" fontId="1" fillId="0" borderId="0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quotePrefix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1" fontId="1" fillId="0" borderId="4" xfId="0" applyNumberFormat="1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165" fontId="1" fillId="0" borderId="4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165" fontId="1" fillId="0" borderId="0" xfId="0" quotePrefix="1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165" fontId="1" fillId="0" borderId="5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1" fontId="1" fillId="0" borderId="5" xfId="0" quotePrefix="1" applyNumberFormat="1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5" fillId="3" borderId="2" xfId="1" quotePrefix="1" applyBorder="1" applyAlignment="1">
      <alignment horizontal="center" vertical="center"/>
    </xf>
    <xf numFmtId="0" fontId="5" fillId="3" borderId="2" xfId="1" applyBorder="1" applyAlignment="1">
      <alignment horizontal="left" vertical="center"/>
    </xf>
    <xf numFmtId="0" fontId="5" fillId="3" borderId="0" xfId="1" applyAlignment="1">
      <alignment horizontal="left" vertical="center"/>
    </xf>
    <xf numFmtId="2" fontId="5" fillId="3" borderId="2" xfId="1" applyNumberFormat="1" applyBorder="1" applyAlignment="1">
      <alignment horizontal="center" vertical="center"/>
    </xf>
    <xf numFmtId="1" fontId="5" fillId="3" borderId="0" xfId="1" applyNumberFormat="1" applyAlignment="1">
      <alignment horizontal="center" vertical="center"/>
    </xf>
    <xf numFmtId="1" fontId="5" fillId="3" borderId="1" xfId="1" applyNumberFormat="1" applyBorder="1" applyAlignment="1">
      <alignment horizontal="center" vertical="center"/>
    </xf>
    <xf numFmtId="164" fontId="5" fillId="3" borderId="2" xfId="1" applyNumberFormat="1" applyBorder="1" applyAlignment="1">
      <alignment horizontal="center" vertical="center"/>
    </xf>
    <xf numFmtId="2" fontId="5" fillId="3" borderId="0" xfId="1" applyNumberFormat="1" applyAlignment="1">
      <alignment horizontal="center" vertical="center"/>
    </xf>
    <xf numFmtId="2" fontId="5" fillId="3" borderId="1" xfId="1" applyNumberFormat="1" applyBorder="1" applyAlignment="1">
      <alignment horizontal="center" vertical="center"/>
    </xf>
    <xf numFmtId="165" fontId="5" fillId="3" borderId="0" xfId="1" applyNumberFormat="1" applyAlignment="1">
      <alignment horizontal="center" vertical="center"/>
    </xf>
    <xf numFmtId="165" fontId="5" fillId="3" borderId="1" xfId="1" applyNumberFormat="1" applyBorder="1" applyAlignment="1">
      <alignment horizontal="center" vertical="center"/>
    </xf>
    <xf numFmtId="0" fontId="5" fillId="3" borderId="0" xfId="1"/>
    <xf numFmtId="0" fontId="5" fillId="3" borderId="6" xfId="1" quotePrefix="1" applyBorder="1" applyAlignment="1">
      <alignment horizontal="center" vertical="center"/>
    </xf>
    <xf numFmtId="0" fontId="5" fillId="3" borderId="6" xfId="1" applyBorder="1" applyAlignment="1">
      <alignment horizontal="left" vertical="center"/>
    </xf>
    <xf numFmtId="0" fontId="5" fillId="3" borderId="5" xfId="1" applyBorder="1" applyAlignment="1">
      <alignment horizontal="left" vertical="center"/>
    </xf>
    <xf numFmtId="2" fontId="5" fillId="3" borderId="6" xfId="1" applyNumberFormat="1" applyBorder="1" applyAlignment="1">
      <alignment horizontal="center" vertical="center"/>
    </xf>
    <xf numFmtId="1" fontId="5" fillId="3" borderId="5" xfId="1" applyNumberFormat="1" applyBorder="1" applyAlignment="1">
      <alignment horizontal="center" vertical="center"/>
    </xf>
    <xf numFmtId="1" fontId="5" fillId="3" borderId="4" xfId="1" applyNumberFormat="1" applyBorder="1" applyAlignment="1">
      <alignment horizontal="center" vertical="center"/>
    </xf>
    <xf numFmtId="164" fontId="5" fillId="3" borderId="6" xfId="1" applyNumberFormat="1" applyBorder="1" applyAlignment="1">
      <alignment horizontal="center" vertical="center"/>
    </xf>
    <xf numFmtId="2" fontId="5" fillId="3" borderId="5" xfId="1" applyNumberFormat="1" applyBorder="1" applyAlignment="1">
      <alignment horizontal="center" vertical="center"/>
    </xf>
    <xf numFmtId="2" fontId="5" fillId="3" borderId="4" xfId="1" applyNumberFormat="1" applyBorder="1" applyAlignment="1">
      <alignment horizontal="center" vertical="center"/>
    </xf>
    <xf numFmtId="165" fontId="5" fillId="3" borderId="5" xfId="1" applyNumberFormat="1" applyBorder="1" applyAlignment="1">
      <alignment horizontal="center" vertical="center"/>
    </xf>
    <xf numFmtId="165" fontId="5" fillId="3" borderId="4" xfId="1" quotePrefix="1" applyNumberFormat="1" applyBorder="1" applyAlignment="1">
      <alignment horizontal="center" vertical="center"/>
    </xf>
    <xf numFmtId="165" fontId="5" fillId="3" borderId="4" xfId="1" applyNumberFormat="1" applyBorder="1" applyAlignment="1">
      <alignment horizontal="center" vertical="center"/>
    </xf>
    <xf numFmtId="0" fontId="5" fillId="3" borderId="0" xfId="1" quotePrefix="1" applyAlignment="1">
      <alignment horizontal="center" vertical="center"/>
    </xf>
    <xf numFmtId="0" fontId="5" fillId="3" borderId="2" xfId="1" applyBorder="1" applyAlignment="1">
      <alignment horizontal="left" vertical="center" wrapText="1"/>
    </xf>
    <xf numFmtId="0" fontId="5" fillId="3" borderId="1" xfId="1" applyBorder="1" applyAlignment="1">
      <alignment horizontal="left" vertical="center" wrapText="1"/>
    </xf>
    <xf numFmtId="2" fontId="5" fillId="3" borderId="0" xfId="1" quotePrefix="1" applyNumberFormat="1" applyAlignment="1">
      <alignment horizontal="center" vertical="center"/>
    </xf>
    <xf numFmtId="165" fontId="5" fillId="3" borderId="0" xfId="1" quotePrefix="1" applyNumberFormat="1" applyAlignment="1">
      <alignment horizontal="center" vertical="center"/>
    </xf>
    <xf numFmtId="2" fontId="5" fillId="3" borderId="0" xfId="1" applyNumberFormat="1" applyBorder="1" applyAlignment="1">
      <alignment horizontal="center" vertical="center"/>
    </xf>
    <xf numFmtId="0" fontId="5" fillId="3" borderId="6" xfId="1" applyBorder="1" applyAlignment="1">
      <alignment horizontal="left" vertical="center" wrapText="1"/>
    </xf>
    <xf numFmtId="0" fontId="5" fillId="3" borderId="4" xfId="1" applyBorder="1" applyAlignment="1">
      <alignment horizontal="left" vertical="center" wrapText="1"/>
    </xf>
    <xf numFmtId="0" fontId="5" fillId="3" borderId="1" xfId="1" applyBorder="1" applyAlignment="1">
      <alignment horizontal="center"/>
    </xf>
    <xf numFmtId="0" fontId="5" fillId="3" borderId="2" xfId="1" quotePrefix="1" applyBorder="1" applyAlignment="1">
      <alignment horizontal="center"/>
    </xf>
    <xf numFmtId="2" fontId="5" fillId="3" borderId="2" xfId="1" quotePrefix="1" applyNumberFormat="1" applyBorder="1" applyAlignment="1">
      <alignment horizontal="center" vertical="center"/>
    </xf>
    <xf numFmtId="1" fontId="5" fillId="3" borderId="2" xfId="1" applyNumberFormat="1" applyBorder="1" applyAlignment="1">
      <alignment horizontal="center" vertical="center"/>
    </xf>
    <xf numFmtId="164" fontId="5" fillId="3" borderId="2" xfId="1" quotePrefix="1" applyNumberFormat="1" applyBorder="1" applyAlignment="1">
      <alignment horizontal="center" vertical="center"/>
    </xf>
    <xf numFmtId="2" fontId="5" fillId="3" borderId="1" xfId="1" quotePrefix="1" applyNumberFormat="1" applyBorder="1" applyAlignment="1">
      <alignment horizontal="center" vertical="center"/>
    </xf>
    <xf numFmtId="1" fontId="5" fillId="3" borderId="0" xfId="1" quotePrefix="1" applyNumberFormat="1" applyAlignment="1">
      <alignment horizontal="center" vertical="center"/>
    </xf>
    <xf numFmtId="1" fontId="5" fillId="3" borderId="2" xfId="1" quotePrefix="1" applyNumberFormat="1" applyBorder="1" applyAlignment="1">
      <alignment horizontal="center" vertical="center"/>
    </xf>
    <xf numFmtId="165" fontId="5" fillId="3" borderId="1" xfId="1" quotePrefix="1" applyNumberFormat="1" applyBorder="1" applyAlignment="1">
      <alignment horizontal="center" vertical="center"/>
    </xf>
    <xf numFmtId="1" fontId="5" fillId="3" borderId="1" xfId="1" quotePrefix="1" applyNumberFormat="1" applyBorder="1" applyAlignment="1">
      <alignment horizontal="center" vertical="center"/>
    </xf>
    <xf numFmtId="1" fontId="5" fillId="3" borderId="6" xfId="1" applyNumberFormat="1" applyBorder="1" applyAlignment="1">
      <alignment horizontal="center" vertical="center"/>
    </xf>
    <xf numFmtId="0" fontId="5" fillId="3" borderId="1" xfId="1" quotePrefix="1" applyBorder="1" applyAlignment="1">
      <alignment horizontal="center"/>
    </xf>
    <xf numFmtId="2" fontId="5" fillId="3" borderId="1" xfId="1" applyNumberFormat="1" applyBorder="1" applyAlignment="1">
      <alignment horizontal="left" vertical="center"/>
    </xf>
    <xf numFmtId="2" fontId="5" fillId="3" borderId="0" xfId="1" applyNumberFormat="1" applyAlignment="1">
      <alignment horizontal="left" vertical="center"/>
    </xf>
    <xf numFmtId="164" fontId="5" fillId="3" borderId="1" xfId="1" applyNumberFormat="1" applyBorder="1" applyAlignment="1">
      <alignment horizontal="center" vertical="center"/>
    </xf>
    <xf numFmtId="2" fontId="5" fillId="3" borderId="0" xfId="1" applyNumberFormat="1" applyBorder="1" applyAlignment="1">
      <alignment horizontal="left" vertical="center"/>
    </xf>
    <xf numFmtId="1" fontId="5" fillId="3" borderId="0" xfId="1" applyNumberFormat="1" applyBorder="1" applyAlignment="1">
      <alignment horizontal="center" vertical="center"/>
    </xf>
    <xf numFmtId="165" fontId="5" fillId="3" borderId="0" xfId="1" applyNumberFormat="1" applyBorder="1" applyAlignment="1">
      <alignment horizontal="center" vertical="center"/>
    </xf>
    <xf numFmtId="1" fontId="5" fillId="3" borderId="0" xfId="1" quotePrefix="1" applyNumberFormat="1" applyBorder="1" applyAlignment="1">
      <alignment horizontal="center" vertical="center"/>
    </xf>
    <xf numFmtId="2" fontId="5" fillId="3" borderId="0" xfId="1" quotePrefix="1" applyNumberFormat="1" applyBorder="1" applyAlignment="1">
      <alignment horizontal="center" vertical="center"/>
    </xf>
    <xf numFmtId="165" fontId="5" fillId="3" borderId="0" xfId="1" quotePrefix="1" applyNumberFormat="1" applyBorder="1" applyAlignment="1">
      <alignment horizontal="center" vertical="center"/>
    </xf>
    <xf numFmtId="1" fontId="5" fillId="3" borderId="3" xfId="1" applyNumberFormat="1" applyBorder="1" applyAlignment="1">
      <alignment horizontal="center" vertical="center"/>
    </xf>
    <xf numFmtId="0" fontId="5" fillId="3" borderId="2" xfId="1" applyBorder="1" applyAlignment="1">
      <alignment horizontal="left"/>
    </xf>
    <xf numFmtId="0" fontId="5" fillId="3" borderId="1" xfId="1" applyBorder="1" applyAlignment="1">
      <alignment horizontal="left"/>
    </xf>
    <xf numFmtId="2" fontId="5" fillId="3" borderId="2" xfId="1" applyNumberFormat="1" applyBorder="1" applyAlignment="1">
      <alignment horizontal="center"/>
    </xf>
    <xf numFmtId="1" fontId="5" fillId="3" borderId="2" xfId="1" applyNumberFormat="1" applyBorder="1" applyAlignment="1">
      <alignment horizontal="center"/>
    </xf>
    <xf numFmtId="0" fontId="5" fillId="3" borderId="2" xfId="1" applyBorder="1" applyAlignment="1">
      <alignment horizontal="center"/>
    </xf>
    <xf numFmtId="164" fontId="5" fillId="3" borderId="2" xfId="1" applyNumberFormat="1" applyBorder="1" applyAlignment="1">
      <alignment horizontal="center"/>
    </xf>
    <xf numFmtId="2" fontId="5" fillId="3" borderId="0" xfId="1" applyNumberFormat="1" applyAlignment="1">
      <alignment horizontal="center"/>
    </xf>
    <xf numFmtId="2" fontId="5" fillId="3" borderId="1" xfId="1" applyNumberFormat="1" applyBorder="1" applyAlignment="1">
      <alignment horizontal="center"/>
    </xf>
    <xf numFmtId="1" fontId="5" fillId="3" borderId="0" xfId="1" applyNumberFormat="1" applyAlignment="1">
      <alignment horizontal="center"/>
    </xf>
    <xf numFmtId="165" fontId="5" fillId="3" borderId="0" xfId="1" applyNumberFormat="1" applyAlignment="1">
      <alignment horizontal="center"/>
    </xf>
    <xf numFmtId="1" fontId="5" fillId="3" borderId="1" xfId="1" applyNumberFormat="1" applyBorder="1" applyAlignment="1">
      <alignment horizontal="center"/>
    </xf>
    <xf numFmtId="0" fontId="5" fillId="3" borderId="0" xfId="1" applyAlignment="1">
      <alignment horizontal="center"/>
    </xf>
    <xf numFmtId="0" fontId="5" fillId="3" borderId="4" xfId="1" quotePrefix="1" applyBorder="1" applyAlignment="1">
      <alignment horizontal="center"/>
    </xf>
    <xf numFmtId="0" fontId="5" fillId="3" borderId="6" xfId="1" applyBorder="1" applyAlignment="1">
      <alignment horizontal="left"/>
    </xf>
    <xf numFmtId="0" fontId="5" fillId="3" borderId="4" xfId="1" applyBorder="1" applyAlignment="1">
      <alignment horizontal="left"/>
    </xf>
    <xf numFmtId="2" fontId="5" fillId="3" borderId="6" xfId="1" applyNumberFormat="1" applyBorder="1" applyAlignment="1">
      <alignment horizontal="center"/>
    </xf>
    <xf numFmtId="1" fontId="5" fillId="3" borderId="6" xfId="1" applyNumberFormat="1" applyBorder="1" applyAlignment="1">
      <alignment horizontal="center"/>
    </xf>
    <xf numFmtId="0" fontId="5" fillId="3" borderId="6" xfId="1" applyBorder="1" applyAlignment="1">
      <alignment horizontal="center"/>
    </xf>
    <xf numFmtId="164" fontId="5" fillId="3" borderId="6" xfId="1" applyNumberFormat="1" applyBorder="1" applyAlignment="1">
      <alignment horizontal="center"/>
    </xf>
    <xf numFmtId="2" fontId="5" fillId="3" borderId="5" xfId="1" applyNumberFormat="1" applyBorder="1" applyAlignment="1">
      <alignment horizontal="center"/>
    </xf>
    <xf numFmtId="2" fontId="5" fillId="3" borderId="4" xfId="1" applyNumberFormat="1" applyBorder="1" applyAlignment="1">
      <alignment horizontal="center"/>
    </xf>
    <xf numFmtId="1" fontId="5" fillId="3" borderId="5" xfId="1" applyNumberFormat="1" applyBorder="1" applyAlignment="1">
      <alignment horizontal="center"/>
    </xf>
    <xf numFmtId="165" fontId="5" fillId="3" borderId="5" xfId="1" applyNumberFormat="1" applyBorder="1" applyAlignment="1">
      <alignment horizontal="center"/>
    </xf>
    <xf numFmtId="2" fontId="5" fillId="3" borderId="5" xfId="1" quotePrefix="1" applyNumberFormat="1" applyBorder="1" applyAlignment="1">
      <alignment horizontal="center" vertical="center"/>
    </xf>
    <xf numFmtId="165" fontId="5" fillId="3" borderId="5" xfId="1" quotePrefix="1" applyNumberFormat="1" applyBorder="1" applyAlignment="1">
      <alignment horizontal="center" vertical="center"/>
    </xf>
    <xf numFmtId="2" fontId="5" fillId="3" borderId="6" xfId="1" quotePrefix="1" applyNumberFormat="1" applyBorder="1" applyAlignment="1">
      <alignment horizontal="center" vertical="center"/>
    </xf>
    <xf numFmtId="1" fontId="5" fillId="3" borderId="4" xfId="1" applyNumberFormat="1" applyBorder="1" applyAlignment="1">
      <alignment horizontal="center"/>
    </xf>
    <xf numFmtId="1" fontId="5" fillId="3" borderId="7" xfId="1" applyNumberFormat="1" applyBorder="1" applyAlignment="1">
      <alignment horizontal="center" vertical="center"/>
    </xf>
    <xf numFmtId="1" fontId="5" fillId="3" borderId="6" xfId="1" quotePrefix="1" applyNumberFormat="1" applyBorder="1" applyAlignment="1">
      <alignment horizontal="center" vertical="center"/>
    </xf>
    <xf numFmtId="2" fontId="5" fillId="3" borderId="4" xfId="1" quotePrefix="1" applyNumberFormat="1" applyBorder="1" applyAlignment="1">
      <alignment horizontal="center" vertical="center"/>
    </xf>
    <xf numFmtId="0" fontId="5" fillId="3" borderId="2" xfId="1" applyBorder="1" applyAlignment="1">
      <alignment vertical="center"/>
    </xf>
    <xf numFmtId="0" fontId="5" fillId="3" borderId="0" xfId="1" applyAlignment="1">
      <alignment vertical="center"/>
    </xf>
    <xf numFmtId="2" fontId="5" fillId="3" borderId="3" xfId="1" applyNumberFormat="1" applyBorder="1" applyAlignment="1">
      <alignment horizontal="center" vertical="center"/>
    </xf>
    <xf numFmtId="0" fontId="5" fillId="3" borderId="6" xfId="1" applyBorder="1" applyAlignment="1">
      <alignment vertical="center"/>
    </xf>
    <xf numFmtId="0" fontId="5" fillId="3" borderId="5" xfId="1" applyBorder="1" applyAlignment="1">
      <alignment vertical="center"/>
    </xf>
    <xf numFmtId="2" fontId="5" fillId="3" borderId="7" xfId="1" applyNumberFormat="1" applyBorder="1" applyAlignment="1">
      <alignment horizontal="center" vertical="center"/>
    </xf>
    <xf numFmtId="0" fontId="1" fillId="0" borderId="34" xfId="0" applyFont="1" applyBorder="1" applyAlignment="1">
      <alignment horizontal="center"/>
    </xf>
    <xf numFmtId="0" fontId="1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0" fontId="5" fillId="3" borderId="0" xfId="1" applyNumberFormat="1" applyAlignment="1">
      <alignment horizontal="left" vertical="center"/>
    </xf>
    <xf numFmtId="0" fontId="5" fillId="3" borderId="1" xfId="1" applyNumberFormat="1" applyBorder="1" applyAlignment="1">
      <alignment horizontal="left" vertical="center" wrapText="1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Border="1" applyAlignment="1">
      <alignment vertical="center"/>
    </xf>
    <xf numFmtId="0" fontId="1" fillId="0" borderId="0" xfId="0" applyNumberFormat="1" applyFont="1"/>
    <xf numFmtId="0" fontId="5" fillId="3" borderId="38" xfId="1" applyNumberFormat="1" applyBorder="1" applyAlignment="1">
      <alignment vertical="center"/>
    </xf>
    <xf numFmtId="0" fontId="5" fillId="3" borderId="39" xfId="1" applyNumberForma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2" fontId="6" fillId="0" borderId="2" xfId="0" applyNumberFormat="1" applyFont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165" fontId="6" fillId="0" borderId="0" xfId="0" applyNumberFormat="1" applyFont="1" applyBorder="1" applyAlignment="1">
      <alignment horizontal="center" vertical="center"/>
    </xf>
    <xf numFmtId="165" fontId="6" fillId="0" borderId="1" xfId="0" quotePrefix="1" applyNumberFormat="1" applyFont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/>
    </xf>
    <xf numFmtId="2" fontId="6" fillId="0" borderId="0" xfId="0" quotePrefix="1" applyNumberFormat="1" applyFont="1" applyAlignment="1">
      <alignment horizontal="center" vertical="center"/>
    </xf>
    <xf numFmtId="1" fontId="6" fillId="0" borderId="0" xfId="0" applyNumberFormat="1" applyFont="1" applyFill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left"/>
    </xf>
    <xf numFmtId="0" fontId="6" fillId="0" borderId="8" xfId="0" applyFont="1" applyFill="1" applyBorder="1" applyAlignment="1">
      <alignment horizontal="left"/>
    </xf>
    <xf numFmtId="2" fontId="6" fillId="0" borderId="10" xfId="0" applyNumberFormat="1" applyFont="1" applyFill="1" applyBorder="1" applyAlignment="1">
      <alignment horizontal="center"/>
    </xf>
    <xf numFmtId="1" fontId="6" fillId="0" borderId="30" xfId="0" applyNumberFormat="1" applyFont="1" applyFill="1" applyBorder="1" applyAlignment="1">
      <alignment horizontal="center"/>
    </xf>
    <xf numFmtId="164" fontId="6" fillId="0" borderId="10" xfId="0" applyNumberFormat="1" applyFont="1" applyFill="1" applyBorder="1" applyAlignment="1">
      <alignment horizontal="center"/>
    </xf>
    <xf numFmtId="2" fontId="6" fillId="0" borderId="30" xfId="0" applyNumberFormat="1" applyFont="1" applyFill="1" applyBorder="1" applyAlignment="1">
      <alignment horizontal="center"/>
    </xf>
    <xf numFmtId="2" fontId="6" fillId="0" borderId="17" xfId="0" applyNumberFormat="1" applyFont="1" applyFill="1" applyBorder="1" applyAlignment="1">
      <alignment horizontal="center"/>
    </xf>
    <xf numFmtId="2" fontId="6" fillId="0" borderId="18" xfId="0" applyNumberFormat="1" applyFont="1" applyFill="1" applyBorder="1" applyAlignment="1">
      <alignment horizontal="center"/>
    </xf>
    <xf numFmtId="1" fontId="6" fillId="0" borderId="16" xfId="0" applyNumberFormat="1" applyFont="1" applyFill="1" applyBorder="1" applyAlignment="1">
      <alignment horizontal="center"/>
    </xf>
    <xf numFmtId="1" fontId="6" fillId="0" borderId="17" xfId="0" applyNumberFormat="1" applyFont="1" applyFill="1" applyBorder="1" applyAlignment="1">
      <alignment horizontal="center"/>
    </xf>
    <xf numFmtId="165" fontId="6" fillId="0" borderId="17" xfId="0" applyNumberFormat="1" applyFont="1" applyFill="1" applyBorder="1" applyAlignment="1">
      <alignment horizontal="center"/>
    </xf>
    <xf numFmtId="2" fontId="6" fillId="0" borderId="16" xfId="0" applyNumberFormat="1" applyFont="1" applyFill="1" applyBorder="1" applyAlignment="1">
      <alignment horizontal="center"/>
    </xf>
    <xf numFmtId="1" fontId="6" fillId="0" borderId="18" xfId="0" applyNumberFormat="1" applyFont="1" applyFill="1" applyBorder="1" applyAlignment="1">
      <alignment horizontal="center"/>
    </xf>
    <xf numFmtId="165" fontId="6" fillId="0" borderId="18" xfId="0" applyNumberFormat="1" applyFont="1" applyFill="1" applyBorder="1" applyAlignment="1">
      <alignment horizontal="center"/>
    </xf>
    <xf numFmtId="2" fontId="6" fillId="0" borderId="26" xfId="0" applyNumberFormat="1" applyFont="1" applyFill="1" applyBorder="1" applyAlignment="1">
      <alignment horizontal="center"/>
    </xf>
    <xf numFmtId="165" fontId="6" fillId="0" borderId="22" xfId="0" applyNumberFormat="1" applyFont="1" applyFill="1" applyBorder="1" applyAlignment="1">
      <alignment horizontal="center"/>
    </xf>
    <xf numFmtId="165" fontId="6" fillId="0" borderId="23" xfId="0" applyNumberFormat="1" applyFont="1" applyFill="1" applyBorder="1" applyAlignment="1">
      <alignment horizontal="center"/>
    </xf>
    <xf numFmtId="1" fontId="6" fillId="0" borderId="2" xfId="0" applyNumberFormat="1" applyFont="1" applyBorder="1" applyAlignment="1">
      <alignment horizontal="center" vertical="center"/>
    </xf>
    <xf numFmtId="1" fontId="6" fillId="0" borderId="2" xfId="0" quotePrefix="1" applyNumberFormat="1" applyFont="1" applyBorder="1" applyAlignment="1">
      <alignment horizontal="center" vertical="center"/>
    </xf>
    <xf numFmtId="2" fontId="6" fillId="0" borderId="2" xfId="0" applyNumberFormat="1" applyFont="1" applyFill="1" applyBorder="1" applyAlignment="1">
      <alignment horizontal="center"/>
    </xf>
    <xf numFmtId="0" fontId="6" fillId="0" borderId="0" xfId="0" applyFont="1" applyAlignment="1"/>
    <xf numFmtId="2" fontId="6" fillId="0" borderId="2" xfId="0" applyNumberFormat="1" applyFont="1" applyBorder="1" applyAlignment="1">
      <alignment horizontal="center"/>
    </xf>
    <xf numFmtId="2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1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2" fontId="6" fillId="0" borderId="0" xfId="0" quotePrefix="1" applyNumberFormat="1" applyFont="1" applyBorder="1" applyAlignment="1">
      <alignment horizontal="center" vertical="center"/>
    </xf>
    <xf numFmtId="2" fontId="6" fillId="0" borderId="2" xfId="0" quotePrefix="1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/>
    <xf numFmtId="0" fontId="6" fillId="0" borderId="0" xfId="0" applyFont="1"/>
    <xf numFmtId="2" fontId="6" fillId="0" borderId="1" xfId="0" quotePrefix="1" applyNumberFormat="1" applyFont="1" applyBorder="1" applyAlignment="1">
      <alignment horizontal="center" vertical="center"/>
    </xf>
    <xf numFmtId="165" fontId="6" fillId="0" borderId="0" xfId="0" quotePrefix="1" applyNumberFormat="1" applyFont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wrapText="1"/>
    </xf>
    <xf numFmtId="165" fontId="6" fillId="0" borderId="1" xfId="0" applyNumberFormat="1" applyFont="1" applyBorder="1" applyAlignment="1">
      <alignment horizontal="center"/>
    </xf>
    <xf numFmtId="2" fontId="6" fillId="0" borderId="3" xfId="0" applyNumberFormat="1" applyFont="1" applyBorder="1" applyAlignment="1">
      <alignment horizontal="center"/>
    </xf>
    <xf numFmtId="165" fontId="6" fillId="0" borderId="0" xfId="0" applyNumberFormat="1" applyFont="1" applyBorder="1" applyAlignment="1">
      <alignment horizontal="center"/>
    </xf>
    <xf numFmtId="1" fontId="6" fillId="0" borderId="3" xfId="0" applyNumberFormat="1" applyFont="1" applyBorder="1" applyAlignment="1">
      <alignment horizontal="center"/>
    </xf>
    <xf numFmtId="1" fontId="6" fillId="0" borderId="0" xfId="0" applyNumberFormat="1" applyFont="1" applyBorder="1" applyAlignment="1">
      <alignment horizontal="center"/>
    </xf>
    <xf numFmtId="0" fontId="6" fillId="0" borderId="1" xfId="0" applyFont="1" applyBorder="1"/>
    <xf numFmtId="0" fontId="6" fillId="0" borderId="40" xfId="0" applyFont="1" applyBorder="1" applyAlignment="1">
      <alignment horizontal="center"/>
    </xf>
    <xf numFmtId="0" fontId="6" fillId="0" borderId="41" xfId="0" applyFont="1" applyBorder="1" applyAlignment="1">
      <alignment horizontal="center"/>
    </xf>
    <xf numFmtId="0" fontId="6" fillId="0" borderId="0" xfId="0" applyFont="1" applyBorder="1"/>
    <xf numFmtId="2" fontId="6" fillId="0" borderId="0" xfId="0" applyNumberFormat="1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3" fillId="0" borderId="34" xfId="0" applyNumberFormat="1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2</xdr:row>
      <xdr:rowOff>383603</xdr:rowOff>
    </xdr:from>
    <xdr:to>
      <xdr:col>1</xdr:col>
      <xdr:colOff>6919043</xdr:colOff>
      <xdr:row>2</xdr:row>
      <xdr:rowOff>3695700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3574" y="764603"/>
          <a:ext cx="6909519" cy="3312097"/>
        </a:xfrm>
        <a:prstGeom prst="rect">
          <a:avLst/>
        </a:prstGeom>
      </xdr:spPr>
    </xdr:pic>
    <xdr:clientData/>
  </xdr:twoCellAnchor>
  <xdr:twoCellAnchor editAs="oneCell">
    <xdr:from>
      <xdr:col>1</xdr:col>
      <xdr:colOff>61769</xdr:colOff>
      <xdr:row>3</xdr:row>
      <xdr:rowOff>122880</xdr:rowOff>
    </xdr:from>
    <xdr:to>
      <xdr:col>1</xdr:col>
      <xdr:colOff>6429374</xdr:colOff>
      <xdr:row>3</xdr:row>
      <xdr:rowOff>2947987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5819" y="4218630"/>
          <a:ext cx="6367605" cy="2825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P2"/>
  <sheetViews>
    <sheetView tabSelected="1" zoomScaleNormal="100" workbookViewId="0">
      <selection activeCell="J5" sqref="J5"/>
    </sheetView>
  </sheetViews>
  <sheetFormatPr defaultColWidth="9.140625" defaultRowHeight="15.75" x14ac:dyDescent="0.25"/>
  <cols>
    <col min="1" max="1" width="15.42578125" style="58" customWidth="1"/>
    <col min="2" max="2" width="32.42578125" style="12" customWidth="1"/>
    <col min="3" max="3" width="45.28515625" style="12" customWidth="1"/>
    <col min="4" max="4" width="16.85546875" style="293" customWidth="1"/>
    <col min="5" max="5" width="11.140625" style="12" customWidth="1"/>
    <col min="6" max="6" width="17.85546875" style="12" customWidth="1"/>
    <col min="7" max="7" width="16.28515625" style="12" customWidth="1"/>
    <col min="8" max="8" width="7.5703125" style="12" bestFit="1" customWidth="1"/>
    <col min="9" max="9" width="10.7109375" style="12" customWidth="1"/>
    <col min="10" max="10" width="13.7109375" style="12" customWidth="1"/>
    <col min="11" max="11" width="9.5703125" style="12" bestFit="1" customWidth="1"/>
    <col min="12" max="12" width="15.140625" style="12" bestFit="1" customWidth="1"/>
    <col min="13" max="13" width="8.140625" style="12" bestFit="1" customWidth="1"/>
    <col min="14" max="14" width="5.5703125" style="12" bestFit="1" customWidth="1"/>
    <col min="15" max="15" width="8" style="12" customWidth="1"/>
    <col min="16" max="16" width="12.5703125" style="12" bestFit="1" customWidth="1"/>
    <col min="17" max="17" width="5.5703125" style="12" bestFit="1" customWidth="1"/>
    <col min="18" max="18" width="5.7109375" style="12" bestFit="1" customWidth="1"/>
    <col min="19" max="19" width="7.85546875" style="12" bestFit="1" customWidth="1"/>
    <col min="20" max="20" width="10" style="12" bestFit="1" customWidth="1"/>
    <col min="21" max="22" width="11.140625" style="12" bestFit="1" customWidth="1"/>
    <col min="23" max="23" width="9.85546875" style="12" bestFit="1" customWidth="1"/>
    <col min="24" max="24" width="9" style="12" bestFit="1" customWidth="1"/>
    <col min="25" max="25" width="13.42578125" style="12" bestFit="1" customWidth="1"/>
    <col min="26" max="28" width="11" style="12" bestFit="1" customWidth="1"/>
    <col min="29" max="29" width="15.5703125" style="12" bestFit="1" customWidth="1"/>
    <col min="30" max="30" width="11" style="12" bestFit="1" customWidth="1"/>
    <col min="31" max="31" width="6.7109375" style="12" bestFit="1" customWidth="1"/>
    <col min="32" max="32" width="11" style="12" bestFit="1" customWidth="1"/>
    <col min="33" max="33" width="10" style="12" bestFit="1" customWidth="1"/>
    <col min="34" max="34" width="16.85546875" style="38" bestFit="1" customWidth="1"/>
    <col min="35" max="35" width="7.28515625" style="12" bestFit="1" customWidth="1"/>
    <col min="36" max="36" width="15.28515625" style="12" bestFit="1" customWidth="1"/>
    <col min="37" max="37" width="9.85546875" style="12" bestFit="1" customWidth="1"/>
    <col min="38" max="38" width="16.7109375" style="12" bestFit="1" customWidth="1"/>
    <col min="39" max="39" width="13.42578125" style="38" bestFit="1" customWidth="1"/>
    <col min="40" max="40" width="12.85546875" style="12" bestFit="1" customWidth="1"/>
    <col min="41" max="41" width="14.140625" style="12" bestFit="1" customWidth="1"/>
    <col min="42" max="42" width="17.7109375" style="12" bestFit="1" customWidth="1"/>
    <col min="43" max="43" width="23" style="12" bestFit="1" customWidth="1"/>
    <col min="44" max="44" width="8" style="12" bestFit="1" customWidth="1"/>
    <col min="45" max="45" width="9.140625" style="12" bestFit="1" customWidth="1"/>
    <col min="46" max="46" width="7.28515625" style="12" bestFit="1" customWidth="1"/>
    <col min="47" max="47" width="9.5703125" style="12" bestFit="1" customWidth="1"/>
    <col min="48" max="48" width="8.140625" style="12" bestFit="1" customWidth="1"/>
    <col min="49" max="49" width="10.28515625" style="12" bestFit="1" customWidth="1"/>
    <col min="50" max="50" width="33.28515625" style="12" bestFit="1" customWidth="1"/>
    <col min="51" max="51" width="10.85546875" style="12" bestFit="1" customWidth="1"/>
    <col min="52" max="52" width="10.5703125" style="12" bestFit="1" customWidth="1"/>
    <col min="53" max="53" width="9.85546875" style="12" bestFit="1" customWidth="1"/>
    <col min="54" max="54" width="35.28515625" style="12" bestFit="1" customWidth="1"/>
    <col min="55" max="55" width="9.85546875" style="12" bestFit="1" customWidth="1"/>
    <col min="56" max="56" width="9.5703125" style="12" bestFit="1" customWidth="1"/>
    <col min="57" max="57" width="11.85546875" style="12" bestFit="1" customWidth="1"/>
    <col min="58" max="58" width="16.5703125" style="12" bestFit="1" customWidth="1"/>
    <col min="59" max="59" width="16.85546875" style="12" bestFit="1" customWidth="1"/>
    <col min="60" max="60" width="19.7109375" style="12" bestFit="1" customWidth="1"/>
    <col min="61" max="61" width="11.140625" style="12" bestFit="1" customWidth="1"/>
    <col min="62" max="62" width="7.5703125" style="12" bestFit="1" customWidth="1"/>
    <col min="63" max="63" width="9.85546875" style="12" bestFit="1" customWidth="1"/>
    <col min="64" max="64" width="11.28515625" style="12" bestFit="1" customWidth="1"/>
    <col min="65" max="65" width="11.85546875" style="12" bestFit="1" customWidth="1"/>
    <col min="66" max="66" width="8.85546875" style="12" bestFit="1" customWidth="1"/>
    <col min="67" max="67" width="7.5703125" style="12" bestFit="1" customWidth="1"/>
    <col min="68" max="68" width="8.7109375" style="12" bestFit="1" customWidth="1"/>
    <col min="69" max="69" width="8.85546875" style="12" bestFit="1" customWidth="1"/>
    <col min="70" max="70" width="7.5703125" style="12" bestFit="1" customWidth="1"/>
    <col min="71" max="73" width="7.7109375" style="12" bestFit="1" customWidth="1"/>
    <col min="74" max="74" width="7.5703125" style="12" bestFit="1" customWidth="1"/>
    <col min="75" max="75" width="12" style="12" bestFit="1" customWidth="1"/>
    <col min="76" max="76" width="13.7109375" style="12" bestFit="1" customWidth="1"/>
    <col min="77" max="77" width="7.5703125" style="12" bestFit="1" customWidth="1"/>
    <col min="78" max="78" width="8.7109375" style="12" bestFit="1" customWidth="1"/>
    <col min="79" max="79" width="7.5703125" style="12" bestFit="1" customWidth="1"/>
    <col min="80" max="80" width="14.28515625" style="12" bestFit="1" customWidth="1"/>
    <col min="81" max="81" width="9.85546875" style="12" bestFit="1" customWidth="1"/>
    <col min="82" max="82" width="8.28515625" style="12" bestFit="1" customWidth="1"/>
    <col min="83" max="83" width="8.140625" style="12" bestFit="1" customWidth="1"/>
    <col min="84" max="84" width="8.85546875" style="12" bestFit="1" customWidth="1"/>
    <col min="85" max="85" width="8.28515625" style="12" bestFit="1" customWidth="1"/>
    <col min="86" max="86" width="9.28515625" style="12" bestFit="1" customWidth="1"/>
    <col min="87" max="87" width="8.85546875" style="12" bestFit="1" customWidth="1"/>
    <col min="88" max="88" width="18.5703125" style="12" bestFit="1" customWidth="1"/>
    <col min="89" max="89" width="16.85546875" style="12" bestFit="1" customWidth="1"/>
    <col min="90" max="90" width="8.7109375" style="12" bestFit="1" customWidth="1"/>
    <col min="91" max="91" width="9.140625" style="12" bestFit="1" customWidth="1"/>
    <col min="92" max="92" width="8.140625" style="12" bestFit="1" customWidth="1"/>
    <col min="93" max="93" width="10.85546875" style="12" bestFit="1" customWidth="1"/>
    <col min="94" max="94" width="6.42578125" style="12" bestFit="1" customWidth="1"/>
    <col min="95" max="16384" width="9.140625" style="12"/>
  </cols>
  <sheetData>
    <row r="1" spans="1:94" ht="22.5" customHeight="1" x14ac:dyDescent="0.25">
      <c r="A1" s="379" t="s">
        <v>577</v>
      </c>
      <c r="B1" s="378" t="s">
        <v>1812</v>
      </c>
      <c r="C1" s="378" t="s">
        <v>1813</v>
      </c>
      <c r="D1" s="380" t="s">
        <v>1809</v>
      </c>
      <c r="E1" s="378" t="s">
        <v>0</v>
      </c>
      <c r="F1" s="378" t="s">
        <v>1810</v>
      </c>
      <c r="G1" s="377" t="s">
        <v>1811</v>
      </c>
      <c r="H1" s="195" t="s">
        <v>2024</v>
      </c>
      <c r="I1" s="195" t="s">
        <v>2025</v>
      </c>
      <c r="J1" s="376" t="s">
        <v>2113</v>
      </c>
      <c r="K1" s="195" t="s">
        <v>2026</v>
      </c>
      <c r="L1" s="195" t="s">
        <v>2027</v>
      </c>
      <c r="M1" s="195" t="s">
        <v>2028</v>
      </c>
      <c r="N1" s="195" t="s">
        <v>2029</v>
      </c>
      <c r="O1" s="195" t="s">
        <v>2030</v>
      </c>
      <c r="P1" s="195" t="s">
        <v>2031</v>
      </c>
      <c r="Q1" s="195" t="s">
        <v>2032</v>
      </c>
      <c r="R1" s="195" t="s">
        <v>2033</v>
      </c>
      <c r="S1" s="195" t="s">
        <v>2034</v>
      </c>
      <c r="T1" s="195" t="s">
        <v>2035</v>
      </c>
      <c r="U1" s="195" t="s">
        <v>2036</v>
      </c>
      <c r="V1" s="195" t="s">
        <v>2037</v>
      </c>
      <c r="W1" s="195" t="s">
        <v>2038</v>
      </c>
      <c r="X1" s="195" t="s">
        <v>2039</v>
      </c>
      <c r="Y1" s="195" t="s">
        <v>2040</v>
      </c>
      <c r="Z1" s="195" t="s">
        <v>2041</v>
      </c>
      <c r="AA1" s="195" t="s">
        <v>2042</v>
      </c>
      <c r="AB1" s="195" t="s">
        <v>2043</v>
      </c>
      <c r="AC1" s="195" t="s">
        <v>2044</v>
      </c>
      <c r="AD1" s="195" t="s">
        <v>2045</v>
      </c>
      <c r="AE1" s="195" t="s">
        <v>2046</v>
      </c>
      <c r="AF1" s="195" t="s">
        <v>2047</v>
      </c>
      <c r="AG1" s="195" t="s">
        <v>2048</v>
      </c>
      <c r="AH1" s="195" t="s">
        <v>2049</v>
      </c>
      <c r="AI1" s="195" t="s">
        <v>2050</v>
      </c>
      <c r="AJ1" s="195" t="s">
        <v>2051</v>
      </c>
      <c r="AK1" s="195" t="s">
        <v>2052</v>
      </c>
      <c r="AL1" s="195" t="s">
        <v>2053</v>
      </c>
      <c r="AM1" s="195" t="s">
        <v>2054</v>
      </c>
      <c r="AN1" s="195" t="s">
        <v>2055</v>
      </c>
      <c r="AO1" s="195" t="s">
        <v>2056</v>
      </c>
      <c r="AP1" s="195" t="s">
        <v>2057</v>
      </c>
      <c r="AQ1" s="195" t="s">
        <v>2058</v>
      </c>
      <c r="AR1" s="195" t="s">
        <v>2059</v>
      </c>
      <c r="AS1" s="195" t="s">
        <v>2060</v>
      </c>
      <c r="AT1" s="195" t="s">
        <v>2061</v>
      </c>
      <c r="AU1" s="195" t="s">
        <v>2062</v>
      </c>
      <c r="AV1" s="195" t="s">
        <v>2063</v>
      </c>
      <c r="AW1" s="195" t="s">
        <v>2064</v>
      </c>
      <c r="AX1" s="195" t="s">
        <v>2065</v>
      </c>
      <c r="AY1" s="195" t="s">
        <v>2066</v>
      </c>
      <c r="AZ1" s="195" t="s">
        <v>2067</v>
      </c>
      <c r="BA1" s="195" t="s">
        <v>2068</v>
      </c>
      <c r="BB1" s="195" t="s">
        <v>2069</v>
      </c>
      <c r="BC1" s="195" t="s">
        <v>2070</v>
      </c>
      <c r="BD1" s="195" t="s">
        <v>2071</v>
      </c>
      <c r="BE1" s="195" t="s">
        <v>2072</v>
      </c>
      <c r="BF1" s="195" t="s">
        <v>2073</v>
      </c>
      <c r="BG1" s="195" t="s">
        <v>2074</v>
      </c>
      <c r="BH1" s="195" t="s">
        <v>2075</v>
      </c>
      <c r="BI1" s="195" t="s">
        <v>2076</v>
      </c>
      <c r="BJ1" s="195" t="s">
        <v>2077</v>
      </c>
      <c r="BK1" s="195" t="s">
        <v>2078</v>
      </c>
      <c r="BL1" s="195" t="s">
        <v>2079</v>
      </c>
      <c r="BM1" s="195" t="s">
        <v>2080</v>
      </c>
      <c r="BN1" s="195" t="s">
        <v>2081</v>
      </c>
      <c r="BO1" s="195" t="s">
        <v>2082</v>
      </c>
      <c r="BP1" s="195" t="s">
        <v>2083</v>
      </c>
      <c r="BQ1" s="195" t="s">
        <v>2084</v>
      </c>
      <c r="BR1" s="195" t="s">
        <v>2085</v>
      </c>
      <c r="BS1" s="195" t="s">
        <v>2086</v>
      </c>
      <c r="BT1" s="195" t="s">
        <v>2087</v>
      </c>
      <c r="BU1" s="195" t="s">
        <v>2088</v>
      </c>
      <c r="BV1" s="195" t="s">
        <v>2089</v>
      </c>
      <c r="BW1" s="195" t="s">
        <v>2090</v>
      </c>
      <c r="BX1" s="195" t="s">
        <v>2091</v>
      </c>
      <c r="BY1" s="195" t="s">
        <v>2092</v>
      </c>
      <c r="BZ1" s="195" t="s">
        <v>2093</v>
      </c>
      <c r="CA1" s="195" t="s">
        <v>2094</v>
      </c>
      <c r="CB1" s="195" t="s">
        <v>2095</v>
      </c>
      <c r="CC1" s="195" t="s">
        <v>2096</v>
      </c>
      <c r="CD1" s="195" t="s">
        <v>2097</v>
      </c>
      <c r="CE1" s="195" t="s">
        <v>2098</v>
      </c>
      <c r="CF1" s="195" t="s">
        <v>2099</v>
      </c>
      <c r="CG1" s="195" t="s">
        <v>2100</v>
      </c>
      <c r="CH1" s="195" t="s">
        <v>2101</v>
      </c>
      <c r="CI1" s="195" t="s">
        <v>2102</v>
      </c>
      <c r="CJ1" s="195" t="s">
        <v>2103</v>
      </c>
      <c r="CK1" s="195" t="s">
        <v>2104</v>
      </c>
      <c r="CL1" s="195" t="s">
        <v>2105</v>
      </c>
      <c r="CM1" s="195" t="s">
        <v>2106</v>
      </c>
      <c r="CN1" s="195" t="s">
        <v>2107</v>
      </c>
      <c r="CO1" s="195" t="s">
        <v>2108</v>
      </c>
      <c r="CP1" s="195" t="s">
        <v>2109</v>
      </c>
    </row>
    <row r="2" spans="1:94" s="286" customFormat="1" ht="24.75" customHeight="1" x14ac:dyDescent="0.25">
      <c r="A2" s="379"/>
      <c r="B2" s="378"/>
      <c r="C2" s="378"/>
      <c r="D2" s="380"/>
      <c r="E2" s="378"/>
      <c r="F2" s="378"/>
      <c r="G2" s="378"/>
      <c r="H2" s="372">
        <v>1</v>
      </c>
      <c r="I2" s="372">
        <v>2</v>
      </c>
      <c r="J2" s="372">
        <v>93</v>
      </c>
      <c r="K2" s="286">
        <v>3</v>
      </c>
      <c r="L2" s="286">
        <v>4</v>
      </c>
      <c r="M2" s="286">
        <v>5</v>
      </c>
      <c r="N2" s="286">
        <v>6</v>
      </c>
      <c r="O2" s="286">
        <v>14</v>
      </c>
      <c r="P2" s="286">
        <v>18</v>
      </c>
      <c r="Q2" s="286">
        <v>15</v>
      </c>
      <c r="R2" s="286">
        <v>21</v>
      </c>
      <c r="S2" s="286">
        <v>20</v>
      </c>
      <c r="T2" s="286">
        <v>19</v>
      </c>
      <c r="U2" s="286">
        <v>16</v>
      </c>
      <c r="V2" s="286">
        <v>17</v>
      </c>
      <c r="W2" s="286">
        <v>22</v>
      </c>
      <c r="X2" s="286">
        <v>23</v>
      </c>
      <c r="Y2" s="286">
        <v>24</v>
      </c>
      <c r="Z2" s="286">
        <v>25</v>
      </c>
      <c r="AA2" s="286">
        <v>26</v>
      </c>
      <c r="AB2" s="286">
        <v>27</v>
      </c>
      <c r="AC2" s="286">
        <v>28</v>
      </c>
      <c r="AD2" s="286">
        <v>29</v>
      </c>
      <c r="AE2" s="286">
        <v>30</v>
      </c>
      <c r="AF2" s="286">
        <v>31</v>
      </c>
      <c r="AG2" s="286">
        <v>32</v>
      </c>
      <c r="AH2" s="286">
        <v>33</v>
      </c>
      <c r="AI2" s="286">
        <v>86</v>
      </c>
      <c r="AJ2" s="286">
        <v>34</v>
      </c>
      <c r="AK2" s="286">
        <v>35</v>
      </c>
      <c r="AL2" s="286">
        <v>36</v>
      </c>
      <c r="AM2" s="286">
        <v>37</v>
      </c>
      <c r="AN2" s="286">
        <v>38</v>
      </c>
      <c r="AO2" s="286">
        <v>39</v>
      </c>
      <c r="AP2" s="286">
        <v>40</v>
      </c>
      <c r="AQ2" s="286">
        <v>48</v>
      </c>
      <c r="AR2" s="286">
        <v>49</v>
      </c>
      <c r="AS2" s="286">
        <v>50</v>
      </c>
      <c r="AT2" s="286">
        <v>51</v>
      </c>
      <c r="AU2" s="286">
        <v>52</v>
      </c>
      <c r="AV2" s="286">
        <v>53</v>
      </c>
      <c r="AW2" s="286">
        <v>54</v>
      </c>
      <c r="AX2" s="286">
        <v>55</v>
      </c>
      <c r="AY2" s="286">
        <v>56</v>
      </c>
      <c r="AZ2" s="286">
        <v>57</v>
      </c>
      <c r="BA2" s="286">
        <v>58</v>
      </c>
      <c r="BB2" s="286">
        <v>59</v>
      </c>
      <c r="BC2" s="286">
        <v>60</v>
      </c>
      <c r="BD2" s="286">
        <v>61</v>
      </c>
      <c r="BE2" s="286">
        <v>62</v>
      </c>
      <c r="BF2" s="286">
        <v>63</v>
      </c>
      <c r="BG2" s="286">
        <v>64</v>
      </c>
      <c r="BH2" s="286">
        <v>65</v>
      </c>
      <c r="BI2" s="286">
        <v>66</v>
      </c>
      <c r="BJ2" s="286">
        <v>68</v>
      </c>
      <c r="BK2" s="286">
        <v>69</v>
      </c>
      <c r="BL2" s="286">
        <v>70</v>
      </c>
      <c r="BM2" s="286">
        <v>71</v>
      </c>
      <c r="BN2" s="286">
        <v>72</v>
      </c>
      <c r="BO2" s="286">
        <v>73</v>
      </c>
      <c r="BP2" s="286">
        <v>74</v>
      </c>
      <c r="BQ2" s="286">
        <v>75</v>
      </c>
      <c r="BR2" s="286">
        <v>76</v>
      </c>
      <c r="BS2" s="286">
        <v>77</v>
      </c>
      <c r="BT2" s="286">
        <v>78</v>
      </c>
      <c r="BU2" s="286">
        <v>79</v>
      </c>
      <c r="BV2" s="286">
        <v>80</v>
      </c>
      <c r="BW2" s="286">
        <v>81</v>
      </c>
      <c r="BX2" s="286">
        <v>82</v>
      </c>
      <c r="BY2" s="286">
        <v>83</v>
      </c>
      <c r="BZ2" s="286">
        <v>84</v>
      </c>
      <c r="CA2" s="286">
        <v>85</v>
      </c>
      <c r="CB2" s="286">
        <v>7</v>
      </c>
      <c r="CC2" s="286">
        <v>8</v>
      </c>
      <c r="CD2" s="286">
        <v>9</v>
      </c>
      <c r="CE2" s="286">
        <v>10</v>
      </c>
      <c r="CF2" s="286">
        <v>11</v>
      </c>
      <c r="CG2" s="286">
        <v>12</v>
      </c>
      <c r="CH2" s="286">
        <v>13</v>
      </c>
      <c r="CI2" s="286">
        <v>41</v>
      </c>
      <c r="CJ2" s="286">
        <v>42</v>
      </c>
      <c r="CK2" s="286">
        <v>44</v>
      </c>
      <c r="CL2" s="286">
        <v>45</v>
      </c>
      <c r="CM2" s="286">
        <v>46</v>
      </c>
      <c r="CN2" s="286">
        <v>47</v>
      </c>
      <c r="CO2" s="286">
        <v>67</v>
      </c>
      <c r="CP2" s="286">
        <v>43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zoomScaleNormal="100" workbookViewId="0">
      <selection activeCell="E4" sqref="E4"/>
    </sheetView>
  </sheetViews>
  <sheetFormatPr defaultRowHeight="15" x14ac:dyDescent="0.25"/>
  <cols>
    <col min="1" max="1" width="28.85546875" customWidth="1"/>
    <col min="2" max="2" width="104.85546875" customWidth="1"/>
  </cols>
  <sheetData>
    <row r="3" spans="1:2" ht="292.5" customHeight="1" x14ac:dyDescent="0.25">
      <c r="A3" s="374" t="s">
        <v>2110</v>
      </c>
      <c r="B3" s="373" t="s">
        <v>2111</v>
      </c>
    </row>
    <row r="4" spans="1:2" ht="240" customHeight="1" x14ac:dyDescent="0.25">
      <c r="A4" s="375" t="s">
        <v>2112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O166"/>
  <sheetViews>
    <sheetView zoomScaleNormal="100" workbookViewId="0">
      <selection activeCell="D14" sqref="D14"/>
    </sheetView>
  </sheetViews>
  <sheetFormatPr defaultColWidth="9.140625" defaultRowHeight="15.75" x14ac:dyDescent="0.25"/>
  <cols>
    <col min="1" max="1" width="15.42578125" style="58" customWidth="1"/>
    <col min="2" max="2" width="32.42578125" style="12" customWidth="1"/>
    <col min="3" max="3" width="45.28515625" style="12" customWidth="1"/>
    <col min="4" max="4" width="16.85546875" style="293" customWidth="1"/>
    <col min="5" max="5" width="11.140625" style="12" customWidth="1"/>
    <col min="6" max="6" width="17.85546875" style="12" customWidth="1"/>
    <col min="7" max="7" width="16.28515625" style="12" customWidth="1"/>
    <col min="8" max="8" width="7.5703125" style="12" bestFit="1" customWidth="1"/>
    <col min="9" max="9" width="10.140625" style="12" bestFit="1" customWidth="1"/>
    <col min="10" max="10" width="9.5703125" style="12" bestFit="1" customWidth="1"/>
    <col min="11" max="11" width="15.140625" style="12" bestFit="1" customWidth="1"/>
    <col min="12" max="12" width="8.140625" style="12" bestFit="1" customWidth="1"/>
    <col min="13" max="13" width="5.5703125" style="12" bestFit="1" customWidth="1"/>
    <col min="14" max="14" width="8" style="12" customWidth="1"/>
    <col min="15" max="15" width="12.5703125" style="12" bestFit="1" customWidth="1"/>
    <col min="16" max="16" width="5.5703125" style="12" bestFit="1" customWidth="1"/>
    <col min="17" max="17" width="5.7109375" style="12" bestFit="1" customWidth="1"/>
    <col min="18" max="18" width="7.85546875" style="12" bestFit="1" customWidth="1"/>
    <col min="19" max="19" width="10" style="12" bestFit="1" customWidth="1"/>
    <col min="20" max="21" width="11.140625" style="12" bestFit="1" customWidth="1"/>
    <col min="22" max="22" width="9.85546875" style="12" bestFit="1" customWidth="1"/>
    <col min="23" max="23" width="9" style="12" bestFit="1" customWidth="1"/>
    <col min="24" max="24" width="13.42578125" style="12" bestFit="1" customWidth="1"/>
    <col min="25" max="27" width="11" style="12" bestFit="1" customWidth="1"/>
    <col min="28" max="28" width="15.5703125" style="12" bestFit="1" customWidth="1"/>
    <col min="29" max="29" width="11" style="12" bestFit="1" customWidth="1"/>
    <col min="30" max="30" width="6.7109375" style="12" bestFit="1" customWidth="1"/>
    <col min="31" max="31" width="11" style="12" bestFit="1" customWidth="1"/>
    <col min="32" max="32" width="10" style="12" bestFit="1" customWidth="1"/>
    <col min="33" max="33" width="16.85546875" style="38" bestFit="1" customWidth="1"/>
    <col min="34" max="34" width="7.28515625" style="12" bestFit="1" customWidth="1"/>
    <col min="35" max="35" width="15.28515625" style="12" bestFit="1" customWidth="1"/>
    <col min="36" max="36" width="9.85546875" style="12" bestFit="1" customWidth="1"/>
    <col min="37" max="37" width="16.7109375" style="12" bestFit="1" customWidth="1"/>
    <col min="38" max="38" width="13.42578125" style="38" bestFit="1" customWidth="1"/>
    <col min="39" max="39" width="12.85546875" style="12" bestFit="1" customWidth="1"/>
    <col min="40" max="40" width="14.140625" style="12" bestFit="1" customWidth="1"/>
    <col min="41" max="41" width="17.7109375" style="12" bestFit="1" customWidth="1"/>
    <col min="42" max="42" width="23" style="12" bestFit="1" customWidth="1"/>
    <col min="43" max="43" width="8" style="12" bestFit="1" customWidth="1"/>
    <col min="44" max="44" width="9.140625" style="12" bestFit="1" customWidth="1"/>
    <col min="45" max="45" width="7.28515625" style="12" bestFit="1" customWidth="1"/>
    <col min="46" max="46" width="9.5703125" style="12" bestFit="1" customWidth="1"/>
    <col min="47" max="47" width="8.140625" style="12" bestFit="1" customWidth="1"/>
    <col min="48" max="48" width="10.28515625" style="12" bestFit="1" customWidth="1"/>
    <col min="49" max="49" width="33.28515625" style="12" bestFit="1" customWidth="1"/>
    <col min="50" max="50" width="10.85546875" style="12" bestFit="1" customWidth="1"/>
    <col min="51" max="51" width="10.5703125" style="12" bestFit="1" customWidth="1"/>
    <col min="52" max="52" width="9.85546875" style="12" bestFit="1" customWidth="1"/>
    <col min="53" max="53" width="35.28515625" style="12" bestFit="1" customWidth="1"/>
    <col min="54" max="54" width="9.85546875" style="12" bestFit="1" customWidth="1"/>
    <col min="55" max="55" width="9.5703125" style="12" bestFit="1" customWidth="1"/>
    <col min="56" max="56" width="11.85546875" style="12" bestFit="1" customWidth="1"/>
    <col min="57" max="57" width="16.5703125" style="12" bestFit="1" customWidth="1"/>
    <col min="58" max="58" width="16.85546875" style="12" bestFit="1" customWidth="1"/>
    <col min="59" max="59" width="19.7109375" style="12" bestFit="1" customWidth="1"/>
    <col min="60" max="60" width="11.140625" style="12" bestFit="1" customWidth="1"/>
    <col min="61" max="61" width="7.5703125" style="12" bestFit="1" customWidth="1"/>
    <col min="62" max="62" width="9.85546875" style="12" bestFit="1" customWidth="1"/>
    <col min="63" max="63" width="11.28515625" style="12" bestFit="1" customWidth="1"/>
    <col min="64" max="64" width="11.85546875" style="12" bestFit="1" customWidth="1"/>
    <col min="65" max="65" width="8.85546875" style="12" bestFit="1" customWidth="1"/>
    <col min="66" max="66" width="7.5703125" style="12" bestFit="1" customWidth="1"/>
    <col min="67" max="67" width="8.7109375" style="12" bestFit="1" customWidth="1"/>
    <col min="68" max="68" width="8.85546875" style="12" bestFit="1" customWidth="1"/>
    <col min="69" max="69" width="7.5703125" style="12" bestFit="1" customWidth="1"/>
    <col min="70" max="72" width="7.7109375" style="12" bestFit="1" customWidth="1"/>
    <col min="73" max="73" width="7.5703125" style="12" bestFit="1" customWidth="1"/>
    <col min="74" max="74" width="12" style="12" bestFit="1" customWidth="1"/>
    <col min="75" max="75" width="13.7109375" style="12" bestFit="1" customWidth="1"/>
    <col min="76" max="76" width="7.5703125" style="12" bestFit="1" customWidth="1"/>
    <col min="77" max="77" width="8.7109375" style="12" bestFit="1" customWidth="1"/>
    <col min="78" max="78" width="7.5703125" style="12" bestFit="1" customWidth="1"/>
    <col min="79" max="79" width="14.28515625" style="12" bestFit="1" customWidth="1"/>
    <col min="80" max="80" width="9.85546875" style="12" bestFit="1" customWidth="1"/>
    <col min="81" max="81" width="8.28515625" style="12" bestFit="1" customWidth="1"/>
    <col min="82" max="82" width="8.140625" style="12" bestFit="1" customWidth="1"/>
    <col min="83" max="83" width="8.85546875" style="12" bestFit="1" customWidth="1"/>
    <col min="84" max="84" width="8.28515625" style="12" bestFit="1" customWidth="1"/>
    <col min="85" max="85" width="9.28515625" style="12" bestFit="1" customWidth="1"/>
    <col min="86" max="86" width="8.85546875" style="12" bestFit="1" customWidth="1"/>
    <col min="87" max="87" width="18.5703125" style="12" bestFit="1" customWidth="1"/>
    <col min="88" max="88" width="16.85546875" style="12" bestFit="1" customWidth="1"/>
    <col min="89" max="89" width="8.7109375" style="12" bestFit="1" customWidth="1"/>
    <col min="90" max="90" width="9.140625" style="12" bestFit="1" customWidth="1"/>
    <col min="91" max="91" width="8.140625" style="12" bestFit="1" customWidth="1"/>
    <col min="92" max="92" width="10.85546875" style="12" bestFit="1" customWidth="1"/>
    <col min="93" max="93" width="6.42578125" style="12" bestFit="1" customWidth="1"/>
    <col min="94" max="16384" width="9.140625" style="12"/>
  </cols>
  <sheetData>
    <row r="1" spans="1:93" ht="22.5" customHeight="1" x14ac:dyDescent="0.25">
      <c r="A1" s="379" t="s">
        <v>577</v>
      </c>
      <c r="B1" s="378" t="s">
        <v>1812</v>
      </c>
      <c r="C1" s="378" t="s">
        <v>1813</v>
      </c>
      <c r="D1" s="380" t="s">
        <v>1809</v>
      </c>
      <c r="E1" s="378" t="s">
        <v>0</v>
      </c>
      <c r="F1" s="378" t="s">
        <v>1810</v>
      </c>
      <c r="G1" s="377" t="s">
        <v>1811</v>
      </c>
      <c r="H1" s="195" t="s">
        <v>2024</v>
      </c>
      <c r="I1" s="195" t="s">
        <v>2025</v>
      </c>
      <c r="J1" s="195" t="s">
        <v>2026</v>
      </c>
      <c r="K1" s="195" t="s">
        <v>2027</v>
      </c>
      <c r="L1" s="195" t="s">
        <v>2028</v>
      </c>
      <c r="M1" s="195" t="s">
        <v>2029</v>
      </c>
      <c r="N1" s="195" t="s">
        <v>2030</v>
      </c>
      <c r="O1" s="195" t="s">
        <v>2031</v>
      </c>
      <c r="P1" s="195" t="s">
        <v>2032</v>
      </c>
      <c r="Q1" s="195" t="s">
        <v>2033</v>
      </c>
      <c r="R1" s="195" t="s">
        <v>2034</v>
      </c>
      <c r="S1" s="195" t="s">
        <v>2035</v>
      </c>
      <c r="T1" s="195" t="s">
        <v>2036</v>
      </c>
      <c r="U1" s="195" t="s">
        <v>2037</v>
      </c>
      <c r="V1" s="195" t="s">
        <v>2038</v>
      </c>
      <c r="W1" s="195" t="s">
        <v>2039</v>
      </c>
      <c r="X1" s="195" t="s">
        <v>2040</v>
      </c>
      <c r="Y1" s="195" t="s">
        <v>2041</v>
      </c>
      <c r="Z1" s="195" t="s">
        <v>2042</v>
      </c>
      <c r="AA1" s="195" t="s">
        <v>2043</v>
      </c>
      <c r="AB1" s="195" t="s">
        <v>2044</v>
      </c>
      <c r="AC1" s="195" t="s">
        <v>2045</v>
      </c>
      <c r="AD1" s="195" t="s">
        <v>2046</v>
      </c>
      <c r="AE1" s="195" t="s">
        <v>2047</v>
      </c>
      <c r="AF1" s="195" t="s">
        <v>2048</v>
      </c>
      <c r="AG1" s="195" t="s">
        <v>2049</v>
      </c>
      <c r="AH1" s="195" t="s">
        <v>2050</v>
      </c>
      <c r="AI1" s="195" t="s">
        <v>2051</v>
      </c>
      <c r="AJ1" s="195" t="s">
        <v>2052</v>
      </c>
      <c r="AK1" s="195" t="s">
        <v>2053</v>
      </c>
      <c r="AL1" s="195" t="s">
        <v>2054</v>
      </c>
      <c r="AM1" s="195" t="s">
        <v>2055</v>
      </c>
      <c r="AN1" s="195" t="s">
        <v>2056</v>
      </c>
      <c r="AO1" s="195" t="s">
        <v>2057</v>
      </c>
      <c r="AP1" s="195" t="s">
        <v>2058</v>
      </c>
      <c r="AQ1" s="195" t="s">
        <v>2059</v>
      </c>
      <c r="AR1" s="195" t="s">
        <v>2060</v>
      </c>
      <c r="AS1" s="195" t="s">
        <v>2061</v>
      </c>
      <c r="AT1" s="195" t="s">
        <v>2062</v>
      </c>
      <c r="AU1" s="195" t="s">
        <v>2063</v>
      </c>
      <c r="AV1" s="195" t="s">
        <v>2064</v>
      </c>
      <c r="AW1" s="195" t="s">
        <v>2065</v>
      </c>
      <c r="AX1" s="195" t="s">
        <v>2066</v>
      </c>
      <c r="AY1" s="195" t="s">
        <v>2067</v>
      </c>
      <c r="AZ1" s="195" t="s">
        <v>2068</v>
      </c>
      <c r="BA1" s="195" t="s">
        <v>2069</v>
      </c>
      <c r="BB1" s="195" t="s">
        <v>2070</v>
      </c>
      <c r="BC1" s="195" t="s">
        <v>2071</v>
      </c>
      <c r="BD1" s="195" t="s">
        <v>2072</v>
      </c>
      <c r="BE1" s="195" t="s">
        <v>2073</v>
      </c>
      <c r="BF1" s="195" t="s">
        <v>2074</v>
      </c>
      <c r="BG1" s="195" t="s">
        <v>2075</v>
      </c>
      <c r="BH1" s="195" t="s">
        <v>2076</v>
      </c>
      <c r="BI1" s="195" t="s">
        <v>2077</v>
      </c>
      <c r="BJ1" s="195" t="s">
        <v>2078</v>
      </c>
      <c r="BK1" s="195" t="s">
        <v>2079</v>
      </c>
      <c r="BL1" s="195" t="s">
        <v>2080</v>
      </c>
      <c r="BM1" s="195" t="s">
        <v>2081</v>
      </c>
      <c r="BN1" s="195" t="s">
        <v>2082</v>
      </c>
      <c r="BO1" s="195" t="s">
        <v>2083</v>
      </c>
      <c r="BP1" s="195" t="s">
        <v>2084</v>
      </c>
      <c r="BQ1" s="195" t="s">
        <v>2085</v>
      </c>
      <c r="BR1" s="195" t="s">
        <v>2086</v>
      </c>
      <c r="BS1" s="195" t="s">
        <v>2087</v>
      </c>
      <c r="BT1" s="195" t="s">
        <v>2088</v>
      </c>
      <c r="BU1" s="195" t="s">
        <v>2089</v>
      </c>
      <c r="BV1" s="195" t="s">
        <v>2090</v>
      </c>
      <c r="BW1" s="195" t="s">
        <v>2091</v>
      </c>
      <c r="BX1" s="195" t="s">
        <v>2092</v>
      </c>
      <c r="BY1" s="195" t="s">
        <v>2093</v>
      </c>
      <c r="BZ1" s="195" t="s">
        <v>2094</v>
      </c>
      <c r="CA1" s="195" t="s">
        <v>2095</v>
      </c>
      <c r="CB1" s="195" t="s">
        <v>2096</v>
      </c>
      <c r="CC1" s="195" t="s">
        <v>2097</v>
      </c>
      <c r="CD1" s="195" t="s">
        <v>2098</v>
      </c>
      <c r="CE1" s="195" t="s">
        <v>2099</v>
      </c>
      <c r="CF1" s="195" t="s">
        <v>2100</v>
      </c>
      <c r="CG1" s="195" t="s">
        <v>2101</v>
      </c>
      <c r="CH1" s="195" t="s">
        <v>2102</v>
      </c>
      <c r="CI1" s="195" t="s">
        <v>2103</v>
      </c>
      <c r="CJ1" s="195" t="s">
        <v>2104</v>
      </c>
      <c r="CK1" s="195" t="s">
        <v>2105</v>
      </c>
      <c r="CL1" s="195" t="s">
        <v>2106</v>
      </c>
      <c r="CM1" s="195" t="s">
        <v>2107</v>
      </c>
      <c r="CN1" s="195" t="s">
        <v>2108</v>
      </c>
      <c r="CO1" s="195" t="s">
        <v>2109</v>
      </c>
    </row>
    <row r="2" spans="1:93" s="286" customFormat="1" ht="2.25" customHeight="1" x14ac:dyDescent="0.25">
      <c r="A2" s="379"/>
      <c r="B2" s="378"/>
      <c r="C2" s="378"/>
      <c r="D2" s="380"/>
      <c r="E2" s="378"/>
      <c r="F2" s="378"/>
      <c r="G2" s="378"/>
      <c r="H2" s="372">
        <v>1</v>
      </c>
      <c r="I2" s="372">
        <v>2</v>
      </c>
      <c r="J2" s="286">
        <v>3</v>
      </c>
      <c r="K2" s="286">
        <v>4</v>
      </c>
      <c r="L2" s="286">
        <v>5</v>
      </c>
      <c r="M2" s="286">
        <v>6</v>
      </c>
      <c r="N2" s="286">
        <v>14</v>
      </c>
      <c r="O2" s="286">
        <v>18</v>
      </c>
      <c r="P2" s="286">
        <v>15</v>
      </c>
      <c r="Q2" s="286">
        <v>21</v>
      </c>
      <c r="R2" s="286">
        <v>20</v>
      </c>
      <c r="S2" s="286">
        <v>19</v>
      </c>
      <c r="T2" s="286">
        <v>16</v>
      </c>
      <c r="U2" s="286">
        <v>17</v>
      </c>
      <c r="V2" s="286">
        <v>22</v>
      </c>
      <c r="W2" s="286">
        <v>23</v>
      </c>
      <c r="X2" s="286">
        <v>24</v>
      </c>
      <c r="Y2" s="286">
        <v>25</v>
      </c>
      <c r="Z2" s="286">
        <v>26</v>
      </c>
      <c r="AA2" s="286">
        <v>27</v>
      </c>
      <c r="AB2" s="286">
        <v>28</v>
      </c>
      <c r="AC2" s="286">
        <v>29</v>
      </c>
      <c r="AD2" s="286">
        <v>30</v>
      </c>
      <c r="AE2" s="286">
        <v>31</v>
      </c>
      <c r="AF2" s="286">
        <v>32</v>
      </c>
      <c r="AG2" s="286">
        <v>33</v>
      </c>
      <c r="AH2" s="286">
        <v>86</v>
      </c>
      <c r="AI2" s="286">
        <v>34</v>
      </c>
      <c r="AJ2" s="286">
        <v>35</v>
      </c>
      <c r="AK2" s="286">
        <v>36</v>
      </c>
      <c r="AL2" s="286">
        <v>37</v>
      </c>
      <c r="AM2" s="286">
        <v>38</v>
      </c>
      <c r="AN2" s="286">
        <v>39</v>
      </c>
      <c r="AO2" s="286">
        <v>40</v>
      </c>
      <c r="AP2" s="286">
        <v>48</v>
      </c>
      <c r="AQ2" s="286">
        <v>49</v>
      </c>
      <c r="AR2" s="286">
        <v>50</v>
      </c>
      <c r="AS2" s="286">
        <v>51</v>
      </c>
      <c r="AT2" s="286">
        <v>52</v>
      </c>
      <c r="AU2" s="286">
        <v>53</v>
      </c>
      <c r="AV2" s="286">
        <v>54</v>
      </c>
      <c r="AW2" s="286">
        <v>55</v>
      </c>
      <c r="AX2" s="286">
        <v>56</v>
      </c>
      <c r="AY2" s="286">
        <v>57</v>
      </c>
      <c r="AZ2" s="286">
        <v>58</v>
      </c>
      <c r="BA2" s="286">
        <v>59</v>
      </c>
      <c r="BB2" s="286">
        <v>60</v>
      </c>
      <c r="BC2" s="286">
        <v>61</v>
      </c>
      <c r="BD2" s="286">
        <v>62</v>
      </c>
      <c r="BE2" s="286">
        <v>63</v>
      </c>
      <c r="BF2" s="286">
        <v>64</v>
      </c>
      <c r="BG2" s="286">
        <v>65</v>
      </c>
      <c r="BH2" s="286">
        <v>66</v>
      </c>
      <c r="BI2" s="286">
        <v>68</v>
      </c>
      <c r="BJ2" s="286">
        <v>69</v>
      </c>
      <c r="BK2" s="286">
        <v>70</v>
      </c>
      <c r="BL2" s="286">
        <v>71</v>
      </c>
      <c r="BM2" s="286">
        <v>72</v>
      </c>
      <c r="BN2" s="286">
        <v>73</v>
      </c>
      <c r="BO2" s="286">
        <v>74</v>
      </c>
      <c r="BP2" s="286">
        <v>75</v>
      </c>
      <c r="BQ2" s="286">
        <v>76</v>
      </c>
      <c r="BR2" s="286">
        <v>77</v>
      </c>
      <c r="BS2" s="286">
        <v>78</v>
      </c>
      <c r="BT2" s="286">
        <v>79</v>
      </c>
      <c r="BU2" s="286">
        <v>80</v>
      </c>
      <c r="BV2" s="286">
        <v>81</v>
      </c>
      <c r="BW2" s="286">
        <v>82</v>
      </c>
      <c r="BX2" s="286">
        <v>83</v>
      </c>
      <c r="BY2" s="286">
        <v>84</v>
      </c>
      <c r="BZ2" s="286">
        <v>85</v>
      </c>
      <c r="CA2" s="286">
        <v>7</v>
      </c>
      <c r="CB2" s="286">
        <v>8</v>
      </c>
      <c r="CC2" s="286">
        <v>9</v>
      </c>
      <c r="CD2" s="286">
        <v>10</v>
      </c>
      <c r="CE2" s="286">
        <v>11</v>
      </c>
      <c r="CF2" s="286">
        <v>12</v>
      </c>
      <c r="CG2" s="286">
        <v>13</v>
      </c>
      <c r="CH2" s="286">
        <v>41</v>
      </c>
      <c r="CI2" s="286">
        <v>42</v>
      </c>
      <c r="CJ2" s="286">
        <v>44</v>
      </c>
      <c r="CK2" s="286">
        <v>45</v>
      </c>
      <c r="CL2" s="286">
        <v>46</v>
      </c>
      <c r="CM2" s="286">
        <v>47</v>
      </c>
      <c r="CN2" s="286">
        <v>67</v>
      </c>
      <c r="CO2" s="286">
        <v>43</v>
      </c>
    </row>
    <row r="3" spans="1:93" x14ac:dyDescent="0.25">
      <c r="A3" s="342">
        <v>11023</v>
      </c>
      <c r="B3" s="352" t="s">
        <v>1814</v>
      </c>
      <c r="C3" s="352"/>
      <c r="D3" s="293">
        <v>11</v>
      </c>
      <c r="E3" s="349">
        <v>0</v>
      </c>
      <c r="F3" s="340">
        <v>580</v>
      </c>
      <c r="G3" s="341">
        <v>2424</v>
      </c>
      <c r="H3" s="342">
        <v>0.7</v>
      </c>
      <c r="I3" s="339">
        <v>4.2</v>
      </c>
      <c r="J3" s="339">
        <v>37.5</v>
      </c>
      <c r="K3" s="339">
        <v>56.5</v>
      </c>
      <c r="L3" s="340" t="s">
        <v>2</v>
      </c>
      <c r="M3" s="344">
        <v>1.1000000000000001</v>
      </c>
      <c r="N3" s="340">
        <v>194</v>
      </c>
      <c r="O3" s="340">
        <v>97</v>
      </c>
      <c r="P3" s="339">
        <v>2.5</v>
      </c>
      <c r="Q3" s="340" t="s">
        <v>2</v>
      </c>
      <c r="R3" s="340" t="s">
        <v>2</v>
      </c>
      <c r="S3" s="340" t="s">
        <v>2</v>
      </c>
      <c r="T3" s="340" t="s">
        <v>2</v>
      </c>
      <c r="U3" s="340" t="s">
        <v>2</v>
      </c>
      <c r="V3" s="340" t="s">
        <v>2</v>
      </c>
      <c r="W3" s="341" t="s">
        <v>2</v>
      </c>
      <c r="X3" s="340" t="s">
        <v>2</v>
      </c>
      <c r="Y3" s="347">
        <v>0.01</v>
      </c>
      <c r="Z3" s="347">
        <v>0.09</v>
      </c>
      <c r="AA3" s="347">
        <v>0.4</v>
      </c>
      <c r="AB3" s="340" t="s">
        <v>2</v>
      </c>
      <c r="AC3" s="340" t="s">
        <v>2</v>
      </c>
      <c r="AD3" s="340" t="s">
        <v>2</v>
      </c>
      <c r="AE3" s="340" t="s">
        <v>2</v>
      </c>
      <c r="AF3" s="340" t="s">
        <v>2</v>
      </c>
      <c r="AG3" s="341" t="s">
        <v>2</v>
      </c>
      <c r="AH3" s="341" t="s">
        <v>2</v>
      </c>
      <c r="AI3" s="340" t="s">
        <v>2</v>
      </c>
      <c r="AJ3" s="340" t="s">
        <v>2</v>
      </c>
      <c r="AK3" s="340" t="s">
        <v>2</v>
      </c>
      <c r="AL3" s="341" t="s">
        <v>2</v>
      </c>
      <c r="AM3" s="340" t="s">
        <v>2</v>
      </c>
      <c r="AN3" s="340" t="s">
        <v>2</v>
      </c>
      <c r="AO3" s="341" t="s">
        <v>2</v>
      </c>
      <c r="AP3" s="340" t="s">
        <v>2</v>
      </c>
      <c r="AQ3" s="340" t="s">
        <v>2</v>
      </c>
      <c r="AR3" s="340" t="s">
        <v>2</v>
      </c>
      <c r="AS3" s="340" t="s">
        <v>2</v>
      </c>
      <c r="AT3" s="340" t="s">
        <v>2</v>
      </c>
      <c r="AU3" s="340" t="s">
        <v>2</v>
      </c>
      <c r="AV3" s="341" t="s">
        <v>2</v>
      </c>
      <c r="AW3" s="340" t="s">
        <v>2</v>
      </c>
      <c r="AX3" s="340" t="s">
        <v>2</v>
      </c>
      <c r="AY3" s="340" t="s">
        <v>2</v>
      </c>
      <c r="AZ3" s="341" t="s">
        <v>2</v>
      </c>
      <c r="BA3" s="340" t="s">
        <v>2</v>
      </c>
      <c r="BB3" s="340" t="s">
        <v>2</v>
      </c>
      <c r="BC3" s="340" t="s">
        <v>2</v>
      </c>
      <c r="BD3" s="340" t="s">
        <v>2</v>
      </c>
      <c r="BE3" s="340" t="s">
        <v>2</v>
      </c>
      <c r="BF3" s="341" t="s">
        <v>2</v>
      </c>
      <c r="BG3" s="341" t="s">
        <v>2</v>
      </c>
      <c r="BH3" s="341" t="s">
        <v>2</v>
      </c>
      <c r="BI3" s="340" t="s">
        <v>2</v>
      </c>
      <c r="BJ3" s="340" t="s">
        <v>2</v>
      </c>
      <c r="BK3" s="340" t="s">
        <v>2</v>
      </c>
      <c r="BL3" s="340" t="s">
        <v>2</v>
      </c>
      <c r="BM3" s="340" t="s">
        <v>2</v>
      </c>
      <c r="BN3" s="340" t="s">
        <v>2</v>
      </c>
      <c r="BO3" s="340" t="s">
        <v>2</v>
      </c>
      <c r="BP3" s="340" t="s">
        <v>2</v>
      </c>
      <c r="BQ3" s="340" t="s">
        <v>2</v>
      </c>
      <c r="BR3" s="340" t="s">
        <v>2</v>
      </c>
      <c r="BS3" s="340" t="s">
        <v>2</v>
      </c>
      <c r="BT3" s="340" t="s">
        <v>2</v>
      </c>
      <c r="BU3" s="340" t="s">
        <v>2</v>
      </c>
      <c r="BV3" s="340" t="s">
        <v>2</v>
      </c>
      <c r="BW3" s="340" t="s">
        <v>2</v>
      </c>
      <c r="BX3" s="340" t="s">
        <v>2</v>
      </c>
      <c r="BY3" s="340" t="s">
        <v>2</v>
      </c>
      <c r="BZ3" s="341" t="s">
        <v>2</v>
      </c>
      <c r="CA3" s="340" t="s">
        <v>2</v>
      </c>
      <c r="CB3" s="340" t="s">
        <v>2</v>
      </c>
      <c r="CC3" s="340" t="s">
        <v>2</v>
      </c>
      <c r="CD3" s="340" t="s">
        <v>2</v>
      </c>
      <c r="CE3" s="340" t="s">
        <v>2</v>
      </c>
      <c r="CF3" s="340" t="s">
        <v>2</v>
      </c>
      <c r="CG3" s="341" t="s">
        <v>2</v>
      </c>
      <c r="CH3" s="340" t="s">
        <v>2</v>
      </c>
      <c r="CI3" s="341" t="s">
        <v>2</v>
      </c>
      <c r="CJ3" s="340" t="s">
        <v>2</v>
      </c>
      <c r="CK3" s="340" t="s">
        <v>2</v>
      </c>
      <c r="CL3" s="340" t="s">
        <v>2</v>
      </c>
      <c r="CM3" s="341" t="s">
        <v>2</v>
      </c>
      <c r="CN3" s="341" t="s">
        <v>2</v>
      </c>
      <c r="CO3" s="341" t="s">
        <v>2</v>
      </c>
    </row>
    <row r="4" spans="1:93" x14ac:dyDescent="0.25">
      <c r="A4" s="342">
        <v>11024</v>
      </c>
      <c r="B4" s="297" t="s">
        <v>1815</v>
      </c>
      <c r="C4" s="351" t="s">
        <v>1816</v>
      </c>
      <c r="D4" s="293">
        <v>11</v>
      </c>
      <c r="E4" s="298">
        <v>0</v>
      </c>
      <c r="F4" s="306">
        <v>250</v>
      </c>
      <c r="G4" s="334"/>
      <c r="H4" s="301" t="s">
        <v>2</v>
      </c>
      <c r="I4" s="309">
        <v>0</v>
      </c>
      <c r="J4" s="309">
        <v>0</v>
      </c>
      <c r="K4" s="309">
        <v>61.11</v>
      </c>
      <c r="L4" s="309" t="s">
        <v>2</v>
      </c>
      <c r="M4" s="303" t="s">
        <v>2</v>
      </c>
      <c r="N4" s="310" t="s">
        <v>2</v>
      </c>
      <c r="O4" s="310" t="s">
        <v>2</v>
      </c>
      <c r="P4" s="309" t="s">
        <v>2</v>
      </c>
      <c r="Q4" s="309" t="s">
        <v>2</v>
      </c>
      <c r="R4" s="310" t="s">
        <v>2</v>
      </c>
      <c r="S4" s="310" t="s">
        <v>2</v>
      </c>
      <c r="T4" s="310" t="s">
        <v>2</v>
      </c>
      <c r="U4" s="311" t="s">
        <v>2</v>
      </c>
      <c r="V4" s="311" t="s">
        <v>2</v>
      </c>
      <c r="W4" s="303" t="s">
        <v>2</v>
      </c>
      <c r="X4" s="309">
        <v>23.3</v>
      </c>
      <c r="Y4" s="311" t="s">
        <v>2</v>
      </c>
      <c r="Z4" s="311" t="s">
        <v>2</v>
      </c>
      <c r="AA4" s="311" t="s">
        <v>2</v>
      </c>
      <c r="AB4" s="311" t="s">
        <v>2</v>
      </c>
      <c r="AC4" s="311" t="s">
        <v>2</v>
      </c>
      <c r="AD4" s="310" t="s">
        <v>2</v>
      </c>
      <c r="AE4" s="310" t="s">
        <v>2</v>
      </c>
      <c r="AF4" s="309" t="s">
        <v>2</v>
      </c>
      <c r="AG4" s="303" t="s">
        <v>2</v>
      </c>
      <c r="AH4" s="310" t="s">
        <v>2</v>
      </c>
      <c r="AI4" s="310" t="s">
        <v>2</v>
      </c>
      <c r="AJ4" s="309" t="s">
        <v>2</v>
      </c>
      <c r="AK4" s="309" t="s">
        <v>2</v>
      </c>
      <c r="AL4" s="303" t="s">
        <v>2</v>
      </c>
      <c r="AM4" s="310" t="s">
        <v>2</v>
      </c>
      <c r="AN4" s="310" t="s">
        <v>2</v>
      </c>
      <c r="AO4" s="306" t="s">
        <v>2</v>
      </c>
      <c r="AP4" s="309" t="s">
        <v>2</v>
      </c>
      <c r="AQ4" s="311" t="s">
        <v>2</v>
      </c>
      <c r="AR4" s="311" t="s">
        <v>2</v>
      </c>
      <c r="AS4" s="311" t="s">
        <v>2</v>
      </c>
      <c r="AT4" s="311" t="s">
        <v>2</v>
      </c>
      <c r="AU4" s="311" t="s">
        <v>2</v>
      </c>
      <c r="AV4" s="307" t="s">
        <v>2</v>
      </c>
      <c r="AW4" s="309" t="s">
        <v>2</v>
      </c>
      <c r="AX4" s="311" t="s">
        <v>2</v>
      </c>
      <c r="AY4" s="311" t="s">
        <v>2</v>
      </c>
      <c r="AZ4" s="307" t="s">
        <v>2</v>
      </c>
      <c r="BA4" s="309" t="s">
        <v>2</v>
      </c>
      <c r="BB4" s="311" t="s">
        <v>2</v>
      </c>
      <c r="BC4" s="311" t="s">
        <v>2</v>
      </c>
      <c r="BD4" s="311" t="s">
        <v>2</v>
      </c>
      <c r="BE4" s="311" t="s">
        <v>2</v>
      </c>
      <c r="BF4" s="307" t="s">
        <v>2</v>
      </c>
      <c r="BG4" s="349" t="s">
        <v>2</v>
      </c>
      <c r="BH4" s="298" t="s">
        <v>2</v>
      </c>
      <c r="BI4" s="310" t="s">
        <v>2</v>
      </c>
      <c r="BJ4" s="310" t="s">
        <v>2</v>
      </c>
      <c r="BK4" s="310" t="s">
        <v>2</v>
      </c>
      <c r="BL4" s="310" t="s">
        <v>2</v>
      </c>
      <c r="BM4" s="310" t="s">
        <v>2</v>
      </c>
      <c r="BN4" s="310" t="s">
        <v>2</v>
      </c>
      <c r="BO4" s="310" t="s">
        <v>2</v>
      </c>
      <c r="BP4" s="310" t="s">
        <v>2</v>
      </c>
      <c r="BQ4" s="310" t="s">
        <v>2</v>
      </c>
      <c r="BR4" s="310" t="s">
        <v>2</v>
      </c>
      <c r="BS4" s="310" t="s">
        <v>2</v>
      </c>
      <c r="BT4" s="310" t="s">
        <v>2</v>
      </c>
      <c r="BU4" s="310" t="s">
        <v>2</v>
      </c>
      <c r="BV4" s="310" t="s">
        <v>2</v>
      </c>
      <c r="BW4" s="310" t="s">
        <v>2</v>
      </c>
      <c r="BX4" s="310" t="s">
        <v>2</v>
      </c>
      <c r="BY4" s="310" t="s">
        <v>2</v>
      </c>
      <c r="BZ4" s="306" t="s">
        <v>2</v>
      </c>
      <c r="CA4" s="309" t="s">
        <v>2</v>
      </c>
      <c r="CB4" s="348" t="s">
        <v>2</v>
      </c>
      <c r="CC4" s="348" t="s">
        <v>2</v>
      </c>
      <c r="CD4" s="348" t="s">
        <v>2</v>
      </c>
      <c r="CE4" s="348" t="s">
        <v>2</v>
      </c>
      <c r="CF4" s="348" t="s">
        <v>2</v>
      </c>
      <c r="CG4" s="354" t="s">
        <v>2</v>
      </c>
      <c r="CH4" s="310" t="s">
        <v>2</v>
      </c>
      <c r="CI4" s="306" t="s">
        <v>2</v>
      </c>
      <c r="CJ4" s="310" t="s">
        <v>2</v>
      </c>
      <c r="CK4" s="310" t="s">
        <v>2</v>
      </c>
      <c r="CL4" s="310" t="s">
        <v>2</v>
      </c>
      <c r="CM4" s="306" t="s">
        <v>2</v>
      </c>
      <c r="CN4" s="335" t="s">
        <v>2</v>
      </c>
      <c r="CO4" s="335" t="s">
        <v>2</v>
      </c>
    </row>
    <row r="5" spans="1:93" x14ac:dyDescent="0.25">
      <c r="A5" s="342">
        <v>12051</v>
      </c>
      <c r="B5" s="356" t="s">
        <v>1817</v>
      </c>
      <c r="C5" s="357" t="s">
        <v>1818</v>
      </c>
      <c r="D5" s="293">
        <v>12</v>
      </c>
      <c r="E5" s="298" t="s">
        <v>2</v>
      </c>
      <c r="F5" s="334">
        <v>348</v>
      </c>
      <c r="G5" s="334">
        <v>1456</v>
      </c>
      <c r="H5" s="301">
        <v>7.8</v>
      </c>
      <c r="I5" s="302">
        <v>0</v>
      </c>
      <c r="J5" s="302">
        <v>0</v>
      </c>
      <c r="K5" s="302">
        <v>91.6</v>
      </c>
      <c r="L5" s="302">
        <v>0</v>
      </c>
      <c r="M5" s="303">
        <v>0.61</v>
      </c>
      <c r="N5" s="299">
        <v>24</v>
      </c>
      <c r="O5" s="299">
        <v>1</v>
      </c>
      <c r="P5" s="302">
        <v>0.08</v>
      </c>
      <c r="Q5" s="302">
        <v>0.04</v>
      </c>
      <c r="R5" s="299">
        <v>432</v>
      </c>
      <c r="S5" s="299">
        <v>153</v>
      </c>
      <c r="T5" s="299">
        <v>0</v>
      </c>
      <c r="U5" s="304">
        <v>7.0000000000000001E-3</v>
      </c>
      <c r="V5" s="304">
        <v>15</v>
      </c>
      <c r="W5" s="303">
        <v>21.3</v>
      </c>
      <c r="X5" s="302">
        <v>0</v>
      </c>
      <c r="Y5" s="304">
        <v>0</v>
      </c>
      <c r="Z5" s="304">
        <v>0</v>
      </c>
      <c r="AA5" s="304">
        <v>0</v>
      </c>
      <c r="AB5" s="304">
        <v>0</v>
      </c>
      <c r="AC5" s="304">
        <v>0</v>
      </c>
      <c r="AD5" s="299">
        <v>0</v>
      </c>
      <c r="AE5" s="299">
        <v>0</v>
      </c>
      <c r="AF5" s="302" t="s">
        <v>2</v>
      </c>
      <c r="AG5" s="303">
        <v>0</v>
      </c>
      <c r="AH5" s="334" t="s">
        <v>2</v>
      </c>
      <c r="AI5" s="299">
        <v>0</v>
      </c>
      <c r="AJ5" s="302" t="s">
        <v>2</v>
      </c>
      <c r="AK5" s="302" t="s">
        <v>2</v>
      </c>
      <c r="AL5" s="303" t="s">
        <v>2</v>
      </c>
      <c r="AM5" s="299" t="s">
        <v>2</v>
      </c>
      <c r="AN5" s="299" t="s">
        <v>2</v>
      </c>
      <c r="AO5" s="306" t="s">
        <v>2</v>
      </c>
      <c r="AP5" s="302" t="s">
        <v>2</v>
      </c>
      <c r="AQ5" s="304" t="s">
        <v>2</v>
      </c>
      <c r="AR5" s="304" t="s">
        <v>2</v>
      </c>
      <c r="AS5" s="304" t="s">
        <v>2</v>
      </c>
      <c r="AT5" s="304" t="s">
        <v>2</v>
      </c>
      <c r="AU5" s="304" t="s">
        <v>2</v>
      </c>
      <c r="AV5" s="307" t="s">
        <v>2</v>
      </c>
      <c r="AW5" s="302" t="s">
        <v>2</v>
      </c>
      <c r="AX5" s="304" t="s">
        <v>2</v>
      </c>
      <c r="AY5" s="304" t="s">
        <v>2</v>
      </c>
      <c r="AZ5" s="304" t="s">
        <v>2</v>
      </c>
      <c r="BA5" s="313" t="s">
        <v>2</v>
      </c>
      <c r="BB5" s="311" t="s">
        <v>2</v>
      </c>
      <c r="BC5" s="311" t="s">
        <v>2</v>
      </c>
      <c r="BD5" s="311" t="s">
        <v>2</v>
      </c>
      <c r="BE5" s="311" t="s">
        <v>2</v>
      </c>
      <c r="BF5" s="307" t="s">
        <v>2</v>
      </c>
      <c r="BG5" s="303" t="s">
        <v>2</v>
      </c>
      <c r="BH5" s="298">
        <v>0</v>
      </c>
      <c r="BI5" s="308" t="s">
        <v>2</v>
      </c>
      <c r="BJ5" s="310" t="s">
        <v>2</v>
      </c>
      <c r="BK5" s="310" t="s">
        <v>2</v>
      </c>
      <c r="BL5" s="310" t="s">
        <v>2</v>
      </c>
      <c r="BM5" s="310" t="s">
        <v>2</v>
      </c>
      <c r="BN5" s="310" t="s">
        <v>2</v>
      </c>
      <c r="BO5" s="310" t="s">
        <v>2</v>
      </c>
      <c r="BP5" s="310" t="s">
        <v>2</v>
      </c>
      <c r="BQ5" s="310" t="s">
        <v>2</v>
      </c>
      <c r="BR5" s="310" t="s">
        <v>2</v>
      </c>
      <c r="BS5" s="310" t="s">
        <v>2</v>
      </c>
      <c r="BT5" s="310" t="s">
        <v>2</v>
      </c>
      <c r="BU5" s="310" t="s">
        <v>2</v>
      </c>
      <c r="BV5" s="310" t="s">
        <v>2</v>
      </c>
      <c r="BW5" s="310" t="s">
        <v>2</v>
      </c>
      <c r="BX5" s="310" t="s">
        <v>2</v>
      </c>
      <c r="BY5" s="310" t="s">
        <v>2</v>
      </c>
      <c r="BZ5" s="306" t="s">
        <v>2</v>
      </c>
      <c r="CA5" s="302" t="s">
        <v>2</v>
      </c>
      <c r="CB5" s="302" t="s">
        <v>2</v>
      </c>
      <c r="CC5" s="302" t="s">
        <v>2</v>
      </c>
      <c r="CD5" s="302" t="s">
        <v>2</v>
      </c>
      <c r="CE5" s="302" t="s">
        <v>2</v>
      </c>
      <c r="CF5" s="302" t="s">
        <v>2</v>
      </c>
      <c r="CG5" s="303" t="s">
        <v>2</v>
      </c>
      <c r="CH5" s="299" t="s">
        <v>2</v>
      </c>
      <c r="CI5" s="306" t="s">
        <v>2</v>
      </c>
      <c r="CJ5" s="299" t="s">
        <v>2</v>
      </c>
      <c r="CK5" s="299" t="s">
        <v>2</v>
      </c>
      <c r="CL5" s="299" t="s">
        <v>2</v>
      </c>
      <c r="CM5" s="299" t="s">
        <v>2</v>
      </c>
      <c r="CN5" s="334" t="s">
        <v>2</v>
      </c>
      <c r="CO5" s="334" t="s">
        <v>2</v>
      </c>
    </row>
    <row r="6" spans="1:93" ht="63" x14ac:dyDescent="0.25">
      <c r="A6" s="342">
        <v>12052</v>
      </c>
      <c r="B6" s="358" t="s">
        <v>1819</v>
      </c>
      <c r="C6" s="357" t="s">
        <v>1820</v>
      </c>
      <c r="D6" s="293">
        <v>12</v>
      </c>
      <c r="E6" s="298" t="s">
        <v>2</v>
      </c>
      <c r="F6" s="334">
        <v>113</v>
      </c>
      <c r="G6" s="334">
        <v>475</v>
      </c>
      <c r="H6" s="301">
        <v>74.63</v>
      </c>
      <c r="I6" s="302">
        <v>2.95</v>
      </c>
      <c r="J6" s="302">
        <v>3</v>
      </c>
      <c r="K6" s="302">
        <v>18.68</v>
      </c>
      <c r="L6" s="302">
        <v>0</v>
      </c>
      <c r="M6" s="303">
        <v>0.74</v>
      </c>
      <c r="N6" s="299">
        <v>111</v>
      </c>
      <c r="O6" s="299">
        <v>84</v>
      </c>
      <c r="P6" s="302">
        <v>0.06</v>
      </c>
      <c r="Q6" s="302">
        <v>0.35</v>
      </c>
      <c r="R6" s="299">
        <v>112</v>
      </c>
      <c r="S6" s="299">
        <v>160</v>
      </c>
      <c r="T6" s="299">
        <v>12</v>
      </c>
      <c r="U6" s="304">
        <v>5.0000000000000001E-3</v>
      </c>
      <c r="V6" s="304">
        <v>11</v>
      </c>
      <c r="W6" s="303">
        <v>5.2</v>
      </c>
      <c r="X6" s="302">
        <v>0.7</v>
      </c>
      <c r="Y6" s="304">
        <v>0.31</v>
      </c>
      <c r="Z6" s="304">
        <v>0.14499999999999999</v>
      </c>
      <c r="AA6" s="304">
        <v>7.4999999999999997E-2</v>
      </c>
      <c r="AB6" s="304">
        <v>0.28199999999999997</v>
      </c>
      <c r="AC6" s="304">
        <v>3.4000000000000002E-2</v>
      </c>
      <c r="AD6" s="299">
        <v>4</v>
      </c>
      <c r="AE6" s="299">
        <v>0</v>
      </c>
      <c r="AF6" s="302" t="s">
        <v>2</v>
      </c>
      <c r="AG6" s="303">
        <v>0.26</v>
      </c>
      <c r="AH6" s="306" t="s">
        <v>2</v>
      </c>
      <c r="AI6" s="299">
        <v>29</v>
      </c>
      <c r="AJ6" s="302">
        <v>0.9</v>
      </c>
      <c r="AK6" s="302" t="s">
        <v>2</v>
      </c>
      <c r="AL6" s="303" t="s">
        <v>2</v>
      </c>
      <c r="AM6" s="299">
        <v>16</v>
      </c>
      <c r="AN6" s="299" t="s">
        <v>2</v>
      </c>
      <c r="AO6" s="306" t="s">
        <v>2</v>
      </c>
      <c r="AP6" s="302">
        <v>1.8</v>
      </c>
      <c r="AQ6" s="304">
        <v>0.78800000000000003</v>
      </c>
      <c r="AR6" s="304" t="s">
        <v>2</v>
      </c>
      <c r="AS6" s="304">
        <v>0.36299999999999999</v>
      </c>
      <c r="AT6" s="304" t="s">
        <v>2</v>
      </c>
      <c r="AU6" s="304" t="s">
        <v>2</v>
      </c>
      <c r="AV6" s="307" t="s">
        <v>2</v>
      </c>
      <c r="AW6" s="302">
        <v>0.82099999999999995</v>
      </c>
      <c r="AX6" s="304" t="s">
        <v>2</v>
      </c>
      <c r="AY6" s="304">
        <v>6.7000000000000004E-2</v>
      </c>
      <c r="AZ6" s="307">
        <v>0</v>
      </c>
      <c r="BA6" s="309">
        <v>0.111</v>
      </c>
      <c r="BB6" s="311">
        <v>6.7000000000000004E-2</v>
      </c>
      <c r="BC6" s="311">
        <v>4.3999999999999997E-2</v>
      </c>
      <c r="BD6" s="311">
        <v>0</v>
      </c>
      <c r="BE6" s="311">
        <v>0</v>
      </c>
      <c r="BF6" s="307">
        <v>0</v>
      </c>
      <c r="BG6" s="298" t="s">
        <v>2</v>
      </c>
      <c r="BH6" s="303">
        <v>12</v>
      </c>
      <c r="BI6" s="308">
        <v>234</v>
      </c>
      <c r="BJ6" s="310">
        <v>74</v>
      </c>
      <c r="BK6" s="310">
        <v>41</v>
      </c>
      <c r="BL6" s="310">
        <v>143</v>
      </c>
      <c r="BM6" s="310">
        <v>134</v>
      </c>
      <c r="BN6" s="310">
        <v>197</v>
      </c>
      <c r="BO6" s="310">
        <v>289</v>
      </c>
      <c r="BP6" s="310">
        <v>178</v>
      </c>
      <c r="BQ6" s="310">
        <v>107</v>
      </c>
      <c r="BR6" s="310">
        <v>80</v>
      </c>
      <c r="BS6" s="310">
        <v>27</v>
      </c>
      <c r="BT6" s="310">
        <v>143</v>
      </c>
      <c r="BU6" s="310">
        <v>101</v>
      </c>
      <c r="BV6" s="310">
        <v>224</v>
      </c>
      <c r="BW6" s="310">
        <v>618</v>
      </c>
      <c r="BX6" s="310">
        <v>63</v>
      </c>
      <c r="BY6" s="310">
        <v>286</v>
      </c>
      <c r="BZ6" s="306">
        <v>161</v>
      </c>
      <c r="CA6" s="302" t="s">
        <v>2</v>
      </c>
      <c r="CB6" s="302" t="s">
        <v>2</v>
      </c>
      <c r="CC6" s="302" t="s">
        <v>2</v>
      </c>
      <c r="CD6" s="302" t="s">
        <v>2</v>
      </c>
      <c r="CE6" s="302" t="s">
        <v>2</v>
      </c>
      <c r="CF6" s="302" t="s">
        <v>2</v>
      </c>
      <c r="CG6" s="303" t="s">
        <v>2</v>
      </c>
      <c r="CH6" s="299" t="s">
        <v>2</v>
      </c>
      <c r="CI6" s="306" t="s">
        <v>2</v>
      </c>
      <c r="CJ6" s="299" t="s">
        <v>2</v>
      </c>
      <c r="CK6" s="299" t="s">
        <v>2</v>
      </c>
      <c r="CL6" s="299" t="s">
        <v>2</v>
      </c>
      <c r="CM6" s="306" t="s">
        <v>2</v>
      </c>
      <c r="CN6" s="306"/>
      <c r="CO6" s="334" t="s">
        <v>2</v>
      </c>
    </row>
    <row r="7" spans="1:93" x14ac:dyDescent="0.25">
      <c r="A7" s="342">
        <v>12053</v>
      </c>
      <c r="B7" s="352" t="s">
        <v>1821</v>
      </c>
      <c r="C7" s="353"/>
      <c r="D7" s="293">
        <v>12</v>
      </c>
      <c r="E7" s="298" t="s">
        <v>2</v>
      </c>
      <c r="F7" s="342">
        <v>250</v>
      </c>
      <c r="G7" s="342">
        <v>1045</v>
      </c>
      <c r="H7" s="342">
        <v>55</v>
      </c>
      <c r="I7" s="340">
        <v>8.1</v>
      </c>
      <c r="J7" s="340">
        <v>14.6</v>
      </c>
      <c r="K7" s="340">
        <v>21.6</v>
      </c>
      <c r="L7" s="340" t="s">
        <v>2</v>
      </c>
      <c r="M7" s="341">
        <v>0.7</v>
      </c>
      <c r="N7" s="340">
        <v>47</v>
      </c>
      <c r="O7" s="340">
        <v>130</v>
      </c>
      <c r="P7" s="340">
        <v>1.2</v>
      </c>
      <c r="Q7" s="340" t="s">
        <v>2</v>
      </c>
      <c r="R7" s="340">
        <v>100</v>
      </c>
      <c r="S7" s="340">
        <v>95</v>
      </c>
      <c r="T7" s="340" t="s">
        <v>2</v>
      </c>
      <c r="U7" s="340" t="s">
        <v>2</v>
      </c>
      <c r="V7" s="340" t="s">
        <v>2</v>
      </c>
      <c r="W7" s="341" t="s">
        <v>2</v>
      </c>
      <c r="X7" s="340" t="s">
        <v>2</v>
      </c>
      <c r="Y7" s="340" t="s">
        <v>2</v>
      </c>
      <c r="Z7" s="340" t="s">
        <v>2</v>
      </c>
      <c r="AA7" s="340" t="s">
        <v>2</v>
      </c>
      <c r="AB7" s="340" t="s">
        <v>2</v>
      </c>
      <c r="AC7" s="340" t="s">
        <v>2</v>
      </c>
      <c r="AD7" s="340" t="s">
        <v>2</v>
      </c>
      <c r="AE7" s="340" t="s">
        <v>2</v>
      </c>
      <c r="AF7" s="340" t="s">
        <v>2</v>
      </c>
      <c r="AG7" s="341" t="s">
        <v>2</v>
      </c>
      <c r="AH7" s="342">
        <v>110</v>
      </c>
      <c r="AI7" s="340" t="s">
        <v>2</v>
      </c>
      <c r="AJ7" s="340" t="s">
        <v>2</v>
      </c>
      <c r="AK7" s="340" t="s">
        <v>2</v>
      </c>
      <c r="AL7" s="341" t="s">
        <v>2</v>
      </c>
      <c r="AM7" s="340" t="s">
        <v>2</v>
      </c>
      <c r="AN7" s="340" t="s">
        <v>2</v>
      </c>
      <c r="AO7" s="341" t="s">
        <v>2</v>
      </c>
      <c r="AP7" s="340" t="s">
        <v>2</v>
      </c>
      <c r="AQ7" s="340" t="s">
        <v>2</v>
      </c>
      <c r="AR7" s="340" t="s">
        <v>2</v>
      </c>
      <c r="AS7" s="340" t="s">
        <v>2</v>
      </c>
      <c r="AT7" s="340" t="s">
        <v>2</v>
      </c>
      <c r="AU7" s="340" t="s">
        <v>2</v>
      </c>
      <c r="AV7" s="341" t="s">
        <v>2</v>
      </c>
      <c r="AW7" s="340" t="s">
        <v>2</v>
      </c>
      <c r="AX7" s="340" t="s">
        <v>2</v>
      </c>
      <c r="AY7" s="340" t="s">
        <v>2</v>
      </c>
      <c r="AZ7" s="341" t="s">
        <v>2</v>
      </c>
      <c r="BA7" s="340" t="s">
        <v>2</v>
      </c>
      <c r="BB7" s="340" t="s">
        <v>2</v>
      </c>
      <c r="BC7" s="340" t="s">
        <v>2</v>
      </c>
      <c r="BD7" s="340" t="s">
        <v>2</v>
      </c>
      <c r="BE7" s="340" t="s">
        <v>2</v>
      </c>
      <c r="BF7" s="341" t="s">
        <v>2</v>
      </c>
      <c r="BG7" s="342" t="s">
        <v>2</v>
      </c>
      <c r="BH7" s="342" t="s">
        <v>2</v>
      </c>
      <c r="BI7" s="340" t="s">
        <v>2</v>
      </c>
      <c r="BJ7" s="340" t="s">
        <v>2</v>
      </c>
      <c r="BK7" s="340" t="s">
        <v>2</v>
      </c>
      <c r="BL7" s="340" t="s">
        <v>2</v>
      </c>
      <c r="BM7" s="340" t="s">
        <v>2</v>
      </c>
      <c r="BN7" s="340" t="s">
        <v>2</v>
      </c>
      <c r="BO7" s="340" t="s">
        <v>2</v>
      </c>
      <c r="BP7" s="340" t="s">
        <v>2</v>
      </c>
      <c r="BQ7" s="340" t="s">
        <v>2</v>
      </c>
      <c r="BR7" s="340" t="s">
        <v>2</v>
      </c>
      <c r="BS7" s="340" t="s">
        <v>2</v>
      </c>
      <c r="BT7" s="340" t="s">
        <v>2</v>
      </c>
      <c r="BU7" s="340" t="s">
        <v>2</v>
      </c>
      <c r="BV7" s="340" t="s">
        <v>2</v>
      </c>
      <c r="BW7" s="340" t="s">
        <v>2</v>
      </c>
      <c r="BX7" s="340" t="s">
        <v>2</v>
      </c>
      <c r="BY7" s="340" t="s">
        <v>2</v>
      </c>
      <c r="BZ7" s="341" t="s">
        <v>2</v>
      </c>
      <c r="CA7" s="340" t="s">
        <v>2</v>
      </c>
      <c r="CB7" s="340" t="s">
        <v>2</v>
      </c>
      <c r="CC7" s="340" t="s">
        <v>2</v>
      </c>
      <c r="CD7" s="340" t="s">
        <v>2</v>
      </c>
      <c r="CE7" s="340" t="s">
        <v>2</v>
      </c>
      <c r="CF7" s="340" t="s">
        <v>2</v>
      </c>
      <c r="CG7" s="341" t="s">
        <v>2</v>
      </c>
      <c r="CH7" s="340" t="s">
        <v>2</v>
      </c>
      <c r="CI7" s="341" t="s">
        <v>2</v>
      </c>
      <c r="CJ7" s="340" t="s">
        <v>2</v>
      </c>
      <c r="CK7" s="340" t="s">
        <v>2</v>
      </c>
      <c r="CL7" s="340" t="s">
        <v>2</v>
      </c>
      <c r="CM7" s="341" t="s">
        <v>2</v>
      </c>
      <c r="CN7" s="342" t="s">
        <v>2</v>
      </c>
      <c r="CO7" s="342" t="s">
        <v>2</v>
      </c>
    </row>
    <row r="8" spans="1:93" x14ac:dyDescent="0.25">
      <c r="A8" s="342">
        <v>12054</v>
      </c>
      <c r="B8" s="352" t="s">
        <v>1822</v>
      </c>
      <c r="C8" s="353" t="s">
        <v>1823</v>
      </c>
      <c r="D8" s="293">
        <v>12</v>
      </c>
      <c r="E8" s="298" t="s">
        <v>2</v>
      </c>
      <c r="F8" s="342">
        <v>274</v>
      </c>
      <c r="G8" s="342">
        <v>1145</v>
      </c>
      <c r="H8" s="342">
        <v>36</v>
      </c>
      <c r="I8" s="340">
        <v>5.9</v>
      </c>
      <c r="J8" s="340">
        <v>4.3</v>
      </c>
      <c r="K8" s="340">
        <v>52.8</v>
      </c>
      <c r="L8" s="340">
        <v>0.1</v>
      </c>
      <c r="M8" s="341">
        <v>0.9</v>
      </c>
      <c r="N8" s="340">
        <v>35</v>
      </c>
      <c r="O8" s="340">
        <v>65</v>
      </c>
      <c r="P8" s="340">
        <v>0.6</v>
      </c>
      <c r="Q8" s="340" t="s">
        <v>2</v>
      </c>
      <c r="R8" s="340">
        <v>170</v>
      </c>
      <c r="S8" s="340">
        <v>70</v>
      </c>
      <c r="T8" s="340" t="s">
        <v>2</v>
      </c>
      <c r="U8" s="340" t="s">
        <v>2</v>
      </c>
      <c r="V8" s="340" t="s">
        <v>2</v>
      </c>
      <c r="W8" s="341" t="s">
        <v>2</v>
      </c>
      <c r="X8" s="340" t="s">
        <v>2</v>
      </c>
      <c r="Y8" s="340">
        <v>0.06</v>
      </c>
      <c r="Z8" s="340">
        <v>0.09</v>
      </c>
      <c r="AA8" s="340">
        <v>0.3</v>
      </c>
      <c r="AB8" s="340" t="s">
        <v>2</v>
      </c>
      <c r="AC8" s="340" t="s">
        <v>2</v>
      </c>
      <c r="AD8" s="340" t="s">
        <v>2</v>
      </c>
      <c r="AE8" s="340" t="s">
        <v>2</v>
      </c>
      <c r="AF8" s="340" t="s">
        <v>2</v>
      </c>
      <c r="AG8" s="341" t="s">
        <v>2</v>
      </c>
      <c r="AH8" s="342">
        <v>20</v>
      </c>
      <c r="AI8" s="340" t="s">
        <v>2</v>
      </c>
      <c r="AJ8" s="340" t="s">
        <v>2</v>
      </c>
      <c r="AK8" s="340" t="s">
        <v>2</v>
      </c>
      <c r="AL8" s="341" t="s">
        <v>2</v>
      </c>
      <c r="AM8" s="340" t="s">
        <v>2</v>
      </c>
      <c r="AN8" s="340" t="s">
        <v>2</v>
      </c>
      <c r="AO8" s="341" t="s">
        <v>2</v>
      </c>
      <c r="AP8" s="340" t="s">
        <v>2</v>
      </c>
      <c r="AQ8" s="340" t="s">
        <v>2</v>
      </c>
      <c r="AR8" s="340" t="s">
        <v>2</v>
      </c>
      <c r="AS8" s="340" t="s">
        <v>2</v>
      </c>
      <c r="AT8" s="340" t="s">
        <v>2</v>
      </c>
      <c r="AU8" s="340" t="s">
        <v>2</v>
      </c>
      <c r="AV8" s="341" t="s">
        <v>2</v>
      </c>
      <c r="AW8" s="340" t="s">
        <v>2</v>
      </c>
      <c r="AX8" s="340" t="s">
        <v>2</v>
      </c>
      <c r="AY8" s="340" t="s">
        <v>2</v>
      </c>
      <c r="AZ8" s="341" t="s">
        <v>2</v>
      </c>
      <c r="BA8" s="340" t="s">
        <v>2</v>
      </c>
      <c r="BB8" s="340" t="s">
        <v>2</v>
      </c>
      <c r="BC8" s="340" t="s">
        <v>2</v>
      </c>
      <c r="BD8" s="340" t="s">
        <v>2</v>
      </c>
      <c r="BE8" s="340" t="s">
        <v>2</v>
      </c>
      <c r="BF8" s="341" t="s">
        <v>2</v>
      </c>
      <c r="BG8" s="342" t="s">
        <v>2</v>
      </c>
      <c r="BH8" s="342" t="s">
        <v>2</v>
      </c>
      <c r="BI8" s="340" t="s">
        <v>2</v>
      </c>
      <c r="BJ8" s="340" t="s">
        <v>2</v>
      </c>
      <c r="BK8" s="340" t="s">
        <v>2</v>
      </c>
      <c r="BL8" s="340" t="s">
        <v>2</v>
      </c>
      <c r="BM8" s="340" t="s">
        <v>2</v>
      </c>
      <c r="BN8" s="340" t="s">
        <v>2</v>
      </c>
      <c r="BO8" s="340" t="s">
        <v>2</v>
      </c>
      <c r="BP8" s="340" t="s">
        <v>2</v>
      </c>
      <c r="BQ8" s="340" t="s">
        <v>2</v>
      </c>
      <c r="BR8" s="340" t="s">
        <v>2</v>
      </c>
      <c r="BS8" s="340" t="s">
        <v>2</v>
      </c>
      <c r="BT8" s="340" t="s">
        <v>2</v>
      </c>
      <c r="BU8" s="340" t="s">
        <v>2</v>
      </c>
      <c r="BV8" s="340" t="s">
        <v>2</v>
      </c>
      <c r="BW8" s="340" t="s">
        <v>2</v>
      </c>
      <c r="BX8" s="340" t="s">
        <v>2</v>
      </c>
      <c r="BY8" s="340" t="s">
        <v>2</v>
      </c>
      <c r="BZ8" s="341" t="s">
        <v>2</v>
      </c>
      <c r="CA8" s="340" t="s">
        <v>2</v>
      </c>
      <c r="CB8" s="340" t="s">
        <v>2</v>
      </c>
      <c r="CC8" s="340" t="s">
        <v>2</v>
      </c>
      <c r="CD8" s="340" t="s">
        <v>2</v>
      </c>
      <c r="CE8" s="340" t="s">
        <v>2</v>
      </c>
      <c r="CF8" s="340" t="s">
        <v>2</v>
      </c>
      <c r="CG8" s="341" t="s">
        <v>2</v>
      </c>
      <c r="CH8" s="340" t="s">
        <v>2</v>
      </c>
      <c r="CI8" s="341" t="s">
        <v>2</v>
      </c>
      <c r="CJ8" s="340" t="s">
        <v>2</v>
      </c>
      <c r="CK8" s="340" t="s">
        <v>2</v>
      </c>
      <c r="CL8" s="340" t="s">
        <v>2</v>
      </c>
      <c r="CM8" s="341" t="s">
        <v>2</v>
      </c>
      <c r="CN8" s="342" t="s">
        <v>2</v>
      </c>
      <c r="CO8" s="342" t="s">
        <v>2</v>
      </c>
    </row>
    <row r="9" spans="1:93" x14ac:dyDescent="0.25">
      <c r="A9" s="342">
        <v>12055</v>
      </c>
      <c r="B9" s="352" t="s">
        <v>1824</v>
      </c>
      <c r="C9" s="353"/>
      <c r="D9" s="293">
        <v>12</v>
      </c>
      <c r="E9" s="298" t="s">
        <v>2</v>
      </c>
      <c r="F9" s="342">
        <v>427</v>
      </c>
      <c r="G9" s="342">
        <v>1785</v>
      </c>
      <c r="H9" s="342">
        <v>0</v>
      </c>
      <c r="I9" s="340">
        <v>2</v>
      </c>
      <c r="J9" s="340">
        <v>11</v>
      </c>
      <c r="K9" s="340">
        <v>80</v>
      </c>
      <c r="L9" s="340" t="s">
        <v>2</v>
      </c>
      <c r="M9" s="341" t="s">
        <v>2</v>
      </c>
      <c r="N9" s="340" t="s">
        <v>2</v>
      </c>
      <c r="O9" s="340" t="s">
        <v>2</v>
      </c>
      <c r="P9" s="340" t="s">
        <v>2</v>
      </c>
      <c r="Q9" s="340" t="s">
        <v>2</v>
      </c>
      <c r="R9" s="340" t="s">
        <v>2</v>
      </c>
      <c r="S9" s="340" t="s">
        <v>2</v>
      </c>
      <c r="T9" s="340" t="s">
        <v>2</v>
      </c>
      <c r="U9" s="340" t="s">
        <v>2</v>
      </c>
      <c r="V9" s="340" t="s">
        <v>2</v>
      </c>
      <c r="W9" s="341" t="s">
        <v>2</v>
      </c>
      <c r="X9" s="340" t="s">
        <v>2</v>
      </c>
      <c r="Y9" s="340" t="s">
        <v>2</v>
      </c>
      <c r="Z9" s="340" t="s">
        <v>2</v>
      </c>
      <c r="AA9" s="340" t="s">
        <v>2</v>
      </c>
      <c r="AB9" s="340" t="s">
        <v>2</v>
      </c>
      <c r="AC9" s="340" t="s">
        <v>2</v>
      </c>
      <c r="AD9" s="340" t="s">
        <v>2</v>
      </c>
      <c r="AE9" s="340" t="s">
        <v>2</v>
      </c>
      <c r="AF9" s="340" t="s">
        <v>2</v>
      </c>
      <c r="AG9" s="341" t="s">
        <v>2</v>
      </c>
      <c r="AH9" s="342" t="s">
        <v>2</v>
      </c>
      <c r="AI9" s="340" t="s">
        <v>2</v>
      </c>
      <c r="AJ9" s="340" t="s">
        <v>2</v>
      </c>
      <c r="AK9" s="340" t="s">
        <v>2</v>
      </c>
      <c r="AL9" s="341" t="s">
        <v>2</v>
      </c>
      <c r="AM9" s="340" t="s">
        <v>2</v>
      </c>
      <c r="AN9" s="340" t="s">
        <v>2</v>
      </c>
      <c r="AO9" s="341" t="s">
        <v>2</v>
      </c>
      <c r="AP9" s="340" t="s">
        <v>2</v>
      </c>
      <c r="AQ9" s="340" t="s">
        <v>2</v>
      </c>
      <c r="AR9" s="340" t="s">
        <v>2</v>
      </c>
      <c r="AS9" s="340" t="s">
        <v>2</v>
      </c>
      <c r="AT9" s="340" t="s">
        <v>2</v>
      </c>
      <c r="AU9" s="340" t="s">
        <v>2</v>
      </c>
      <c r="AV9" s="341" t="s">
        <v>2</v>
      </c>
      <c r="AW9" s="340" t="s">
        <v>2</v>
      </c>
      <c r="AX9" s="340" t="s">
        <v>2</v>
      </c>
      <c r="AY9" s="340" t="s">
        <v>2</v>
      </c>
      <c r="AZ9" s="341" t="s">
        <v>2</v>
      </c>
      <c r="BA9" s="340" t="s">
        <v>2</v>
      </c>
      <c r="BB9" s="340" t="s">
        <v>2</v>
      </c>
      <c r="BC9" s="340" t="s">
        <v>2</v>
      </c>
      <c r="BD9" s="340" t="s">
        <v>2</v>
      </c>
      <c r="BE9" s="340" t="s">
        <v>2</v>
      </c>
      <c r="BF9" s="341" t="s">
        <v>2</v>
      </c>
      <c r="BG9" s="341" t="s">
        <v>2</v>
      </c>
      <c r="BH9" s="342" t="s">
        <v>2</v>
      </c>
      <c r="BI9" s="340" t="s">
        <v>2</v>
      </c>
      <c r="BJ9" s="340" t="s">
        <v>2</v>
      </c>
      <c r="BK9" s="340" t="s">
        <v>2</v>
      </c>
      <c r="BL9" s="340" t="s">
        <v>2</v>
      </c>
      <c r="BM9" s="340" t="s">
        <v>2</v>
      </c>
      <c r="BN9" s="340" t="s">
        <v>2</v>
      </c>
      <c r="BO9" s="340" t="s">
        <v>2</v>
      </c>
      <c r="BP9" s="340" t="s">
        <v>2</v>
      </c>
      <c r="BQ9" s="340" t="s">
        <v>2</v>
      </c>
      <c r="BR9" s="340" t="s">
        <v>2</v>
      </c>
      <c r="BS9" s="340" t="s">
        <v>2</v>
      </c>
      <c r="BT9" s="340" t="s">
        <v>2</v>
      </c>
      <c r="BU9" s="340" t="s">
        <v>2</v>
      </c>
      <c r="BV9" s="340" t="s">
        <v>2</v>
      </c>
      <c r="BW9" s="340" t="s">
        <v>2</v>
      </c>
      <c r="BX9" s="340" t="s">
        <v>2</v>
      </c>
      <c r="BY9" s="340" t="s">
        <v>2</v>
      </c>
      <c r="BZ9" s="341" t="s">
        <v>2</v>
      </c>
      <c r="CA9" s="340" t="s">
        <v>2</v>
      </c>
      <c r="CB9" s="340" t="s">
        <v>2</v>
      </c>
      <c r="CC9" s="340" t="s">
        <v>2</v>
      </c>
      <c r="CD9" s="340" t="s">
        <v>2</v>
      </c>
      <c r="CE9" s="340" t="s">
        <v>2</v>
      </c>
      <c r="CF9" s="340" t="s">
        <v>2</v>
      </c>
      <c r="CG9" s="341" t="s">
        <v>2</v>
      </c>
      <c r="CH9" s="340" t="s">
        <v>2</v>
      </c>
      <c r="CI9" s="341" t="s">
        <v>2</v>
      </c>
      <c r="CJ9" s="340" t="s">
        <v>2</v>
      </c>
      <c r="CK9" s="340" t="s">
        <v>2</v>
      </c>
      <c r="CL9" s="340" t="s">
        <v>2</v>
      </c>
      <c r="CM9" s="341" t="s">
        <v>2</v>
      </c>
      <c r="CN9" s="342" t="s">
        <v>2</v>
      </c>
      <c r="CO9" s="342" t="s">
        <v>2</v>
      </c>
    </row>
    <row r="10" spans="1:93" x14ac:dyDescent="0.25">
      <c r="A10" s="342">
        <v>12056</v>
      </c>
      <c r="B10" s="352" t="s">
        <v>1825</v>
      </c>
      <c r="C10" s="353" t="s">
        <v>1826</v>
      </c>
      <c r="D10" s="293">
        <v>12</v>
      </c>
      <c r="E10" s="298" t="s">
        <v>2</v>
      </c>
      <c r="F10" s="342">
        <v>396</v>
      </c>
      <c r="G10" s="342">
        <v>1655</v>
      </c>
      <c r="H10" s="342">
        <v>33.5</v>
      </c>
      <c r="I10" s="340">
        <v>7</v>
      </c>
      <c r="J10" s="340">
        <v>27.5</v>
      </c>
      <c r="K10" s="340">
        <v>30</v>
      </c>
      <c r="L10" s="340">
        <v>0.2</v>
      </c>
      <c r="M10" s="341">
        <v>1.8</v>
      </c>
      <c r="N10" s="340">
        <v>13</v>
      </c>
      <c r="O10" s="340">
        <v>48</v>
      </c>
      <c r="P10" s="340">
        <v>0.7</v>
      </c>
      <c r="Q10" s="340" t="s">
        <v>2</v>
      </c>
      <c r="R10" s="340">
        <v>570</v>
      </c>
      <c r="S10" s="340">
        <v>120</v>
      </c>
      <c r="T10" s="340" t="s">
        <v>2</v>
      </c>
      <c r="U10" s="340" t="s">
        <v>2</v>
      </c>
      <c r="V10" s="340" t="s">
        <v>2</v>
      </c>
      <c r="W10" s="341" t="s">
        <v>2</v>
      </c>
      <c r="X10" s="340" t="s">
        <v>2</v>
      </c>
      <c r="Y10" s="340">
        <v>0.12</v>
      </c>
      <c r="Z10" s="340">
        <v>0.06</v>
      </c>
      <c r="AA10" s="340">
        <v>1.2</v>
      </c>
      <c r="AB10" s="340" t="s">
        <v>2</v>
      </c>
      <c r="AC10" s="340" t="s">
        <v>2</v>
      </c>
      <c r="AD10" s="340" t="s">
        <v>2</v>
      </c>
      <c r="AE10" s="340" t="s">
        <v>2</v>
      </c>
      <c r="AF10" s="340" t="s">
        <v>2</v>
      </c>
      <c r="AG10" s="341" t="s">
        <v>2</v>
      </c>
      <c r="AH10" s="342" t="s">
        <v>2</v>
      </c>
      <c r="AI10" s="340" t="s">
        <v>2</v>
      </c>
      <c r="AJ10" s="340" t="s">
        <v>2</v>
      </c>
      <c r="AK10" s="340" t="s">
        <v>2</v>
      </c>
      <c r="AL10" s="341" t="s">
        <v>2</v>
      </c>
      <c r="AM10" s="340" t="s">
        <v>2</v>
      </c>
      <c r="AN10" s="340" t="s">
        <v>2</v>
      </c>
      <c r="AO10" s="341" t="s">
        <v>2</v>
      </c>
      <c r="AP10" s="340" t="s">
        <v>2</v>
      </c>
      <c r="AQ10" s="340" t="s">
        <v>2</v>
      </c>
      <c r="AR10" s="340" t="s">
        <v>2</v>
      </c>
      <c r="AS10" s="340" t="s">
        <v>2</v>
      </c>
      <c r="AT10" s="340" t="s">
        <v>2</v>
      </c>
      <c r="AU10" s="340" t="s">
        <v>2</v>
      </c>
      <c r="AV10" s="341" t="s">
        <v>2</v>
      </c>
      <c r="AW10" s="340" t="s">
        <v>2</v>
      </c>
      <c r="AX10" s="340" t="s">
        <v>2</v>
      </c>
      <c r="AY10" s="340" t="s">
        <v>2</v>
      </c>
      <c r="AZ10" s="341" t="s">
        <v>2</v>
      </c>
      <c r="BA10" s="340" t="s">
        <v>2</v>
      </c>
      <c r="BB10" s="340" t="s">
        <v>2</v>
      </c>
      <c r="BC10" s="340" t="s">
        <v>2</v>
      </c>
      <c r="BD10" s="340" t="s">
        <v>2</v>
      </c>
      <c r="BE10" s="340" t="s">
        <v>2</v>
      </c>
      <c r="BF10" s="341" t="s">
        <v>2</v>
      </c>
      <c r="BG10" s="341" t="s">
        <v>2</v>
      </c>
      <c r="BH10" s="342" t="s">
        <v>2</v>
      </c>
      <c r="BI10" s="340" t="s">
        <v>2</v>
      </c>
      <c r="BJ10" s="340" t="s">
        <v>2</v>
      </c>
      <c r="BK10" s="340" t="s">
        <v>2</v>
      </c>
      <c r="BL10" s="340" t="s">
        <v>2</v>
      </c>
      <c r="BM10" s="340" t="s">
        <v>2</v>
      </c>
      <c r="BN10" s="340" t="s">
        <v>2</v>
      </c>
      <c r="BO10" s="340" t="s">
        <v>2</v>
      </c>
      <c r="BP10" s="340" t="s">
        <v>2</v>
      </c>
      <c r="BQ10" s="340" t="s">
        <v>2</v>
      </c>
      <c r="BR10" s="340" t="s">
        <v>2</v>
      </c>
      <c r="BS10" s="340" t="s">
        <v>2</v>
      </c>
      <c r="BT10" s="340" t="s">
        <v>2</v>
      </c>
      <c r="BU10" s="340" t="s">
        <v>2</v>
      </c>
      <c r="BV10" s="340" t="s">
        <v>2</v>
      </c>
      <c r="BW10" s="340" t="s">
        <v>2</v>
      </c>
      <c r="BX10" s="340" t="s">
        <v>2</v>
      </c>
      <c r="BY10" s="340" t="s">
        <v>2</v>
      </c>
      <c r="BZ10" s="341" t="s">
        <v>2</v>
      </c>
      <c r="CA10" s="340" t="s">
        <v>2</v>
      </c>
      <c r="CB10" s="340" t="s">
        <v>2</v>
      </c>
      <c r="CC10" s="340" t="s">
        <v>2</v>
      </c>
      <c r="CD10" s="340" t="s">
        <v>2</v>
      </c>
      <c r="CE10" s="340" t="s">
        <v>2</v>
      </c>
      <c r="CF10" s="340" t="s">
        <v>2</v>
      </c>
      <c r="CG10" s="341" t="s">
        <v>2</v>
      </c>
      <c r="CH10" s="340" t="s">
        <v>2</v>
      </c>
      <c r="CI10" s="341" t="s">
        <v>2</v>
      </c>
      <c r="CJ10" s="340" t="s">
        <v>2</v>
      </c>
      <c r="CK10" s="340" t="s">
        <v>2</v>
      </c>
      <c r="CL10" s="340" t="s">
        <v>2</v>
      </c>
      <c r="CM10" s="341" t="s">
        <v>2</v>
      </c>
      <c r="CN10" s="342" t="s">
        <v>2</v>
      </c>
      <c r="CO10" s="342" t="s">
        <v>2</v>
      </c>
    </row>
    <row r="11" spans="1:93" x14ac:dyDescent="0.25">
      <c r="A11" s="342">
        <v>12057</v>
      </c>
      <c r="B11" s="352" t="s">
        <v>1827</v>
      </c>
      <c r="C11" s="353" t="s">
        <v>1828</v>
      </c>
      <c r="D11" s="293">
        <v>12</v>
      </c>
      <c r="E11" s="298" t="s">
        <v>2</v>
      </c>
      <c r="F11" s="342">
        <v>323</v>
      </c>
      <c r="G11" s="342">
        <v>1350</v>
      </c>
      <c r="H11" s="342">
        <v>0</v>
      </c>
      <c r="I11" s="340">
        <v>4.4000000000000004</v>
      </c>
      <c r="J11" s="340">
        <v>4.5999999999999996</v>
      </c>
      <c r="K11" s="340">
        <v>63.2</v>
      </c>
      <c r="L11" s="340" t="s">
        <v>2</v>
      </c>
      <c r="M11" s="341" t="s">
        <v>2</v>
      </c>
      <c r="N11" s="340">
        <v>13</v>
      </c>
      <c r="O11" s="340" t="s">
        <v>2</v>
      </c>
      <c r="P11" s="340">
        <v>0.8</v>
      </c>
      <c r="Q11" s="340" t="s">
        <v>2</v>
      </c>
      <c r="R11" s="340">
        <v>13628</v>
      </c>
      <c r="S11" s="340" t="s">
        <v>2</v>
      </c>
      <c r="T11" s="340" t="s">
        <v>2</v>
      </c>
      <c r="U11" s="340" t="s">
        <v>2</v>
      </c>
      <c r="V11" s="340" t="s">
        <v>2</v>
      </c>
      <c r="W11" s="341" t="s">
        <v>2</v>
      </c>
      <c r="X11" s="340">
        <v>0.36399999999999999</v>
      </c>
      <c r="Y11" s="340">
        <v>0.1</v>
      </c>
      <c r="Z11" s="340">
        <v>0.04</v>
      </c>
      <c r="AA11" s="340">
        <v>0.5</v>
      </c>
      <c r="AB11" s="340" t="s">
        <v>2</v>
      </c>
      <c r="AC11" s="340" t="s">
        <v>2</v>
      </c>
      <c r="AD11" s="340" t="s">
        <v>2</v>
      </c>
      <c r="AE11" s="340" t="s">
        <v>2</v>
      </c>
      <c r="AF11" s="340" t="s">
        <v>2</v>
      </c>
      <c r="AG11" s="341" t="s">
        <v>2</v>
      </c>
      <c r="AH11" s="342" t="s">
        <v>2</v>
      </c>
      <c r="AI11" s="340" t="s">
        <v>2</v>
      </c>
      <c r="AJ11" s="340" t="s">
        <v>2</v>
      </c>
      <c r="AK11" s="340" t="s">
        <v>2</v>
      </c>
      <c r="AL11" s="341" t="s">
        <v>2</v>
      </c>
      <c r="AM11" s="340" t="s">
        <v>2</v>
      </c>
      <c r="AN11" s="340" t="s">
        <v>2</v>
      </c>
      <c r="AO11" s="341" t="s">
        <v>2</v>
      </c>
      <c r="AP11" s="340" t="s">
        <v>2</v>
      </c>
      <c r="AQ11" s="340" t="s">
        <v>2</v>
      </c>
      <c r="AR11" s="340" t="s">
        <v>2</v>
      </c>
      <c r="AS11" s="340" t="s">
        <v>2</v>
      </c>
      <c r="AT11" s="340" t="s">
        <v>2</v>
      </c>
      <c r="AU11" s="340" t="s">
        <v>2</v>
      </c>
      <c r="AV11" s="341" t="s">
        <v>2</v>
      </c>
      <c r="AW11" s="340" t="s">
        <v>2</v>
      </c>
      <c r="AX11" s="340" t="s">
        <v>2</v>
      </c>
      <c r="AY11" s="340" t="s">
        <v>2</v>
      </c>
      <c r="AZ11" s="341" t="s">
        <v>2</v>
      </c>
      <c r="BA11" s="340" t="s">
        <v>2</v>
      </c>
      <c r="BB11" s="340" t="s">
        <v>2</v>
      </c>
      <c r="BC11" s="340" t="s">
        <v>2</v>
      </c>
      <c r="BD11" s="340" t="s">
        <v>2</v>
      </c>
      <c r="BE11" s="340" t="s">
        <v>2</v>
      </c>
      <c r="BF11" s="341" t="s">
        <v>2</v>
      </c>
      <c r="BG11" s="341" t="s">
        <v>2</v>
      </c>
      <c r="BH11" s="342" t="s">
        <v>2</v>
      </c>
      <c r="BI11" s="340" t="s">
        <v>2</v>
      </c>
      <c r="BJ11" s="340" t="s">
        <v>2</v>
      </c>
      <c r="BK11" s="340" t="s">
        <v>2</v>
      </c>
      <c r="BL11" s="340" t="s">
        <v>2</v>
      </c>
      <c r="BM11" s="340" t="s">
        <v>2</v>
      </c>
      <c r="BN11" s="340" t="s">
        <v>2</v>
      </c>
      <c r="BO11" s="340" t="s">
        <v>2</v>
      </c>
      <c r="BP11" s="340" t="s">
        <v>2</v>
      </c>
      <c r="BQ11" s="340" t="s">
        <v>2</v>
      </c>
      <c r="BR11" s="340" t="s">
        <v>2</v>
      </c>
      <c r="BS11" s="340" t="s">
        <v>2</v>
      </c>
      <c r="BT11" s="340" t="s">
        <v>2</v>
      </c>
      <c r="BU11" s="340" t="s">
        <v>2</v>
      </c>
      <c r="BV11" s="340" t="s">
        <v>2</v>
      </c>
      <c r="BW11" s="340" t="s">
        <v>2</v>
      </c>
      <c r="BX11" s="340" t="s">
        <v>2</v>
      </c>
      <c r="BY11" s="340" t="s">
        <v>2</v>
      </c>
      <c r="BZ11" s="341" t="s">
        <v>2</v>
      </c>
      <c r="CA11" s="340" t="s">
        <v>2</v>
      </c>
      <c r="CB11" s="340" t="s">
        <v>2</v>
      </c>
      <c r="CC11" s="340" t="s">
        <v>2</v>
      </c>
      <c r="CD11" s="340" t="s">
        <v>2</v>
      </c>
      <c r="CE11" s="340" t="s">
        <v>2</v>
      </c>
      <c r="CF11" s="340" t="s">
        <v>2</v>
      </c>
      <c r="CG11" s="341" t="s">
        <v>2</v>
      </c>
      <c r="CH11" s="340" t="s">
        <v>2</v>
      </c>
      <c r="CI11" s="341" t="s">
        <v>2</v>
      </c>
      <c r="CJ11" s="340" t="s">
        <v>2</v>
      </c>
      <c r="CK11" s="340" t="s">
        <v>2</v>
      </c>
      <c r="CL11" s="340" t="s">
        <v>2</v>
      </c>
      <c r="CM11" s="341" t="s">
        <v>2</v>
      </c>
      <c r="CN11" s="342" t="s">
        <v>2</v>
      </c>
      <c r="CO11" s="342" t="s">
        <v>2</v>
      </c>
    </row>
    <row r="12" spans="1:93" x14ac:dyDescent="0.25">
      <c r="A12" s="342">
        <v>12058</v>
      </c>
      <c r="B12" s="352" t="s">
        <v>1829</v>
      </c>
      <c r="C12" s="353" t="s">
        <v>1830</v>
      </c>
      <c r="D12" s="293">
        <v>12</v>
      </c>
      <c r="E12" s="298" t="s">
        <v>2</v>
      </c>
      <c r="F12" s="342">
        <v>438</v>
      </c>
      <c r="G12" s="342">
        <v>1831</v>
      </c>
      <c r="H12" s="342">
        <v>0</v>
      </c>
      <c r="I12" s="340">
        <v>13.2</v>
      </c>
      <c r="J12" s="340">
        <v>18.600000000000001</v>
      </c>
      <c r="K12" s="340">
        <v>41.7</v>
      </c>
      <c r="L12" s="340" t="s">
        <v>2</v>
      </c>
      <c r="M12" s="341" t="s">
        <v>2</v>
      </c>
      <c r="N12" s="340">
        <v>132</v>
      </c>
      <c r="O12" s="340" t="s">
        <v>2</v>
      </c>
      <c r="P12" s="340">
        <v>2.6</v>
      </c>
      <c r="Q12" s="340" t="s">
        <v>2</v>
      </c>
      <c r="R12" s="340">
        <v>108876</v>
      </c>
      <c r="S12" s="340" t="s">
        <v>2</v>
      </c>
      <c r="T12" s="340" t="s">
        <v>2</v>
      </c>
      <c r="U12" s="340" t="s">
        <v>2</v>
      </c>
      <c r="V12" s="340" t="s">
        <v>2</v>
      </c>
      <c r="W12" s="341" t="s">
        <v>2</v>
      </c>
      <c r="X12" s="340" t="s">
        <v>2</v>
      </c>
      <c r="Y12" s="340">
        <v>0.17</v>
      </c>
      <c r="Z12" s="340">
        <v>0.17</v>
      </c>
      <c r="AA12" s="340">
        <v>1.2</v>
      </c>
      <c r="AB12" s="340" t="s">
        <v>2</v>
      </c>
      <c r="AC12" s="340" t="s">
        <v>2</v>
      </c>
      <c r="AD12" s="340" t="s">
        <v>2</v>
      </c>
      <c r="AE12" s="340" t="s">
        <v>2</v>
      </c>
      <c r="AF12" s="340" t="s">
        <v>2</v>
      </c>
      <c r="AG12" s="341" t="s">
        <v>2</v>
      </c>
      <c r="AH12" s="342" t="s">
        <v>2</v>
      </c>
      <c r="AI12" s="340" t="s">
        <v>2</v>
      </c>
      <c r="AJ12" s="340" t="s">
        <v>2</v>
      </c>
      <c r="AK12" s="340" t="s">
        <v>2</v>
      </c>
      <c r="AL12" s="341" t="s">
        <v>2</v>
      </c>
      <c r="AM12" s="340" t="s">
        <v>2</v>
      </c>
      <c r="AN12" s="340" t="s">
        <v>2</v>
      </c>
      <c r="AO12" s="341" t="s">
        <v>2</v>
      </c>
      <c r="AP12" s="340" t="s">
        <v>2</v>
      </c>
      <c r="AQ12" s="340" t="s">
        <v>2</v>
      </c>
      <c r="AR12" s="340" t="s">
        <v>2</v>
      </c>
      <c r="AS12" s="340" t="s">
        <v>2</v>
      </c>
      <c r="AT12" s="340" t="s">
        <v>2</v>
      </c>
      <c r="AU12" s="340" t="s">
        <v>2</v>
      </c>
      <c r="AV12" s="341" t="s">
        <v>2</v>
      </c>
      <c r="AW12" s="340" t="s">
        <v>2</v>
      </c>
      <c r="AX12" s="340" t="s">
        <v>2</v>
      </c>
      <c r="AY12" s="340" t="s">
        <v>2</v>
      </c>
      <c r="AZ12" s="341" t="s">
        <v>2</v>
      </c>
      <c r="BA12" s="340" t="s">
        <v>2</v>
      </c>
      <c r="BB12" s="340" t="s">
        <v>2</v>
      </c>
      <c r="BC12" s="340" t="s">
        <v>2</v>
      </c>
      <c r="BD12" s="340" t="s">
        <v>2</v>
      </c>
      <c r="BE12" s="340" t="s">
        <v>2</v>
      </c>
      <c r="BF12" s="341" t="s">
        <v>2</v>
      </c>
      <c r="BG12" s="341" t="s">
        <v>2</v>
      </c>
      <c r="BH12" s="342" t="s">
        <v>2</v>
      </c>
      <c r="BI12" s="340" t="s">
        <v>2</v>
      </c>
      <c r="BJ12" s="340" t="s">
        <v>2</v>
      </c>
      <c r="BK12" s="340" t="s">
        <v>2</v>
      </c>
      <c r="BL12" s="340" t="s">
        <v>2</v>
      </c>
      <c r="BM12" s="340" t="s">
        <v>2</v>
      </c>
      <c r="BN12" s="340" t="s">
        <v>2</v>
      </c>
      <c r="BO12" s="340" t="s">
        <v>2</v>
      </c>
      <c r="BP12" s="340" t="s">
        <v>2</v>
      </c>
      <c r="BQ12" s="340" t="s">
        <v>2</v>
      </c>
      <c r="BR12" s="340" t="s">
        <v>2</v>
      </c>
      <c r="BS12" s="340" t="s">
        <v>2</v>
      </c>
      <c r="BT12" s="340" t="s">
        <v>2</v>
      </c>
      <c r="BU12" s="340" t="s">
        <v>2</v>
      </c>
      <c r="BV12" s="340" t="s">
        <v>2</v>
      </c>
      <c r="BW12" s="340" t="s">
        <v>2</v>
      </c>
      <c r="BX12" s="340" t="s">
        <v>2</v>
      </c>
      <c r="BY12" s="340" t="s">
        <v>2</v>
      </c>
      <c r="BZ12" s="341" t="s">
        <v>2</v>
      </c>
      <c r="CA12" s="340" t="s">
        <v>2</v>
      </c>
      <c r="CB12" s="340" t="s">
        <v>2</v>
      </c>
      <c r="CC12" s="340" t="s">
        <v>2</v>
      </c>
      <c r="CD12" s="340" t="s">
        <v>2</v>
      </c>
      <c r="CE12" s="340" t="s">
        <v>2</v>
      </c>
      <c r="CF12" s="340" t="s">
        <v>2</v>
      </c>
      <c r="CG12" s="341" t="s">
        <v>2</v>
      </c>
      <c r="CH12" s="340" t="s">
        <v>2</v>
      </c>
      <c r="CI12" s="341" t="s">
        <v>2</v>
      </c>
      <c r="CJ12" s="340" t="s">
        <v>2</v>
      </c>
      <c r="CK12" s="340" t="s">
        <v>2</v>
      </c>
      <c r="CL12" s="340" t="s">
        <v>2</v>
      </c>
      <c r="CM12" s="341" t="s">
        <v>2</v>
      </c>
      <c r="CN12" s="342" t="s">
        <v>2</v>
      </c>
      <c r="CO12" s="342" t="s">
        <v>2</v>
      </c>
    </row>
    <row r="13" spans="1:93" x14ac:dyDescent="0.25">
      <c r="A13" s="342">
        <v>12059</v>
      </c>
      <c r="B13" s="352" t="s">
        <v>1831</v>
      </c>
      <c r="C13" s="353" t="s">
        <v>1832</v>
      </c>
      <c r="D13" s="293">
        <v>12</v>
      </c>
      <c r="E13" s="298" t="s">
        <v>2</v>
      </c>
      <c r="F13" s="342">
        <v>567</v>
      </c>
      <c r="G13" s="342">
        <v>2370</v>
      </c>
      <c r="H13" s="342">
        <v>0</v>
      </c>
      <c r="I13" s="340">
        <v>13.9</v>
      </c>
      <c r="J13" s="340">
        <v>37.299999999999997</v>
      </c>
      <c r="K13" s="340">
        <v>42.8</v>
      </c>
      <c r="L13" s="340"/>
      <c r="M13" s="341"/>
      <c r="N13" s="340">
        <v>260</v>
      </c>
      <c r="O13" s="340" t="s">
        <v>2</v>
      </c>
      <c r="P13" s="340">
        <v>1.7</v>
      </c>
      <c r="Q13" s="340" t="s">
        <v>2</v>
      </c>
      <c r="R13" s="340">
        <v>97.9</v>
      </c>
      <c r="S13" s="340">
        <v>393.7</v>
      </c>
      <c r="T13" s="340" t="s">
        <v>2</v>
      </c>
      <c r="U13" s="340" t="s">
        <v>2</v>
      </c>
      <c r="V13" s="340" t="s">
        <v>2</v>
      </c>
      <c r="W13" s="341" t="s">
        <v>2</v>
      </c>
      <c r="X13" s="340">
        <v>1.45</v>
      </c>
      <c r="Y13" s="340">
        <v>0.17</v>
      </c>
      <c r="Z13" s="340">
        <v>0.17</v>
      </c>
      <c r="AA13" s="340">
        <v>4.4000000000000004</v>
      </c>
      <c r="AB13" s="340" t="s">
        <v>2</v>
      </c>
      <c r="AC13" s="340" t="s">
        <v>2</v>
      </c>
      <c r="AD13" s="340" t="s">
        <v>2</v>
      </c>
      <c r="AE13" s="340" t="s">
        <v>2</v>
      </c>
      <c r="AF13" s="340" t="s">
        <v>2</v>
      </c>
      <c r="AG13" s="341" t="s">
        <v>2</v>
      </c>
      <c r="AH13" s="342" t="s">
        <v>2</v>
      </c>
      <c r="AI13" s="340" t="s">
        <v>2</v>
      </c>
      <c r="AJ13" s="340" t="s">
        <v>2</v>
      </c>
      <c r="AK13" s="340" t="s">
        <v>2</v>
      </c>
      <c r="AL13" s="341" t="s">
        <v>2</v>
      </c>
      <c r="AM13" s="340" t="s">
        <v>2</v>
      </c>
      <c r="AN13" s="340" t="s">
        <v>2</v>
      </c>
      <c r="AO13" s="341" t="s">
        <v>2</v>
      </c>
      <c r="AP13" s="340" t="s">
        <v>2</v>
      </c>
      <c r="AQ13" s="340" t="s">
        <v>2</v>
      </c>
      <c r="AR13" s="340" t="s">
        <v>2</v>
      </c>
      <c r="AS13" s="340" t="s">
        <v>2</v>
      </c>
      <c r="AT13" s="340" t="s">
        <v>2</v>
      </c>
      <c r="AU13" s="340" t="s">
        <v>2</v>
      </c>
      <c r="AV13" s="341" t="s">
        <v>2</v>
      </c>
      <c r="AW13" s="340" t="s">
        <v>2</v>
      </c>
      <c r="AX13" s="340" t="s">
        <v>2</v>
      </c>
      <c r="AY13" s="340" t="s">
        <v>2</v>
      </c>
      <c r="AZ13" s="341" t="s">
        <v>2</v>
      </c>
      <c r="BA13" s="340" t="s">
        <v>2</v>
      </c>
      <c r="BB13" s="340" t="s">
        <v>2</v>
      </c>
      <c r="BC13" s="340" t="s">
        <v>2</v>
      </c>
      <c r="BD13" s="340" t="s">
        <v>2</v>
      </c>
      <c r="BE13" s="340" t="s">
        <v>2</v>
      </c>
      <c r="BF13" s="341" t="s">
        <v>2</v>
      </c>
      <c r="BG13" s="341" t="s">
        <v>2</v>
      </c>
      <c r="BH13" s="342" t="s">
        <v>2</v>
      </c>
      <c r="BI13" s="340" t="s">
        <v>2</v>
      </c>
      <c r="BJ13" s="340" t="s">
        <v>2</v>
      </c>
      <c r="BK13" s="340" t="s">
        <v>2</v>
      </c>
      <c r="BL13" s="340" t="s">
        <v>2</v>
      </c>
      <c r="BM13" s="340" t="s">
        <v>2</v>
      </c>
      <c r="BN13" s="340" t="s">
        <v>2</v>
      </c>
      <c r="BO13" s="340" t="s">
        <v>2</v>
      </c>
      <c r="BP13" s="340" t="s">
        <v>2</v>
      </c>
      <c r="BQ13" s="340" t="s">
        <v>2</v>
      </c>
      <c r="BR13" s="340" t="s">
        <v>2</v>
      </c>
      <c r="BS13" s="340" t="s">
        <v>2</v>
      </c>
      <c r="BT13" s="340" t="s">
        <v>2</v>
      </c>
      <c r="BU13" s="340" t="s">
        <v>2</v>
      </c>
      <c r="BV13" s="340" t="s">
        <v>2</v>
      </c>
      <c r="BW13" s="340" t="s">
        <v>2</v>
      </c>
      <c r="BX13" s="340" t="s">
        <v>2</v>
      </c>
      <c r="BY13" s="340" t="s">
        <v>2</v>
      </c>
      <c r="BZ13" s="341" t="s">
        <v>2</v>
      </c>
      <c r="CA13" s="340" t="s">
        <v>2</v>
      </c>
      <c r="CB13" s="340" t="s">
        <v>2</v>
      </c>
      <c r="CC13" s="340" t="s">
        <v>2</v>
      </c>
      <c r="CD13" s="340" t="s">
        <v>2</v>
      </c>
      <c r="CE13" s="340" t="s">
        <v>2</v>
      </c>
      <c r="CF13" s="340" t="s">
        <v>2</v>
      </c>
      <c r="CG13" s="341" t="s">
        <v>2</v>
      </c>
      <c r="CH13" s="340" t="s">
        <v>2</v>
      </c>
      <c r="CI13" s="341" t="s">
        <v>2</v>
      </c>
      <c r="CJ13" s="340" t="s">
        <v>2</v>
      </c>
      <c r="CK13" s="340" t="s">
        <v>2</v>
      </c>
      <c r="CL13" s="340" t="s">
        <v>2</v>
      </c>
      <c r="CM13" s="341" t="s">
        <v>2</v>
      </c>
      <c r="CN13" s="342" t="s">
        <v>2</v>
      </c>
      <c r="CO13" s="342" t="s">
        <v>2</v>
      </c>
    </row>
    <row r="14" spans="1:93" x14ac:dyDescent="0.25">
      <c r="A14" s="342">
        <v>12060</v>
      </c>
      <c r="B14" s="352" t="s">
        <v>1833</v>
      </c>
      <c r="C14" s="352"/>
      <c r="D14" s="293">
        <v>12</v>
      </c>
      <c r="E14" s="342" t="s">
        <v>2</v>
      </c>
      <c r="F14" s="342">
        <v>340</v>
      </c>
      <c r="G14" s="342">
        <v>1421</v>
      </c>
      <c r="H14" s="342" t="s">
        <v>2</v>
      </c>
      <c r="I14" s="359">
        <v>5</v>
      </c>
      <c r="J14" s="360">
        <v>8</v>
      </c>
      <c r="K14" s="360">
        <v>60</v>
      </c>
      <c r="L14" s="360" t="s">
        <v>2</v>
      </c>
      <c r="M14" s="341" t="s">
        <v>2</v>
      </c>
      <c r="N14" s="359" t="s">
        <v>2</v>
      </c>
      <c r="O14" s="360" t="s">
        <v>2</v>
      </c>
      <c r="P14" s="360" t="s">
        <v>2</v>
      </c>
      <c r="Q14" s="360" t="s">
        <v>2</v>
      </c>
      <c r="R14" s="360" t="s">
        <v>2</v>
      </c>
      <c r="S14" s="360" t="s">
        <v>2</v>
      </c>
      <c r="T14" s="360" t="s">
        <v>2</v>
      </c>
      <c r="U14" s="360" t="s">
        <v>2</v>
      </c>
      <c r="V14" s="360" t="s">
        <v>2</v>
      </c>
      <c r="W14" s="341" t="s">
        <v>2</v>
      </c>
      <c r="X14" s="359" t="s">
        <v>2</v>
      </c>
      <c r="Y14" s="360" t="s">
        <v>2</v>
      </c>
      <c r="Z14" s="360" t="s">
        <v>2</v>
      </c>
      <c r="AA14" s="360" t="s">
        <v>2</v>
      </c>
      <c r="AB14" s="360" t="s">
        <v>2</v>
      </c>
      <c r="AC14" s="360" t="s">
        <v>2</v>
      </c>
      <c r="AD14" s="360" t="s">
        <v>2</v>
      </c>
      <c r="AE14" s="360" t="s">
        <v>2</v>
      </c>
      <c r="AF14" s="360" t="s">
        <v>2</v>
      </c>
      <c r="AG14" s="341" t="s">
        <v>2</v>
      </c>
      <c r="AH14" s="342" t="s">
        <v>2</v>
      </c>
      <c r="AI14" s="359" t="s">
        <v>2</v>
      </c>
      <c r="AJ14" s="360" t="s">
        <v>2</v>
      </c>
      <c r="AK14" s="360" t="s">
        <v>2</v>
      </c>
      <c r="AL14" s="341" t="s">
        <v>2</v>
      </c>
      <c r="AM14" s="359" t="s">
        <v>2</v>
      </c>
      <c r="AN14" s="360" t="s">
        <v>2</v>
      </c>
      <c r="AO14" s="341" t="s">
        <v>2</v>
      </c>
      <c r="AP14" s="359" t="s">
        <v>2</v>
      </c>
      <c r="AQ14" s="360" t="s">
        <v>2</v>
      </c>
      <c r="AR14" s="360" t="s">
        <v>2</v>
      </c>
      <c r="AS14" s="360" t="s">
        <v>2</v>
      </c>
      <c r="AT14" s="360" t="s">
        <v>2</v>
      </c>
      <c r="AU14" s="360" t="s">
        <v>2</v>
      </c>
      <c r="AV14" s="341" t="s">
        <v>2</v>
      </c>
      <c r="AW14" s="359" t="s">
        <v>2</v>
      </c>
      <c r="AX14" s="360" t="s">
        <v>2</v>
      </c>
      <c r="AY14" s="360" t="s">
        <v>2</v>
      </c>
      <c r="AZ14" s="341" t="s">
        <v>2</v>
      </c>
      <c r="BA14" s="359" t="s">
        <v>2</v>
      </c>
      <c r="BB14" s="360" t="s">
        <v>2</v>
      </c>
      <c r="BC14" s="360" t="s">
        <v>2</v>
      </c>
      <c r="BD14" s="360" t="s">
        <v>2</v>
      </c>
      <c r="BE14" s="360" t="s">
        <v>2</v>
      </c>
      <c r="BF14" s="341" t="s">
        <v>2</v>
      </c>
      <c r="BG14" s="342" t="s">
        <v>2</v>
      </c>
      <c r="BH14" s="342" t="s">
        <v>2</v>
      </c>
      <c r="BI14" s="359" t="s">
        <v>2</v>
      </c>
      <c r="BJ14" s="360" t="s">
        <v>2</v>
      </c>
      <c r="BK14" s="360" t="s">
        <v>2</v>
      </c>
      <c r="BL14" s="360" t="s">
        <v>2</v>
      </c>
      <c r="BM14" s="360" t="s">
        <v>2</v>
      </c>
      <c r="BN14" s="360" t="s">
        <v>2</v>
      </c>
      <c r="BO14" s="360" t="s">
        <v>2</v>
      </c>
      <c r="BP14" s="360" t="s">
        <v>2</v>
      </c>
      <c r="BQ14" s="360" t="s">
        <v>2</v>
      </c>
      <c r="BR14" s="360" t="s">
        <v>2</v>
      </c>
      <c r="BS14" s="360" t="s">
        <v>2</v>
      </c>
      <c r="BT14" s="360" t="s">
        <v>2</v>
      </c>
      <c r="BU14" s="360" t="s">
        <v>2</v>
      </c>
      <c r="BV14" s="360" t="s">
        <v>2</v>
      </c>
      <c r="BW14" s="360" t="s">
        <v>2</v>
      </c>
      <c r="BX14" s="360" t="s">
        <v>2</v>
      </c>
      <c r="BY14" s="360" t="s">
        <v>2</v>
      </c>
      <c r="BZ14" s="341" t="s">
        <v>2</v>
      </c>
      <c r="CA14" s="359" t="s">
        <v>2</v>
      </c>
      <c r="CB14" s="360" t="s">
        <v>2</v>
      </c>
      <c r="CC14" s="360" t="s">
        <v>2</v>
      </c>
      <c r="CD14" s="360" t="s">
        <v>2</v>
      </c>
      <c r="CE14" s="360" t="s">
        <v>2</v>
      </c>
      <c r="CF14" s="360" t="s">
        <v>2</v>
      </c>
      <c r="CG14" s="341" t="s">
        <v>2</v>
      </c>
      <c r="CH14" s="359" t="s">
        <v>2</v>
      </c>
      <c r="CI14" s="341" t="s">
        <v>2</v>
      </c>
      <c r="CJ14" s="359" t="s">
        <v>2</v>
      </c>
      <c r="CK14" s="360" t="s">
        <v>2</v>
      </c>
      <c r="CL14" s="360" t="s">
        <v>2</v>
      </c>
      <c r="CM14" s="341" t="s">
        <v>2</v>
      </c>
      <c r="CN14" s="342" t="s">
        <v>2</v>
      </c>
      <c r="CO14" s="342" t="s">
        <v>2</v>
      </c>
    </row>
    <row r="15" spans="1:93" x14ac:dyDescent="0.25">
      <c r="A15" s="342">
        <v>12061</v>
      </c>
      <c r="B15" s="361" t="s">
        <v>1834</v>
      </c>
      <c r="C15" s="337" t="s">
        <v>1835</v>
      </c>
      <c r="D15" s="293">
        <v>12</v>
      </c>
      <c r="E15" s="338">
        <v>0</v>
      </c>
      <c r="F15" s="343">
        <v>341</v>
      </c>
      <c r="G15" s="343">
        <v>1425</v>
      </c>
      <c r="H15" s="345">
        <v>14.71</v>
      </c>
      <c r="I15" s="339">
        <v>0</v>
      </c>
      <c r="J15" s="339">
        <v>0</v>
      </c>
      <c r="K15" s="339">
        <v>85.13</v>
      </c>
      <c r="L15" s="339">
        <v>0.1</v>
      </c>
      <c r="M15" s="344">
        <v>0.13</v>
      </c>
      <c r="N15" s="346">
        <v>8</v>
      </c>
      <c r="O15" s="346">
        <v>0</v>
      </c>
      <c r="P15" s="339">
        <v>0.04</v>
      </c>
      <c r="Q15" s="339">
        <v>0.26</v>
      </c>
      <c r="R15" s="346">
        <v>0</v>
      </c>
      <c r="S15" s="346">
        <v>7</v>
      </c>
      <c r="T15" s="346">
        <v>1</v>
      </c>
      <c r="U15" s="347">
        <v>6.0999999999999999E-2</v>
      </c>
      <c r="V15" s="347">
        <v>1.7999999999999999E-2</v>
      </c>
      <c r="W15" s="344">
        <v>0.8</v>
      </c>
      <c r="X15" s="339">
        <v>1.6</v>
      </c>
      <c r="Y15" s="347">
        <v>3.3000000000000002E-2</v>
      </c>
      <c r="Z15" s="347">
        <v>1.2E-2</v>
      </c>
      <c r="AA15" s="347">
        <v>1.2E-2</v>
      </c>
      <c r="AB15" s="347">
        <v>0.01</v>
      </c>
      <c r="AC15" s="347">
        <v>1E-3</v>
      </c>
      <c r="AD15" s="346">
        <v>0</v>
      </c>
      <c r="AE15" s="346">
        <v>0</v>
      </c>
      <c r="AF15" s="339" t="s">
        <v>2</v>
      </c>
      <c r="AG15" s="344">
        <v>0</v>
      </c>
      <c r="AH15" s="343">
        <v>0</v>
      </c>
      <c r="AI15" s="346">
        <v>0</v>
      </c>
      <c r="AJ15" s="339">
        <v>0</v>
      </c>
      <c r="AK15" s="339">
        <v>0</v>
      </c>
      <c r="AL15" s="344">
        <v>0</v>
      </c>
      <c r="AM15" s="346">
        <v>1</v>
      </c>
      <c r="AN15" s="346">
        <v>0</v>
      </c>
      <c r="AO15" s="350">
        <v>0</v>
      </c>
      <c r="AP15" s="339">
        <v>0</v>
      </c>
      <c r="AQ15" s="347">
        <v>0</v>
      </c>
      <c r="AR15" s="347">
        <v>0</v>
      </c>
      <c r="AS15" s="347">
        <v>0</v>
      </c>
      <c r="AT15" s="347">
        <v>0</v>
      </c>
      <c r="AU15" s="347">
        <v>0</v>
      </c>
      <c r="AV15" s="362">
        <v>0</v>
      </c>
      <c r="AW15" s="339">
        <v>0</v>
      </c>
      <c r="AX15" s="347">
        <v>0</v>
      </c>
      <c r="AY15" s="347">
        <v>0</v>
      </c>
      <c r="AZ15" s="347">
        <v>0</v>
      </c>
      <c r="BA15" s="363">
        <v>0</v>
      </c>
      <c r="BB15" s="364">
        <v>0</v>
      </c>
      <c r="BC15" s="364">
        <v>0</v>
      </c>
      <c r="BD15" s="364">
        <v>0</v>
      </c>
      <c r="BE15" s="364">
        <v>0</v>
      </c>
      <c r="BF15" s="362">
        <v>0</v>
      </c>
      <c r="BG15" s="344">
        <v>0</v>
      </c>
      <c r="BH15" s="338">
        <v>0</v>
      </c>
      <c r="BI15" s="365">
        <v>0</v>
      </c>
      <c r="BJ15" s="366">
        <v>0</v>
      </c>
      <c r="BK15" s="366">
        <v>0</v>
      </c>
      <c r="BL15" s="366">
        <v>0</v>
      </c>
      <c r="BM15" s="366">
        <v>0</v>
      </c>
      <c r="BN15" s="366">
        <v>0</v>
      </c>
      <c r="BO15" s="366">
        <v>0</v>
      </c>
      <c r="BP15" s="366">
        <v>0</v>
      </c>
      <c r="BQ15" s="366">
        <v>0</v>
      </c>
      <c r="BR15" s="366">
        <v>0</v>
      </c>
      <c r="BS15" s="366">
        <v>0</v>
      </c>
      <c r="BT15" s="366">
        <v>0</v>
      </c>
      <c r="BU15" s="366">
        <v>0</v>
      </c>
      <c r="BV15" s="366">
        <v>0</v>
      </c>
      <c r="BW15" s="366">
        <v>0</v>
      </c>
      <c r="BX15" s="366">
        <v>0</v>
      </c>
      <c r="BY15" s="366">
        <v>0</v>
      </c>
      <c r="BZ15" s="350">
        <v>0</v>
      </c>
      <c r="CA15" s="339">
        <v>53</v>
      </c>
      <c r="CB15" s="339" t="s">
        <v>2</v>
      </c>
      <c r="CC15" s="339" t="s">
        <v>2</v>
      </c>
      <c r="CD15" s="339" t="s">
        <v>2</v>
      </c>
      <c r="CE15" s="339" t="s">
        <v>2</v>
      </c>
      <c r="CF15" s="339" t="s">
        <v>2</v>
      </c>
      <c r="CG15" s="344" t="s">
        <v>2</v>
      </c>
      <c r="CH15" s="346" t="s">
        <v>2</v>
      </c>
      <c r="CI15" s="350" t="s">
        <v>2</v>
      </c>
      <c r="CJ15" s="346" t="s">
        <v>2</v>
      </c>
      <c r="CK15" s="346" t="s">
        <v>2</v>
      </c>
      <c r="CL15" s="346" t="s">
        <v>2</v>
      </c>
      <c r="CM15" s="346" t="s">
        <v>2</v>
      </c>
      <c r="CN15" s="343" t="s">
        <v>2</v>
      </c>
      <c r="CO15" s="343" t="s">
        <v>2</v>
      </c>
    </row>
    <row r="16" spans="1:93" x14ac:dyDescent="0.25">
      <c r="A16" s="342">
        <v>13034</v>
      </c>
      <c r="B16" s="297" t="s">
        <v>1836</v>
      </c>
      <c r="C16" s="296"/>
      <c r="D16" s="293">
        <v>13</v>
      </c>
      <c r="E16" s="349" t="s">
        <v>2</v>
      </c>
      <c r="F16" s="334">
        <v>22.8</v>
      </c>
      <c r="G16" s="306">
        <f t="shared" ref="G16" si="0">F16*4.18</f>
        <v>95.304000000000002</v>
      </c>
      <c r="H16" s="301" t="s">
        <v>2</v>
      </c>
      <c r="I16" s="302">
        <v>4.9000000000000004</v>
      </c>
      <c r="J16" s="314">
        <v>0</v>
      </c>
      <c r="K16" s="314">
        <v>0.8</v>
      </c>
      <c r="L16" s="314" t="s">
        <v>2</v>
      </c>
      <c r="M16" s="303" t="s">
        <v>2</v>
      </c>
      <c r="N16" s="299" t="s">
        <v>2</v>
      </c>
      <c r="O16" s="299" t="s">
        <v>2</v>
      </c>
      <c r="P16" s="314" t="s">
        <v>2</v>
      </c>
      <c r="Q16" s="314" t="s">
        <v>2</v>
      </c>
      <c r="R16" s="299" t="s">
        <v>2</v>
      </c>
      <c r="S16" s="299" t="s">
        <v>2</v>
      </c>
      <c r="T16" s="299" t="s">
        <v>2</v>
      </c>
      <c r="U16" s="355" t="s">
        <v>2</v>
      </c>
      <c r="V16" s="304" t="s">
        <v>2</v>
      </c>
      <c r="W16" s="354" t="s">
        <v>2</v>
      </c>
      <c r="X16" s="302" t="s">
        <v>2</v>
      </c>
      <c r="Y16" s="355" t="s">
        <v>2</v>
      </c>
      <c r="Z16" s="355" t="s">
        <v>2</v>
      </c>
      <c r="AA16" s="355" t="s">
        <v>2</v>
      </c>
      <c r="AB16" s="355" t="s">
        <v>2</v>
      </c>
      <c r="AC16" s="355" t="s">
        <v>2</v>
      </c>
      <c r="AD16" s="299" t="s">
        <v>2</v>
      </c>
      <c r="AE16" s="299" t="s">
        <v>2</v>
      </c>
      <c r="AF16" s="302" t="s">
        <v>2</v>
      </c>
      <c r="AG16" s="303" t="s">
        <v>2</v>
      </c>
      <c r="AH16" s="310" t="s">
        <v>2</v>
      </c>
      <c r="AI16" s="299" t="s">
        <v>2</v>
      </c>
      <c r="AJ16" s="302" t="s">
        <v>2</v>
      </c>
      <c r="AK16" s="302" t="s">
        <v>2</v>
      </c>
      <c r="AL16" s="303" t="s">
        <v>2</v>
      </c>
      <c r="AM16" s="299" t="s">
        <v>2</v>
      </c>
      <c r="AN16" s="299" t="s">
        <v>2</v>
      </c>
      <c r="AO16" s="306" t="s">
        <v>2</v>
      </c>
      <c r="AP16" s="302" t="s">
        <v>2</v>
      </c>
      <c r="AQ16" s="304" t="s">
        <v>2</v>
      </c>
      <c r="AR16" s="355" t="s">
        <v>2</v>
      </c>
      <c r="AS16" s="355" t="s">
        <v>2</v>
      </c>
      <c r="AT16" s="355" t="s">
        <v>2</v>
      </c>
      <c r="AU16" s="355" t="s">
        <v>2</v>
      </c>
      <c r="AV16" s="312" t="s">
        <v>2</v>
      </c>
      <c r="AW16" s="314" t="s">
        <v>2</v>
      </c>
      <c r="AX16" s="355" t="s">
        <v>2</v>
      </c>
      <c r="AY16" s="355" t="s">
        <v>2</v>
      </c>
      <c r="AZ16" s="312" t="s">
        <v>2</v>
      </c>
      <c r="BA16" s="314" t="s">
        <v>2</v>
      </c>
      <c r="BB16" s="355" t="s">
        <v>2</v>
      </c>
      <c r="BC16" s="355" t="s">
        <v>2</v>
      </c>
      <c r="BD16" s="355" t="s">
        <v>2</v>
      </c>
      <c r="BE16" s="355" t="s">
        <v>2</v>
      </c>
      <c r="BF16" s="312" t="s">
        <v>2</v>
      </c>
      <c r="BG16" s="302" t="s">
        <v>2</v>
      </c>
      <c r="BH16" s="298" t="s">
        <v>2</v>
      </c>
      <c r="BI16" s="299" t="s">
        <v>2</v>
      </c>
      <c r="BJ16" s="299" t="s">
        <v>2</v>
      </c>
      <c r="BK16" s="299" t="s">
        <v>2</v>
      </c>
      <c r="BL16" s="299" t="s">
        <v>2</v>
      </c>
      <c r="BM16" s="299" t="s">
        <v>2</v>
      </c>
      <c r="BN16" s="299" t="s">
        <v>2</v>
      </c>
      <c r="BO16" s="299" t="s">
        <v>2</v>
      </c>
      <c r="BP16" s="299" t="s">
        <v>2</v>
      </c>
      <c r="BQ16" s="299" t="s">
        <v>2</v>
      </c>
      <c r="BR16" s="299" t="s">
        <v>2</v>
      </c>
      <c r="BS16" s="299" t="s">
        <v>2</v>
      </c>
      <c r="BT16" s="299" t="s">
        <v>2</v>
      </c>
      <c r="BU16" s="299" t="s">
        <v>2</v>
      </c>
      <c r="BV16" s="299" t="s">
        <v>2</v>
      </c>
      <c r="BW16" s="299" t="s">
        <v>2</v>
      </c>
      <c r="BX16" s="299" t="s">
        <v>2</v>
      </c>
      <c r="BY16" s="299" t="s">
        <v>2</v>
      </c>
      <c r="BZ16" s="306" t="s">
        <v>2</v>
      </c>
      <c r="CA16" s="302" t="s">
        <v>2</v>
      </c>
      <c r="CB16" s="302" t="s">
        <v>2</v>
      </c>
      <c r="CC16" s="302" t="s">
        <v>2</v>
      </c>
      <c r="CD16" s="302" t="s">
        <v>2</v>
      </c>
      <c r="CE16" s="302" t="s">
        <v>2</v>
      </c>
      <c r="CF16" s="302" t="s">
        <v>2</v>
      </c>
      <c r="CG16" s="303" t="s">
        <v>2</v>
      </c>
      <c r="CH16" s="299" t="s">
        <v>2</v>
      </c>
      <c r="CI16" s="306" t="s">
        <v>2</v>
      </c>
      <c r="CJ16" s="299" t="s">
        <v>2</v>
      </c>
      <c r="CK16" s="299" t="s">
        <v>2</v>
      </c>
      <c r="CL16" s="299" t="s">
        <v>2</v>
      </c>
      <c r="CM16" s="306" t="s">
        <v>2</v>
      </c>
      <c r="CN16" s="334" t="s">
        <v>2</v>
      </c>
      <c r="CO16" s="334" t="s">
        <v>2</v>
      </c>
    </row>
    <row r="17" spans="1:93" x14ac:dyDescent="0.25">
      <c r="A17" s="342">
        <v>13035</v>
      </c>
      <c r="B17" s="297" t="s">
        <v>1837</v>
      </c>
      <c r="C17" s="296"/>
      <c r="D17" s="293">
        <v>13</v>
      </c>
      <c r="E17" s="349" t="s">
        <v>2</v>
      </c>
      <c r="F17" s="334">
        <v>475</v>
      </c>
      <c r="G17" s="306">
        <f>F17*4.18</f>
        <v>1985.4999999999998</v>
      </c>
      <c r="H17" s="301" t="s">
        <v>2</v>
      </c>
      <c r="I17" s="302">
        <v>9.6999999999999993</v>
      </c>
      <c r="J17" s="314">
        <v>0</v>
      </c>
      <c r="K17" s="314">
        <v>14.6</v>
      </c>
      <c r="L17" s="314">
        <v>0</v>
      </c>
      <c r="M17" s="303" t="s">
        <v>2</v>
      </c>
      <c r="N17" s="299" t="s">
        <v>2</v>
      </c>
      <c r="O17" s="299" t="s">
        <v>2</v>
      </c>
      <c r="P17" s="314" t="s">
        <v>2</v>
      </c>
      <c r="Q17" s="314" t="s">
        <v>2</v>
      </c>
      <c r="R17" s="299">
        <v>5164</v>
      </c>
      <c r="S17" s="299" t="s">
        <v>2</v>
      </c>
      <c r="T17" s="299" t="s">
        <v>2</v>
      </c>
      <c r="U17" s="355" t="s">
        <v>2</v>
      </c>
      <c r="V17" s="304" t="s">
        <v>2</v>
      </c>
      <c r="W17" s="354" t="s">
        <v>2</v>
      </c>
      <c r="X17" s="302" t="s">
        <v>2</v>
      </c>
      <c r="Y17" s="355" t="s">
        <v>2</v>
      </c>
      <c r="Z17" s="355" t="s">
        <v>2</v>
      </c>
      <c r="AA17" s="355" t="s">
        <v>2</v>
      </c>
      <c r="AB17" s="355" t="s">
        <v>2</v>
      </c>
      <c r="AC17" s="355" t="s">
        <v>2</v>
      </c>
      <c r="AD17" s="299" t="s">
        <v>2</v>
      </c>
      <c r="AE17" s="299" t="s">
        <v>2</v>
      </c>
      <c r="AF17" s="302" t="s">
        <v>2</v>
      </c>
      <c r="AG17" s="303" t="s">
        <v>2</v>
      </c>
      <c r="AH17" s="310" t="s">
        <v>2</v>
      </c>
      <c r="AI17" s="299" t="s">
        <v>2</v>
      </c>
      <c r="AJ17" s="302" t="s">
        <v>2</v>
      </c>
      <c r="AK17" s="302" t="s">
        <v>2</v>
      </c>
      <c r="AL17" s="303" t="s">
        <v>2</v>
      </c>
      <c r="AM17" s="299" t="s">
        <v>2</v>
      </c>
      <c r="AN17" s="299" t="s">
        <v>2</v>
      </c>
      <c r="AO17" s="306" t="s">
        <v>2</v>
      </c>
      <c r="AP17" s="302" t="s">
        <v>2</v>
      </c>
      <c r="AQ17" s="304" t="s">
        <v>2</v>
      </c>
      <c r="AR17" s="355" t="s">
        <v>2</v>
      </c>
      <c r="AS17" s="355" t="s">
        <v>2</v>
      </c>
      <c r="AT17" s="355" t="s">
        <v>2</v>
      </c>
      <c r="AU17" s="355" t="s">
        <v>2</v>
      </c>
      <c r="AV17" s="312" t="s">
        <v>2</v>
      </c>
      <c r="AW17" s="314" t="s">
        <v>2</v>
      </c>
      <c r="AX17" s="355" t="s">
        <v>2</v>
      </c>
      <c r="AY17" s="355" t="s">
        <v>2</v>
      </c>
      <c r="AZ17" s="312" t="s">
        <v>2</v>
      </c>
      <c r="BA17" s="314" t="s">
        <v>2</v>
      </c>
      <c r="BB17" s="355" t="s">
        <v>2</v>
      </c>
      <c r="BC17" s="355" t="s">
        <v>2</v>
      </c>
      <c r="BD17" s="355" t="s">
        <v>2</v>
      </c>
      <c r="BE17" s="355" t="s">
        <v>2</v>
      </c>
      <c r="BF17" s="312" t="s">
        <v>2</v>
      </c>
      <c r="BG17" s="302" t="s">
        <v>2</v>
      </c>
      <c r="BH17" s="298">
        <v>0</v>
      </c>
      <c r="BI17" s="299" t="s">
        <v>2</v>
      </c>
      <c r="BJ17" s="299" t="s">
        <v>2</v>
      </c>
      <c r="BK17" s="299" t="s">
        <v>2</v>
      </c>
      <c r="BL17" s="299" t="s">
        <v>2</v>
      </c>
      <c r="BM17" s="299" t="s">
        <v>2</v>
      </c>
      <c r="BN17" s="299" t="s">
        <v>2</v>
      </c>
      <c r="BO17" s="299" t="s">
        <v>2</v>
      </c>
      <c r="BP17" s="299" t="s">
        <v>2</v>
      </c>
      <c r="BQ17" s="299" t="s">
        <v>2</v>
      </c>
      <c r="BR17" s="299" t="s">
        <v>2</v>
      </c>
      <c r="BS17" s="299" t="s">
        <v>2</v>
      </c>
      <c r="BT17" s="299" t="s">
        <v>2</v>
      </c>
      <c r="BU17" s="299" t="s">
        <v>2</v>
      </c>
      <c r="BV17" s="299" t="s">
        <v>2</v>
      </c>
      <c r="BW17" s="299" t="s">
        <v>2</v>
      </c>
      <c r="BX17" s="299" t="s">
        <v>2</v>
      </c>
      <c r="BY17" s="299" t="s">
        <v>2</v>
      </c>
      <c r="BZ17" s="306" t="s">
        <v>2</v>
      </c>
      <c r="CA17" s="302">
        <v>8.3000000000000007</v>
      </c>
      <c r="CB17" s="302" t="s">
        <v>2</v>
      </c>
      <c r="CC17" s="302" t="s">
        <v>2</v>
      </c>
      <c r="CD17" s="302" t="s">
        <v>2</v>
      </c>
      <c r="CE17" s="302" t="s">
        <v>2</v>
      </c>
      <c r="CF17" s="302" t="s">
        <v>2</v>
      </c>
      <c r="CG17" s="303" t="s">
        <v>2</v>
      </c>
      <c r="CH17" s="299" t="s">
        <v>2</v>
      </c>
      <c r="CI17" s="306" t="s">
        <v>2</v>
      </c>
      <c r="CJ17" s="299" t="s">
        <v>2</v>
      </c>
      <c r="CK17" s="299" t="s">
        <v>2</v>
      </c>
      <c r="CL17" s="299" t="s">
        <v>2</v>
      </c>
      <c r="CM17" s="306" t="s">
        <v>2</v>
      </c>
      <c r="CN17" s="334" t="s">
        <v>2</v>
      </c>
      <c r="CO17" s="334" t="s">
        <v>2</v>
      </c>
    </row>
    <row r="18" spans="1:93" x14ac:dyDescent="0.25">
      <c r="A18" s="342">
        <v>13036</v>
      </c>
      <c r="B18" s="297" t="s">
        <v>1838</v>
      </c>
      <c r="C18" s="296" t="s">
        <v>1839</v>
      </c>
      <c r="D18" s="293">
        <v>13</v>
      </c>
      <c r="E18" s="349">
        <v>0</v>
      </c>
      <c r="F18" s="334">
        <v>79</v>
      </c>
      <c r="G18" s="306">
        <f>F18*4.18</f>
        <v>330.21999999999997</v>
      </c>
      <c r="H18" s="301">
        <v>76.709999999999994</v>
      </c>
      <c r="I18" s="302">
        <v>1.9</v>
      </c>
      <c r="J18" s="314">
        <v>0.9</v>
      </c>
      <c r="K18" s="314">
        <v>16</v>
      </c>
      <c r="L18" s="314">
        <v>2.2000000000000002</v>
      </c>
      <c r="M18" s="303">
        <v>4.66</v>
      </c>
      <c r="N18" s="299">
        <v>20</v>
      </c>
      <c r="O18" s="299">
        <v>46</v>
      </c>
      <c r="P18" s="314">
        <v>1.92</v>
      </c>
      <c r="Q18" s="314">
        <v>0.25</v>
      </c>
      <c r="R18" s="299">
        <v>1540</v>
      </c>
      <c r="S18" s="299">
        <v>341</v>
      </c>
      <c r="T18" s="299">
        <v>16</v>
      </c>
      <c r="U18" s="355">
        <v>0.111</v>
      </c>
      <c r="V18" s="304">
        <v>62</v>
      </c>
      <c r="W18" s="354">
        <v>0.4</v>
      </c>
      <c r="X18" s="302">
        <v>57.9</v>
      </c>
      <c r="Y18" s="355">
        <v>0.06</v>
      </c>
      <c r="Z18" s="355">
        <v>0.21299999999999999</v>
      </c>
      <c r="AA18" s="355">
        <v>1.43</v>
      </c>
      <c r="AB18" s="355">
        <v>0.39500000000000002</v>
      </c>
      <c r="AC18" s="355">
        <v>0.46500000000000002</v>
      </c>
      <c r="AD18" s="299">
        <v>31</v>
      </c>
      <c r="AE18" s="299" t="s">
        <v>2</v>
      </c>
      <c r="AF18" s="302" t="s">
        <v>2</v>
      </c>
      <c r="AG18" s="303" t="s">
        <v>2</v>
      </c>
      <c r="AH18" s="310" t="s">
        <v>2</v>
      </c>
      <c r="AI18" s="299">
        <v>829.2</v>
      </c>
      <c r="AJ18" s="302">
        <v>0</v>
      </c>
      <c r="AK18" s="302">
        <v>5.25</v>
      </c>
      <c r="AL18" s="303">
        <v>0</v>
      </c>
      <c r="AM18" s="299">
        <v>0</v>
      </c>
      <c r="AN18" s="299">
        <v>200</v>
      </c>
      <c r="AO18" s="306">
        <v>1407</v>
      </c>
      <c r="AP18" s="302" t="s">
        <v>2</v>
      </c>
      <c r="AQ18" s="304" t="s">
        <v>2</v>
      </c>
      <c r="AR18" s="355" t="s">
        <v>2</v>
      </c>
      <c r="AS18" s="355" t="s">
        <v>2</v>
      </c>
      <c r="AT18" s="355" t="s">
        <v>2</v>
      </c>
      <c r="AU18" s="355" t="s">
        <v>2</v>
      </c>
      <c r="AV18" s="312" t="s">
        <v>2</v>
      </c>
      <c r="AW18" s="314" t="s">
        <v>2</v>
      </c>
      <c r="AX18" s="355" t="s">
        <v>2</v>
      </c>
      <c r="AY18" s="355" t="s">
        <v>2</v>
      </c>
      <c r="AZ18" s="312" t="s">
        <v>2</v>
      </c>
      <c r="BA18" s="314" t="s">
        <v>2</v>
      </c>
      <c r="BB18" s="355" t="s">
        <v>2</v>
      </c>
      <c r="BC18" s="355" t="s">
        <v>2</v>
      </c>
      <c r="BD18" s="355" t="s">
        <v>2</v>
      </c>
      <c r="BE18" s="355" t="s">
        <v>2</v>
      </c>
      <c r="BF18" s="312" t="s">
        <v>2</v>
      </c>
      <c r="BG18" s="302" t="s">
        <v>2</v>
      </c>
      <c r="BH18" s="298">
        <v>0</v>
      </c>
      <c r="BI18" s="299" t="s">
        <v>2</v>
      </c>
      <c r="BJ18" s="299" t="s">
        <v>2</v>
      </c>
      <c r="BK18" s="299" t="s">
        <v>2</v>
      </c>
      <c r="BL18" s="299" t="s">
        <v>2</v>
      </c>
      <c r="BM18" s="299" t="s">
        <v>2</v>
      </c>
      <c r="BN18" s="299" t="s">
        <v>2</v>
      </c>
      <c r="BO18" s="299" t="s">
        <v>2</v>
      </c>
      <c r="BP18" s="299" t="s">
        <v>2</v>
      </c>
      <c r="BQ18" s="299" t="s">
        <v>2</v>
      </c>
      <c r="BR18" s="299" t="s">
        <v>2</v>
      </c>
      <c r="BS18" s="299" t="s">
        <v>2</v>
      </c>
      <c r="BT18" s="299" t="s">
        <v>2</v>
      </c>
      <c r="BU18" s="299" t="s">
        <v>2</v>
      </c>
      <c r="BV18" s="299" t="s">
        <v>2</v>
      </c>
      <c r="BW18" s="299" t="s">
        <v>2</v>
      </c>
      <c r="BX18" s="299" t="s">
        <v>2</v>
      </c>
      <c r="BY18" s="299" t="s">
        <v>2</v>
      </c>
      <c r="BZ18" s="306" t="s">
        <v>2</v>
      </c>
      <c r="CA18" s="302">
        <v>10.48</v>
      </c>
      <c r="CB18" s="302">
        <v>0</v>
      </c>
      <c r="CC18" s="302">
        <v>0</v>
      </c>
      <c r="CD18" s="302">
        <v>0</v>
      </c>
      <c r="CE18" s="302">
        <v>0</v>
      </c>
      <c r="CF18" s="302">
        <v>4.7300000000000004</v>
      </c>
      <c r="CG18" s="303">
        <v>0</v>
      </c>
      <c r="CH18" s="299">
        <v>0</v>
      </c>
      <c r="CI18" s="306">
        <v>721</v>
      </c>
      <c r="CJ18" s="299" t="s">
        <v>2</v>
      </c>
      <c r="CK18" s="299" t="s">
        <v>2</v>
      </c>
      <c r="CL18" s="299" t="s">
        <v>2</v>
      </c>
      <c r="CM18" s="306" t="s">
        <v>2</v>
      </c>
      <c r="CN18" s="334" t="s">
        <v>2</v>
      </c>
      <c r="CO18" s="334" t="s">
        <v>2</v>
      </c>
    </row>
    <row r="19" spans="1:93" x14ac:dyDescent="0.25">
      <c r="A19" s="342">
        <v>13037</v>
      </c>
      <c r="B19" s="297" t="s">
        <v>1838</v>
      </c>
      <c r="C19" s="296" t="s">
        <v>1840</v>
      </c>
      <c r="D19" s="293">
        <v>13</v>
      </c>
      <c r="E19" s="349">
        <v>0</v>
      </c>
      <c r="F19" s="334">
        <v>93</v>
      </c>
      <c r="G19" s="306">
        <f>F19*4.18</f>
        <v>388.73999999999995</v>
      </c>
      <c r="H19" s="301">
        <v>71.84</v>
      </c>
      <c r="I19" s="302">
        <v>1.93</v>
      </c>
      <c r="J19" s="314">
        <v>0.93</v>
      </c>
      <c r="K19" s="314">
        <v>19.16</v>
      </c>
      <c r="L19" s="314">
        <v>2.2000000000000002</v>
      </c>
      <c r="M19" s="303">
        <v>6.14</v>
      </c>
      <c r="N19" s="299">
        <v>18</v>
      </c>
      <c r="O19" s="299">
        <v>46</v>
      </c>
      <c r="P19" s="314">
        <v>1.64</v>
      </c>
      <c r="Q19" s="314">
        <v>0.24</v>
      </c>
      <c r="R19" s="299">
        <v>2124</v>
      </c>
      <c r="S19" s="299">
        <v>321</v>
      </c>
      <c r="T19" s="299">
        <v>16</v>
      </c>
      <c r="U19" s="355">
        <v>0.14599999999999999</v>
      </c>
      <c r="V19" s="304">
        <v>60</v>
      </c>
      <c r="W19" s="354">
        <v>0.4</v>
      </c>
      <c r="X19" s="302">
        <v>26.9</v>
      </c>
      <c r="Y19" s="355">
        <v>7.6999999999999999E-2</v>
      </c>
      <c r="Z19" s="355">
        <v>0.222</v>
      </c>
      <c r="AA19" s="355">
        <v>1.248</v>
      </c>
      <c r="AB19" s="355">
        <v>0.38</v>
      </c>
      <c r="AC19" s="355">
        <v>0.45500000000000002</v>
      </c>
      <c r="AD19" s="299">
        <v>22</v>
      </c>
      <c r="AE19" s="299" t="s">
        <v>2</v>
      </c>
      <c r="AF19" s="302" t="s">
        <v>2</v>
      </c>
      <c r="AG19" s="303" t="s">
        <v>2</v>
      </c>
      <c r="AH19" s="310" t="s">
        <v>2</v>
      </c>
      <c r="AI19" s="299">
        <v>129</v>
      </c>
      <c r="AJ19" s="302">
        <v>0</v>
      </c>
      <c r="AK19" s="302">
        <v>4.8</v>
      </c>
      <c r="AL19" s="303">
        <v>10.9</v>
      </c>
      <c r="AM19" s="299">
        <v>1261</v>
      </c>
      <c r="AN19" s="299">
        <v>234</v>
      </c>
      <c r="AO19" s="306">
        <v>334</v>
      </c>
      <c r="AP19" s="302" t="s">
        <v>2</v>
      </c>
      <c r="AQ19" s="304" t="s">
        <v>2</v>
      </c>
      <c r="AR19" s="355" t="s">
        <v>2</v>
      </c>
      <c r="AS19" s="355" t="s">
        <v>2</v>
      </c>
      <c r="AT19" s="355" t="s">
        <v>2</v>
      </c>
      <c r="AU19" s="355" t="s">
        <v>2</v>
      </c>
      <c r="AV19" s="312" t="s">
        <v>2</v>
      </c>
      <c r="AW19" s="314" t="s">
        <v>2</v>
      </c>
      <c r="AX19" s="355" t="s">
        <v>2</v>
      </c>
      <c r="AY19" s="355" t="s">
        <v>2</v>
      </c>
      <c r="AZ19" s="312" t="s">
        <v>2</v>
      </c>
      <c r="BA19" s="314" t="s">
        <v>2</v>
      </c>
      <c r="BB19" s="355" t="s">
        <v>2</v>
      </c>
      <c r="BC19" s="355" t="s">
        <v>2</v>
      </c>
      <c r="BD19" s="355" t="s">
        <v>2</v>
      </c>
      <c r="BE19" s="355" t="s">
        <v>2</v>
      </c>
      <c r="BF19" s="312" t="s">
        <v>2</v>
      </c>
      <c r="BG19" s="302" t="s">
        <v>2</v>
      </c>
      <c r="BH19" s="298">
        <v>0</v>
      </c>
      <c r="BI19" s="299" t="s">
        <v>2</v>
      </c>
      <c r="BJ19" s="299" t="s">
        <v>2</v>
      </c>
      <c r="BK19" s="299" t="s">
        <v>2</v>
      </c>
      <c r="BL19" s="299" t="s">
        <v>2</v>
      </c>
      <c r="BM19" s="299" t="s">
        <v>2</v>
      </c>
      <c r="BN19" s="299" t="s">
        <v>2</v>
      </c>
      <c r="BO19" s="299" t="s">
        <v>2</v>
      </c>
      <c r="BP19" s="299" t="s">
        <v>2</v>
      </c>
      <c r="BQ19" s="299" t="s">
        <v>2</v>
      </c>
      <c r="BR19" s="299" t="s">
        <v>2</v>
      </c>
      <c r="BS19" s="299" t="s">
        <v>2</v>
      </c>
      <c r="BT19" s="299" t="s">
        <v>2</v>
      </c>
      <c r="BU19" s="299" t="s">
        <v>2</v>
      </c>
      <c r="BV19" s="299" t="s">
        <v>2</v>
      </c>
      <c r="BW19" s="299" t="s">
        <v>2</v>
      </c>
      <c r="BX19" s="299" t="s">
        <v>2</v>
      </c>
      <c r="BY19" s="299" t="s">
        <v>2</v>
      </c>
      <c r="BZ19" s="306" t="s">
        <v>2</v>
      </c>
      <c r="CA19" s="302">
        <v>15.11</v>
      </c>
      <c r="CB19" s="302">
        <v>0</v>
      </c>
      <c r="CC19" s="302">
        <v>0</v>
      </c>
      <c r="CD19" s="302">
        <v>0</v>
      </c>
      <c r="CE19" s="302">
        <v>8.16</v>
      </c>
      <c r="CF19" s="302">
        <v>6.67</v>
      </c>
      <c r="CG19" s="303">
        <v>0</v>
      </c>
      <c r="CH19" s="299">
        <v>0</v>
      </c>
      <c r="CI19" s="306">
        <v>896</v>
      </c>
      <c r="CJ19" s="299" t="s">
        <v>2</v>
      </c>
      <c r="CK19" s="299" t="s">
        <v>2</v>
      </c>
      <c r="CL19" s="299" t="s">
        <v>2</v>
      </c>
      <c r="CM19" s="306" t="s">
        <v>2</v>
      </c>
      <c r="CN19" s="334" t="s">
        <v>2</v>
      </c>
      <c r="CO19" s="334" t="s">
        <v>2</v>
      </c>
    </row>
    <row r="20" spans="1:93" x14ac:dyDescent="0.25">
      <c r="A20" s="342">
        <v>13038</v>
      </c>
      <c r="B20" s="297" t="s">
        <v>1841</v>
      </c>
      <c r="C20" s="296" t="s">
        <v>1842</v>
      </c>
      <c r="D20" s="293">
        <v>13</v>
      </c>
      <c r="E20" s="349">
        <v>0</v>
      </c>
      <c r="F20" s="334">
        <v>92</v>
      </c>
      <c r="G20" s="306">
        <f>F20*4.18</f>
        <v>384.55999999999995</v>
      </c>
      <c r="H20" s="301">
        <v>68</v>
      </c>
      <c r="I20" s="302">
        <v>2.5</v>
      </c>
      <c r="J20" s="314">
        <v>0.3</v>
      </c>
      <c r="K20" s="314">
        <v>19.79</v>
      </c>
      <c r="L20" s="314">
        <v>2.4</v>
      </c>
      <c r="M20" s="303" t="s">
        <v>2</v>
      </c>
      <c r="N20" s="299">
        <v>20</v>
      </c>
      <c r="O20" s="299">
        <v>52</v>
      </c>
      <c r="P20" s="314">
        <v>0.8</v>
      </c>
      <c r="Q20" s="314">
        <v>0.16</v>
      </c>
      <c r="R20" s="299">
        <v>1338</v>
      </c>
      <c r="S20" s="299">
        <v>370</v>
      </c>
      <c r="T20" s="299">
        <v>12</v>
      </c>
      <c r="U20" s="355" t="s">
        <v>2</v>
      </c>
      <c r="V20" s="304">
        <v>130</v>
      </c>
      <c r="W20" s="354">
        <v>1.1000000000000001</v>
      </c>
      <c r="X20" s="302">
        <v>16</v>
      </c>
      <c r="Y20" s="355">
        <v>0.09</v>
      </c>
      <c r="Z20" s="355">
        <v>7.0000000000000007E-2</v>
      </c>
      <c r="AA20" s="355">
        <v>1.6</v>
      </c>
      <c r="AB20" s="355" t="s">
        <v>2</v>
      </c>
      <c r="AC20" s="355">
        <v>0.16</v>
      </c>
      <c r="AD20" s="299">
        <v>9</v>
      </c>
      <c r="AE20" s="299" t="s">
        <v>2</v>
      </c>
      <c r="AF20" s="302" t="s">
        <v>2</v>
      </c>
      <c r="AG20" s="303" t="s">
        <v>2</v>
      </c>
      <c r="AH20" s="310" t="s">
        <v>2</v>
      </c>
      <c r="AI20" s="299">
        <v>34</v>
      </c>
      <c r="AJ20" s="302">
        <v>0</v>
      </c>
      <c r="AK20" s="302">
        <v>1.92</v>
      </c>
      <c r="AL20" s="303">
        <v>5.2</v>
      </c>
      <c r="AM20" s="299">
        <v>402</v>
      </c>
      <c r="AN20" s="299">
        <v>13</v>
      </c>
      <c r="AO20" s="306">
        <v>0</v>
      </c>
      <c r="AP20" s="302">
        <v>4.4999999999999998E-2</v>
      </c>
      <c r="AQ20" s="304">
        <v>2.7E-2</v>
      </c>
      <c r="AR20" s="355" t="s">
        <v>2</v>
      </c>
      <c r="AS20" s="355">
        <v>8.9999999999999993E-3</v>
      </c>
      <c r="AT20" s="355" t="s">
        <v>2</v>
      </c>
      <c r="AU20" s="355" t="s">
        <v>2</v>
      </c>
      <c r="AV20" s="312" t="s">
        <v>2</v>
      </c>
      <c r="AW20" s="314">
        <v>3.7999999999999999E-2</v>
      </c>
      <c r="AX20" s="355" t="s">
        <v>2</v>
      </c>
      <c r="AY20" s="355">
        <v>2E-3</v>
      </c>
      <c r="AZ20" s="312">
        <v>3.5999999999999997E-2</v>
      </c>
      <c r="BA20" s="314">
        <v>0.154</v>
      </c>
      <c r="BB20" s="355">
        <v>0.14199999999999999</v>
      </c>
      <c r="BC20" s="355">
        <v>1.2E-2</v>
      </c>
      <c r="BD20" s="355" t="s">
        <v>2</v>
      </c>
      <c r="BE20" s="355" t="s">
        <v>2</v>
      </c>
      <c r="BF20" s="312" t="s">
        <v>2</v>
      </c>
      <c r="BG20" s="302" t="s">
        <v>2</v>
      </c>
      <c r="BH20" s="298">
        <v>0</v>
      </c>
      <c r="BI20" s="299" t="s">
        <v>2</v>
      </c>
      <c r="BJ20" s="299" t="s">
        <v>2</v>
      </c>
      <c r="BK20" s="299" t="s">
        <v>2</v>
      </c>
      <c r="BL20" s="299" t="s">
        <v>2</v>
      </c>
      <c r="BM20" s="299" t="s">
        <v>2</v>
      </c>
      <c r="BN20" s="299" t="s">
        <v>2</v>
      </c>
      <c r="BO20" s="299" t="s">
        <v>2</v>
      </c>
      <c r="BP20" s="299" t="s">
        <v>2</v>
      </c>
      <c r="BQ20" s="299" t="s">
        <v>2</v>
      </c>
      <c r="BR20" s="299" t="s">
        <v>2</v>
      </c>
      <c r="BS20" s="299" t="s">
        <v>2</v>
      </c>
      <c r="BT20" s="299" t="s">
        <v>2</v>
      </c>
      <c r="BU20" s="299" t="s">
        <v>2</v>
      </c>
      <c r="BV20" s="299" t="s">
        <v>2</v>
      </c>
      <c r="BW20" s="299" t="s">
        <v>2</v>
      </c>
      <c r="BX20" s="299" t="s">
        <v>2</v>
      </c>
      <c r="BY20" s="299" t="s">
        <v>2</v>
      </c>
      <c r="BZ20" s="306" t="s">
        <v>2</v>
      </c>
      <c r="CA20" s="302">
        <v>13.33</v>
      </c>
      <c r="CB20" s="302">
        <v>0</v>
      </c>
      <c r="CC20" s="302">
        <v>0</v>
      </c>
      <c r="CD20" s="302">
        <v>0</v>
      </c>
      <c r="CE20" s="302">
        <v>0</v>
      </c>
      <c r="CF20" s="302">
        <v>0</v>
      </c>
      <c r="CG20" s="303">
        <v>0</v>
      </c>
      <c r="CH20" s="299">
        <v>0</v>
      </c>
      <c r="CI20" s="306">
        <v>1</v>
      </c>
      <c r="CJ20" s="299" t="s">
        <v>2</v>
      </c>
      <c r="CK20" s="299" t="s">
        <v>2</v>
      </c>
      <c r="CL20" s="299" t="s">
        <v>2</v>
      </c>
      <c r="CM20" s="306" t="s">
        <v>2</v>
      </c>
      <c r="CN20" s="334" t="s">
        <v>2</v>
      </c>
      <c r="CO20" s="334" t="s">
        <v>2</v>
      </c>
    </row>
    <row r="21" spans="1:93" x14ac:dyDescent="0.25">
      <c r="A21" s="341">
        <v>14043</v>
      </c>
      <c r="B21" s="352" t="s">
        <v>1843</v>
      </c>
      <c r="C21" s="352"/>
      <c r="D21" s="293">
        <v>14</v>
      </c>
      <c r="E21" s="349">
        <v>0</v>
      </c>
      <c r="F21" s="342">
        <v>68</v>
      </c>
      <c r="G21" s="340">
        <v>284</v>
      </c>
      <c r="H21" s="301" t="s">
        <v>2</v>
      </c>
      <c r="I21" s="339">
        <v>0.4</v>
      </c>
      <c r="J21" s="339">
        <v>0.2</v>
      </c>
      <c r="K21" s="339">
        <v>16.2</v>
      </c>
      <c r="L21" s="348" t="s">
        <v>2</v>
      </c>
      <c r="M21" s="354" t="s">
        <v>2</v>
      </c>
      <c r="N21" s="340" t="s">
        <v>2</v>
      </c>
      <c r="O21" s="340" t="s">
        <v>2</v>
      </c>
      <c r="P21" s="340" t="s">
        <v>2</v>
      </c>
      <c r="Q21" s="340" t="s">
        <v>2</v>
      </c>
      <c r="R21" s="340" t="s">
        <v>2</v>
      </c>
      <c r="S21" s="340" t="s">
        <v>2</v>
      </c>
      <c r="T21" s="340" t="s">
        <v>2</v>
      </c>
      <c r="U21" s="340" t="s">
        <v>2</v>
      </c>
      <c r="V21" s="340" t="s">
        <v>2</v>
      </c>
      <c r="W21" s="341" t="s">
        <v>2</v>
      </c>
      <c r="X21" s="340" t="s">
        <v>2</v>
      </c>
      <c r="Y21" s="340" t="s">
        <v>2</v>
      </c>
      <c r="Z21" s="340" t="s">
        <v>2</v>
      </c>
      <c r="AA21" s="340" t="s">
        <v>2</v>
      </c>
      <c r="AB21" s="340" t="s">
        <v>2</v>
      </c>
      <c r="AC21" s="340" t="s">
        <v>2</v>
      </c>
      <c r="AD21" s="340" t="s">
        <v>2</v>
      </c>
      <c r="AE21" s="340" t="s">
        <v>2</v>
      </c>
      <c r="AF21" s="340" t="s">
        <v>2</v>
      </c>
      <c r="AG21" s="341" t="s">
        <v>2</v>
      </c>
      <c r="AH21" s="340" t="s">
        <v>2</v>
      </c>
      <c r="AI21" s="340" t="s">
        <v>2</v>
      </c>
      <c r="AJ21" s="340" t="s">
        <v>2</v>
      </c>
      <c r="AK21" s="340" t="s">
        <v>2</v>
      </c>
      <c r="AL21" s="341" t="s">
        <v>2</v>
      </c>
      <c r="AM21" s="340" t="s">
        <v>2</v>
      </c>
      <c r="AN21" s="340" t="s">
        <v>2</v>
      </c>
      <c r="AO21" s="341" t="s">
        <v>2</v>
      </c>
      <c r="AP21" s="340" t="s">
        <v>2</v>
      </c>
      <c r="AQ21" s="340" t="s">
        <v>2</v>
      </c>
      <c r="AR21" s="340" t="s">
        <v>2</v>
      </c>
      <c r="AS21" s="340" t="s">
        <v>2</v>
      </c>
      <c r="AT21" s="340" t="s">
        <v>2</v>
      </c>
      <c r="AU21" s="340" t="s">
        <v>2</v>
      </c>
      <c r="AV21" s="341" t="s">
        <v>2</v>
      </c>
      <c r="AW21" s="340" t="s">
        <v>2</v>
      </c>
      <c r="AX21" s="340" t="s">
        <v>2</v>
      </c>
      <c r="AY21" s="340" t="s">
        <v>2</v>
      </c>
      <c r="AZ21" s="341" t="s">
        <v>2</v>
      </c>
      <c r="BA21" s="340" t="s">
        <v>2</v>
      </c>
      <c r="BB21" s="340" t="s">
        <v>2</v>
      </c>
      <c r="BC21" s="340" t="s">
        <v>2</v>
      </c>
      <c r="BD21" s="340" t="s">
        <v>2</v>
      </c>
      <c r="BE21" s="340" t="s">
        <v>2</v>
      </c>
      <c r="BF21" s="341" t="s">
        <v>2</v>
      </c>
      <c r="BG21" s="342" t="s">
        <v>2</v>
      </c>
      <c r="BH21" s="342" t="s">
        <v>2</v>
      </c>
      <c r="BI21" s="340" t="s">
        <v>2</v>
      </c>
      <c r="BJ21" s="340" t="s">
        <v>2</v>
      </c>
      <c r="BK21" s="340" t="s">
        <v>2</v>
      </c>
      <c r="BL21" s="340" t="s">
        <v>2</v>
      </c>
      <c r="BM21" s="340" t="s">
        <v>2</v>
      </c>
      <c r="BN21" s="340" t="s">
        <v>2</v>
      </c>
      <c r="BO21" s="340" t="s">
        <v>2</v>
      </c>
      <c r="BP21" s="340" t="s">
        <v>2</v>
      </c>
      <c r="BQ21" s="340" t="s">
        <v>2</v>
      </c>
      <c r="BR21" s="340" t="s">
        <v>2</v>
      </c>
      <c r="BS21" s="340" t="s">
        <v>2</v>
      </c>
      <c r="BT21" s="340" t="s">
        <v>2</v>
      </c>
      <c r="BU21" s="340" t="s">
        <v>2</v>
      </c>
      <c r="BV21" s="340" t="s">
        <v>2</v>
      </c>
      <c r="BW21" s="340" t="s">
        <v>2</v>
      </c>
      <c r="BX21" s="340" t="s">
        <v>2</v>
      </c>
      <c r="BY21" s="340" t="s">
        <v>2</v>
      </c>
      <c r="BZ21" s="341" t="s">
        <v>2</v>
      </c>
      <c r="CA21" s="340" t="s">
        <v>2</v>
      </c>
      <c r="CB21" s="340" t="s">
        <v>2</v>
      </c>
      <c r="CC21" s="340" t="s">
        <v>2</v>
      </c>
      <c r="CD21" s="340" t="s">
        <v>2</v>
      </c>
      <c r="CE21" s="340" t="s">
        <v>2</v>
      </c>
      <c r="CF21" s="340" t="s">
        <v>2</v>
      </c>
      <c r="CG21" s="341" t="s">
        <v>2</v>
      </c>
      <c r="CH21" s="340" t="s">
        <v>2</v>
      </c>
      <c r="CI21" s="341" t="s">
        <v>2</v>
      </c>
      <c r="CJ21" s="340" t="s">
        <v>2</v>
      </c>
      <c r="CK21" s="340" t="s">
        <v>2</v>
      </c>
      <c r="CL21" s="340" t="s">
        <v>2</v>
      </c>
      <c r="CM21" s="340" t="s">
        <v>2</v>
      </c>
      <c r="CN21" s="341" t="s">
        <v>2</v>
      </c>
      <c r="CO21" s="341" t="s">
        <v>2</v>
      </c>
    </row>
    <row r="22" spans="1:93" x14ac:dyDescent="0.25">
      <c r="A22" s="341">
        <v>14044</v>
      </c>
      <c r="B22" s="352" t="s">
        <v>1844</v>
      </c>
      <c r="C22" s="352"/>
      <c r="D22" s="293">
        <v>14</v>
      </c>
      <c r="E22" s="349">
        <v>0</v>
      </c>
      <c r="F22" s="342">
        <v>48</v>
      </c>
      <c r="G22" s="342">
        <v>201</v>
      </c>
      <c r="H22" s="301" t="s">
        <v>2</v>
      </c>
      <c r="I22" s="339">
        <v>0.5</v>
      </c>
      <c r="J22" s="339">
        <v>0.2</v>
      </c>
      <c r="K22" s="339">
        <v>11</v>
      </c>
      <c r="L22" s="348" t="s">
        <v>2</v>
      </c>
      <c r="M22" s="354" t="s">
        <v>2</v>
      </c>
      <c r="N22" s="340" t="s">
        <v>2</v>
      </c>
      <c r="O22" s="340" t="s">
        <v>2</v>
      </c>
      <c r="P22" s="340" t="s">
        <v>2</v>
      </c>
      <c r="Q22" s="340" t="s">
        <v>2</v>
      </c>
      <c r="R22" s="340" t="s">
        <v>2</v>
      </c>
      <c r="S22" s="340" t="s">
        <v>2</v>
      </c>
      <c r="T22" s="340" t="s">
        <v>2</v>
      </c>
      <c r="U22" s="340" t="s">
        <v>2</v>
      </c>
      <c r="V22" s="340" t="s">
        <v>2</v>
      </c>
      <c r="W22" s="341" t="s">
        <v>2</v>
      </c>
      <c r="X22" s="340" t="s">
        <v>2</v>
      </c>
      <c r="Y22" s="340" t="s">
        <v>2</v>
      </c>
      <c r="Z22" s="340" t="s">
        <v>2</v>
      </c>
      <c r="AA22" s="340" t="s">
        <v>2</v>
      </c>
      <c r="AB22" s="340" t="s">
        <v>2</v>
      </c>
      <c r="AC22" s="340" t="s">
        <v>2</v>
      </c>
      <c r="AD22" s="340" t="s">
        <v>2</v>
      </c>
      <c r="AE22" s="340" t="s">
        <v>2</v>
      </c>
      <c r="AF22" s="340" t="s">
        <v>2</v>
      </c>
      <c r="AG22" s="341" t="s">
        <v>2</v>
      </c>
      <c r="AH22" s="340" t="s">
        <v>2</v>
      </c>
      <c r="AI22" s="340" t="s">
        <v>2</v>
      </c>
      <c r="AJ22" s="340" t="s">
        <v>2</v>
      </c>
      <c r="AK22" s="340" t="s">
        <v>2</v>
      </c>
      <c r="AL22" s="341" t="s">
        <v>2</v>
      </c>
      <c r="AM22" s="340" t="s">
        <v>2</v>
      </c>
      <c r="AN22" s="340" t="s">
        <v>2</v>
      </c>
      <c r="AO22" s="341" t="s">
        <v>2</v>
      </c>
      <c r="AP22" s="340" t="s">
        <v>2</v>
      </c>
      <c r="AQ22" s="340" t="s">
        <v>2</v>
      </c>
      <c r="AR22" s="340" t="s">
        <v>2</v>
      </c>
      <c r="AS22" s="340" t="s">
        <v>2</v>
      </c>
      <c r="AT22" s="340" t="s">
        <v>2</v>
      </c>
      <c r="AU22" s="340" t="s">
        <v>2</v>
      </c>
      <c r="AV22" s="341" t="s">
        <v>2</v>
      </c>
      <c r="AW22" s="340" t="s">
        <v>2</v>
      </c>
      <c r="AX22" s="340" t="s">
        <v>2</v>
      </c>
      <c r="AY22" s="340" t="s">
        <v>2</v>
      </c>
      <c r="AZ22" s="341" t="s">
        <v>2</v>
      </c>
      <c r="BA22" s="340" t="s">
        <v>2</v>
      </c>
      <c r="BB22" s="340" t="s">
        <v>2</v>
      </c>
      <c r="BC22" s="340" t="s">
        <v>2</v>
      </c>
      <c r="BD22" s="340" t="s">
        <v>2</v>
      </c>
      <c r="BE22" s="340" t="s">
        <v>2</v>
      </c>
      <c r="BF22" s="341" t="s">
        <v>2</v>
      </c>
      <c r="BG22" s="342" t="s">
        <v>2</v>
      </c>
      <c r="BH22" s="342" t="s">
        <v>2</v>
      </c>
      <c r="BI22" s="340" t="s">
        <v>2</v>
      </c>
      <c r="BJ22" s="340" t="s">
        <v>2</v>
      </c>
      <c r="BK22" s="340" t="s">
        <v>2</v>
      </c>
      <c r="BL22" s="340" t="s">
        <v>2</v>
      </c>
      <c r="BM22" s="340" t="s">
        <v>2</v>
      </c>
      <c r="BN22" s="340" t="s">
        <v>2</v>
      </c>
      <c r="BO22" s="340" t="s">
        <v>2</v>
      </c>
      <c r="BP22" s="340" t="s">
        <v>2</v>
      </c>
      <c r="BQ22" s="340" t="s">
        <v>2</v>
      </c>
      <c r="BR22" s="340" t="s">
        <v>2</v>
      </c>
      <c r="BS22" s="340" t="s">
        <v>2</v>
      </c>
      <c r="BT22" s="340" t="s">
        <v>2</v>
      </c>
      <c r="BU22" s="340" t="s">
        <v>2</v>
      </c>
      <c r="BV22" s="340" t="s">
        <v>2</v>
      </c>
      <c r="BW22" s="340" t="s">
        <v>2</v>
      </c>
      <c r="BX22" s="340" t="s">
        <v>2</v>
      </c>
      <c r="BY22" s="340" t="s">
        <v>2</v>
      </c>
      <c r="BZ22" s="341" t="s">
        <v>2</v>
      </c>
      <c r="CA22" s="340" t="s">
        <v>2</v>
      </c>
      <c r="CB22" s="340" t="s">
        <v>2</v>
      </c>
      <c r="CC22" s="340" t="s">
        <v>2</v>
      </c>
      <c r="CD22" s="340" t="s">
        <v>2</v>
      </c>
      <c r="CE22" s="340" t="s">
        <v>2</v>
      </c>
      <c r="CF22" s="340" t="s">
        <v>2</v>
      </c>
      <c r="CG22" s="341" t="s">
        <v>2</v>
      </c>
      <c r="CH22" s="340" t="s">
        <v>2</v>
      </c>
      <c r="CI22" s="341" t="s">
        <v>2</v>
      </c>
      <c r="CJ22" s="340" t="s">
        <v>2</v>
      </c>
      <c r="CK22" s="340" t="s">
        <v>2</v>
      </c>
      <c r="CL22" s="340" t="s">
        <v>2</v>
      </c>
      <c r="CM22" s="340" t="s">
        <v>2</v>
      </c>
      <c r="CN22" s="341" t="s">
        <v>2</v>
      </c>
      <c r="CO22" s="341" t="s">
        <v>2</v>
      </c>
    </row>
    <row r="23" spans="1:93" x14ac:dyDescent="0.25">
      <c r="A23" s="341">
        <v>14045</v>
      </c>
      <c r="B23" s="352" t="s">
        <v>1845</v>
      </c>
      <c r="C23" s="352"/>
      <c r="D23" s="293">
        <v>14</v>
      </c>
      <c r="E23" s="349">
        <v>0</v>
      </c>
      <c r="F23" s="342">
        <v>39</v>
      </c>
      <c r="G23" s="342">
        <v>163</v>
      </c>
      <c r="H23" s="342">
        <v>88.9</v>
      </c>
      <c r="I23" s="339">
        <v>1.5</v>
      </c>
      <c r="J23" s="339">
        <v>0.2</v>
      </c>
      <c r="K23" s="339">
        <v>7.8</v>
      </c>
      <c r="L23" s="339">
        <v>0.8</v>
      </c>
      <c r="M23" s="354" t="s">
        <v>2</v>
      </c>
      <c r="N23" s="340">
        <v>24</v>
      </c>
      <c r="O23" s="340">
        <v>42</v>
      </c>
      <c r="P23" s="340">
        <v>0.5</v>
      </c>
      <c r="Q23" s="340">
        <v>0.18</v>
      </c>
      <c r="R23" s="340">
        <v>66</v>
      </c>
      <c r="S23" s="340">
        <v>292</v>
      </c>
      <c r="T23" s="340">
        <v>14</v>
      </c>
      <c r="U23" s="340" t="s">
        <v>2</v>
      </c>
      <c r="V23" s="340" t="s">
        <v>2</v>
      </c>
      <c r="W23" s="341" t="s">
        <v>2</v>
      </c>
      <c r="X23" s="340" t="s">
        <v>2</v>
      </c>
      <c r="Y23" s="340" t="s">
        <v>2</v>
      </c>
      <c r="Z23" s="340" t="s">
        <v>2</v>
      </c>
      <c r="AA23" s="340" t="s">
        <v>2</v>
      </c>
      <c r="AB23" s="340" t="s">
        <v>2</v>
      </c>
      <c r="AC23" s="340" t="s">
        <v>2</v>
      </c>
      <c r="AD23" s="340" t="s">
        <v>2</v>
      </c>
      <c r="AE23" s="340" t="s">
        <v>2</v>
      </c>
      <c r="AF23" s="340" t="s">
        <v>2</v>
      </c>
      <c r="AG23" s="341" t="s">
        <v>2</v>
      </c>
      <c r="AH23" s="340" t="s">
        <v>2</v>
      </c>
      <c r="AI23" s="340" t="s">
        <v>2</v>
      </c>
      <c r="AJ23" s="340" t="s">
        <v>2</v>
      </c>
      <c r="AK23" s="340" t="s">
        <v>2</v>
      </c>
      <c r="AL23" s="341" t="s">
        <v>2</v>
      </c>
      <c r="AM23" s="340" t="s">
        <v>2</v>
      </c>
      <c r="AN23" s="340" t="s">
        <v>2</v>
      </c>
      <c r="AO23" s="341" t="s">
        <v>2</v>
      </c>
      <c r="AP23" s="340" t="s">
        <v>2</v>
      </c>
      <c r="AQ23" s="340" t="s">
        <v>2</v>
      </c>
      <c r="AR23" s="340" t="s">
        <v>2</v>
      </c>
      <c r="AS23" s="340" t="s">
        <v>2</v>
      </c>
      <c r="AT23" s="340" t="s">
        <v>2</v>
      </c>
      <c r="AU23" s="340" t="s">
        <v>2</v>
      </c>
      <c r="AV23" s="341" t="s">
        <v>2</v>
      </c>
      <c r="AW23" s="340" t="s">
        <v>2</v>
      </c>
      <c r="AX23" s="340" t="s">
        <v>2</v>
      </c>
      <c r="AY23" s="340" t="s">
        <v>2</v>
      </c>
      <c r="AZ23" s="341" t="s">
        <v>2</v>
      </c>
      <c r="BA23" s="340" t="s">
        <v>2</v>
      </c>
      <c r="BB23" s="340" t="s">
        <v>2</v>
      </c>
      <c r="BC23" s="340" t="s">
        <v>2</v>
      </c>
      <c r="BD23" s="340" t="s">
        <v>2</v>
      </c>
      <c r="BE23" s="340" t="s">
        <v>2</v>
      </c>
      <c r="BF23" s="341" t="s">
        <v>2</v>
      </c>
      <c r="BG23" s="342" t="s">
        <v>2</v>
      </c>
      <c r="BH23" s="342" t="s">
        <v>2</v>
      </c>
      <c r="BI23" s="340" t="s">
        <v>2</v>
      </c>
      <c r="BJ23" s="340" t="s">
        <v>2</v>
      </c>
      <c r="BK23" s="340" t="s">
        <v>2</v>
      </c>
      <c r="BL23" s="340" t="s">
        <v>2</v>
      </c>
      <c r="BM23" s="340" t="s">
        <v>2</v>
      </c>
      <c r="BN23" s="340" t="s">
        <v>2</v>
      </c>
      <c r="BO23" s="340" t="s">
        <v>2</v>
      </c>
      <c r="BP23" s="340" t="s">
        <v>2</v>
      </c>
      <c r="BQ23" s="340" t="s">
        <v>2</v>
      </c>
      <c r="BR23" s="340" t="s">
        <v>2</v>
      </c>
      <c r="BS23" s="340" t="s">
        <v>2</v>
      </c>
      <c r="BT23" s="340" t="s">
        <v>2</v>
      </c>
      <c r="BU23" s="340" t="s">
        <v>2</v>
      </c>
      <c r="BV23" s="340" t="s">
        <v>2</v>
      </c>
      <c r="BW23" s="340" t="s">
        <v>2</v>
      </c>
      <c r="BX23" s="340" t="s">
        <v>2</v>
      </c>
      <c r="BY23" s="340" t="s">
        <v>2</v>
      </c>
      <c r="BZ23" s="341" t="s">
        <v>2</v>
      </c>
      <c r="CA23" s="340" t="s">
        <v>2</v>
      </c>
      <c r="CB23" s="340" t="s">
        <v>2</v>
      </c>
      <c r="CC23" s="340" t="s">
        <v>2</v>
      </c>
      <c r="CD23" s="340" t="s">
        <v>2</v>
      </c>
      <c r="CE23" s="340" t="s">
        <v>2</v>
      </c>
      <c r="CF23" s="340" t="s">
        <v>2</v>
      </c>
      <c r="CG23" s="341" t="s">
        <v>2</v>
      </c>
      <c r="CH23" s="340" t="s">
        <v>2</v>
      </c>
      <c r="CI23" s="341" t="s">
        <v>2</v>
      </c>
      <c r="CJ23" s="340" t="s">
        <v>2</v>
      </c>
      <c r="CK23" s="340" t="s">
        <v>2</v>
      </c>
      <c r="CL23" s="340" t="s">
        <v>2</v>
      </c>
      <c r="CM23" s="340" t="s">
        <v>2</v>
      </c>
      <c r="CN23" s="341" t="s">
        <v>2</v>
      </c>
      <c r="CO23" s="341" t="s">
        <v>2</v>
      </c>
    </row>
    <row r="24" spans="1:93" x14ac:dyDescent="0.25">
      <c r="A24" s="341">
        <v>14046</v>
      </c>
      <c r="B24" s="352" t="s">
        <v>1846</v>
      </c>
      <c r="C24" s="352"/>
      <c r="D24" s="293">
        <v>14</v>
      </c>
      <c r="E24" s="349">
        <v>0</v>
      </c>
      <c r="F24" s="342">
        <v>49</v>
      </c>
      <c r="G24" s="342">
        <v>205</v>
      </c>
      <c r="H24" s="342">
        <v>87.3</v>
      </c>
      <c r="I24" s="339" t="s">
        <v>2</v>
      </c>
      <c r="J24" s="339" t="s">
        <v>2</v>
      </c>
      <c r="K24" s="339">
        <v>12.7</v>
      </c>
      <c r="L24" s="339" t="s">
        <v>2</v>
      </c>
      <c r="M24" s="354" t="s">
        <v>2</v>
      </c>
      <c r="N24" s="340">
        <v>3</v>
      </c>
      <c r="O24" s="340" t="s">
        <v>2</v>
      </c>
      <c r="P24" s="340" t="s">
        <v>2</v>
      </c>
      <c r="Q24" s="340" t="s">
        <v>2</v>
      </c>
      <c r="R24" s="340">
        <v>2</v>
      </c>
      <c r="S24" s="340">
        <v>1</v>
      </c>
      <c r="T24" s="340" t="s">
        <v>2</v>
      </c>
      <c r="U24" s="340" t="s">
        <v>2</v>
      </c>
      <c r="V24" s="340" t="s">
        <v>2</v>
      </c>
      <c r="W24" s="341" t="s">
        <v>2</v>
      </c>
      <c r="X24" s="340" t="s">
        <v>2</v>
      </c>
      <c r="Y24" s="340" t="s">
        <v>2</v>
      </c>
      <c r="Z24" s="340" t="s">
        <v>2</v>
      </c>
      <c r="AA24" s="340" t="s">
        <v>2</v>
      </c>
      <c r="AB24" s="340" t="s">
        <v>2</v>
      </c>
      <c r="AC24" s="340" t="s">
        <v>2</v>
      </c>
      <c r="AD24" s="340" t="s">
        <v>2</v>
      </c>
      <c r="AE24" s="340" t="s">
        <v>2</v>
      </c>
      <c r="AF24" s="340" t="s">
        <v>2</v>
      </c>
      <c r="AG24" s="341" t="s">
        <v>2</v>
      </c>
      <c r="AH24" s="340" t="s">
        <v>2</v>
      </c>
      <c r="AI24" s="340" t="s">
        <v>2</v>
      </c>
      <c r="AJ24" s="340" t="s">
        <v>2</v>
      </c>
      <c r="AK24" s="340" t="s">
        <v>2</v>
      </c>
      <c r="AL24" s="341" t="s">
        <v>2</v>
      </c>
      <c r="AM24" s="340" t="s">
        <v>2</v>
      </c>
      <c r="AN24" s="340" t="s">
        <v>2</v>
      </c>
      <c r="AO24" s="341" t="s">
        <v>2</v>
      </c>
      <c r="AP24" s="340" t="s">
        <v>2</v>
      </c>
      <c r="AQ24" s="340" t="s">
        <v>2</v>
      </c>
      <c r="AR24" s="340" t="s">
        <v>2</v>
      </c>
      <c r="AS24" s="340" t="s">
        <v>2</v>
      </c>
      <c r="AT24" s="340" t="s">
        <v>2</v>
      </c>
      <c r="AU24" s="340" t="s">
        <v>2</v>
      </c>
      <c r="AV24" s="341" t="s">
        <v>2</v>
      </c>
      <c r="AW24" s="340" t="s">
        <v>2</v>
      </c>
      <c r="AX24" s="340" t="s">
        <v>2</v>
      </c>
      <c r="AY24" s="340" t="s">
        <v>2</v>
      </c>
      <c r="AZ24" s="341" t="s">
        <v>2</v>
      </c>
      <c r="BA24" s="340" t="s">
        <v>2</v>
      </c>
      <c r="BB24" s="340" t="s">
        <v>2</v>
      </c>
      <c r="BC24" s="340" t="s">
        <v>2</v>
      </c>
      <c r="BD24" s="340" t="s">
        <v>2</v>
      </c>
      <c r="BE24" s="340" t="s">
        <v>2</v>
      </c>
      <c r="BF24" s="341" t="s">
        <v>2</v>
      </c>
      <c r="BG24" s="342" t="s">
        <v>2</v>
      </c>
      <c r="BH24" s="342" t="s">
        <v>2</v>
      </c>
      <c r="BI24" s="340" t="s">
        <v>2</v>
      </c>
      <c r="BJ24" s="340" t="s">
        <v>2</v>
      </c>
      <c r="BK24" s="340" t="s">
        <v>2</v>
      </c>
      <c r="BL24" s="340" t="s">
        <v>2</v>
      </c>
      <c r="BM24" s="340" t="s">
        <v>2</v>
      </c>
      <c r="BN24" s="340" t="s">
        <v>2</v>
      </c>
      <c r="BO24" s="340" t="s">
        <v>2</v>
      </c>
      <c r="BP24" s="340" t="s">
        <v>2</v>
      </c>
      <c r="BQ24" s="340" t="s">
        <v>2</v>
      </c>
      <c r="BR24" s="340" t="s">
        <v>2</v>
      </c>
      <c r="BS24" s="340" t="s">
        <v>2</v>
      </c>
      <c r="BT24" s="340" t="s">
        <v>2</v>
      </c>
      <c r="BU24" s="340" t="s">
        <v>2</v>
      </c>
      <c r="BV24" s="340" t="s">
        <v>2</v>
      </c>
      <c r="BW24" s="340" t="s">
        <v>2</v>
      </c>
      <c r="BX24" s="340" t="s">
        <v>2</v>
      </c>
      <c r="BY24" s="340" t="s">
        <v>2</v>
      </c>
      <c r="BZ24" s="341" t="s">
        <v>2</v>
      </c>
      <c r="CA24" s="340" t="s">
        <v>2</v>
      </c>
      <c r="CB24" s="340" t="s">
        <v>2</v>
      </c>
      <c r="CC24" s="340" t="s">
        <v>2</v>
      </c>
      <c r="CD24" s="340" t="s">
        <v>2</v>
      </c>
      <c r="CE24" s="340" t="s">
        <v>2</v>
      </c>
      <c r="CF24" s="340" t="s">
        <v>2</v>
      </c>
      <c r="CG24" s="341" t="s">
        <v>2</v>
      </c>
      <c r="CH24" s="340" t="s">
        <v>2</v>
      </c>
      <c r="CI24" s="341" t="s">
        <v>2</v>
      </c>
      <c r="CJ24" s="340" t="s">
        <v>2</v>
      </c>
      <c r="CK24" s="340" t="s">
        <v>2</v>
      </c>
      <c r="CL24" s="340" t="s">
        <v>2</v>
      </c>
      <c r="CM24" s="340" t="s">
        <v>2</v>
      </c>
      <c r="CN24" s="341" t="s">
        <v>2</v>
      </c>
      <c r="CO24" s="341" t="s">
        <v>2</v>
      </c>
    </row>
    <row r="25" spans="1:93" x14ac:dyDescent="0.25">
      <c r="A25" s="341">
        <v>14047</v>
      </c>
      <c r="B25" s="352" t="s">
        <v>1847</v>
      </c>
      <c r="C25" s="352"/>
      <c r="D25" s="293">
        <v>14</v>
      </c>
      <c r="E25" s="349">
        <v>0</v>
      </c>
      <c r="F25" s="342">
        <v>37</v>
      </c>
      <c r="G25" s="342">
        <v>155</v>
      </c>
      <c r="H25" s="342">
        <v>90.4</v>
      </c>
      <c r="I25" s="339" t="s">
        <v>2</v>
      </c>
      <c r="J25" s="339" t="s">
        <v>2</v>
      </c>
      <c r="K25" s="339">
        <v>9.6</v>
      </c>
      <c r="L25" s="339" t="s">
        <v>2</v>
      </c>
      <c r="M25" s="354" t="s">
        <v>2</v>
      </c>
      <c r="N25" s="340">
        <v>1</v>
      </c>
      <c r="O25" s="340" t="s">
        <v>2</v>
      </c>
      <c r="P25" s="340" t="s">
        <v>2</v>
      </c>
      <c r="Q25" s="340" t="s">
        <v>2</v>
      </c>
      <c r="R25" s="340">
        <v>4</v>
      </c>
      <c r="S25" s="340" t="s">
        <v>2</v>
      </c>
      <c r="T25" s="340" t="s">
        <v>2</v>
      </c>
      <c r="U25" s="340" t="s">
        <v>2</v>
      </c>
      <c r="V25" s="340" t="s">
        <v>2</v>
      </c>
      <c r="W25" s="341" t="s">
        <v>2</v>
      </c>
      <c r="X25" s="340" t="s">
        <v>2</v>
      </c>
      <c r="Y25" s="340" t="s">
        <v>2</v>
      </c>
      <c r="Z25" s="340" t="s">
        <v>2</v>
      </c>
      <c r="AA25" s="340" t="s">
        <v>2</v>
      </c>
      <c r="AB25" s="340" t="s">
        <v>2</v>
      </c>
      <c r="AC25" s="340" t="s">
        <v>2</v>
      </c>
      <c r="AD25" s="340" t="s">
        <v>2</v>
      </c>
      <c r="AE25" s="340" t="s">
        <v>2</v>
      </c>
      <c r="AF25" s="340" t="s">
        <v>2</v>
      </c>
      <c r="AG25" s="341" t="s">
        <v>2</v>
      </c>
      <c r="AH25" s="340" t="s">
        <v>2</v>
      </c>
      <c r="AI25" s="340" t="s">
        <v>2</v>
      </c>
      <c r="AJ25" s="340" t="s">
        <v>2</v>
      </c>
      <c r="AK25" s="340" t="s">
        <v>2</v>
      </c>
      <c r="AL25" s="341" t="s">
        <v>2</v>
      </c>
      <c r="AM25" s="340" t="s">
        <v>2</v>
      </c>
      <c r="AN25" s="340" t="s">
        <v>2</v>
      </c>
      <c r="AO25" s="341" t="s">
        <v>2</v>
      </c>
      <c r="AP25" s="340" t="s">
        <v>2</v>
      </c>
      <c r="AQ25" s="340" t="s">
        <v>2</v>
      </c>
      <c r="AR25" s="340" t="s">
        <v>2</v>
      </c>
      <c r="AS25" s="340" t="s">
        <v>2</v>
      </c>
      <c r="AT25" s="340" t="s">
        <v>2</v>
      </c>
      <c r="AU25" s="340" t="s">
        <v>2</v>
      </c>
      <c r="AV25" s="341" t="s">
        <v>2</v>
      </c>
      <c r="AW25" s="340" t="s">
        <v>2</v>
      </c>
      <c r="AX25" s="340" t="s">
        <v>2</v>
      </c>
      <c r="AY25" s="340" t="s">
        <v>2</v>
      </c>
      <c r="AZ25" s="341" t="s">
        <v>2</v>
      </c>
      <c r="BA25" s="340" t="s">
        <v>2</v>
      </c>
      <c r="BB25" s="340" t="s">
        <v>2</v>
      </c>
      <c r="BC25" s="340" t="s">
        <v>2</v>
      </c>
      <c r="BD25" s="340" t="s">
        <v>2</v>
      </c>
      <c r="BE25" s="340" t="s">
        <v>2</v>
      </c>
      <c r="BF25" s="341" t="s">
        <v>2</v>
      </c>
      <c r="BG25" s="342" t="s">
        <v>2</v>
      </c>
      <c r="BH25" s="342" t="s">
        <v>2</v>
      </c>
      <c r="BI25" s="340" t="s">
        <v>2</v>
      </c>
      <c r="BJ25" s="340" t="s">
        <v>2</v>
      </c>
      <c r="BK25" s="340" t="s">
        <v>2</v>
      </c>
      <c r="BL25" s="340" t="s">
        <v>2</v>
      </c>
      <c r="BM25" s="340" t="s">
        <v>2</v>
      </c>
      <c r="BN25" s="340" t="s">
        <v>2</v>
      </c>
      <c r="BO25" s="340" t="s">
        <v>2</v>
      </c>
      <c r="BP25" s="340" t="s">
        <v>2</v>
      </c>
      <c r="BQ25" s="340" t="s">
        <v>2</v>
      </c>
      <c r="BR25" s="340" t="s">
        <v>2</v>
      </c>
      <c r="BS25" s="340" t="s">
        <v>2</v>
      </c>
      <c r="BT25" s="340" t="s">
        <v>2</v>
      </c>
      <c r="BU25" s="340" t="s">
        <v>2</v>
      </c>
      <c r="BV25" s="340" t="s">
        <v>2</v>
      </c>
      <c r="BW25" s="340" t="s">
        <v>2</v>
      </c>
      <c r="BX25" s="340" t="s">
        <v>2</v>
      </c>
      <c r="BY25" s="340" t="s">
        <v>2</v>
      </c>
      <c r="BZ25" s="341" t="s">
        <v>2</v>
      </c>
      <c r="CA25" s="340" t="s">
        <v>2</v>
      </c>
      <c r="CB25" s="340" t="s">
        <v>2</v>
      </c>
      <c r="CC25" s="340" t="s">
        <v>2</v>
      </c>
      <c r="CD25" s="340" t="s">
        <v>2</v>
      </c>
      <c r="CE25" s="340" t="s">
        <v>2</v>
      </c>
      <c r="CF25" s="340" t="s">
        <v>2</v>
      </c>
      <c r="CG25" s="341" t="s">
        <v>2</v>
      </c>
      <c r="CH25" s="340" t="s">
        <v>2</v>
      </c>
      <c r="CI25" s="341" t="s">
        <v>2</v>
      </c>
      <c r="CJ25" s="340" t="s">
        <v>2</v>
      </c>
      <c r="CK25" s="340" t="s">
        <v>2</v>
      </c>
      <c r="CL25" s="340" t="s">
        <v>2</v>
      </c>
      <c r="CM25" s="340" t="s">
        <v>2</v>
      </c>
      <c r="CN25" s="341" t="s">
        <v>2</v>
      </c>
      <c r="CO25" s="341" t="s">
        <v>2</v>
      </c>
    </row>
    <row r="26" spans="1:93" x14ac:dyDescent="0.25">
      <c r="A26" s="341">
        <v>14048</v>
      </c>
      <c r="B26" s="352" t="s">
        <v>1848</v>
      </c>
      <c r="C26" s="352"/>
      <c r="D26" s="293">
        <v>14</v>
      </c>
      <c r="E26" s="349">
        <v>0</v>
      </c>
      <c r="F26" s="342">
        <v>30</v>
      </c>
      <c r="G26" s="342">
        <v>125</v>
      </c>
      <c r="H26" s="342">
        <v>91.5</v>
      </c>
      <c r="I26" s="339">
        <v>2.2999999999999998</v>
      </c>
      <c r="J26" s="339">
        <v>0.4</v>
      </c>
      <c r="K26" s="339">
        <v>4.3</v>
      </c>
      <c r="L26" s="339">
        <v>0.4</v>
      </c>
      <c r="M26" s="354" t="s">
        <v>2</v>
      </c>
      <c r="N26" s="340">
        <v>7</v>
      </c>
      <c r="O26" s="340">
        <v>11</v>
      </c>
      <c r="P26" s="340">
        <v>0.2</v>
      </c>
      <c r="Q26" s="340" t="s">
        <v>2</v>
      </c>
      <c r="R26" s="340">
        <v>1</v>
      </c>
      <c r="S26" s="340">
        <v>112</v>
      </c>
      <c r="T26" s="340">
        <v>10</v>
      </c>
      <c r="U26" s="340" t="s">
        <v>2</v>
      </c>
      <c r="V26" s="340" t="s">
        <v>2</v>
      </c>
      <c r="W26" s="341" t="s">
        <v>2</v>
      </c>
      <c r="X26" s="339">
        <v>8.1</v>
      </c>
      <c r="Y26" s="347">
        <v>0.03</v>
      </c>
      <c r="Z26" s="347">
        <v>0.02</v>
      </c>
      <c r="AA26" s="347">
        <v>0.2</v>
      </c>
      <c r="AB26" s="340" t="s">
        <v>2</v>
      </c>
      <c r="AC26" s="340" t="s">
        <v>2</v>
      </c>
      <c r="AD26" s="340" t="s">
        <v>2</v>
      </c>
      <c r="AE26" s="340" t="s">
        <v>2</v>
      </c>
      <c r="AF26" s="340" t="s">
        <v>2</v>
      </c>
      <c r="AG26" s="341" t="s">
        <v>2</v>
      </c>
      <c r="AH26" s="340" t="s">
        <v>2</v>
      </c>
      <c r="AI26" s="340" t="s">
        <v>2</v>
      </c>
      <c r="AJ26" s="340" t="s">
        <v>2</v>
      </c>
      <c r="AK26" s="340" t="s">
        <v>2</v>
      </c>
      <c r="AL26" s="341" t="s">
        <v>2</v>
      </c>
      <c r="AM26" s="340" t="s">
        <v>2</v>
      </c>
      <c r="AN26" s="340" t="s">
        <v>2</v>
      </c>
      <c r="AO26" s="341" t="s">
        <v>2</v>
      </c>
      <c r="AP26" s="340" t="s">
        <v>2</v>
      </c>
      <c r="AQ26" s="340" t="s">
        <v>2</v>
      </c>
      <c r="AR26" s="340" t="s">
        <v>2</v>
      </c>
      <c r="AS26" s="340" t="s">
        <v>2</v>
      </c>
      <c r="AT26" s="340" t="s">
        <v>2</v>
      </c>
      <c r="AU26" s="340" t="s">
        <v>2</v>
      </c>
      <c r="AV26" s="341" t="s">
        <v>2</v>
      </c>
      <c r="AW26" s="340" t="s">
        <v>2</v>
      </c>
      <c r="AX26" s="340" t="s">
        <v>2</v>
      </c>
      <c r="AY26" s="340" t="s">
        <v>2</v>
      </c>
      <c r="AZ26" s="341" t="s">
        <v>2</v>
      </c>
      <c r="BA26" s="340" t="s">
        <v>2</v>
      </c>
      <c r="BB26" s="340" t="s">
        <v>2</v>
      </c>
      <c r="BC26" s="340" t="s">
        <v>2</v>
      </c>
      <c r="BD26" s="340" t="s">
        <v>2</v>
      </c>
      <c r="BE26" s="340" t="s">
        <v>2</v>
      </c>
      <c r="BF26" s="341" t="s">
        <v>2</v>
      </c>
      <c r="BG26" s="342" t="s">
        <v>2</v>
      </c>
      <c r="BH26" s="342" t="s">
        <v>2</v>
      </c>
      <c r="BI26" s="340" t="s">
        <v>2</v>
      </c>
      <c r="BJ26" s="340" t="s">
        <v>2</v>
      </c>
      <c r="BK26" s="340" t="s">
        <v>2</v>
      </c>
      <c r="BL26" s="340" t="s">
        <v>2</v>
      </c>
      <c r="BM26" s="340" t="s">
        <v>2</v>
      </c>
      <c r="BN26" s="340" t="s">
        <v>2</v>
      </c>
      <c r="BO26" s="340" t="s">
        <v>2</v>
      </c>
      <c r="BP26" s="340" t="s">
        <v>2</v>
      </c>
      <c r="BQ26" s="340" t="s">
        <v>2</v>
      </c>
      <c r="BR26" s="340" t="s">
        <v>2</v>
      </c>
      <c r="BS26" s="340" t="s">
        <v>2</v>
      </c>
      <c r="BT26" s="340" t="s">
        <v>2</v>
      </c>
      <c r="BU26" s="340" t="s">
        <v>2</v>
      </c>
      <c r="BV26" s="340" t="s">
        <v>2</v>
      </c>
      <c r="BW26" s="340" t="s">
        <v>2</v>
      </c>
      <c r="BX26" s="340" t="s">
        <v>2</v>
      </c>
      <c r="BY26" s="340" t="s">
        <v>2</v>
      </c>
      <c r="BZ26" s="341" t="s">
        <v>2</v>
      </c>
      <c r="CA26" s="340" t="s">
        <v>2</v>
      </c>
      <c r="CB26" s="340" t="s">
        <v>2</v>
      </c>
      <c r="CC26" s="340" t="s">
        <v>2</v>
      </c>
      <c r="CD26" s="340" t="s">
        <v>2</v>
      </c>
      <c r="CE26" s="340" t="s">
        <v>2</v>
      </c>
      <c r="CF26" s="340" t="s">
        <v>2</v>
      </c>
      <c r="CG26" s="341" t="s">
        <v>2</v>
      </c>
      <c r="CH26" s="340" t="s">
        <v>2</v>
      </c>
      <c r="CI26" s="341" t="s">
        <v>2</v>
      </c>
      <c r="CJ26" s="340" t="s">
        <v>2</v>
      </c>
      <c r="CK26" s="340" t="s">
        <v>2</v>
      </c>
      <c r="CL26" s="340" t="s">
        <v>2</v>
      </c>
      <c r="CM26" s="340" t="s">
        <v>2</v>
      </c>
      <c r="CN26" s="341" t="s">
        <v>2</v>
      </c>
      <c r="CO26" s="341" t="s">
        <v>2</v>
      </c>
    </row>
    <row r="27" spans="1:93" x14ac:dyDescent="0.25">
      <c r="A27" s="341">
        <v>14049</v>
      </c>
      <c r="B27" s="352" t="s">
        <v>1849</v>
      </c>
      <c r="C27" s="352"/>
      <c r="D27" s="293">
        <v>14</v>
      </c>
      <c r="E27" s="349">
        <v>0</v>
      </c>
      <c r="F27" s="342">
        <v>44</v>
      </c>
      <c r="G27" s="342">
        <v>184</v>
      </c>
      <c r="H27" s="342" t="s">
        <v>2</v>
      </c>
      <c r="I27" s="339">
        <v>0.2</v>
      </c>
      <c r="J27" s="339">
        <v>0.2</v>
      </c>
      <c r="K27" s="339">
        <v>10</v>
      </c>
      <c r="L27" s="339">
        <v>0.2</v>
      </c>
      <c r="M27" s="354" t="s">
        <v>2</v>
      </c>
      <c r="N27" s="340" t="s">
        <v>2</v>
      </c>
      <c r="O27" s="340" t="s">
        <v>2</v>
      </c>
      <c r="P27" s="340" t="s">
        <v>2</v>
      </c>
      <c r="Q27" s="340" t="s">
        <v>2</v>
      </c>
      <c r="R27" s="340">
        <v>3</v>
      </c>
      <c r="S27" s="340" t="s">
        <v>2</v>
      </c>
      <c r="T27" s="340" t="s">
        <v>2</v>
      </c>
      <c r="U27" s="340" t="s">
        <v>2</v>
      </c>
      <c r="V27" s="340" t="s">
        <v>2</v>
      </c>
      <c r="W27" s="341" t="s">
        <v>2</v>
      </c>
      <c r="X27" s="339" t="s">
        <v>2</v>
      </c>
      <c r="Y27" s="347" t="s">
        <v>2</v>
      </c>
      <c r="Z27" s="347" t="s">
        <v>2</v>
      </c>
      <c r="AA27" s="347" t="s">
        <v>2</v>
      </c>
      <c r="AB27" s="340" t="s">
        <v>2</v>
      </c>
      <c r="AC27" s="340" t="s">
        <v>2</v>
      </c>
      <c r="AD27" s="340" t="s">
        <v>2</v>
      </c>
      <c r="AE27" s="340" t="s">
        <v>2</v>
      </c>
      <c r="AF27" s="340" t="s">
        <v>2</v>
      </c>
      <c r="AG27" s="341" t="s">
        <v>2</v>
      </c>
      <c r="AH27" s="340" t="s">
        <v>2</v>
      </c>
      <c r="AI27" s="340" t="s">
        <v>2</v>
      </c>
      <c r="AJ27" s="340" t="s">
        <v>2</v>
      </c>
      <c r="AK27" s="340" t="s">
        <v>2</v>
      </c>
      <c r="AL27" s="341" t="s">
        <v>2</v>
      </c>
      <c r="AM27" s="340" t="s">
        <v>2</v>
      </c>
      <c r="AN27" s="340" t="s">
        <v>2</v>
      </c>
      <c r="AO27" s="341" t="s">
        <v>2</v>
      </c>
      <c r="AP27" s="340" t="s">
        <v>2</v>
      </c>
      <c r="AQ27" s="340" t="s">
        <v>2</v>
      </c>
      <c r="AR27" s="340" t="s">
        <v>2</v>
      </c>
      <c r="AS27" s="340" t="s">
        <v>2</v>
      </c>
      <c r="AT27" s="340" t="s">
        <v>2</v>
      </c>
      <c r="AU27" s="340" t="s">
        <v>2</v>
      </c>
      <c r="AV27" s="341" t="s">
        <v>2</v>
      </c>
      <c r="AW27" s="340" t="s">
        <v>2</v>
      </c>
      <c r="AX27" s="340" t="s">
        <v>2</v>
      </c>
      <c r="AY27" s="340" t="s">
        <v>2</v>
      </c>
      <c r="AZ27" s="341" t="s">
        <v>2</v>
      </c>
      <c r="BA27" s="340" t="s">
        <v>2</v>
      </c>
      <c r="BB27" s="340" t="s">
        <v>2</v>
      </c>
      <c r="BC27" s="340" t="s">
        <v>2</v>
      </c>
      <c r="BD27" s="340" t="s">
        <v>2</v>
      </c>
      <c r="BE27" s="340" t="s">
        <v>2</v>
      </c>
      <c r="BF27" s="341" t="s">
        <v>2</v>
      </c>
      <c r="BG27" s="342" t="s">
        <v>2</v>
      </c>
      <c r="BH27" s="342" t="s">
        <v>2</v>
      </c>
      <c r="BI27" s="340" t="s">
        <v>2</v>
      </c>
      <c r="BJ27" s="340" t="s">
        <v>2</v>
      </c>
      <c r="BK27" s="340" t="s">
        <v>2</v>
      </c>
      <c r="BL27" s="340" t="s">
        <v>2</v>
      </c>
      <c r="BM27" s="340" t="s">
        <v>2</v>
      </c>
      <c r="BN27" s="340" t="s">
        <v>2</v>
      </c>
      <c r="BO27" s="340" t="s">
        <v>2</v>
      </c>
      <c r="BP27" s="340" t="s">
        <v>2</v>
      </c>
      <c r="BQ27" s="340" t="s">
        <v>2</v>
      </c>
      <c r="BR27" s="340" t="s">
        <v>2</v>
      </c>
      <c r="BS27" s="340" t="s">
        <v>2</v>
      </c>
      <c r="BT27" s="340" t="s">
        <v>2</v>
      </c>
      <c r="BU27" s="340" t="s">
        <v>2</v>
      </c>
      <c r="BV27" s="340" t="s">
        <v>2</v>
      </c>
      <c r="BW27" s="340" t="s">
        <v>2</v>
      </c>
      <c r="BX27" s="340" t="s">
        <v>2</v>
      </c>
      <c r="BY27" s="340" t="s">
        <v>2</v>
      </c>
      <c r="BZ27" s="341" t="s">
        <v>2</v>
      </c>
      <c r="CA27" s="340" t="s">
        <v>2</v>
      </c>
      <c r="CB27" s="340" t="s">
        <v>2</v>
      </c>
      <c r="CC27" s="340" t="s">
        <v>2</v>
      </c>
      <c r="CD27" s="340" t="s">
        <v>2</v>
      </c>
      <c r="CE27" s="340" t="s">
        <v>2</v>
      </c>
      <c r="CF27" s="340" t="s">
        <v>2</v>
      </c>
      <c r="CG27" s="341" t="s">
        <v>2</v>
      </c>
      <c r="CH27" s="340" t="s">
        <v>2</v>
      </c>
      <c r="CI27" s="341" t="s">
        <v>2</v>
      </c>
      <c r="CJ27" s="340" t="s">
        <v>2</v>
      </c>
      <c r="CK27" s="340" t="s">
        <v>2</v>
      </c>
      <c r="CL27" s="340" t="s">
        <v>2</v>
      </c>
      <c r="CM27" s="340" t="s">
        <v>2</v>
      </c>
      <c r="CN27" s="341" t="s">
        <v>2</v>
      </c>
      <c r="CO27" s="341" t="s">
        <v>2</v>
      </c>
    </row>
    <row r="28" spans="1:93" x14ac:dyDescent="0.25">
      <c r="A28" s="341">
        <v>14050</v>
      </c>
      <c r="B28" s="352" t="s">
        <v>1850</v>
      </c>
      <c r="C28" s="352"/>
      <c r="D28" s="293">
        <v>14</v>
      </c>
      <c r="E28" s="349">
        <v>0</v>
      </c>
      <c r="F28" s="342">
        <v>458</v>
      </c>
      <c r="G28" s="342">
        <f>F28*4.18</f>
        <v>1914.4399999999998</v>
      </c>
      <c r="H28" s="342">
        <v>2.25</v>
      </c>
      <c r="I28" s="339">
        <v>2.5</v>
      </c>
      <c r="J28" s="339">
        <v>18.75</v>
      </c>
      <c r="K28" s="339">
        <v>73.599999999999994</v>
      </c>
      <c r="L28" s="339">
        <v>2.8</v>
      </c>
      <c r="M28" s="354" t="s">
        <v>2</v>
      </c>
      <c r="N28" s="340">
        <v>26.2</v>
      </c>
      <c r="O28" s="340" t="s">
        <v>2</v>
      </c>
      <c r="P28" s="340">
        <v>0.28999999999999998</v>
      </c>
      <c r="Q28" s="340" t="s">
        <v>2</v>
      </c>
      <c r="R28" s="340">
        <v>326</v>
      </c>
      <c r="S28" s="340">
        <v>943</v>
      </c>
      <c r="T28" s="340" t="s">
        <v>2</v>
      </c>
      <c r="U28" s="340" t="s">
        <v>2</v>
      </c>
      <c r="V28" s="340" t="s">
        <v>2</v>
      </c>
      <c r="W28" s="341" t="s">
        <v>2</v>
      </c>
      <c r="X28" s="339" t="s">
        <v>2</v>
      </c>
      <c r="Y28" s="347" t="s">
        <v>2</v>
      </c>
      <c r="Z28" s="347" t="s">
        <v>2</v>
      </c>
      <c r="AA28" s="347" t="s">
        <v>2</v>
      </c>
      <c r="AB28" s="340" t="s">
        <v>2</v>
      </c>
      <c r="AC28" s="340" t="s">
        <v>2</v>
      </c>
      <c r="AD28" s="340" t="s">
        <v>2</v>
      </c>
      <c r="AE28" s="340" t="s">
        <v>2</v>
      </c>
      <c r="AF28" s="340" t="s">
        <v>2</v>
      </c>
      <c r="AG28" s="341" t="s">
        <v>2</v>
      </c>
      <c r="AH28" s="340" t="s">
        <v>2</v>
      </c>
      <c r="AI28" s="340" t="s">
        <v>2</v>
      </c>
      <c r="AJ28" s="340">
        <v>0</v>
      </c>
      <c r="AK28" s="340" t="s">
        <v>2</v>
      </c>
      <c r="AL28" s="341" t="s">
        <v>2</v>
      </c>
      <c r="AM28" s="340" t="s">
        <v>2</v>
      </c>
      <c r="AN28" s="340" t="s">
        <v>2</v>
      </c>
      <c r="AO28" s="341" t="s">
        <v>2</v>
      </c>
      <c r="AP28" s="340">
        <v>16.489999999999998</v>
      </c>
      <c r="AQ28" s="340" t="s">
        <v>2</v>
      </c>
      <c r="AR28" s="340" t="s">
        <v>2</v>
      </c>
      <c r="AS28" s="340" t="s">
        <v>2</v>
      </c>
      <c r="AT28" s="340" t="s">
        <v>2</v>
      </c>
      <c r="AU28" s="340" t="s">
        <v>2</v>
      </c>
      <c r="AV28" s="341" t="s">
        <v>2</v>
      </c>
      <c r="AW28" s="340" t="s">
        <v>2</v>
      </c>
      <c r="AX28" s="340" t="s">
        <v>2</v>
      </c>
      <c r="AY28" s="340" t="s">
        <v>2</v>
      </c>
      <c r="AZ28" s="341" t="s">
        <v>2</v>
      </c>
      <c r="BA28" s="340" t="s">
        <v>2</v>
      </c>
      <c r="BB28" s="340" t="s">
        <v>2</v>
      </c>
      <c r="BC28" s="340" t="s">
        <v>2</v>
      </c>
      <c r="BD28" s="340" t="s">
        <v>2</v>
      </c>
      <c r="BE28" s="340" t="s">
        <v>2</v>
      </c>
      <c r="BF28" s="341" t="s">
        <v>2</v>
      </c>
      <c r="BG28" s="342">
        <v>0.04</v>
      </c>
      <c r="BH28" s="342">
        <v>2.52</v>
      </c>
      <c r="BI28" s="340" t="s">
        <v>2</v>
      </c>
      <c r="BJ28" s="340" t="s">
        <v>2</v>
      </c>
      <c r="BK28" s="340" t="s">
        <v>2</v>
      </c>
      <c r="BL28" s="340" t="s">
        <v>2</v>
      </c>
      <c r="BM28" s="340" t="s">
        <v>2</v>
      </c>
      <c r="BN28" s="340" t="s">
        <v>2</v>
      </c>
      <c r="BO28" s="340" t="s">
        <v>2</v>
      </c>
      <c r="BP28" s="340" t="s">
        <v>2</v>
      </c>
      <c r="BQ28" s="340" t="s">
        <v>2</v>
      </c>
      <c r="BR28" s="340" t="s">
        <v>2</v>
      </c>
      <c r="BS28" s="340" t="s">
        <v>2</v>
      </c>
      <c r="BT28" s="340" t="s">
        <v>2</v>
      </c>
      <c r="BU28" s="340" t="s">
        <v>2</v>
      </c>
      <c r="BV28" s="340" t="s">
        <v>2</v>
      </c>
      <c r="BW28" s="340" t="s">
        <v>2</v>
      </c>
      <c r="BX28" s="340" t="s">
        <v>2</v>
      </c>
      <c r="BY28" s="340" t="s">
        <v>2</v>
      </c>
      <c r="BZ28" s="341" t="s">
        <v>2</v>
      </c>
      <c r="CA28" s="340">
        <v>54.1</v>
      </c>
      <c r="CB28" s="340" t="s">
        <v>2</v>
      </c>
      <c r="CC28" s="340" t="s">
        <v>2</v>
      </c>
      <c r="CD28" s="340" t="s">
        <v>2</v>
      </c>
      <c r="CE28" s="340" t="s">
        <v>2</v>
      </c>
      <c r="CF28" s="340" t="s">
        <v>2</v>
      </c>
      <c r="CG28" s="341" t="s">
        <v>2</v>
      </c>
      <c r="CH28" s="340" t="s">
        <v>2</v>
      </c>
      <c r="CI28" s="341" t="s">
        <v>2</v>
      </c>
      <c r="CJ28" s="340" t="s">
        <v>2</v>
      </c>
      <c r="CK28" s="340" t="s">
        <v>2</v>
      </c>
      <c r="CL28" s="340" t="s">
        <v>2</v>
      </c>
      <c r="CM28" s="340" t="s">
        <v>2</v>
      </c>
      <c r="CN28" s="341" t="s">
        <v>2</v>
      </c>
      <c r="CO28" s="341" t="s">
        <v>2</v>
      </c>
    </row>
    <row r="29" spans="1:93" x14ac:dyDescent="0.25">
      <c r="A29" s="341">
        <v>14051</v>
      </c>
      <c r="B29" s="352" t="s">
        <v>1851</v>
      </c>
      <c r="C29" s="352"/>
      <c r="D29" s="293">
        <v>14</v>
      </c>
      <c r="E29" s="349">
        <v>0</v>
      </c>
      <c r="F29" s="342">
        <v>459</v>
      </c>
      <c r="G29" s="342">
        <f t="shared" ref="G29:G31" si="1">F29*4.18</f>
        <v>1918.62</v>
      </c>
      <c r="H29" s="342">
        <v>1.49</v>
      </c>
      <c r="I29" s="339">
        <v>3.06</v>
      </c>
      <c r="J29" s="339">
        <v>16.100000000000001</v>
      </c>
      <c r="K29" s="339">
        <v>75.5</v>
      </c>
      <c r="L29" s="339">
        <v>2.79</v>
      </c>
      <c r="M29" s="354" t="s">
        <v>2</v>
      </c>
      <c r="N29" s="340">
        <v>28.1</v>
      </c>
      <c r="O29" s="340" t="s">
        <v>2</v>
      </c>
      <c r="P29" s="340">
        <v>0.34</v>
      </c>
      <c r="Q29" s="340" t="s">
        <v>2</v>
      </c>
      <c r="R29" s="340">
        <v>256</v>
      </c>
      <c r="S29" s="340">
        <v>1062</v>
      </c>
      <c r="T29" s="340" t="s">
        <v>2</v>
      </c>
      <c r="U29" s="340" t="s">
        <v>2</v>
      </c>
      <c r="V29" s="340" t="s">
        <v>2</v>
      </c>
      <c r="W29" s="341" t="s">
        <v>2</v>
      </c>
      <c r="X29" s="339" t="s">
        <v>2</v>
      </c>
      <c r="Y29" s="347" t="s">
        <v>2</v>
      </c>
      <c r="Z29" s="347" t="s">
        <v>2</v>
      </c>
      <c r="AA29" s="347" t="s">
        <v>2</v>
      </c>
      <c r="AB29" s="340" t="s">
        <v>2</v>
      </c>
      <c r="AC29" s="340" t="s">
        <v>2</v>
      </c>
      <c r="AD29" s="340" t="s">
        <v>2</v>
      </c>
      <c r="AE29" s="340" t="s">
        <v>2</v>
      </c>
      <c r="AF29" s="340" t="s">
        <v>2</v>
      </c>
      <c r="AG29" s="341" t="s">
        <v>2</v>
      </c>
      <c r="AH29" s="340" t="s">
        <v>2</v>
      </c>
      <c r="AI29" s="340" t="s">
        <v>2</v>
      </c>
      <c r="AJ29" s="340">
        <v>0</v>
      </c>
      <c r="AK29" s="340" t="s">
        <v>2</v>
      </c>
      <c r="AL29" s="341" t="s">
        <v>2</v>
      </c>
      <c r="AM29" s="340" t="s">
        <v>2</v>
      </c>
      <c r="AN29" s="340" t="s">
        <v>2</v>
      </c>
      <c r="AO29" s="341" t="s">
        <v>2</v>
      </c>
      <c r="AP29" s="340">
        <v>14.5</v>
      </c>
      <c r="AQ29" s="340" t="s">
        <v>2</v>
      </c>
      <c r="AR29" s="340" t="s">
        <v>2</v>
      </c>
      <c r="AS29" s="340" t="s">
        <v>2</v>
      </c>
      <c r="AT29" s="340" t="s">
        <v>2</v>
      </c>
      <c r="AU29" s="340" t="s">
        <v>2</v>
      </c>
      <c r="AV29" s="341" t="s">
        <v>2</v>
      </c>
      <c r="AW29" s="340" t="s">
        <v>2</v>
      </c>
      <c r="AX29" s="340" t="s">
        <v>2</v>
      </c>
      <c r="AY29" s="340" t="s">
        <v>2</v>
      </c>
      <c r="AZ29" s="341" t="s">
        <v>2</v>
      </c>
      <c r="BA29" s="340" t="s">
        <v>2</v>
      </c>
      <c r="BB29" s="340" t="s">
        <v>2</v>
      </c>
      <c r="BC29" s="340" t="s">
        <v>2</v>
      </c>
      <c r="BD29" s="340" t="s">
        <v>2</v>
      </c>
      <c r="BE29" s="340" t="s">
        <v>2</v>
      </c>
      <c r="BF29" s="341" t="s">
        <v>2</v>
      </c>
      <c r="BG29" s="342">
        <v>1.4999999999999999E-2</v>
      </c>
      <c r="BH29" s="342">
        <v>3.12</v>
      </c>
      <c r="BI29" s="340" t="s">
        <v>2</v>
      </c>
      <c r="BJ29" s="340" t="s">
        <v>2</v>
      </c>
      <c r="BK29" s="340" t="s">
        <v>2</v>
      </c>
      <c r="BL29" s="340" t="s">
        <v>2</v>
      </c>
      <c r="BM29" s="340" t="s">
        <v>2</v>
      </c>
      <c r="BN29" s="340" t="s">
        <v>2</v>
      </c>
      <c r="BO29" s="340" t="s">
        <v>2</v>
      </c>
      <c r="BP29" s="340" t="s">
        <v>2</v>
      </c>
      <c r="BQ29" s="340" t="s">
        <v>2</v>
      </c>
      <c r="BR29" s="340" t="s">
        <v>2</v>
      </c>
      <c r="BS29" s="340" t="s">
        <v>2</v>
      </c>
      <c r="BT29" s="340" t="s">
        <v>2</v>
      </c>
      <c r="BU29" s="340" t="s">
        <v>2</v>
      </c>
      <c r="BV29" s="340" t="s">
        <v>2</v>
      </c>
      <c r="BW29" s="340" t="s">
        <v>2</v>
      </c>
      <c r="BX29" s="340" t="s">
        <v>2</v>
      </c>
      <c r="BY29" s="340" t="s">
        <v>2</v>
      </c>
      <c r="BZ29" s="341" t="s">
        <v>2</v>
      </c>
      <c r="CA29" s="340">
        <v>58.9</v>
      </c>
      <c r="CB29" s="340" t="s">
        <v>2</v>
      </c>
      <c r="CC29" s="340" t="s">
        <v>2</v>
      </c>
      <c r="CD29" s="340" t="s">
        <v>2</v>
      </c>
      <c r="CE29" s="340" t="s">
        <v>2</v>
      </c>
      <c r="CF29" s="340" t="s">
        <v>2</v>
      </c>
      <c r="CG29" s="341" t="s">
        <v>2</v>
      </c>
      <c r="CH29" s="340" t="s">
        <v>2</v>
      </c>
      <c r="CI29" s="341" t="s">
        <v>2</v>
      </c>
      <c r="CJ29" s="340" t="s">
        <v>2</v>
      </c>
      <c r="CK29" s="340" t="s">
        <v>2</v>
      </c>
      <c r="CL29" s="340" t="s">
        <v>2</v>
      </c>
      <c r="CM29" s="340" t="s">
        <v>2</v>
      </c>
      <c r="CN29" s="341" t="s">
        <v>2</v>
      </c>
      <c r="CO29" s="341" t="s">
        <v>2</v>
      </c>
    </row>
    <row r="30" spans="1:93" x14ac:dyDescent="0.25">
      <c r="A30" s="341">
        <v>14052</v>
      </c>
      <c r="B30" s="352" t="s">
        <v>1852</v>
      </c>
      <c r="C30" s="352"/>
      <c r="D30" s="293">
        <v>14</v>
      </c>
      <c r="E30" s="349">
        <v>0</v>
      </c>
      <c r="F30" s="342">
        <v>457</v>
      </c>
      <c r="G30" s="342">
        <f t="shared" si="1"/>
        <v>1910.2599999999998</v>
      </c>
      <c r="H30" s="342">
        <v>1.95</v>
      </c>
      <c r="I30" s="339">
        <v>2.38</v>
      </c>
      <c r="J30" s="339">
        <v>15.7</v>
      </c>
      <c r="K30" s="339">
        <v>76.7</v>
      </c>
      <c r="L30" s="339">
        <v>2.4300000000000002</v>
      </c>
      <c r="M30" s="354" t="s">
        <v>2</v>
      </c>
      <c r="N30" s="340">
        <v>20</v>
      </c>
      <c r="O30" s="340" t="s">
        <v>2</v>
      </c>
      <c r="P30" s="340">
        <v>0.19</v>
      </c>
      <c r="Q30" s="340" t="s">
        <v>2</v>
      </c>
      <c r="R30" s="340">
        <v>243</v>
      </c>
      <c r="S30" s="340">
        <v>896</v>
      </c>
      <c r="T30" s="340" t="s">
        <v>2</v>
      </c>
      <c r="U30" s="340" t="s">
        <v>2</v>
      </c>
      <c r="V30" s="340" t="s">
        <v>2</v>
      </c>
      <c r="W30" s="341" t="s">
        <v>2</v>
      </c>
      <c r="X30" s="339" t="s">
        <v>2</v>
      </c>
      <c r="Y30" s="347" t="s">
        <v>2</v>
      </c>
      <c r="Z30" s="347" t="s">
        <v>2</v>
      </c>
      <c r="AA30" s="347" t="s">
        <v>2</v>
      </c>
      <c r="AB30" s="340" t="s">
        <v>2</v>
      </c>
      <c r="AC30" s="340" t="s">
        <v>2</v>
      </c>
      <c r="AD30" s="340" t="s">
        <v>2</v>
      </c>
      <c r="AE30" s="340" t="s">
        <v>2</v>
      </c>
      <c r="AF30" s="340" t="s">
        <v>2</v>
      </c>
      <c r="AG30" s="341" t="s">
        <v>2</v>
      </c>
      <c r="AH30" s="340" t="s">
        <v>2</v>
      </c>
      <c r="AI30" s="340" t="s">
        <v>2</v>
      </c>
      <c r="AJ30" s="340">
        <v>0</v>
      </c>
      <c r="AK30" s="340" t="s">
        <v>2</v>
      </c>
      <c r="AL30" s="341" t="s">
        <v>2</v>
      </c>
      <c r="AM30" s="340" t="s">
        <v>2</v>
      </c>
      <c r="AN30" s="340" t="s">
        <v>2</v>
      </c>
      <c r="AO30" s="341" t="s">
        <v>2</v>
      </c>
      <c r="AP30" s="340">
        <v>14.8</v>
      </c>
      <c r="AQ30" s="340" t="s">
        <v>2</v>
      </c>
      <c r="AR30" s="340" t="s">
        <v>2</v>
      </c>
      <c r="AS30" s="340" t="s">
        <v>2</v>
      </c>
      <c r="AT30" s="340" t="s">
        <v>2</v>
      </c>
      <c r="AU30" s="340" t="s">
        <v>2</v>
      </c>
      <c r="AV30" s="341" t="s">
        <v>2</v>
      </c>
      <c r="AW30" s="340" t="s">
        <v>2</v>
      </c>
      <c r="AX30" s="340" t="s">
        <v>2</v>
      </c>
      <c r="AY30" s="340" t="s">
        <v>2</v>
      </c>
      <c r="AZ30" s="341" t="s">
        <v>2</v>
      </c>
      <c r="BA30" s="340" t="s">
        <v>2</v>
      </c>
      <c r="BB30" s="340" t="s">
        <v>2</v>
      </c>
      <c r="BC30" s="340" t="s">
        <v>2</v>
      </c>
      <c r="BD30" s="340" t="s">
        <v>2</v>
      </c>
      <c r="BE30" s="340" t="s">
        <v>2</v>
      </c>
      <c r="BF30" s="341" t="s">
        <v>2</v>
      </c>
      <c r="BG30" s="342">
        <v>0.03</v>
      </c>
      <c r="BH30" s="342">
        <v>2.83</v>
      </c>
      <c r="BI30" s="340" t="s">
        <v>2</v>
      </c>
      <c r="BJ30" s="340" t="s">
        <v>2</v>
      </c>
      <c r="BK30" s="340" t="s">
        <v>2</v>
      </c>
      <c r="BL30" s="340" t="s">
        <v>2</v>
      </c>
      <c r="BM30" s="340" t="s">
        <v>2</v>
      </c>
      <c r="BN30" s="340" t="s">
        <v>2</v>
      </c>
      <c r="BO30" s="340" t="s">
        <v>2</v>
      </c>
      <c r="BP30" s="340" t="s">
        <v>2</v>
      </c>
      <c r="BQ30" s="340" t="s">
        <v>2</v>
      </c>
      <c r="BR30" s="340" t="s">
        <v>2</v>
      </c>
      <c r="BS30" s="340" t="s">
        <v>2</v>
      </c>
      <c r="BT30" s="340" t="s">
        <v>2</v>
      </c>
      <c r="BU30" s="340" t="s">
        <v>2</v>
      </c>
      <c r="BV30" s="340" t="s">
        <v>2</v>
      </c>
      <c r="BW30" s="340" t="s">
        <v>2</v>
      </c>
      <c r="BX30" s="340" t="s">
        <v>2</v>
      </c>
      <c r="BY30" s="340" t="s">
        <v>2</v>
      </c>
      <c r="BZ30" s="341" t="s">
        <v>2</v>
      </c>
      <c r="CA30" s="340">
        <v>63.2</v>
      </c>
      <c r="CB30" s="340" t="s">
        <v>2</v>
      </c>
      <c r="CC30" s="340" t="s">
        <v>2</v>
      </c>
      <c r="CD30" s="340" t="s">
        <v>2</v>
      </c>
      <c r="CE30" s="340" t="s">
        <v>2</v>
      </c>
      <c r="CF30" s="340" t="s">
        <v>2</v>
      </c>
      <c r="CG30" s="341" t="s">
        <v>2</v>
      </c>
      <c r="CH30" s="340" t="s">
        <v>2</v>
      </c>
      <c r="CI30" s="341" t="s">
        <v>2</v>
      </c>
      <c r="CJ30" s="340" t="s">
        <v>2</v>
      </c>
      <c r="CK30" s="340" t="s">
        <v>2</v>
      </c>
      <c r="CL30" s="340" t="s">
        <v>2</v>
      </c>
      <c r="CM30" s="340" t="s">
        <v>2</v>
      </c>
      <c r="CN30" s="341" t="s">
        <v>2</v>
      </c>
      <c r="CO30" s="341" t="s">
        <v>2</v>
      </c>
    </row>
    <row r="31" spans="1:93" x14ac:dyDescent="0.25">
      <c r="A31" s="341">
        <v>14053</v>
      </c>
      <c r="B31" s="352" t="s">
        <v>1853</v>
      </c>
      <c r="C31" s="352"/>
      <c r="D31" s="293">
        <v>14</v>
      </c>
      <c r="E31" s="349">
        <v>0</v>
      </c>
      <c r="F31" s="342">
        <v>369</v>
      </c>
      <c r="G31" s="342">
        <f t="shared" si="1"/>
        <v>1542.4199999999998</v>
      </c>
      <c r="H31" s="342">
        <v>1.8</v>
      </c>
      <c r="I31" s="339">
        <v>3.85</v>
      </c>
      <c r="J31" s="339">
        <v>0.115</v>
      </c>
      <c r="K31" s="339">
        <v>88.3</v>
      </c>
      <c r="L31" s="339">
        <v>0.67600000000000005</v>
      </c>
      <c r="M31" s="354" t="s">
        <v>2</v>
      </c>
      <c r="N31" s="340">
        <v>25.3</v>
      </c>
      <c r="O31" s="340" t="s">
        <v>2</v>
      </c>
      <c r="P31" s="340">
        <v>0.57999999999999996</v>
      </c>
      <c r="Q31" s="340" t="s">
        <v>2</v>
      </c>
      <c r="R31" s="340">
        <v>141</v>
      </c>
      <c r="S31" s="340">
        <v>1757</v>
      </c>
      <c r="T31" s="340" t="s">
        <v>2</v>
      </c>
      <c r="U31" s="340" t="s">
        <v>2</v>
      </c>
      <c r="V31" s="340" t="s">
        <v>2</v>
      </c>
      <c r="W31" s="341" t="s">
        <v>2</v>
      </c>
      <c r="X31" s="339" t="s">
        <v>2</v>
      </c>
      <c r="Y31" s="347" t="s">
        <v>2</v>
      </c>
      <c r="Z31" s="347" t="s">
        <v>2</v>
      </c>
      <c r="AA31" s="347" t="s">
        <v>2</v>
      </c>
      <c r="AB31" s="340" t="s">
        <v>2</v>
      </c>
      <c r="AC31" s="340" t="s">
        <v>2</v>
      </c>
      <c r="AD31" s="340" t="s">
        <v>2</v>
      </c>
      <c r="AE31" s="340" t="s">
        <v>2</v>
      </c>
      <c r="AF31" s="340" t="s">
        <v>2</v>
      </c>
      <c r="AG31" s="341" t="s">
        <v>2</v>
      </c>
      <c r="AH31" s="340" t="s">
        <v>2</v>
      </c>
      <c r="AI31" s="340" t="s">
        <v>2</v>
      </c>
      <c r="AJ31" s="340">
        <v>0</v>
      </c>
      <c r="AK31" s="340" t="s">
        <v>2</v>
      </c>
      <c r="AL31" s="341" t="s">
        <v>2</v>
      </c>
      <c r="AM31" s="340" t="s">
        <v>2</v>
      </c>
      <c r="AN31" s="340" t="s">
        <v>2</v>
      </c>
      <c r="AO31" s="341" t="s">
        <v>2</v>
      </c>
      <c r="AP31" s="340">
        <v>0.04</v>
      </c>
      <c r="AQ31" s="340" t="s">
        <v>2</v>
      </c>
      <c r="AR31" s="340" t="s">
        <v>2</v>
      </c>
      <c r="AS31" s="340" t="s">
        <v>2</v>
      </c>
      <c r="AT31" s="340" t="s">
        <v>2</v>
      </c>
      <c r="AU31" s="340" t="s">
        <v>2</v>
      </c>
      <c r="AV31" s="341" t="s">
        <v>2</v>
      </c>
      <c r="AW31" s="340" t="s">
        <v>2</v>
      </c>
      <c r="AX31" s="340" t="s">
        <v>2</v>
      </c>
      <c r="AY31" s="340" t="s">
        <v>2</v>
      </c>
      <c r="AZ31" s="341" t="s">
        <v>2</v>
      </c>
      <c r="BA31" s="340" t="s">
        <v>2</v>
      </c>
      <c r="BB31" s="340" t="s">
        <v>2</v>
      </c>
      <c r="BC31" s="340" t="s">
        <v>2</v>
      </c>
      <c r="BD31" s="340" t="s">
        <v>2</v>
      </c>
      <c r="BE31" s="340" t="s">
        <v>2</v>
      </c>
      <c r="BF31" s="341" t="s">
        <v>2</v>
      </c>
      <c r="BG31" s="342">
        <v>0</v>
      </c>
      <c r="BH31" s="342">
        <v>0</v>
      </c>
      <c r="BI31" s="340" t="s">
        <v>2</v>
      </c>
      <c r="BJ31" s="340" t="s">
        <v>2</v>
      </c>
      <c r="BK31" s="340" t="s">
        <v>2</v>
      </c>
      <c r="BL31" s="340" t="s">
        <v>2</v>
      </c>
      <c r="BM31" s="340" t="s">
        <v>2</v>
      </c>
      <c r="BN31" s="340" t="s">
        <v>2</v>
      </c>
      <c r="BO31" s="340" t="s">
        <v>2</v>
      </c>
      <c r="BP31" s="340" t="s">
        <v>2</v>
      </c>
      <c r="BQ31" s="340" t="s">
        <v>2</v>
      </c>
      <c r="BR31" s="340" t="s">
        <v>2</v>
      </c>
      <c r="BS31" s="340" t="s">
        <v>2</v>
      </c>
      <c r="BT31" s="340" t="s">
        <v>2</v>
      </c>
      <c r="BU31" s="340" t="s">
        <v>2</v>
      </c>
      <c r="BV31" s="340" t="s">
        <v>2</v>
      </c>
      <c r="BW31" s="340" t="s">
        <v>2</v>
      </c>
      <c r="BX31" s="340" t="s">
        <v>2</v>
      </c>
      <c r="BY31" s="340" t="s">
        <v>2</v>
      </c>
      <c r="BZ31" s="341" t="s">
        <v>2</v>
      </c>
      <c r="CA31" s="340">
        <v>68.7</v>
      </c>
      <c r="CB31" s="340" t="s">
        <v>2</v>
      </c>
      <c r="CC31" s="340" t="s">
        <v>2</v>
      </c>
      <c r="CD31" s="340" t="s">
        <v>2</v>
      </c>
      <c r="CE31" s="340" t="s">
        <v>2</v>
      </c>
      <c r="CF31" s="340" t="s">
        <v>2</v>
      </c>
      <c r="CG31" s="341" t="s">
        <v>2</v>
      </c>
      <c r="CH31" s="340" t="s">
        <v>2</v>
      </c>
      <c r="CI31" s="341" t="s">
        <v>2</v>
      </c>
      <c r="CJ31" s="340" t="s">
        <v>2</v>
      </c>
      <c r="CK31" s="340" t="s">
        <v>2</v>
      </c>
      <c r="CL31" s="340" t="s">
        <v>2</v>
      </c>
      <c r="CM31" s="340" t="s">
        <v>2</v>
      </c>
      <c r="CN31" s="341" t="s">
        <v>2</v>
      </c>
      <c r="CO31" s="341" t="s">
        <v>2</v>
      </c>
    </row>
    <row r="32" spans="1:93" x14ac:dyDescent="0.25">
      <c r="A32" s="316">
        <v>16001</v>
      </c>
      <c r="B32" s="317" t="s">
        <v>1854</v>
      </c>
      <c r="C32" s="318" t="s">
        <v>1854</v>
      </c>
      <c r="D32" s="293">
        <v>16</v>
      </c>
      <c r="E32" s="349">
        <v>0</v>
      </c>
      <c r="F32" s="320">
        <v>264</v>
      </c>
      <c r="G32" s="300">
        <v>1103.52</v>
      </c>
      <c r="H32" s="321">
        <v>44.53</v>
      </c>
      <c r="I32" s="322">
        <v>12.92</v>
      </c>
      <c r="J32" s="323">
        <v>10.09</v>
      </c>
      <c r="K32" s="323">
        <v>30.28</v>
      </c>
      <c r="L32" s="323">
        <v>1.3</v>
      </c>
      <c r="M32" s="324">
        <v>2.1800000000000002</v>
      </c>
      <c r="N32" s="325">
        <v>127</v>
      </c>
      <c r="O32" s="326">
        <v>107</v>
      </c>
      <c r="P32" s="323">
        <v>2.87</v>
      </c>
      <c r="Q32" s="323">
        <v>1.95</v>
      </c>
      <c r="R32" s="315">
        <v>494</v>
      </c>
      <c r="S32" s="326">
        <v>192</v>
      </c>
      <c r="T32" s="326">
        <v>21</v>
      </c>
      <c r="U32" s="327">
        <v>0.32200000000000001</v>
      </c>
      <c r="V32" s="327">
        <v>96</v>
      </c>
      <c r="W32" s="324">
        <v>26.2</v>
      </c>
      <c r="X32" s="328">
        <v>0.6</v>
      </c>
      <c r="Y32" s="327">
        <v>0.247</v>
      </c>
      <c r="Z32" s="327">
        <v>0.23899999999999999</v>
      </c>
      <c r="AA32" s="327">
        <v>4.5439999999999996</v>
      </c>
      <c r="AB32" s="327" t="s">
        <v>2</v>
      </c>
      <c r="AC32" s="327" t="s">
        <v>2</v>
      </c>
      <c r="AD32" s="326">
        <v>64</v>
      </c>
      <c r="AE32" s="326" t="s">
        <v>2</v>
      </c>
      <c r="AF32" s="323" t="s">
        <v>2</v>
      </c>
      <c r="AG32" s="324">
        <v>0.83</v>
      </c>
      <c r="AH32" s="320" t="s">
        <v>2</v>
      </c>
      <c r="AI32" s="320">
        <v>16.5</v>
      </c>
      <c r="AJ32" s="323" t="s">
        <v>2</v>
      </c>
      <c r="AK32" s="323" t="s">
        <v>2</v>
      </c>
      <c r="AL32" s="324" t="s">
        <v>2</v>
      </c>
      <c r="AM32" s="325" t="s">
        <v>2</v>
      </c>
      <c r="AN32" s="326" t="s">
        <v>2</v>
      </c>
      <c r="AO32" s="329" t="s">
        <v>2</v>
      </c>
      <c r="AP32" s="322">
        <v>3.504</v>
      </c>
      <c r="AQ32" s="327">
        <v>1.9279999999999999</v>
      </c>
      <c r="AR32" s="327">
        <v>9.5000000000000001E-2</v>
      </c>
      <c r="AS32" s="327">
        <v>1.179</v>
      </c>
      <c r="AT32" s="327">
        <v>1.4999999999999999E-2</v>
      </c>
      <c r="AU32" s="327">
        <v>0.01</v>
      </c>
      <c r="AV32" s="330">
        <v>5.0000000000000001E-3</v>
      </c>
      <c r="AW32" s="328">
        <v>3.7679999999999998</v>
      </c>
      <c r="AX32" s="327">
        <v>6.6000000000000003E-2</v>
      </c>
      <c r="AY32" s="327">
        <v>0.25900000000000001</v>
      </c>
      <c r="AZ32" s="330">
        <v>3.335</v>
      </c>
      <c r="BA32" s="331">
        <v>1.42</v>
      </c>
      <c r="BB32" s="332">
        <v>1.234</v>
      </c>
      <c r="BC32" s="332">
        <v>0.13800000000000001</v>
      </c>
      <c r="BD32" s="332">
        <v>1.7000000000000001E-2</v>
      </c>
      <c r="BE32" s="332">
        <v>2E-3</v>
      </c>
      <c r="BF32" s="333">
        <v>0</v>
      </c>
      <c r="BG32" s="319">
        <v>0.42799999999999999</v>
      </c>
      <c r="BH32" s="319">
        <v>27</v>
      </c>
      <c r="BI32" s="325" t="s">
        <v>2</v>
      </c>
      <c r="BJ32" s="326" t="s">
        <v>2</v>
      </c>
      <c r="BK32" s="326" t="s">
        <v>2</v>
      </c>
      <c r="BL32" s="326" t="s">
        <v>2</v>
      </c>
      <c r="BM32" s="326" t="s">
        <v>2</v>
      </c>
      <c r="BN32" s="326" t="s">
        <v>2</v>
      </c>
      <c r="BO32" s="326" t="s">
        <v>2</v>
      </c>
      <c r="BP32" s="326" t="s">
        <v>2</v>
      </c>
      <c r="BQ32" s="326" t="s">
        <v>2</v>
      </c>
      <c r="BR32" s="326" t="s">
        <v>2</v>
      </c>
      <c r="BS32" s="326" t="s">
        <v>2</v>
      </c>
      <c r="BT32" s="326" t="s">
        <v>2</v>
      </c>
      <c r="BU32" s="326" t="s">
        <v>2</v>
      </c>
      <c r="BV32" s="326" t="s">
        <v>2</v>
      </c>
      <c r="BW32" s="326" t="s">
        <v>2</v>
      </c>
      <c r="BX32" s="326" t="s">
        <v>2</v>
      </c>
      <c r="BY32" s="326" t="s">
        <v>2</v>
      </c>
      <c r="BZ32" s="329" t="s">
        <v>2</v>
      </c>
      <c r="CA32" s="328">
        <v>6.03</v>
      </c>
      <c r="CB32" s="323">
        <v>0</v>
      </c>
      <c r="CC32" s="323">
        <v>0.63</v>
      </c>
      <c r="CD32" s="323">
        <v>0</v>
      </c>
      <c r="CE32" s="323">
        <v>3.3</v>
      </c>
      <c r="CF32" s="323">
        <v>2.1</v>
      </c>
      <c r="CG32" s="324">
        <v>0</v>
      </c>
      <c r="CH32" s="326" t="s">
        <v>2</v>
      </c>
      <c r="CI32" s="329" t="s">
        <v>2</v>
      </c>
      <c r="CJ32" s="328" t="s">
        <v>2</v>
      </c>
      <c r="CK32" s="323" t="s">
        <v>2</v>
      </c>
      <c r="CL32" s="323" t="s">
        <v>2</v>
      </c>
      <c r="CM32" s="324" t="s">
        <v>2</v>
      </c>
      <c r="CN32" s="319" t="s">
        <v>2</v>
      </c>
      <c r="CO32" s="319" t="s">
        <v>2</v>
      </c>
    </row>
    <row r="33" spans="1:93" x14ac:dyDescent="0.25">
      <c r="A33" s="316">
        <v>16002</v>
      </c>
      <c r="B33" s="317" t="s">
        <v>1855</v>
      </c>
      <c r="C33" s="318" t="s">
        <v>1856</v>
      </c>
      <c r="D33" s="293">
        <v>16</v>
      </c>
      <c r="E33" s="349">
        <v>0</v>
      </c>
      <c r="F33" s="320">
        <v>232</v>
      </c>
      <c r="G33" s="300">
        <v>969.76</v>
      </c>
      <c r="H33" s="321" t="s">
        <v>2</v>
      </c>
      <c r="I33" s="322">
        <v>11</v>
      </c>
      <c r="J33" s="323">
        <v>13</v>
      </c>
      <c r="K33" s="323">
        <v>19</v>
      </c>
      <c r="L33" s="323">
        <v>1.8</v>
      </c>
      <c r="M33" s="324" t="s">
        <v>2</v>
      </c>
      <c r="N33" s="325">
        <v>39</v>
      </c>
      <c r="O33" s="326" t="s">
        <v>2</v>
      </c>
      <c r="P33" s="323">
        <v>4.4000000000000004</v>
      </c>
      <c r="Q33" s="323" t="s">
        <v>2</v>
      </c>
      <c r="R33" s="315">
        <v>313</v>
      </c>
      <c r="S33" s="326">
        <v>169</v>
      </c>
      <c r="T33" s="326">
        <v>18</v>
      </c>
      <c r="U33" s="327" t="s">
        <v>2</v>
      </c>
      <c r="V33" s="327" t="s">
        <v>2</v>
      </c>
      <c r="W33" s="324" t="s">
        <v>2</v>
      </c>
      <c r="X33" s="328">
        <v>0.2</v>
      </c>
      <c r="Y33" s="327" t="s">
        <v>2</v>
      </c>
      <c r="Z33" s="327" t="s">
        <v>2</v>
      </c>
      <c r="AA33" s="327" t="s">
        <v>2</v>
      </c>
      <c r="AB33" s="327" t="s">
        <v>2</v>
      </c>
      <c r="AC33" s="327">
        <v>0.1</v>
      </c>
      <c r="AD33" s="326" t="s">
        <v>2</v>
      </c>
      <c r="AE33" s="326" t="s">
        <v>2</v>
      </c>
      <c r="AF33" s="323" t="s">
        <v>2</v>
      </c>
      <c r="AG33" s="324" t="s">
        <v>2</v>
      </c>
      <c r="AH33" s="320" t="s">
        <v>2</v>
      </c>
      <c r="AI33" s="320" t="s">
        <v>2</v>
      </c>
      <c r="AJ33" s="323" t="s">
        <v>2</v>
      </c>
      <c r="AK33" s="323" t="s">
        <v>2</v>
      </c>
      <c r="AL33" s="324" t="s">
        <v>2</v>
      </c>
      <c r="AM33" s="325" t="s">
        <v>2</v>
      </c>
      <c r="AN33" s="326" t="s">
        <v>2</v>
      </c>
      <c r="AO33" s="329" t="s">
        <v>2</v>
      </c>
      <c r="AP33" s="322" t="s">
        <v>2</v>
      </c>
      <c r="AQ33" s="327" t="s">
        <v>2</v>
      </c>
      <c r="AR33" s="327" t="s">
        <v>2</v>
      </c>
      <c r="AS33" s="327" t="s">
        <v>2</v>
      </c>
      <c r="AT33" s="327" t="s">
        <v>2</v>
      </c>
      <c r="AU33" s="327" t="s">
        <v>2</v>
      </c>
      <c r="AV33" s="330" t="s">
        <v>2</v>
      </c>
      <c r="AW33" s="328" t="s">
        <v>2</v>
      </c>
      <c r="AX33" s="327" t="s">
        <v>2</v>
      </c>
      <c r="AY33" s="327" t="s">
        <v>2</v>
      </c>
      <c r="AZ33" s="330" t="s">
        <v>2</v>
      </c>
      <c r="BA33" s="331" t="s">
        <v>2</v>
      </c>
      <c r="BB33" s="332" t="s">
        <v>2</v>
      </c>
      <c r="BC33" s="332" t="s">
        <v>2</v>
      </c>
      <c r="BD33" s="332" t="s">
        <v>2</v>
      </c>
      <c r="BE33" s="332" t="s">
        <v>2</v>
      </c>
      <c r="BF33" s="333" t="s">
        <v>2</v>
      </c>
      <c r="BG33" s="319">
        <v>0.5</v>
      </c>
      <c r="BH33" s="319">
        <v>30</v>
      </c>
      <c r="BI33" s="325" t="s">
        <v>2</v>
      </c>
      <c r="BJ33" s="326" t="s">
        <v>2</v>
      </c>
      <c r="BK33" s="326" t="s">
        <v>2</v>
      </c>
      <c r="BL33" s="326" t="s">
        <v>2</v>
      </c>
      <c r="BM33" s="326" t="s">
        <v>2</v>
      </c>
      <c r="BN33" s="326" t="s">
        <v>2</v>
      </c>
      <c r="BO33" s="326" t="s">
        <v>2</v>
      </c>
      <c r="BP33" s="326" t="s">
        <v>2</v>
      </c>
      <c r="BQ33" s="326" t="s">
        <v>2</v>
      </c>
      <c r="BR33" s="326" t="s">
        <v>2</v>
      </c>
      <c r="BS33" s="326" t="s">
        <v>2</v>
      </c>
      <c r="BT33" s="326" t="s">
        <v>2</v>
      </c>
      <c r="BU33" s="326" t="s">
        <v>2</v>
      </c>
      <c r="BV33" s="326" t="s">
        <v>2</v>
      </c>
      <c r="BW33" s="326" t="s">
        <v>2</v>
      </c>
      <c r="BX33" s="326" t="s">
        <v>2</v>
      </c>
      <c r="BY33" s="326" t="s">
        <v>2</v>
      </c>
      <c r="BZ33" s="329" t="s">
        <v>2</v>
      </c>
      <c r="CA33" s="328">
        <v>4.2</v>
      </c>
      <c r="CB33" s="323" t="s">
        <v>2</v>
      </c>
      <c r="CC33" s="323" t="s">
        <v>2</v>
      </c>
      <c r="CD33" s="323" t="s">
        <v>2</v>
      </c>
      <c r="CE33" s="323" t="s">
        <v>2</v>
      </c>
      <c r="CF33" s="323" t="s">
        <v>2</v>
      </c>
      <c r="CG33" s="324" t="s">
        <v>2</v>
      </c>
      <c r="CH33" s="326" t="s">
        <v>2</v>
      </c>
      <c r="CI33" s="329" t="s">
        <v>2</v>
      </c>
      <c r="CJ33" s="328" t="s">
        <v>2</v>
      </c>
      <c r="CK33" s="323" t="s">
        <v>2</v>
      </c>
      <c r="CL33" s="323" t="s">
        <v>2</v>
      </c>
      <c r="CM33" s="324" t="s">
        <v>2</v>
      </c>
      <c r="CN33" s="319" t="s">
        <v>2</v>
      </c>
      <c r="CO33" s="319" t="s">
        <v>2</v>
      </c>
    </row>
    <row r="34" spans="1:93" x14ac:dyDescent="0.25">
      <c r="A34" s="316">
        <v>16003</v>
      </c>
      <c r="B34" s="317" t="s">
        <v>1857</v>
      </c>
      <c r="C34" s="318" t="s">
        <v>1856</v>
      </c>
      <c r="D34" s="293">
        <v>16</v>
      </c>
      <c r="E34" s="349">
        <v>0</v>
      </c>
      <c r="F34" s="320">
        <v>261</v>
      </c>
      <c r="G34" s="300">
        <v>1090.98</v>
      </c>
      <c r="H34" s="321">
        <v>45.97</v>
      </c>
      <c r="I34" s="322">
        <v>14.85</v>
      </c>
      <c r="J34" s="323">
        <v>10.55</v>
      </c>
      <c r="K34" s="323">
        <v>26.76</v>
      </c>
      <c r="L34" s="323">
        <v>1</v>
      </c>
      <c r="M34" s="324">
        <v>1.87</v>
      </c>
      <c r="N34" s="325">
        <v>76</v>
      </c>
      <c r="O34" s="326">
        <v>126</v>
      </c>
      <c r="P34" s="323">
        <v>2.87</v>
      </c>
      <c r="Q34" s="323">
        <v>2.38</v>
      </c>
      <c r="R34" s="315">
        <v>461</v>
      </c>
      <c r="S34" s="326">
        <v>217</v>
      </c>
      <c r="T34" s="326">
        <v>25</v>
      </c>
      <c r="U34" s="327">
        <v>0.32700000000000001</v>
      </c>
      <c r="V34" s="327">
        <v>121</v>
      </c>
      <c r="W34" s="324">
        <v>24.9</v>
      </c>
      <c r="X34" s="328">
        <v>0.2</v>
      </c>
      <c r="Y34" s="327">
        <v>0.33400000000000002</v>
      </c>
      <c r="Z34" s="327">
        <v>0.22700000000000001</v>
      </c>
      <c r="AA34" s="327">
        <v>3.9470000000000001</v>
      </c>
      <c r="AB34" s="327">
        <v>0.222</v>
      </c>
      <c r="AC34" s="327">
        <v>0.10100000000000001</v>
      </c>
      <c r="AD34" s="326">
        <v>64</v>
      </c>
      <c r="AE34" s="326">
        <v>37</v>
      </c>
      <c r="AF34" s="323" t="s">
        <v>2</v>
      </c>
      <c r="AG34" s="324" t="s">
        <v>2</v>
      </c>
      <c r="AH34" s="320" t="s">
        <v>2</v>
      </c>
      <c r="AI34" s="320" t="s">
        <v>2</v>
      </c>
      <c r="AJ34" s="323" t="s">
        <v>2</v>
      </c>
      <c r="AK34" s="323">
        <v>0.04</v>
      </c>
      <c r="AL34" s="324">
        <v>5.5</v>
      </c>
      <c r="AM34" s="325" t="s">
        <v>2</v>
      </c>
      <c r="AN34" s="326" t="s">
        <v>2</v>
      </c>
      <c r="AO34" s="329" t="s">
        <v>2</v>
      </c>
      <c r="AP34" s="322">
        <v>3.8210000000000002</v>
      </c>
      <c r="AQ34" s="327">
        <v>2.0499999999999998</v>
      </c>
      <c r="AR34" s="327">
        <v>0.107</v>
      </c>
      <c r="AS34" s="327">
        <v>1.3320000000000001</v>
      </c>
      <c r="AT34" s="327">
        <v>1.018</v>
      </c>
      <c r="AU34" s="327">
        <v>8.9999999999999993E-3</v>
      </c>
      <c r="AV34" s="330">
        <v>5.0000000000000001E-3</v>
      </c>
      <c r="AW34" s="328">
        <v>4.2489999999999997</v>
      </c>
      <c r="AX34" s="327">
        <v>7.1999999999999995E-2</v>
      </c>
      <c r="AY34" s="327">
        <v>0.27500000000000002</v>
      </c>
      <c r="AZ34" s="330">
        <v>3.754</v>
      </c>
      <c r="BA34" s="331">
        <v>1.244</v>
      </c>
      <c r="BB34" s="332">
        <v>1.0820000000000001</v>
      </c>
      <c r="BC34" s="332">
        <v>0.107</v>
      </c>
      <c r="BD34" s="332">
        <v>1.7000000000000001E-2</v>
      </c>
      <c r="BE34" s="332">
        <v>3.0000000000000001E-3</v>
      </c>
      <c r="BF34" s="333">
        <v>1E-3</v>
      </c>
      <c r="BG34" s="319">
        <v>0.46700000000000003</v>
      </c>
      <c r="BH34" s="319">
        <v>35</v>
      </c>
      <c r="BI34" s="325" t="s">
        <v>2</v>
      </c>
      <c r="BJ34" s="326" t="s">
        <v>2</v>
      </c>
      <c r="BK34" s="326" t="s">
        <v>2</v>
      </c>
      <c r="BL34" s="326" t="s">
        <v>2</v>
      </c>
      <c r="BM34" s="326" t="s">
        <v>2</v>
      </c>
      <c r="BN34" s="326" t="s">
        <v>2</v>
      </c>
      <c r="BO34" s="326" t="s">
        <v>2</v>
      </c>
      <c r="BP34" s="326" t="s">
        <v>2</v>
      </c>
      <c r="BQ34" s="326" t="s">
        <v>2</v>
      </c>
      <c r="BR34" s="326" t="s">
        <v>2</v>
      </c>
      <c r="BS34" s="326" t="s">
        <v>2</v>
      </c>
      <c r="BT34" s="326" t="s">
        <v>2</v>
      </c>
      <c r="BU34" s="326" t="s">
        <v>2</v>
      </c>
      <c r="BV34" s="326" t="s">
        <v>2</v>
      </c>
      <c r="BW34" s="326" t="s">
        <v>2</v>
      </c>
      <c r="BX34" s="326" t="s">
        <v>2</v>
      </c>
      <c r="BY34" s="326" t="s">
        <v>2</v>
      </c>
      <c r="BZ34" s="329" t="s">
        <v>2</v>
      </c>
      <c r="CA34" s="328">
        <v>5.6</v>
      </c>
      <c r="CB34" s="323">
        <v>0</v>
      </c>
      <c r="CC34" s="323">
        <v>0.6</v>
      </c>
      <c r="CD34" s="323">
        <v>0</v>
      </c>
      <c r="CE34" s="323">
        <v>2.73</v>
      </c>
      <c r="CF34" s="323">
        <v>2.27</v>
      </c>
      <c r="CG34" s="324">
        <v>0</v>
      </c>
      <c r="CH34" s="326" t="s">
        <v>2</v>
      </c>
      <c r="CI34" s="329" t="s">
        <v>2</v>
      </c>
      <c r="CJ34" s="328" t="s">
        <v>2</v>
      </c>
      <c r="CK34" s="323" t="s">
        <v>2</v>
      </c>
      <c r="CL34" s="323" t="s">
        <v>2</v>
      </c>
      <c r="CM34" s="324" t="s">
        <v>2</v>
      </c>
      <c r="CN34" s="319" t="s">
        <v>2</v>
      </c>
      <c r="CO34" s="319" t="s">
        <v>2</v>
      </c>
    </row>
    <row r="35" spans="1:93" x14ac:dyDescent="0.25">
      <c r="A35" s="316">
        <v>16004</v>
      </c>
      <c r="B35" s="317" t="s">
        <v>1858</v>
      </c>
      <c r="C35" s="318" t="s">
        <v>1859</v>
      </c>
      <c r="D35" s="293">
        <v>16</v>
      </c>
      <c r="E35" s="349">
        <v>0</v>
      </c>
      <c r="F35" s="320">
        <v>129</v>
      </c>
      <c r="G35" s="300">
        <v>539.21999999999991</v>
      </c>
      <c r="H35" s="321">
        <v>61.12</v>
      </c>
      <c r="I35" s="322">
        <v>0.63</v>
      </c>
      <c r="J35" s="323">
        <v>0.54</v>
      </c>
      <c r="K35" s="323">
        <v>34.479999999999997</v>
      </c>
      <c r="L35" s="323">
        <v>3.2</v>
      </c>
      <c r="M35" s="324">
        <v>3.22</v>
      </c>
      <c r="N35" s="325">
        <v>4</v>
      </c>
      <c r="O35" s="326">
        <v>17</v>
      </c>
      <c r="P35" s="323">
        <v>1.1399999999999999</v>
      </c>
      <c r="Q35" s="323">
        <v>0.11</v>
      </c>
      <c r="R35" s="315">
        <v>1096</v>
      </c>
      <c r="S35" s="326">
        <v>76</v>
      </c>
      <c r="T35" s="326">
        <v>7</v>
      </c>
      <c r="U35" s="327">
        <v>1.4999999999999999E-2</v>
      </c>
      <c r="V35" s="327">
        <v>83</v>
      </c>
      <c r="W35" s="324">
        <v>0</v>
      </c>
      <c r="X35" s="328">
        <v>2.2999999999999998</v>
      </c>
      <c r="Y35" s="327">
        <v>0.02</v>
      </c>
      <c r="Z35" s="327">
        <v>4.2000000000000003E-2</v>
      </c>
      <c r="AA35" s="327">
        <v>0.61699999999999999</v>
      </c>
      <c r="AB35" s="327">
        <v>7.0000000000000001E-3</v>
      </c>
      <c r="AC35" s="327">
        <v>1.4999999999999999E-2</v>
      </c>
      <c r="AD35" s="326">
        <v>1</v>
      </c>
      <c r="AE35" s="326">
        <v>0</v>
      </c>
      <c r="AF35" s="323" t="s">
        <v>2</v>
      </c>
      <c r="AG35" s="324">
        <v>0</v>
      </c>
      <c r="AH35" s="320" t="s">
        <v>2</v>
      </c>
      <c r="AI35" s="320">
        <v>13</v>
      </c>
      <c r="AJ35" s="323">
        <v>0</v>
      </c>
      <c r="AK35" s="323" t="s">
        <v>2</v>
      </c>
      <c r="AL35" s="324" t="s">
        <v>2</v>
      </c>
      <c r="AM35" s="325" t="s">
        <v>2</v>
      </c>
      <c r="AN35" s="326" t="s">
        <v>2</v>
      </c>
      <c r="AO35" s="329" t="s">
        <v>2</v>
      </c>
      <c r="AP35" s="322">
        <v>5.1999999999999998E-2</v>
      </c>
      <c r="AQ35" s="327">
        <v>4.2999999999999997E-2</v>
      </c>
      <c r="AR35" s="327" t="s">
        <v>2</v>
      </c>
      <c r="AS35" s="327">
        <v>7.0000000000000001E-3</v>
      </c>
      <c r="AT35" s="327" t="s">
        <v>2</v>
      </c>
      <c r="AU35" s="327" t="s">
        <v>2</v>
      </c>
      <c r="AV35" s="330" t="s">
        <v>2</v>
      </c>
      <c r="AW35" s="328">
        <v>0.26900000000000002</v>
      </c>
      <c r="AX35" s="327" t="s">
        <v>2</v>
      </c>
      <c r="AY35" s="327">
        <v>1E-3</v>
      </c>
      <c r="AZ35" s="330">
        <v>0.107</v>
      </c>
      <c r="BA35" s="331">
        <v>0.13100000000000001</v>
      </c>
      <c r="BB35" s="332">
        <v>6.7000000000000004E-2</v>
      </c>
      <c r="BC35" s="332">
        <v>6.4000000000000001E-2</v>
      </c>
      <c r="BD35" s="332" t="s">
        <v>2</v>
      </c>
      <c r="BE35" s="332" t="s">
        <v>2</v>
      </c>
      <c r="BF35" s="333" t="s">
        <v>2</v>
      </c>
      <c r="BG35" s="319">
        <v>0</v>
      </c>
      <c r="BH35" s="319">
        <v>0</v>
      </c>
      <c r="BI35" s="325">
        <v>28</v>
      </c>
      <c r="BJ35" s="326">
        <v>7</v>
      </c>
      <c r="BK35" s="326">
        <v>7</v>
      </c>
      <c r="BL35" s="326">
        <v>19</v>
      </c>
      <c r="BM35" s="326">
        <v>19</v>
      </c>
      <c r="BN35" s="326">
        <v>22</v>
      </c>
      <c r="BO35" s="326">
        <v>30</v>
      </c>
      <c r="BP35" s="326">
        <v>21</v>
      </c>
      <c r="BQ35" s="326">
        <v>42</v>
      </c>
      <c r="BR35" s="326">
        <v>12</v>
      </c>
      <c r="BS35" s="326">
        <v>7</v>
      </c>
      <c r="BT35" s="326">
        <v>12</v>
      </c>
      <c r="BU35" s="326">
        <v>22</v>
      </c>
      <c r="BV35" s="326">
        <v>38</v>
      </c>
      <c r="BW35" s="326">
        <v>147</v>
      </c>
      <c r="BX35" s="326">
        <v>24</v>
      </c>
      <c r="BY35" s="326">
        <v>23</v>
      </c>
      <c r="BZ35" s="329">
        <v>20</v>
      </c>
      <c r="CA35" s="328" t="s">
        <v>2</v>
      </c>
      <c r="CB35" s="323" t="s">
        <v>2</v>
      </c>
      <c r="CC35" s="323" t="s">
        <v>2</v>
      </c>
      <c r="CD35" s="323" t="s">
        <v>2</v>
      </c>
      <c r="CE35" s="323" t="s">
        <v>2</v>
      </c>
      <c r="CF35" s="323" t="s">
        <v>2</v>
      </c>
      <c r="CG35" s="324" t="s">
        <v>2</v>
      </c>
      <c r="CH35" s="326" t="s">
        <v>2</v>
      </c>
      <c r="CI35" s="329" t="s">
        <v>2</v>
      </c>
      <c r="CJ35" s="328" t="s">
        <v>2</v>
      </c>
      <c r="CK35" s="323" t="s">
        <v>2</v>
      </c>
      <c r="CL35" s="323" t="s">
        <v>2</v>
      </c>
      <c r="CM35" s="324" t="s">
        <v>2</v>
      </c>
      <c r="CN35" s="319" t="s">
        <v>2</v>
      </c>
      <c r="CO35" s="319" t="s">
        <v>2</v>
      </c>
    </row>
    <row r="36" spans="1:93" x14ac:dyDescent="0.25">
      <c r="A36" s="316">
        <v>16005</v>
      </c>
      <c r="B36" s="317" t="s">
        <v>1860</v>
      </c>
      <c r="C36" s="318" t="s">
        <v>1861</v>
      </c>
      <c r="D36" s="293">
        <v>16</v>
      </c>
      <c r="E36" s="349">
        <v>0</v>
      </c>
      <c r="F36" s="320">
        <v>263</v>
      </c>
      <c r="G36" s="300">
        <v>1099.3399999999999</v>
      </c>
      <c r="H36" s="321">
        <v>38</v>
      </c>
      <c r="I36" s="322">
        <v>9.6</v>
      </c>
      <c r="J36" s="323">
        <v>6</v>
      </c>
      <c r="K36" s="323">
        <v>44.6</v>
      </c>
      <c r="L36" s="323">
        <v>1.8</v>
      </c>
      <c r="M36" s="324">
        <v>1.8</v>
      </c>
      <c r="N36" s="325">
        <v>95</v>
      </c>
      <c r="O36" s="326">
        <v>122</v>
      </c>
      <c r="P36" s="323">
        <v>3.95</v>
      </c>
      <c r="Q36" s="323">
        <v>1.05</v>
      </c>
      <c r="R36" s="315">
        <v>458</v>
      </c>
      <c r="S36" s="326">
        <v>160</v>
      </c>
      <c r="T36" s="326">
        <v>44</v>
      </c>
      <c r="U36" s="327">
        <v>1.0149999999999999</v>
      </c>
      <c r="V36" s="327">
        <v>216</v>
      </c>
      <c r="W36" s="324">
        <v>31.8</v>
      </c>
      <c r="X36" s="328">
        <v>0</v>
      </c>
      <c r="Y36" s="327">
        <v>0.46300000000000002</v>
      </c>
      <c r="Z36" s="327">
        <v>0.31</v>
      </c>
      <c r="AA36" s="327">
        <v>4.468</v>
      </c>
      <c r="AB36" s="327">
        <v>0.49199999999999999</v>
      </c>
      <c r="AC36" s="327">
        <v>9.1999999999999998E-2</v>
      </c>
      <c r="AD36" s="326">
        <v>111</v>
      </c>
      <c r="AE36" s="326">
        <v>86</v>
      </c>
      <c r="AF36" s="323" t="s">
        <v>2</v>
      </c>
      <c r="AG36" s="324">
        <v>0.01</v>
      </c>
      <c r="AH36" s="320" t="s">
        <v>2</v>
      </c>
      <c r="AI36" s="320">
        <v>0</v>
      </c>
      <c r="AJ36" s="323">
        <v>0</v>
      </c>
      <c r="AK36" s="323">
        <v>7.0000000000000007E-2</v>
      </c>
      <c r="AL36" s="324">
        <v>3.1</v>
      </c>
      <c r="AM36" s="325">
        <v>0</v>
      </c>
      <c r="AN36" s="326">
        <v>0</v>
      </c>
      <c r="AO36" s="329">
        <v>0</v>
      </c>
      <c r="AP36" s="322">
        <v>1.39</v>
      </c>
      <c r="AQ36" s="327">
        <v>0.78100000000000003</v>
      </c>
      <c r="AR36" s="327" t="s">
        <v>2</v>
      </c>
      <c r="AS36" s="327">
        <v>0.57199999999999995</v>
      </c>
      <c r="AT36" s="327" t="s">
        <v>2</v>
      </c>
      <c r="AU36" s="327" t="s">
        <v>2</v>
      </c>
      <c r="AV36" s="330" t="s">
        <v>2</v>
      </c>
      <c r="AW36" s="328">
        <v>2.839</v>
      </c>
      <c r="AX36" s="327" t="s">
        <v>2</v>
      </c>
      <c r="AY36" s="327">
        <v>1.2999999999999999E-2</v>
      </c>
      <c r="AZ36" s="330">
        <v>2.8250000000000002</v>
      </c>
      <c r="BA36" s="331">
        <v>1.153</v>
      </c>
      <c r="BB36" s="332">
        <v>1.087</v>
      </c>
      <c r="BC36" s="332">
        <v>6.6000000000000003E-2</v>
      </c>
      <c r="BD36" s="332">
        <v>0</v>
      </c>
      <c r="BE36" s="332">
        <v>0</v>
      </c>
      <c r="BF36" s="333">
        <v>0</v>
      </c>
      <c r="BG36" s="319" t="s">
        <v>2</v>
      </c>
      <c r="BH36" s="319">
        <v>0</v>
      </c>
      <c r="BI36" s="325">
        <v>254</v>
      </c>
      <c r="BJ36" s="326">
        <v>161</v>
      </c>
      <c r="BK36" s="326">
        <v>121</v>
      </c>
      <c r="BL36" s="326">
        <v>459</v>
      </c>
      <c r="BM36" s="326">
        <v>282</v>
      </c>
      <c r="BN36" s="326">
        <v>425</v>
      </c>
      <c r="BO36" s="326">
        <v>655</v>
      </c>
      <c r="BP36" s="326">
        <v>357</v>
      </c>
      <c r="BQ36" s="326">
        <v>405</v>
      </c>
      <c r="BR36" s="326">
        <v>212</v>
      </c>
      <c r="BS36" s="326">
        <v>214</v>
      </c>
      <c r="BT36" s="326">
        <v>264</v>
      </c>
      <c r="BU36" s="326">
        <v>342</v>
      </c>
      <c r="BV36" s="326">
        <v>491</v>
      </c>
      <c r="BW36" s="326">
        <v>3015</v>
      </c>
      <c r="BX36" s="326">
        <v>371</v>
      </c>
      <c r="BY36" s="326">
        <v>103</v>
      </c>
      <c r="BZ36" s="329">
        <v>458</v>
      </c>
      <c r="CA36" s="328">
        <v>6.25</v>
      </c>
      <c r="CB36" s="323" t="s">
        <v>2</v>
      </c>
      <c r="CC36" s="323" t="s">
        <v>2</v>
      </c>
      <c r="CD36" s="323" t="s">
        <v>2</v>
      </c>
      <c r="CE36" s="323" t="s">
        <v>2</v>
      </c>
      <c r="CF36" s="323" t="s">
        <v>2</v>
      </c>
      <c r="CG36" s="324" t="s">
        <v>2</v>
      </c>
      <c r="CH36" s="326">
        <v>0</v>
      </c>
      <c r="CI36" s="329">
        <v>45</v>
      </c>
      <c r="CJ36" s="328" t="s">
        <v>2</v>
      </c>
      <c r="CK36" s="323" t="s">
        <v>2</v>
      </c>
      <c r="CL36" s="323" t="s">
        <v>2</v>
      </c>
      <c r="CM36" s="324" t="s">
        <v>2</v>
      </c>
      <c r="CN36" s="319" t="s">
        <v>2</v>
      </c>
      <c r="CO36" s="319" t="s">
        <v>2</v>
      </c>
    </row>
    <row r="37" spans="1:93" x14ac:dyDescent="0.25">
      <c r="A37" s="316">
        <v>16006</v>
      </c>
      <c r="B37" s="317" t="s">
        <v>1862</v>
      </c>
      <c r="C37" s="318" t="s">
        <v>1863</v>
      </c>
      <c r="D37" s="293">
        <v>16</v>
      </c>
      <c r="E37" s="349">
        <v>0</v>
      </c>
      <c r="F37" s="320">
        <v>170</v>
      </c>
      <c r="G37" s="300">
        <v>710.59999999999991</v>
      </c>
      <c r="H37" s="321">
        <v>64.78</v>
      </c>
      <c r="I37" s="322">
        <v>26</v>
      </c>
      <c r="J37" s="323">
        <v>7.4</v>
      </c>
      <c r="K37" s="323">
        <v>0</v>
      </c>
      <c r="L37" s="323">
        <v>0</v>
      </c>
      <c r="M37" s="324">
        <v>2.09</v>
      </c>
      <c r="N37" s="325">
        <v>16</v>
      </c>
      <c r="O37" s="326">
        <v>224</v>
      </c>
      <c r="P37" s="323">
        <v>1.05</v>
      </c>
      <c r="Q37" s="323">
        <v>2.5099999999999998</v>
      </c>
      <c r="R37" s="315">
        <v>526</v>
      </c>
      <c r="S37" s="326">
        <v>273</v>
      </c>
      <c r="T37" s="326">
        <v>23</v>
      </c>
      <c r="U37" s="327">
        <v>0.06</v>
      </c>
      <c r="V37" s="327">
        <v>0.08</v>
      </c>
      <c r="W37" s="324">
        <v>30.9</v>
      </c>
      <c r="X37" s="328">
        <v>0</v>
      </c>
      <c r="Y37" s="327" t="s">
        <v>2</v>
      </c>
      <c r="Z37" s="327" t="s">
        <v>2</v>
      </c>
      <c r="AA37" s="327" t="s">
        <v>2</v>
      </c>
      <c r="AB37" s="327" t="s">
        <v>2</v>
      </c>
      <c r="AC37" s="327">
        <v>0.25</v>
      </c>
      <c r="AD37" s="326" t="s">
        <v>2</v>
      </c>
      <c r="AE37" s="326" t="s">
        <v>2</v>
      </c>
      <c r="AF37" s="323" t="s">
        <v>2</v>
      </c>
      <c r="AG37" s="324">
        <v>0.63</v>
      </c>
      <c r="AH37" s="320" t="s">
        <v>2</v>
      </c>
      <c r="AI37" s="320">
        <v>0</v>
      </c>
      <c r="AJ37" s="323" t="s">
        <v>2</v>
      </c>
      <c r="AK37" s="323" t="s">
        <v>2</v>
      </c>
      <c r="AL37" s="324" t="s">
        <v>2</v>
      </c>
      <c r="AM37" s="325" t="s">
        <v>2</v>
      </c>
      <c r="AN37" s="326" t="s">
        <v>2</v>
      </c>
      <c r="AO37" s="329" t="s">
        <v>2</v>
      </c>
      <c r="AP37" s="322">
        <v>1.89</v>
      </c>
      <c r="AQ37" s="327">
        <v>1.38</v>
      </c>
      <c r="AR37" s="327" t="s">
        <v>2</v>
      </c>
      <c r="AS37" s="327">
        <v>0.44</v>
      </c>
      <c r="AT37" s="327">
        <v>0.01</v>
      </c>
      <c r="AU37" s="327">
        <v>0.01</v>
      </c>
      <c r="AV37" s="330">
        <v>0.01</v>
      </c>
      <c r="AW37" s="328">
        <v>2.9</v>
      </c>
      <c r="AX37" s="327">
        <v>0.01</v>
      </c>
      <c r="AY37" s="327">
        <v>0.43</v>
      </c>
      <c r="AZ37" s="330">
        <v>2.42</v>
      </c>
      <c r="BA37" s="331">
        <v>2.0499999999999998</v>
      </c>
      <c r="BB37" s="332">
        <v>1.8</v>
      </c>
      <c r="BC37" s="332">
        <v>0.09</v>
      </c>
      <c r="BD37" s="332">
        <v>0.09</v>
      </c>
      <c r="BE37" s="332">
        <v>0</v>
      </c>
      <c r="BF37" s="333">
        <v>0</v>
      </c>
      <c r="BG37" s="319">
        <v>0.05</v>
      </c>
      <c r="BH37" s="319">
        <v>137</v>
      </c>
      <c r="BI37" s="325">
        <v>1.1200000000000001</v>
      </c>
      <c r="BJ37" s="326">
        <v>0.38</v>
      </c>
      <c r="BK37" s="326">
        <v>0.2</v>
      </c>
      <c r="BL37" s="326">
        <v>0.99</v>
      </c>
      <c r="BM37" s="326">
        <v>0.85</v>
      </c>
      <c r="BN37" s="326">
        <v>0.94</v>
      </c>
      <c r="BO37" s="326">
        <v>1.58</v>
      </c>
      <c r="BP37" s="326">
        <v>0.76</v>
      </c>
      <c r="BQ37" s="326">
        <v>1.46</v>
      </c>
      <c r="BR37" s="326">
        <v>0.62</v>
      </c>
      <c r="BS37" s="326">
        <v>0.3</v>
      </c>
      <c r="BT37" s="326">
        <v>0.79</v>
      </c>
      <c r="BU37" s="326">
        <v>1.48</v>
      </c>
      <c r="BV37" s="326">
        <v>1.76</v>
      </c>
      <c r="BW37" s="326">
        <v>6.06</v>
      </c>
      <c r="BX37" s="326">
        <v>2.1800000000000002</v>
      </c>
      <c r="BY37" s="326">
        <v>2.08</v>
      </c>
      <c r="BZ37" s="329">
        <v>1.01</v>
      </c>
      <c r="CA37" s="328">
        <v>0</v>
      </c>
      <c r="CB37" s="323" t="s">
        <v>2</v>
      </c>
      <c r="CC37" s="323" t="s">
        <v>2</v>
      </c>
      <c r="CD37" s="323" t="s">
        <v>2</v>
      </c>
      <c r="CE37" s="323" t="s">
        <v>2</v>
      </c>
      <c r="CF37" s="323" t="s">
        <v>2</v>
      </c>
      <c r="CG37" s="324" t="s">
        <v>2</v>
      </c>
      <c r="CH37" s="326" t="s">
        <v>2</v>
      </c>
      <c r="CI37" s="329" t="s">
        <v>2</v>
      </c>
      <c r="CJ37" s="328" t="s">
        <v>2</v>
      </c>
      <c r="CK37" s="323" t="s">
        <v>2</v>
      </c>
      <c r="CL37" s="323" t="s">
        <v>2</v>
      </c>
      <c r="CM37" s="324" t="s">
        <v>2</v>
      </c>
      <c r="CN37" s="319" t="s">
        <v>2</v>
      </c>
      <c r="CO37" s="319" t="s">
        <v>2</v>
      </c>
    </row>
    <row r="38" spans="1:93" x14ac:dyDescent="0.25">
      <c r="A38" s="316">
        <v>16007</v>
      </c>
      <c r="B38" s="317" t="s">
        <v>1864</v>
      </c>
      <c r="C38" s="318" t="s">
        <v>1865</v>
      </c>
      <c r="D38" s="293">
        <v>16</v>
      </c>
      <c r="E38" s="349">
        <v>0</v>
      </c>
      <c r="F38" s="320">
        <v>179</v>
      </c>
      <c r="G38" s="300">
        <v>748.21999999999991</v>
      </c>
      <c r="H38" s="321">
        <v>65.680000000000007</v>
      </c>
      <c r="I38" s="322">
        <v>22</v>
      </c>
      <c r="J38" s="323">
        <v>10</v>
      </c>
      <c r="K38" s="323">
        <v>0</v>
      </c>
      <c r="L38" s="323">
        <v>0</v>
      </c>
      <c r="M38" s="324">
        <v>0.98</v>
      </c>
      <c r="N38" s="325">
        <v>21</v>
      </c>
      <c r="O38" s="326">
        <v>223</v>
      </c>
      <c r="P38" s="323">
        <v>0.96</v>
      </c>
      <c r="Q38" s="323">
        <v>1.9</v>
      </c>
      <c r="R38" s="315">
        <v>558</v>
      </c>
      <c r="S38" s="326">
        <v>271</v>
      </c>
      <c r="T38" s="326">
        <v>22</v>
      </c>
      <c r="U38" s="327">
        <v>0.05</v>
      </c>
      <c r="V38" s="327">
        <v>0.09</v>
      </c>
      <c r="W38" s="324">
        <v>27.8</v>
      </c>
      <c r="X38" s="328">
        <v>0</v>
      </c>
      <c r="Y38" s="327" t="s">
        <v>2</v>
      </c>
      <c r="Z38" s="327" t="s">
        <v>2</v>
      </c>
      <c r="AA38" s="327" t="s">
        <v>2</v>
      </c>
      <c r="AB38" s="327" t="s">
        <v>2</v>
      </c>
      <c r="AC38" s="327">
        <v>0.28999999999999998</v>
      </c>
      <c r="AD38" s="326" t="s">
        <v>2</v>
      </c>
      <c r="AE38" s="326" t="s">
        <v>2</v>
      </c>
      <c r="AF38" s="323" t="s">
        <v>2</v>
      </c>
      <c r="AG38" s="324">
        <v>0.53</v>
      </c>
      <c r="AH38" s="320" t="s">
        <v>2</v>
      </c>
      <c r="AI38" s="320">
        <v>0</v>
      </c>
      <c r="AJ38" s="323" t="s">
        <v>2</v>
      </c>
      <c r="AK38" s="323" t="s">
        <v>2</v>
      </c>
      <c r="AL38" s="324" t="s">
        <v>2</v>
      </c>
      <c r="AM38" s="325" t="s">
        <v>2</v>
      </c>
      <c r="AN38" s="326" t="s">
        <v>2</v>
      </c>
      <c r="AO38" s="329" t="s">
        <v>2</v>
      </c>
      <c r="AP38" s="322">
        <v>2.71</v>
      </c>
      <c r="AQ38" s="327">
        <v>2.04</v>
      </c>
      <c r="AR38" s="327" t="s">
        <v>2</v>
      </c>
      <c r="AS38" s="327">
        <v>0.56000000000000005</v>
      </c>
      <c r="AT38" s="327">
        <v>0.01</v>
      </c>
      <c r="AU38" s="327">
        <v>0.01</v>
      </c>
      <c r="AV38" s="330">
        <v>0.01</v>
      </c>
      <c r="AW38" s="328">
        <v>4.16</v>
      </c>
      <c r="AX38" s="327">
        <v>0.02</v>
      </c>
      <c r="AY38" s="327">
        <v>0.61</v>
      </c>
      <c r="AZ38" s="330">
        <v>3.48</v>
      </c>
      <c r="BA38" s="331">
        <v>2.27</v>
      </c>
      <c r="BB38" s="332">
        <v>2.02</v>
      </c>
      <c r="BC38" s="332">
        <v>0.1</v>
      </c>
      <c r="BD38" s="332">
        <v>7.0000000000000007E-2</v>
      </c>
      <c r="BE38" s="332">
        <v>0</v>
      </c>
      <c r="BF38" s="333">
        <v>0</v>
      </c>
      <c r="BG38" s="319">
        <v>0.06</v>
      </c>
      <c r="BH38" s="319">
        <v>118</v>
      </c>
      <c r="BI38" s="325">
        <v>0.97</v>
      </c>
      <c r="BJ38" s="326">
        <v>0.32</v>
      </c>
      <c r="BK38" s="326">
        <v>0.17</v>
      </c>
      <c r="BL38" s="326">
        <v>0.86</v>
      </c>
      <c r="BM38" s="326">
        <v>0.74</v>
      </c>
      <c r="BN38" s="326">
        <v>0.82</v>
      </c>
      <c r="BO38" s="326">
        <v>1.37</v>
      </c>
      <c r="BP38" s="326">
        <v>0.66</v>
      </c>
      <c r="BQ38" s="326">
        <v>1.27</v>
      </c>
      <c r="BR38" s="326">
        <v>0.53</v>
      </c>
      <c r="BS38" s="326">
        <v>0.26</v>
      </c>
      <c r="BT38" s="326">
        <v>0.69</v>
      </c>
      <c r="BU38" s="326">
        <v>1.28</v>
      </c>
      <c r="BV38" s="326">
        <v>1.52</v>
      </c>
      <c r="BW38" s="326">
        <v>5.24</v>
      </c>
      <c r="BX38" s="326">
        <v>1.88</v>
      </c>
      <c r="BY38" s="326">
        <v>1.8</v>
      </c>
      <c r="BZ38" s="329">
        <v>0.87</v>
      </c>
      <c r="CA38" s="328">
        <v>0</v>
      </c>
      <c r="CB38" s="323" t="s">
        <v>2</v>
      </c>
      <c r="CC38" s="323" t="s">
        <v>2</v>
      </c>
      <c r="CD38" s="323" t="s">
        <v>2</v>
      </c>
      <c r="CE38" s="323" t="s">
        <v>2</v>
      </c>
      <c r="CF38" s="323" t="s">
        <v>2</v>
      </c>
      <c r="CG38" s="324" t="s">
        <v>2</v>
      </c>
      <c r="CH38" s="326" t="s">
        <v>2</v>
      </c>
      <c r="CI38" s="329" t="s">
        <v>2</v>
      </c>
      <c r="CJ38" s="328" t="s">
        <v>2</v>
      </c>
      <c r="CK38" s="323" t="s">
        <v>2</v>
      </c>
      <c r="CL38" s="323" t="s">
        <v>2</v>
      </c>
      <c r="CM38" s="324" t="s">
        <v>2</v>
      </c>
      <c r="CN38" s="319" t="s">
        <v>2</v>
      </c>
      <c r="CO38" s="319" t="s">
        <v>2</v>
      </c>
    </row>
    <row r="39" spans="1:93" x14ac:dyDescent="0.25">
      <c r="A39" s="316">
        <v>16008</v>
      </c>
      <c r="B39" s="317" t="s">
        <v>1866</v>
      </c>
      <c r="C39" s="318" t="s">
        <v>1867</v>
      </c>
      <c r="D39" s="293">
        <v>16</v>
      </c>
      <c r="E39" s="349">
        <v>0</v>
      </c>
      <c r="F39" s="320">
        <v>236</v>
      </c>
      <c r="G39" s="300">
        <v>986.4799999999999</v>
      </c>
      <c r="H39" s="321">
        <v>53.85</v>
      </c>
      <c r="I39" s="322">
        <v>29</v>
      </c>
      <c r="J39" s="323">
        <v>12.1</v>
      </c>
      <c r="K39" s="323">
        <v>3</v>
      </c>
      <c r="L39" s="323">
        <v>0</v>
      </c>
      <c r="M39" s="324">
        <v>2.39</v>
      </c>
      <c r="N39" s="325">
        <v>30</v>
      </c>
      <c r="O39" s="326">
        <v>226</v>
      </c>
      <c r="P39" s="323">
        <v>0.89</v>
      </c>
      <c r="Q39" s="323">
        <v>1.75</v>
      </c>
      <c r="R39" s="315">
        <v>714</v>
      </c>
      <c r="S39" s="326">
        <v>265</v>
      </c>
      <c r="T39" s="326">
        <v>25</v>
      </c>
      <c r="U39" s="327">
        <v>0.09</v>
      </c>
      <c r="V39" s="327">
        <v>0.06</v>
      </c>
      <c r="W39" s="324">
        <v>31.9</v>
      </c>
      <c r="X39" s="328">
        <v>0</v>
      </c>
      <c r="Y39" s="327" t="s">
        <v>2</v>
      </c>
      <c r="Z39" s="327" t="s">
        <v>2</v>
      </c>
      <c r="AA39" s="327" t="s">
        <v>2</v>
      </c>
      <c r="AB39" s="327" t="s">
        <v>2</v>
      </c>
      <c r="AC39" s="327">
        <v>0.4</v>
      </c>
      <c r="AD39" s="326" t="s">
        <v>2</v>
      </c>
      <c r="AE39" s="326" t="s">
        <v>2</v>
      </c>
      <c r="AF39" s="323" t="s">
        <v>2</v>
      </c>
      <c r="AG39" s="324">
        <v>0.41</v>
      </c>
      <c r="AH39" s="320" t="s">
        <v>2</v>
      </c>
      <c r="AI39" s="320">
        <v>0</v>
      </c>
      <c r="AJ39" s="323" t="s">
        <v>2</v>
      </c>
      <c r="AK39" s="323" t="s">
        <v>2</v>
      </c>
      <c r="AL39" s="324" t="s">
        <v>2</v>
      </c>
      <c r="AM39" s="325" t="s">
        <v>2</v>
      </c>
      <c r="AN39" s="326" t="s">
        <v>2</v>
      </c>
      <c r="AO39" s="329" t="s">
        <v>2</v>
      </c>
      <c r="AP39" s="322">
        <v>2.6</v>
      </c>
      <c r="AQ39" s="327">
        <v>1.88</v>
      </c>
      <c r="AR39" s="327" t="s">
        <v>2</v>
      </c>
      <c r="AS39" s="327">
        <v>0.6</v>
      </c>
      <c r="AT39" s="327">
        <v>0.02</v>
      </c>
      <c r="AU39" s="327">
        <v>0.02</v>
      </c>
      <c r="AV39" s="330">
        <v>0.01</v>
      </c>
      <c r="AW39" s="328">
        <v>3.92</v>
      </c>
      <c r="AX39" s="327">
        <v>0.01</v>
      </c>
      <c r="AY39" s="327">
        <v>0.42</v>
      </c>
      <c r="AZ39" s="330">
        <v>3.42</v>
      </c>
      <c r="BA39" s="331">
        <v>4.05</v>
      </c>
      <c r="BB39" s="332">
        <v>3.7</v>
      </c>
      <c r="BC39" s="332">
        <v>0.19</v>
      </c>
      <c r="BD39" s="332">
        <v>7.0000000000000007E-2</v>
      </c>
      <c r="BE39" s="332">
        <v>0</v>
      </c>
      <c r="BF39" s="333">
        <v>0.01</v>
      </c>
      <c r="BG39" s="319">
        <v>0.08</v>
      </c>
      <c r="BH39" s="319">
        <v>146</v>
      </c>
      <c r="BI39" s="325">
        <v>1.24</v>
      </c>
      <c r="BJ39" s="326">
        <v>0.42</v>
      </c>
      <c r="BK39" s="326">
        <v>0.22</v>
      </c>
      <c r="BL39" s="326">
        <v>1.1000000000000001</v>
      </c>
      <c r="BM39" s="326">
        <v>0.95</v>
      </c>
      <c r="BN39" s="326">
        <v>1.04</v>
      </c>
      <c r="BO39" s="326">
        <v>1.75</v>
      </c>
      <c r="BP39" s="326">
        <v>0.84</v>
      </c>
      <c r="BQ39" s="326">
        <v>1.62</v>
      </c>
      <c r="BR39" s="326">
        <v>0.68</v>
      </c>
      <c r="BS39" s="326">
        <v>0.33</v>
      </c>
      <c r="BT39" s="326">
        <v>0.88</v>
      </c>
      <c r="BU39" s="326">
        <v>1.63</v>
      </c>
      <c r="BV39" s="326">
        <v>1.95</v>
      </c>
      <c r="BW39" s="326">
        <v>6.7</v>
      </c>
      <c r="BX39" s="326">
        <v>2.41</v>
      </c>
      <c r="BY39" s="326">
        <v>2.2999999999999998</v>
      </c>
      <c r="BZ39" s="329">
        <v>1.1200000000000001</v>
      </c>
      <c r="CA39" s="328">
        <v>0</v>
      </c>
      <c r="CB39" s="323" t="s">
        <v>2</v>
      </c>
      <c r="CC39" s="323" t="s">
        <v>2</v>
      </c>
      <c r="CD39" s="323" t="s">
        <v>2</v>
      </c>
      <c r="CE39" s="323" t="s">
        <v>2</v>
      </c>
      <c r="CF39" s="323" t="s">
        <v>2</v>
      </c>
      <c r="CG39" s="324" t="s">
        <v>2</v>
      </c>
      <c r="CH39" s="326" t="s">
        <v>2</v>
      </c>
      <c r="CI39" s="329" t="s">
        <v>2</v>
      </c>
      <c r="CJ39" s="328" t="s">
        <v>2</v>
      </c>
      <c r="CK39" s="323" t="s">
        <v>2</v>
      </c>
      <c r="CL39" s="323" t="s">
        <v>2</v>
      </c>
      <c r="CM39" s="324" t="s">
        <v>2</v>
      </c>
      <c r="CN39" s="319" t="s">
        <v>2</v>
      </c>
      <c r="CO39" s="319" t="s">
        <v>2</v>
      </c>
    </row>
    <row r="40" spans="1:93" x14ac:dyDescent="0.25">
      <c r="A40" s="316">
        <v>16009</v>
      </c>
      <c r="B40" s="317" t="s">
        <v>1868</v>
      </c>
      <c r="C40" s="318" t="s">
        <v>1869</v>
      </c>
      <c r="D40" s="293">
        <v>16</v>
      </c>
      <c r="E40" s="349">
        <v>0</v>
      </c>
      <c r="F40" s="320">
        <v>239</v>
      </c>
      <c r="G40" s="300">
        <v>999.02</v>
      </c>
      <c r="H40" s="321">
        <v>55.6</v>
      </c>
      <c r="I40" s="322">
        <v>22</v>
      </c>
      <c r="J40" s="323">
        <v>14.2</v>
      </c>
      <c r="K40" s="323">
        <v>5.4</v>
      </c>
      <c r="L40" s="323">
        <v>0</v>
      </c>
      <c r="M40" s="324">
        <v>2.4900000000000002</v>
      </c>
      <c r="N40" s="325">
        <v>29</v>
      </c>
      <c r="O40" s="326">
        <v>211</v>
      </c>
      <c r="P40" s="323">
        <v>0.97</v>
      </c>
      <c r="Q40" s="323">
        <v>1.96</v>
      </c>
      <c r="R40" s="315">
        <v>625</v>
      </c>
      <c r="S40" s="326">
        <v>250</v>
      </c>
      <c r="T40" s="326">
        <v>23</v>
      </c>
      <c r="U40" s="327">
        <v>0.14000000000000001</v>
      </c>
      <c r="V40" s="327">
        <v>0.08</v>
      </c>
      <c r="W40" s="324">
        <v>25.5</v>
      </c>
      <c r="X40" s="328">
        <v>0</v>
      </c>
      <c r="Y40" s="327" t="s">
        <v>2</v>
      </c>
      <c r="Z40" s="327" t="s">
        <v>2</v>
      </c>
      <c r="AA40" s="327" t="s">
        <v>2</v>
      </c>
      <c r="AB40" s="327" t="s">
        <v>2</v>
      </c>
      <c r="AC40" s="327">
        <v>0.22</v>
      </c>
      <c r="AD40" s="326" t="s">
        <v>2</v>
      </c>
      <c r="AE40" s="326" t="s">
        <v>2</v>
      </c>
      <c r="AF40" s="323" t="s">
        <v>2</v>
      </c>
      <c r="AG40" s="324">
        <v>0.54</v>
      </c>
      <c r="AH40" s="320" t="s">
        <v>2</v>
      </c>
      <c r="AI40" s="320">
        <v>0</v>
      </c>
      <c r="AJ40" s="323" t="s">
        <v>2</v>
      </c>
      <c r="AK40" s="323" t="s">
        <v>2</v>
      </c>
      <c r="AL40" s="324" t="s">
        <v>2</v>
      </c>
      <c r="AM40" s="325" t="s">
        <v>2</v>
      </c>
      <c r="AN40" s="326" t="s">
        <v>2</v>
      </c>
      <c r="AO40" s="329" t="s">
        <v>2</v>
      </c>
      <c r="AP40" s="322">
        <v>3.24</v>
      </c>
      <c r="AQ40" s="327">
        <v>2.42</v>
      </c>
      <c r="AR40" s="327" t="s">
        <v>2</v>
      </c>
      <c r="AS40" s="327">
        <v>0.68</v>
      </c>
      <c r="AT40" s="327">
        <v>0.02</v>
      </c>
      <c r="AU40" s="327">
        <v>0.02</v>
      </c>
      <c r="AV40" s="330">
        <v>0.01</v>
      </c>
      <c r="AW40" s="328">
        <v>5.12</v>
      </c>
      <c r="AX40" s="327">
        <v>0.02</v>
      </c>
      <c r="AY40" s="327">
        <v>0.67</v>
      </c>
      <c r="AZ40" s="330">
        <v>4.3499999999999996</v>
      </c>
      <c r="BA40" s="331">
        <v>4.29</v>
      </c>
      <c r="BB40" s="332">
        <v>3.94</v>
      </c>
      <c r="BC40" s="332">
        <v>0.19</v>
      </c>
      <c r="BD40" s="332">
        <v>0.08</v>
      </c>
      <c r="BE40" s="332">
        <v>0</v>
      </c>
      <c r="BF40" s="333">
        <v>0</v>
      </c>
      <c r="BG40" s="319">
        <v>0.08</v>
      </c>
      <c r="BH40" s="319">
        <v>117</v>
      </c>
      <c r="BI40" s="325">
        <v>0.96</v>
      </c>
      <c r="BJ40" s="326">
        <v>0.32</v>
      </c>
      <c r="BK40" s="326">
        <v>0.17</v>
      </c>
      <c r="BL40" s="326">
        <v>0.84</v>
      </c>
      <c r="BM40" s="326">
        <v>0.73</v>
      </c>
      <c r="BN40" s="326">
        <v>0.8</v>
      </c>
      <c r="BO40" s="326">
        <v>1.34</v>
      </c>
      <c r="BP40" s="326">
        <v>0.65</v>
      </c>
      <c r="BQ40" s="326">
        <v>1.25</v>
      </c>
      <c r="BR40" s="326">
        <v>0.53</v>
      </c>
      <c r="BS40" s="326">
        <v>0.26</v>
      </c>
      <c r="BT40" s="326">
        <v>0.68</v>
      </c>
      <c r="BU40" s="326">
        <v>1.26</v>
      </c>
      <c r="BV40" s="326">
        <v>1.5</v>
      </c>
      <c r="BW40" s="326">
        <v>5.16</v>
      </c>
      <c r="BX40" s="326">
        <v>1.85</v>
      </c>
      <c r="BY40" s="326">
        <v>1.77</v>
      </c>
      <c r="BZ40" s="329">
        <v>0.86</v>
      </c>
      <c r="CA40" s="328">
        <v>0</v>
      </c>
      <c r="CB40" s="323" t="s">
        <v>2</v>
      </c>
      <c r="CC40" s="323" t="s">
        <v>2</v>
      </c>
      <c r="CD40" s="323" t="s">
        <v>2</v>
      </c>
      <c r="CE40" s="323" t="s">
        <v>2</v>
      </c>
      <c r="CF40" s="323" t="s">
        <v>2</v>
      </c>
      <c r="CG40" s="324" t="s">
        <v>2</v>
      </c>
      <c r="CH40" s="326" t="s">
        <v>2</v>
      </c>
      <c r="CI40" s="329" t="s">
        <v>2</v>
      </c>
      <c r="CJ40" s="328" t="s">
        <v>2</v>
      </c>
      <c r="CK40" s="323" t="s">
        <v>2</v>
      </c>
      <c r="CL40" s="323" t="s">
        <v>2</v>
      </c>
      <c r="CM40" s="324" t="s">
        <v>2</v>
      </c>
      <c r="CN40" s="319" t="s">
        <v>2</v>
      </c>
      <c r="CO40" s="319" t="s">
        <v>2</v>
      </c>
    </row>
    <row r="41" spans="1:93" x14ac:dyDescent="0.25">
      <c r="A41" s="316">
        <v>16010</v>
      </c>
      <c r="B41" s="317" t="s">
        <v>1870</v>
      </c>
      <c r="C41" s="318" t="s">
        <v>1871</v>
      </c>
      <c r="D41" s="293">
        <v>16</v>
      </c>
      <c r="E41" s="349">
        <v>0</v>
      </c>
      <c r="F41" s="320">
        <v>297</v>
      </c>
      <c r="G41" s="300">
        <v>1241.4599999999998</v>
      </c>
      <c r="H41" s="321">
        <v>46.4</v>
      </c>
      <c r="I41" s="322">
        <v>22</v>
      </c>
      <c r="J41" s="323">
        <v>18.899999999999999</v>
      </c>
      <c r="K41" s="323">
        <v>9.9</v>
      </c>
      <c r="L41" s="323">
        <v>0</v>
      </c>
      <c r="M41" s="324">
        <v>3.07</v>
      </c>
      <c r="N41" s="325">
        <v>77</v>
      </c>
      <c r="O41" s="326">
        <v>250</v>
      </c>
      <c r="P41" s="323">
        <v>0.93</v>
      </c>
      <c r="Q41" s="323">
        <v>1.36</v>
      </c>
      <c r="R41" s="315">
        <v>884</v>
      </c>
      <c r="S41" s="326">
        <v>266</v>
      </c>
      <c r="T41" s="326">
        <v>24</v>
      </c>
      <c r="U41" s="327">
        <v>0.18</v>
      </c>
      <c r="V41" s="327">
        <v>0.08</v>
      </c>
      <c r="W41" s="324">
        <v>27</v>
      </c>
      <c r="X41" s="328">
        <v>0</v>
      </c>
      <c r="Y41" s="327" t="s">
        <v>2</v>
      </c>
      <c r="Z41" s="327" t="s">
        <v>2</v>
      </c>
      <c r="AA41" s="327" t="s">
        <v>2</v>
      </c>
      <c r="AB41" s="327" t="s">
        <v>2</v>
      </c>
      <c r="AC41" s="327">
        <v>0.19</v>
      </c>
      <c r="AD41" s="326" t="s">
        <v>2</v>
      </c>
      <c r="AE41" s="326" t="s">
        <v>2</v>
      </c>
      <c r="AF41" s="323" t="s">
        <v>2</v>
      </c>
      <c r="AG41" s="324">
        <v>0.39</v>
      </c>
      <c r="AH41" s="320" t="s">
        <v>2</v>
      </c>
      <c r="AI41" s="320">
        <v>14.4</v>
      </c>
      <c r="AJ41" s="323" t="s">
        <v>2</v>
      </c>
      <c r="AK41" s="323">
        <v>0.92</v>
      </c>
      <c r="AL41" s="324" t="s">
        <v>2</v>
      </c>
      <c r="AM41" s="325" t="s">
        <v>2</v>
      </c>
      <c r="AN41" s="326" t="s">
        <v>2</v>
      </c>
      <c r="AO41" s="329" t="s">
        <v>2</v>
      </c>
      <c r="AP41" s="322">
        <v>4.25</v>
      </c>
      <c r="AQ41" s="327">
        <v>2.99</v>
      </c>
      <c r="AR41" s="327" t="s">
        <v>2</v>
      </c>
      <c r="AS41" s="327">
        <v>1.02</v>
      </c>
      <c r="AT41" s="327">
        <v>0.05</v>
      </c>
      <c r="AU41" s="327">
        <v>0.03</v>
      </c>
      <c r="AV41" s="330">
        <v>0.02</v>
      </c>
      <c r="AW41" s="328">
        <v>9.6</v>
      </c>
      <c r="AX41" s="327">
        <v>0.03</v>
      </c>
      <c r="AY41" s="327">
        <v>0.76</v>
      </c>
      <c r="AZ41" s="330">
        <v>8.57</v>
      </c>
      <c r="BA41" s="331">
        <v>3.67</v>
      </c>
      <c r="BB41" s="332">
        <v>2.98</v>
      </c>
      <c r="BC41" s="332">
        <v>0.53</v>
      </c>
      <c r="BD41" s="332">
        <v>7.0000000000000007E-2</v>
      </c>
      <c r="BE41" s="332">
        <v>0</v>
      </c>
      <c r="BF41" s="333">
        <v>0</v>
      </c>
      <c r="BG41" s="319">
        <v>0.13</v>
      </c>
      <c r="BH41" s="319">
        <v>113</v>
      </c>
      <c r="BI41" s="325">
        <v>0.94</v>
      </c>
      <c r="BJ41" s="326">
        <v>0.31</v>
      </c>
      <c r="BK41" s="326">
        <v>0.17</v>
      </c>
      <c r="BL41" s="326">
        <v>0.83</v>
      </c>
      <c r="BM41" s="326">
        <v>0.72</v>
      </c>
      <c r="BN41" s="326">
        <v>0.79</v>
      </c>
      <c r="BO41" s="326">
        <v>1.32</v>
      </c>
      <c r="BP41" s="326">
        <v>0.64</v>
      </c>
      <c r="BQ41" s="326">
        <v>1.23</v>
      </c>
      <c r="BR41" s="326">
        <v>0.52</v>
      </c>
      <c r="BS41" s="326">
        <v>0.25</v>
      </c>
      <c r="BT41" s="326">
        <v>0.66</v>
      </c>
      <c r="BU41" s="326">
        <v>1.24</v>
      </c>
      <c r="BV41" s="326">
        <v>1.47</v>
      </c>
      <c r="BW41" s="326">
        <v>5.07</v>
      </c>
      <c r="BX41" s="326">
        <v>1.82</v>
      </c>
      <c r="BY41" s="326">
        <v>1.74</v>
      </c>
      <c r="BZ41" s="329">
        <v>0.85</v>
      </c>
      <c r="CA41" s="328">
        <v>0</v>
      </c>
      <c r="CB41" s="323" t="s">
        <v>2</v>
      </c>
      <c r="CC41" s="323" t="s">
        <v>2</v>
      </c>
      <c r="CD41" s="323" t="s">
        <v>2</v>
      </c>
      <c r="CE41" s="323" t="s">
        <v>2</v>
      </c>
      <c r="CF41" s="323" t="s">
        <v>2</v>
      </c>
      <c r="CG41" s="324" t="s">
        <v>2</v>
      </c>
      <c r="CH41" s="326" t="s">
        <v>2</v>
      </c>
      <c r="CI41" s="329" t="s">
        <v>2</v>
      </c>
      <c r="CJ41" s="328" t="s">
        <v>2</v>
      </c>
      <c r="CK41" s="323" t="s">
        <v>2</v>
      </c>
      <c r="CL41" s="323" t="s">
        <v>2</v>
      </c>
      <c r="CM41" s="324" t="s">
        <v>2</v>
      </c>
      <c r="CN41" s="319" t="s">
        <v>2</v>
      </c>
      <c r="CO41" s="319" t="s">
        <v>2</v>
      </c>
    </row>
    <row r="42" spans="1:93" x14ac:dyDescent="0.25">
      <c r="A42" s="316">
        <v>16011</v>
      </c>
      <c r="B42" s="317" t="s">
        <v>1872</v>
      </c>
      <c r="C42" s="318" t="s">
        <v>1873</v>
      </c>
      <c r="D42" s="293">
        <v>16</v>
      </c>
      <c r="E42" s="349">
        <v>0</v>
      </c>
      <c r="F42" s="320">
        <v>269</v>
      </c>
      <c r="G42" s="300">
        <v>1124.4199999999998</v>
      </c>
      <c r="H42" s="321">
        <v>52.09</v>
      </c>
      <c r="I42" s="322">
        <v>19</v>
      </c>
      <c r="J42" s="323">
        <v>17.7</v>
      </c>
      <c r="K42" s="323">
        <v>8.5</v>
      </c>
      <c r="L42" s="323">
        <v>0</v>
      </c>
      <c r="M42" s="324">
        <v>2.82</v>
      </c>
      <c r="N42" s="325">
        <v>64</v>
      </c>
      <c r="O42" s="326">
        <v>230</v>
      </c>
      <c r="P42" s="323">
        <v>0.88</v>
      </c>
      <c r="Q42" s="323">
        <v>1.44</v>
      </c>
      <c r="R42" s="315">
        <v>781</v>
      </c>
      <c r="S42" s="326">
        <v>237</v>
      </c>
      <c r="T42" s="326">
        <v>22</v>
      </c>
      <c r="U42" s="327">
        <v>0.16</v>
      </c>
      <c r="V42" s="327">
        <v>0.08</v>
      </c>
      <c r="W42" s="324">
        <v>23.5</v>
      </c>
      <c r="X42" s="328">
        <v>0</v>
      </c>
      <c r="Y42" s="327" t="s">
        <v>2</v>
      </c>
      <c r="Z42" s="327" t="s">
        <v>2</v>
      </c>
      <c r="AA42" s="327" t="s">
        <v>2</v>
      </c>
      <c r="AB42" s="327" t="s">
        <v>2</v>
      </c>
      <c r="AC42" s="327">
        <v>0.14000000000000001</v>
      </c>
      <c r="AD42" s="326" t="s">
        <v>2</v>
      </c>
      <c r="AE42" s="326" t="s">
        <v>2</v>
      </c>
      <c r="AF42" s="323" t="s">
        <v>2</v>
      </c>
      <c r="AG42" s="324">
        <v>0.4</v>
      </c>
      <c r="AH42" s="320" t="s">
        <v>2</v>
      </c>
      <c r="AI42" s="320">
        <v>15</v>
      </c>
      <c r="AJ42" s="323" t="s">
        <v>2</v>
      </c>
      <c r="AK42" s="323">
        <v>0.77</v>
      </c>
      <c r="AL42" s="324" t="s">
        <v>2</v>
      </c>
      <c r="AM42" s="325" t="s">
        <v>2</v>
      </c>
      <c r="AN42" s="326" t="s">
        <v>2</v>
      </c>
      <c r="AO42" s="329" t="s">
        <v>2</v>
      </c>
      <c r="AP42" s="322">
        <v>4.12</v>
      </c>
      <c r="AQ42" s="327">
        <v>2.93</v>
      </c>
      <c r="AR42" s="327" t="s">
        <v>2</v>
      </c>
      <c r="AS42" s="327">
        <v>0.96</v>
      </c>
      <c r="AT42" s="327">
        <v>0.04</v>
      </c>
      <c r="AU42" s="327">
        <v>0.03</v>
      </c>
      <c r="AV42" s="330">
        <v>0.01</v>
      </c>
      <c r="AW42" s="328">
        <v>8.61</v>
      </c>
      <c r="AX42" s="327">
        <v>0.03</v>
      </c>
      <c r="AY42" s="327">
        <v>0.75</v>
      </c>
      <c r="AZ42" s="330">
        <v>7.62</v>
      </c>
      <c r="BA42" s="331">
        <v>3.28</v>
      </c>
      <c r="BB42" s="332">
        <v>2.71</v>
      </c>
      <c r="BC42" s="332">
        <v>0.43</v>
      </c>
      <c r="BD42" s="332">
        <v>7.0000000000000007E-2</v>
      </c>
      <c r="BE42" s="332">
        <v>0</v>
      </c>
      <c r="BF42" s="333">
        <v>0</v>
      </c>
      <c r="BG42" s="319">
        <v>0.12</v>
      </c>
      <c r="BH42" s="319">
        <v>104</v>
      </c>
      <c r="BI42" s="325">
        <v>0.82</v>
      </c>
      <c r="BJ42" s="326">
        <v>0.27</v>
      </c>
      <c r="BK42" s="326">
        <v>0.15</v>
      </c>
      <c r="BL42" s="326">
        <v>0.72</v>
      </c>
      <c r="BM42" s="326">
        <v>0.62</v>
      </c>
      <c r="BN42" s="326">
        <v>0.69</v>
      </c>
      <c r="BO42" s="326">
        <v>1.1499999999999999</v>
      </c>
      <c r="BP42" s="326">
        <v>0.56000000000000005</v>
      </c>
      <c r="BQ42" s="326">
        <v>1.07</v>
      </c>
      <c r="BR42" s="326">
        <v>0.45</v>
      </c>
      <c r="BS42" s="326">
        <v>0.22</v>
      </c>
      <c r="BT42" s="326">
        <v>0.57999999999999996</v>
      </c>
      <c r="BU42" s="326">
        <v>1.08</v>
      </c>
      <c r="BV42" s="326">
        <v>1.28</v>
      </c>
      <c r="BW42" s="326">
        <v>4.42</v>
      </c>
      <c r="BX42" s="326">
        <v>1.59</v>
      </c>
      <c r="BY42" s="326">
        <v>1.52</v>
      </c>
      <c r="BZ42" s="329">
        <v>0.74</v>
      </c>
      <c r="CA42" s="328">
        <v>0</v>
      </c>
      <c r="CB42" s="323" t="s">
        <v>2</v>
      </c>
      <c r="CC42" s="323" t="s">
        <v>2</v>
      </c>
      <c r="CD42" s="323" t="s">
        <v>2</v>
      </c>
      <c r="CE42" s="323" t="s">
        <v>2</v>
      </c>
      <c r="CF42" s="323" t="s">
        <v>2</v>
      </c>
      <c r="CG42" s="324" t="s">
        <v>2</v>
      </c>
      <c r="CH42" s="326" t="s">
        <v>2</v>
      </c>
      <c r="CI42" s="329" t="s">
        <v>2</v>
      </c>
      <c r="CJ42" s="328" t="s">
        <v>2</v>
      </c>
      <c r="CK42" s="323" t="s">
        <v>2</v>
      </c>
      <c r="CL42" s="323" t="s">
        <v>2</v>
      </c>
      <c r="CM42" s="324" t="s">
        <v>2</v>
      </c>
      <c r="CN42" s="319" t="s">
        <v>2</v>
      </c>
      <c r="CO42" s="319" t="s">
        <v>2</v>
      </c>
    </row>
    <row r="43" spans="1:93" x14ac:dyDescent="0.25">
      <c r="A43" s="316">
        <v>16012</v>
      </c>
      <c r="B43" s="317" t="s">
        <v>1874</v>
      </c>
      <c r="C43" s="318" t="s">
        <v>1875</v>
      </c>
      <c r="D43" s="293">
        <v>16</v>
      </c>
      <c r="E43" s="349">
        <v>0</v>
      </c>
      <c r="F43" s="320">
        <v>338</v>
      </c>
      <c r="G43" s="300">
        <v>1412.84</v>
      </c>
      <c r="H43" s="321">
        <v>40.9</v>
      </c>
      <c r="I43" s="322">
        <v>20</v>
      </c>
      <c r="J43" s="323">
        <v>22.5</v>
      </c>
      <c r="K43" s="323">
        <v>13.5</v>
      </c>
      <c r="L43" s="323">
        <v>0.6</v>
      </c>
      <c r="M43" s="324">
        <v>2.7</v>
      </c>
      <c r="N43" s="325">
        <v>31</v>
      </c>
      <c r="O43" s="326">
        <v>149</v>
      </c>
      <c r="P43" s="323">
        <v>1.38</v>
      </c>
      <c r="Q43" s="323">
        <v>1.25</v>
      </c>
      <c r="R43" s="315">
        <v>788</v>
      </c>
      <c r="S43" s="326">
        <v>245</v>
      </c>
      <c r="T43" s="326">
        <v>22</v>
      </c>
      <c r="U43" s="327">
        <v>0.16</v>
      </c>
      <c r="V43" s="327">
        <v>0.08</v>
      </c>
      <c r="W43" s="324">
        <v>31.2</v>
      </c>
      <c r="X43" s="328">
        <v>0</v>
      </c>
      <c r="Y43" s="327" t="s">
        <v>2</v>
      </c>
      <c r="Z43" s="327" t="s">
        <v>2</v>
      </c>
      <c r="AA43" s="327" t="s">
        <v>2</v>
      </c>
      <c r="AB43" s="327" t="s">
        <v>2</v>
      </c>
      <c r="AC43" s="327">
        <v>0.19</v>
      </c>
      <c r="AD43" s="326" t="s">
        <v>2</v>
      </c>
      <c r="AE43" s="326" t="s">
        <v>2</v>
      </c>
      <c r="AF43" s="323" t="s">
        <v>2</v>
      </c>
      <c r="AG43" s="324">
        <v>0.54</v>
      </c>
      <c r="AH43" s="320" t="s">
        <v>2</v>
      </c>
      <c r="AI43" s="320">
        <v>19</v>
      </c>
      <c r="AJ43" s="323" t="s">
        <v>2</v>
      </c>
      <c r="AK43" s="323">
        <v>0.28000000000000003</v>
      </c>
      <c r="AL43" s="324" t="s">
        <v>2</v>
      </c>
      <c r="AM43" s="325" t="s">
        <v>2</v>
      </c>
      <c r="AN43" s="326" t="s">
        <v>2</v>
      </c>
      <c r="AO43" s="329" t="s">
        <v>2</v>
      </c>
      <c r="AP43" s="322">
        <v>8.02</v>
      </c>
      <c r="AQ43" s="327">
        <v>4.87</v>
      </c>
      <c r="AR43" s="327" t="s">
        <v>2</v>
      </c>
      <c r="AS43" s="327">
        <v>2.46</v>
      </c>
      <c r="AT43" s="327">
        <v>0.02</v>
      </c>
      <c r="AU43" s="327">
        <v>0.01</v>
      </c>
      <c r="AV43" s="330">
        <v>0.01</v>
      </c>
      <c r="AW43" s="328">
        <v>9.8000000000000007</v>
      </c>
      <c r="AX43" s="327">
        <v>0.11</v>
      </c>
      <c r="AY43" s="327">
        <v>0.98</v>
      </c>
      <c r="AZ43" s="330">
        <v>8.5</v>
      </c>
      <c r="BA43" s="331">
        <v>2.36</v>
      </c>
      <c r="BB43" s="332">
        <v>2.1</v>
      </c>
      <c r="BC43" s="332">
        <v>0.11</v>
      </c>
      <c r="BD43" s="332">
        <v>7.0000000000000007E-2</v>
      </c>
      <c r="BE43" s="332">
        <v>0</v>
      </c>
      <c r="BF43" s="333">
        <v>0</v>
      </c>
      <c r="BG43" s="319">
        <v>0.79</v>
      </c>
      <c r="BH43" s="319">
        <v>114</v>
      </c>
      <c r="BI43" s="325">
        <v>0.89</v>
      </c>
      <c r="BJ43" s="326">
        <v>0.3</v>
      </c>
      <c r="BK43" s="326">
        <v>0.16</v>
      </c>
      <c r="BL43" s="326">
        <v>0.78</v>
      </c>
      <c r="BM43" s="326">
        <v>0.67</v>
      </c>
      <c r="BN43" s="326">
        <v>0.74</v>
      </c>
      <c r="BO43" s="326">
        <v>1.24</v>
      </c>
      <c r="BP43" s="326">
        <v>0.6</v>
      </c>
      <c r="BQ43" s="326">
        <v>1.1499999999999999</v>
      </c>
      <c r="BR43" s="326">
        <v>0.49</v>
      </c>
      <c r="BS43" s="326">
        <v>0.24</v>
      </c>
      <c r="BT43" s="326">
        <v>0.62</v>
      </c>
      <c r="BU43" s="326">
        <v>1.1599999999999999</v>
      </c>
      <c r="BV43" s="326">
        <v>1.39</v>
      </c>
      <c r="BW43" s="326">
        <v>4.7699999999999996</v>
      </c>
      <c r="BX43" s="326">
        <v>1.72</v>
      </c>
      <c r="BY43" s="326">
        <v>1.64</v>
      </c>
      <c r="BZ43" s="329">
        <v>0.8</v>
      </c>
      <c r="CA43" s="328">
        <v>0</v>
      </c>
      <c r="CB43" s="323" t="s">
        <v>2</v>
      </c>
      <c r="CC43" s="323" t="s">
        <v>2</v>
      </c>
      <c r="CD43" s="323" t="s">
        <v>2</v>
      </c>
      <c r="CE43" s="323" t="s">
        <v>2</v>
      </c>
      <c r="CF43" s="323" t="s">
        <v>2</v>
      </c>
      <c r="CG43" s="324" t="s">
        <v>2</v>
      </c>
      <c r="CH43" s="326" t="s">
        <v>2</v>
      </c>
      <c r="CI43" s="329" t="s">
        <v>2</v>
      </c>
      <c r="CJ43" s="328" t="s">
        <v>2</v>
      </c>
      <c r="CK43" s="323" t="s">
        <v>2</v>
      </c>
      <c r="CL43" s="323" t="s">
        <v>2</v>
      </c>
      <c r="CM43" s="324" t="s">
        <v>2</v>
      </c>
      <c r="CN43" s="319" t="s">
        <v>2</v>
      </c>
      <c r="CO43" s="319" t="s">
        <v>2</v>
      </c>
    </row>
    <row r="44" spans="1:93" x14ac:dyDescent="0.25">
      <c r="A44" s="316">
        <v>16013</v>
      </c>
      <c r="B44" s="317" t="s">
        <v>1876</v>
      </c>
      <c r="C44" s="318" t="s">
        <v>1877</v>
      </c>
      <c r="D44" s="293">
        <v>16</v>
      </c>
      <c r="E44" s="349">
        <v>0</v>
      </c>
      <c r="F44" s="320">
        <v>293</v>
      </c>
      <c r="G44" s="300">
        <v>1224.74</v>
      </c>
      <c r="H44" s="321">
        <v>48.14</v>
      </c>
      <c r="I44" s="322">
        <v>20</v>
      </c>
      <c r="J44" s="323">
        <v>19.100000000000001</v>
      </c>
      <c r="K44" s="323">
        <v>9.8000000000000007</v>
      </c>
      <c r="L44" s="323">
        <v>0</v>
      </c>
      <c r="M44" s="324">
        <v>2.44</v>
      </c>
      <c r="N44" s="325">
        <v>20</v>
      </c>
      <c r="O44" s="326">
        <v>171</v>
      </c>
      <c r="P44" s="323">
        <v>1.06</v>
      </c>
      <c r="Q44" s="323">
        <v>1.76</v>
      </c>
      <c r="R44" s="315">
        <v>588</v>
      </c>
      <c r="S44" s="326">
        <v>261</v>
      </c>
      <c r="T44" s="326">
        <v>22</v>
      </c>
      <c r="U44" s="327">
        <v>0.12</v>
      </c>
      <c r="V44" s="327">
        <v>7.0000000000000007E-2</v>
      </c>
      <c r="W44" s="324">
        <v>27.9</v>
      </c>
      <c r="X44" s="328">
        <v>0</v>
      </c>
      <c r="Y44" s="327" t="s">
        <v>2</v>
      </c>
      <c r="Z44" s="327" t="s">
        <v>2</v>
      </c>
      <c r="AA44" s="327" t="s">
        <v>2</v>
      </c>
      <c r="AB44" s="327" t="s">
        <v>2</v>
      </c>
      <c r="AC44" s="327">
        <v>0.24</v>
      </c>
      <c r="AD44" s="326" t="s">
        <v>2</v>
      </c>
      <c r="AE44" s="326" t="s">
        <v>2</v>
      </c>
      <c r="AF44" s="323" t="s">
        <v>2</v>
      </c>
      <c r="AG44" s="324">
        <v>0.62</v>
      </c>
      <c r="AH44" s="320" t="s">
        <v>2</v>
      </c>
      <c r="AI44" s="320">
        <v>0</v>
      </c>
      <c r="AJ44" s="323" t="s">
        <v>2</v>
      </c>
      <c r="AK44" s="323" t="s">
        <v>2</v>
      </c>
      <c r="AL44" s="324" t="s">
        <v>2</v>
      </c>
      <c r="AM44" s="325" t="s">
        <v>2</v>
      </c>
      <c r="AN44" s="326" t="s">
        <v>2</v>
      </c>
      <c r="AO44" s="329" t="s">
        <v>2</v>
      </c>
      <c r="AP44" s="322">
        <v>6.59</v>
      </c>
      <c r="AQ44" s="327">
        <v>4.25</v>
      </c>
      <c r="AR44" s="327" t="s">
        <v>2</v>
      </c>
      <c r="AS44" s="327">
        <v>1.83</v>
      </c>
      <c r="AT44" s="327">
        <v>0.02</v>
      </c>
      <c r="AU44" s="327">
        <v>0.01</v>
      </c>
      <c r="AV44" s="330">
        <v>0.01</v>
      </c>
      <c r="AW44" s="328">
        <v>8.49</v>
      </c>
      <c r="AX44" s="327">
        <v>0.08</v>
      </c>
      <c r="AY44" s="327">
        <v>1.06</v>
      </c>
      <c r="AZ44" s="330">
        <v>7.22</v>
      </c>
      <c r="BA44" s="331">
        <v>2.23</v>
      </c>
      <c r="BB44" s="332">
        <v>1.97</v>
      </c>
      <c r="BC44" s="332">
        <v>0.11</v>
      </c>
      <c r="BD44" s="332">
        <v>0.06</v>
      </c>
      <c r="BE44" s="332">
        <v>0</v>
      </c>
      <c r="BF44" s="333">
        <v>0</v>
      </c>
      <c r="BG44" s="319">
        <v>0.54</v>
      </c>
      <c r="BH44" s="319">
        <v>108</v>
      </c>
      <c r="BI44" s="325">
        <v>0.89</v>
      </c>
      <c r="BJ44" s="326">
        <v>0.3</v>
      </c>
      <c r="BK44" s="326">
        <v>0.16</v>
      </c>
      <c r="BL44" s="326">
        <v>0.78</v>
      </c>
      <c r="BM44" s="326">
        <v>0.67</v>
      </c>
      <c r="BN44" s="326">
        <v>0.75</v>
      </c>
      <c r="BO44" s="326">
        <v>1.25</v>
      </c>
      <c r="BP44" s="326">
        <v>0.6</v>
      </c>
      <c r="BQ44" s="326">
        <v>1.1599999999999999</v>
      </c>
      <c r="BR44" s="326">
        <v>0.49</v>
      </c>
      <c r="BS44" s="326">
        <v>0.24</v>
      </c>
      <c r="BT44" s="326">
        <v>0.63</v>
      </c>
      <c r="BU44" s="326">
        <v>1.1599999999999999</v>
      </c>
      <c r="BV44" s="326">
        <v>1.39</v>
      </c>
      <c r="BW44" s="326">
        <v>4.78</v>
      </c>
      <c r="BX44" s="326">
        <v>1.72</v>
      </c>
      <c r="BY44" s="326">
        <v>1.64</v>
      </c>
      <c r="BZ44" s="329">
        <v>0.8</v>
      </c>
      <c r="CA44" s="328">
        <v>0</v>
      </c>
      <c r="CB44" s="323" t="s">
        <v>2</v>
      </c>
      <c r="CC44" s="323" t="s">
        <v>2</v>
      </c>
      <c r="CD44" s="323" t="s">
        <v>2</v>
      </c>
      <c r="CE44" s="323" t="s">
        <v>2</v>
      </c>
      <c r="CF44" s="323" t="s">
        <v>2</v>
      </c>
      <c r="CG44" s="324" t="s">
        <v>2</v>
      </c>
      <c r="CH44" s="326" t="s">
        <v>2</v>
      </c>
      <c r="CI44" s="329" t="s">
        <v>2</v>
      </c>
      <c r="CJ44" s="328" t="s">
        <v>2</v>
      </c>
      <c r="CK44" s="323" t="s">
        <v>2</v>
      </c>
      <c r="CL44" s="323" t="s">
        <v>2</v>
      </c>
      <c r="CM44" s="324" t="s">
        <v>2</v>
      </c>
      <c r="CN44" s="319" t="s">
        <v>2</v>
      </c>
      <c r="CO44" s="319" t="s">
        <v>2</v>
      </c>
    </row>
    <row r="45" spans="1:93" x14ac:dyDescent="0.25">
      <c r="A45" s="316">
        <v>16014</v>
      </c>
      <c r="B45" s="317" t="s">
        <v>1878</v>
      </c>
      <c r="C45" s="318" t="s">
        <v>1879</v>
      </c>
      <c r="D45" s="293">
        <v>16</v>
      </c>
      <c r="E45" s="349">
        <v>0</v>
      </c>
      <c r="F45" s="320">
        <v>306</v>
      </c>
      <c r="G45" s="300">
        <v>1279.08</v>
      </c>
      <c r="H45" s="321">
        <v>36.270000000000003</v>
      </c>
      <c r="I45" s="322">
        <v>13</v>
      </c>
      <c r="J45" s="323">
        <v>12.8</v>
      </c>
      <c r="K45" s="323">
        <v>34.200000000000003</v>
      </c>
      <c r="L45" s="323">
        <v>2.4</v>
      </c>
      <c r="M45" s="324">
        <v>3.34</v>
      </c>
      <c r="N45" s="325">
        <v>284</v>
      </c>
      <c r="O45" s="326">
        <v>298</v>
      </c>
      <c r="P45" s="323">
        <v>2.52</v>
      </c>
      <c r="Q45" s="323">
        <v>1.64</v>
      </c>
      <c r="R45" s="315">
        <v>857</v>
      </c>
      <c r="S45" s="326">
        <v>197</v>
      </c>
      <c r="T45" s="326">
        <v>24</v>
      </c>
      <c r="U45" s="327">
        <v>0.38</v>
      </c>
      <c r="V45" s="327">
        <v>0.1</v>
      </c>
      <c r="W45" s="324">
        <v>20.3</v>
      </c>
      <c r="X45" s="328">
        <v>4.2</v>
      </c>
      <c r="Y45" s="327" t="s">
        <v>2</v>
      </c>
      <c r="Z45" s="327" t="s">
        <v>2</v>
      </c>
      <c r="AA45" s="327" t="s">
        <v>2</v>
      </c>
      <c r="AB45" s="327" t="s">
        <v>2</v>
      </c>
      <c r="AC45" s="327">
        <v>0.06</v>
      </c>
      <c r="AD45" s="326" t="s">
        <v>2</v>
      </c>
      <c r="AE45" s="326" t="s">
        <v>2</v>
      </c>
      <c r="AF45" s="323" t="s">
        <v>2</v>
      </c>
      <c r="AG45" s="324">
        <v>0.51</v>
      </c>
      <c r="AH45" s="320" t="s">
        <v>2</v>
      </c>
      <c r="AI45" s="320">
        <v>0</v>
      </c>
      <c r="AJ45" s="323" t="s">
        <v>2</v>
      </c>
      <c r="AK45" s="323">
        <v>0.68</v>
      </c>
      <c r="AL45" s="324">
        <v>7.7</v>
      </c>
      <c r="AM45" s="325" t="s">
        <v>2</v>
      </c>
      <c r="AN45" s="326" t="s">
        <v>2</v>
      </c>
      <c r="AO45" s="329" t="s">
        <v>2</v>
      </c>
      <c r="AP45" s="322">
        <v>6.1</v>
      </c>
      <c r="AQ45" s="327">
        <v>2.93</v>
      </c>
      <c r="AR45" s="327" t="s">
        <v>2</v>
      </c>
      <c r="AS45" s="327">
        <v>1.1499999999999999</v>
      </c>
      <c r="AT45" s="327">
        <v>0.02</v>
      </c>
      <c r="AU45" s="327">
        <v>0.02</v>
      </c>
      <c r="AV45" s="330">
        <v>0.01</v>
      </c>
      <c r="AW45" s="328">
        <v>3.27</v>
      </c>
      <c r="AX45" s="327">
        <v>0.08</v>
      </c>
      <c r="AY45" s="327">
        <v>0.17</v>
      </c>
      <c r="AZ45" s="330">
        <v>2.96</v>
      </c>
      <c r="BA45" s="331">
        <v>2.33</v>
      </c>
      <c r="BB45" s="332">
        <v>2.02</v>
      </c>
      <c r="BC45" s="332">
        <v>0.25</v>
      </c>
      <c r="BD45" s="332">
        <v>0.02</v>
      </c>
      <c r="BE45" s="332">
        <v>0</v>
      </c>
      <c r="BF45" s="333">
        <v>0</v>
      </c>
      <c r="BG45" s="319">
        <v>0.35</v>
      </c>
      <c r="BH45" s="319">
        <v>30</v>
      </c>
      <c r="BI45" s="325" t="s">
        <v>2</v>
      </c>
      <c r="BJ45" s="326" t="s">
        <v>2</v>
      </c>
      <c r="BK45" s="326" t="s">
        <v>2</v>
      </c>
      <c r="BL45" s="326" t="s">
        <v>2</v>
      </c>
      <c r="BM45" s="326" t="s">
        <v>2</v>
      </c>
      <c r="BN45" s="326" t="s">
        <v>2</v>
      </c>
      <c r="BO45" s="326" t="s">
        <v>2</v>
      </c>
      <c r="BP45" s="326" t="s">
        <v>2</v>
      </c>
      <c r="BQ45" s="326" t="s">
        <v>2</v>
      </c>
      <c r="BR45" s="326" t="s">
        <v>2</v>
      </c>
      <c r="BS45" s="326" t="s">
        <v>2</v>
      </c>
      <c r="BT45" s="326" t="s">
        <v>2</v>
      </c>
      <c r="BU45" s="326" t="s">
        <v>2</v>
      </c>
      <c r="BV45" s="326" t="s">
        <v>2</v>
      </c>
      <c r="BW45" s="326" t="s">
        <v>2</v>
      </c>
      <c r="BX45" s="326" t="s">
        <v>2</v>
      </c>
      <c r="BY45" s="326" t="s">
        <v>2</v>
      </c>
      <c r="BZ45" s="329" t="s">
        <v>2</v>
      </c>
      <c r="CA45" s="328">
        <v>3</v>
      </c>
      <c r="CB45" s="323">
        <v>0.2</v>
      </c>
      <c r="CC45" s="323">
        <v>0.9</v>
      </c>
      <c r="CD45" s="323">
        <v>0.5</v>
      </c>
      <c r="CE45" s="323">
        <v>0.93</v>
      </c>
      <c r="CF45" s="323">
        <v>0.6</v>
      </c>
      <c r="CG45" s="324">
        <v>0</v>
      </c>
      <c r="CH45" s="326" t="s">
        <v>2</v>
      </c>
      <c r="CI45" s="329" t="s">
        <v>2</v>
      </c>
      <c r="CJ45" s="328" t="s">
        <v>2</v>
      </c>
      <c r="CK45" s="323" t="s">
        <v>2</v>
      </c>
      <c r="CL45" s="323" t="s">
        <v>2</v>
      </c>
      <c r="CM45" s="324" t="s">
        <v>2</v>
      </c>
      <c r="CN45" s="319" t="s">
        <v>2</v>
      </c>
      <c r="CO45" s="319" t="s">
        <v>2</v>
      </c>
    </row>
    <row r="46" spans="1:93" x14ac:dyDescent="0.25">
      <c r="A46" s="316">
        <v>16015</v>
      </c>
      <c r="B46" s="317" t="s">
        <v>1880</v>
      </c>
      <c r="C46" s="318" t="s">
        <v>1881</v>
      </c>
      <c r="D46" s="293">
        <v>16</v>
      </c>
      <c r="E46" s="349">
        <v>0</v>
      </c>
      <c r="F46" s="320">
        <v>276</v>
      </c>
      <c r="G46" s="300">
        <v>1153.6799999999998</v>
      </c>
      <c r="H46" s="321">
        <v>42.68</v>
      </c>
      <c r="I46" s="322">
        <v>11</v>
      </c>
      <c r="J46" s="323">
        <v>11.3</v>
      </c>
      <c r="K46" s="323">
        <v>32.85</v>
      </c>
      <c r="L46" s="323">
        <v>2.1</v>
      </c>
      <c r="M46" s="324">
        <v>2.37</v>
      </c>
      <c r="N46" s="325">
        <v>192</v>
      </c>
      <c r="O46" s="326">
        <v>216</v>
      </c>
      <c r="P46" s="323">
        <v>2.4700000000000002</v>
      </c>
      <c r="Q46" s="323">
        <v>1.31</v>
      </c>
      <c r="R46" s="315">
        <v>580</v>
      </c>
      <c r="S46" s="326">
        <v>170</v>
      </c>
      <c r="T46" s="326">
        <v>21</v>
      </c>
      <c r="U46" s="327">
        <v>0.4</v>
      </c>
      <c r="V46" s="327">
        <v>0.1</v>
      </c>
      <c r="W46" s="324">
        <v>16</v>
      </c>
      <c r="X46" s="328">
        <v>1.9</v>
      </c>
      <c r="Y46" s="327" t="s">
        <v>2</v>
      </c>
      <c r="Z46" s="327" t="s">
        <v>2</v>
      </c>
      <c r="AA46" s="327" t="s">
        <v>2</v>
      </c>
      <c r="AB46" s="327" t="s">
        <v>2</v>
      </c>
      <c r="AC46" s="327">
        <v>0.08</v>
      </c>
      <c r="AD46" s="326" t="s">
        <v>2</v>
      </c>
      <c r="AE46" s="326" t="s">
        <v>2</v>
      </c>
      <c r="AF46" s="323" t="s">
        <v>2</v>
      </c>
      <c r="AG46" s="324">
        <v>0.33</v>
      </c>
      <c r="AH46" s="320" t="s">
        <v>2</v>
      </c>
      <c r="AI46" s="320">
        <v>0</v>
      </c>
      <c r="AJ46" s="323">
        <v>0</v>
      </c>
      <c r="AK46" s="323">
        <v>0.74</v>
      </c>
      <c r="AL46" s="324">
        <v>17</v>
      </c>
      <c r="AM46" s="325" t="s">
        <v>2</v>
      </c>
      <c r="AN46" s="326" t="s">
        <v>2</v>
      </c>
      <c r="AO46" s="329" t="s">
        <v>2</v>
      </c>
      <c r="AP46" s="322">
        <v>4.3899999999999997</v>
      </c>
      <c r="AQ46" s="327">
        <v>2.2000000000000002</v>
      </c>
      <c r="AR46" s="327" t="s">
        <v>2</v>
      </c>
      <c r="AS46" s="327">
        <v>0.87</v>
      </c>
      <c r="AT46" s="327">
        <v>0.02</v>
      </c>
      <c r="AU46" s="327">
        <v>0.02</v>
      </c>
      <c r="AV46" s="330">
        <v>0.01</v>
      </c>
      <c r="AW46" s="328">
        <v>2.76</v>
      </c>
      <c r="AX46" s="327">
        <v>0.05</v>
      </c>
      <c r="AY46" s="327">
        <v>0.12</v>
      </c>
      <c r="AZ46" s="330">
        <v>2.52</v>
      </c>
      <c r="BA46" s="331">
        <v>3.12</v>
      </c>
      <c r="BB46" s="332">
        <v>2.72</v>
      </c>
      <c r="BC46" s="332">
        <v>0.35</v>
      </c>
      <c r="BD46" s="332">
        <v>0.01</v>
      </c>
      <c r="BE46" s="332">
        <v>0</v>
      </c>
      <c r="BF46" s="333">
        <v>0</v>
      </c>
      <c r="BG46" s="319">
        <v>0.26</v>
      </c>
      <c r="BH46" s="319">
        <v>18</v>
      </c>
      <c r="BI46" s="325" t="s">
        <v>2</v>
      </c>
      <c r="BJ46" s="326" t="s">
        <v>2</v>
      </c>
      <c r="BK46" s="326" t="s">
        <v>2</v>
      </c>
      <c r="BL46" s="326" t="s">
        <v>2</v>
      </c>
      <c r="BM46" s="326" t="s">
        <v>2</v>
      </c>
      <c r="BN46" s="326" t="s">
        <v>2</v>
      </c>
      <c r="BO46" s="326" t="s">
        <v>2</v>
      </c>
      <c r="BP46" s="326" t="s">
        <v>2</v>
      </c>
      <c r="BQ46" s="326" t="s">
        <v>2</v>
      </c>
      <c r="BR46" s="326" t="s">
        <v>2</v>
      </c>
      <c r="BS46" s="326" t="s">
        <v>2</v>
      </c>
      <c r="BT46" s="326" t="s">
        <v>2</v>
      </c>
      <c r="BU46" s="326" t="s">
        <v>2</v>
      </c>
      <c r="BV46" s="326" t="s">
        <v>2</v>
      </c>
      <c r="BW46" s="326" t="s">
        <v>2</v>
      </c>
      <c r="BX46" s="326" t="s">
        <v>2</v>
      </c>
      <c r="BY46" s="326" t="s">
        <v>2</v>
      </c>
      <c r="BZ46" s="329" t="s">
        <v>2</v>
      </c>
      <c r="CA46" s="328">
        <v>2.4700000000000002</v>
      </c>
      <c r="CB46" s="323">
        <v>0.13</v>
      </c>
      <c r="CC46" s="323">
        <v>1.07</v>
      </c>
      <c r="CD46" s="323">
        <v>0.4</v>
      </c>
      <c r="CE46" s="323">
        <v>0.47</v>
      </c>
      <c r="CF46" s="323">
        <v>0.4</v>
      </c>
      <c r="CG46" s="324">
        <v>0</v>
      </c>
      <c r="CH46" s="326" t="s">
        <v>2</v>
      </c>
      <c r="CI46" s="329" t="s">
        <v>2</v>
      </c>
      <c r="CJ46" s="328" t="s">
        <v>2</v>
      </c>
      <c r="CK46" s="323" t="s">
        <v>2</v>
      </c>
      <c r="CL46" s="323" t="s">
        <v>2</v>
      </c>
      <c r="CM46" s="324" t="s">
        <v>2</v>
      </c>
      <c r="CN46" s="319" t="s">
        <v>2</v>
      </c>
      <c r="CO46" s="319" t="s">
        <v>2</v>
      </c>
    </row>
    <row r="47" spans="1:93" x14ac:dyDescent="0.25">
      <c r="A47" s="316">
        <v>16016</v>
      </c>
      <c r="B47" s="317" t="s">
        <v>1882</v>
      </c>
      <c r="C47" s="318" t="s">
        <v>1883</v>
      </c>
      <c r="D47" s="293">
        <v>16</v>
      </c>
      <c r="E47" s="349">
        <v>0</v>
      </c>
      <c r="F47" s="320">
        <v>291</v>
      </c>
      <c r="G47" s="300">
        <v>1216.3799999999999</v>
      </c>
      <c r="H47" s="321">
        <v>41.17</v>
      </c>
      <c r="I47" s="322">
        <v>11</v>
      </c>
      <c r="J47" s="323">
        <v>13.1</v>
      </c>
      <c r="K47" s="323">
        <v>31.8</v>
      </c>
      <c r="L47" s="323">
        <v>2</v>
      </c>
      <c r="M47" s="324">
        <v>2.5099999999999998</v>
      </c>
      <c r="N47" s="325">
        <v>147</v>
      </c>
      <c r="O47" s="326">
        <v>193</v>
      </c>
      <c r="P47" s="323">
        <v>2.57</v>
      </c>
      <c r="Q47" s="323">
        <v>1.36</v>
      </c>
      <c r="R47" s="315">
        <v>676</v>
      </c>
      <c r="S47" s="326">
        <v>187</v>
      </c>
      <c r="T47" s="326">
        <v>22</v>
      </c>
      <c r="U47" s="327">
        <v>0.43</v>
      </c>
      <c r="V47" s="327">
        <v>0.1</v>
      </c>
      <c r="W47" s="324">
        <v>15.5</v>
      </c>
      <c r="X47" s="328">
        <v>1</v>
      </c>
      <c r="Y47" s="327" t="s">
        <v>2</v>
      </c>
      <c r="Z47" s="327" t="s">
        <v>2</v>
      </c>
      <c r="AA47" s="327" t="s">
        <v>2</v>
      </c>
      <c r="AB47" s="327" t="s">
        <v>2</v>
      </c>
      <c r="AC47" s="327">
        <v>0.09</v>
      </c>
      <c r="AD47" s="326" t="s">
        <v>2</v>
      </c>
      <c r="AE47" s="326" t="s">
        <v>2</v>
      </c>
      <c r="AF47" s="323" t="s">
        <v>2</v>
      </c>
      <c r="AG47" s="324">
        <v>0.51</v>
      </c>
      <c r="AH47" s="320" t="s">
        <v>2</v>
      </c>
      <c r="AI47" s="320">
        <v>0</v>
      </c>
      <c r="AJ47" s="323">
        <v>0</v>
      </c>
      <c r="AK47" s="323">
        <v>0.92</v>
      </c>
      <c r="AL47" s="324">
        <v>21.5</v>
      </c>
      <c r="AM47" s="325" t="s">
        <v>2</v>
      </c>
      <c r="AN47" s="326" t="s">
        <v>2</v>
      </c>
      <c r="AO47" s="329" t="s">
        <v>2</v>
      </c>
      <c r="AP47" s="322">
        <v>4.82</v>
      </c>
      <c r="AQ47" s="327">
        <v>2.57</v>
      </c>
      <c r="AR47" s="327" t="s">
        <v>2</v>
      </c>
      <c r="AS47" s="327">
        <v>1.1399999999999999</v>
      </c>
      <c r="AT47" s="327">
        <v>0.03</v>
      </c>
      <c r="AU47" s="327">
        <v>0.02</v>
      </c>
      <c r="AV47" s="330">
        <v>0.01</v>
      </c>
      <c r="AW47" s="328">
        <v>3.84</v>
      </c>
      <c r="AX47" s="327">
        <v>0.04</v>
      </c>
      <c r="AY47" s="327">
        <v>0.18</v>
      </c>
      <c r="AZ47" s="330">
        <v>3.51</v>
      </c>
      <c r="BA47" s="331">
        <v>3.41</v>
      </c>
      <c r="BB47" s="332">
        <v>2.98</v>
      </c>
      <c r="BC47" s="332">
        <v>0.35</v>
      </c>
      <c r="BD47" s="332">
        <v>0.03</v>
      </c>
      <c r="BE47" s="332">
        <v>0</v>
      </c>
      <c r="BF47" s="333">
        <v>0</v>
      </c>
      <c r="BG47" s="319">
        <v>0.24</v>
      </c>
      <c r="BH47" s="319">
        <v>23</v>
      </c>
      <c r="BI47" s="325" t="s">
        <v>2</v>
      </c>
      <c r="BJ47" s="326" t="s">
        <v>2</v>
      </c>
      <c r="BK47" s="326" t="s">
        <v>2</v>
      </c>
      <c r="BL47" s="326" t="s">
        <v>2</v>
      </c>
      <c r="BM47" s="326" t="s">
        <v>2</v>
      </c>
      <c r="BN47" s="326" t="s">
        <v>2</v>
      </c>
      <c r="BO47" s="326" t="s">
        <v>2</v>
      </c>
      <c r="BP47" s="326" t="s">
        <v>2</v>
      </c>
      <c r="BQ47" s="326" t="s">
        <v>2</v>
      </c>
      <c r="BR47" s="326" t="s">
        <v>2</v>
      </c>
      <c r="BS47" s="326" t="s">
        <v>2</v>
      </c>
      <c r="BT47" s="326" t="s">
        <v>2</v>
      </c>
      <c r="BU47" s="326" t="s">
        <v>2</v>
      </c>
      <c r="BV47" s="326" t="s">
        <v>2</v>
      </c>
      <c r="BW47" s="326" t="s">
        <v>2</v>
      </c>
      <c r="BX47" s="326" t="s">
        <v>2</v>
      </c>
      <c r="BY47" s="326" t="s">
        <v>2</v>
      </c>
      <c r="BZ47" s="329" t="s">
        <v>2</v>
      </c>
      <c r="CA47" s="328">
        <v>1.95</v>
      </c>
      <c r="CB47" s="323">
        <v>0.08</v>
      </c>
      <c r="CC47" s="323">
        <v>0.8</v>
      </c>
      <c r="CD47" s="323">
        <v>0.37</v>
      </c>
      <c r="CE47" s="323">
        <v>0.37</v>
      </c>
      <c r="CF47" s="323">
        <v>0.33</v>
      </c>
      <c r="CG47" s="324">
        <v>0</v>
      </c>
      <c r="CH47" s="326" t="s">
        <v>2</v>
      </c>
      <c r="CI47" s="329" t="s">
        <v>2</v>
      </c>
      <c r="CJ47" s="328" t="s">
        <v>2</v>
      </c>
      <c r="CK47" s="323" t="s">
        <v>2</v>
      </c>
      <c r="CL47" s="323" t="s">
        <v>2</v>
      </c>
      <c r="CM47" s="324" t="s">
        <v>2</v>
      </c>
      <c r="CN47" s="319" t="s">
        <v>2</v>
      </c>
      <c r="CO47" s="319" t="s">
        <v>2</v>
      </c>
    </row>
    <row r="48" spans="1:93" x14ac:dyDescent="0.25">
      <c r="A48" s="316">
        <v>16017</v>
      </c>
      <c r="B48" s="317" t="s">
        <v>1884</v>
      </c>
      <c r="C48" s="318" t="s">
        <v>1885</v>
      </c>
      <c r="D48" s="293">
        <v>16</v>
      </c>
      <c r="E48" s="349">
        <v>0</v>
      </c>
      <c r="F48" s="320">
        <v>287</v>
      </c>
      <c r="G48" s="300">
        <v>1199.6599999999999</v>
      </c>
      <c r="H48" s="321" t="s">
        <v>2</v>
      </c>
      <c r="I48" s="322">
        <v>11</v>
      </c>
      <c r="J48" s="323">
        <v>14</v>
      </c>
      <c r="K48" s="323">
        <v>30</v>
      </c>
      <c r="L48" s="323">
        <v>2</v>
      </c>
      <c r="M48" s="324">
        <v>2.1800000000000002</v>
      </c>
      <c r="N48" s="325">
        <v>132</v>
      </c>
      <c r="O48" s="326">
        <v>179</v>
      </c>
      <c r="P48" s="323">
        <v>2.39</v>
      </c>
      <c r="Q48" s="323">
        <v>1.25</v>
      </c>
      <c r="R48" s="315">
        <v>596</v>
      </c>
      <c r="S48" s="326">
        <v>192</v>
      </c>
      <c r="T48" s="326">
        <v>21</v>
      </c>
      <c r="U48" s="327">
        <v>0.375</v>
      </c>
      <c r="V48" s="327">
        <v>0.10100000000000001</v>
      </c>
      <c r="W48" s="324">
        <v>15.8</v>
      </c>
      <c r="X48" s="328">
        <v>1.6</v>
      </c>
      <c r="Y48" s="327">
        <v>0.4</v>
      </c>
      <c r="Z48" s="327">
        <v>0.2</v>
      </c>
      <c r="AA48" s="327">
        <v>3.83</v>
      </c>
      <c r="AB48" s="327" t="s">
        <v>2</v>
      </c>
      <c r="AC48" s="327">
        <v>0.09</v>
      </c>
      <c r="AD48" s="326" t="s">
        <v>2</v>
      </c>
      <c r="AE48" s="326" t="s">
        <v>2</v>
      </c>
      <c r="AF48" s="323" t="s">
        <v>2</v>
      </c>
      <c r="AG48" s="324">
        <v>0.48</v>
      </c>
      <c r="AH48" s="320" t="s">
        <v>2</v>
      </c>
      <c r="AI48" s="320" t="s">
        <v>2</v>
      </c>
      <c r="AJ48" s="323" t="s">
        <v>2</v>
      </c>
      <c r="AK48" s="323" t="s">
        <v>2</v>
      </c>
      <c r="AL48" s="324" t="s">
        <v>2</v>
      </c>
      <c r="AM48" s="325" t="s">
        <v>2</v>
      </c>
      <c r="AN48" s="326" t="s">
        <v>2</v>
      </c>
      <c r="AO48" s="329" t="s">
        <v>2</v>
      </c>
      <c r="AP48" s="322">
        <v>4.8550000000000004</v>
      </c>
      <c r="AQ48" s="327">
        <v>2.6760000000000002</v>
      </c>
      <c r="AR48" s="327">
        <v>4.7E-2</v>
      </c>
      <c r="AS48" s="327">
        <v>1.1910000000000001</v>
      </c>
      <c r="AT48" s="327">
        <v>2.9000000000000001E-2</v>
      </c>
      <c r="AU48" s="327">
        <v>0.02</v>
      </c>
      <c r="AV48" s="330" t="s">
        <v>2</v>
      </c>
      <c r="AW48" s="328">
        <v>4.2729999999999997</v>
      </c>
      <c r="AX48" s="327">
        <v>3.3000000000000002E-2</v>
      </c>
      <c r="AY48" s="327">
        <v>0.19700000000000001</v>
      </c>
      <c r="AZ48" s="330">
        <v>3.9340000000000002</v>
      </c>
      <c r="BA48" s="331">
        <v>3.7229999999999999</v>
      </c>
      <c r="BB48" s="332">
        <v>3.258</v>
      </c>
      <c r="BC48" s="332">
        <v>0.35199999999999998</v>
      </c>
      <c r="BD48" s="332" t="s">
        <v>2</v>
      </c>
      <c r="BE48" s="332">
        <v>4.0000000000000001E-3</v>
      </c>
      <c r="BF48" s="333">
        <v>2E-3</v>
      </c>
      <c r="BG48" s="319">
        <v>0.2</v>
      </c>
      <c r="BH48" s="319">
        <v>23</v>
      </c>
      <c r="BI48" s="325" t="s">
        <v>2</v>
      </c>
      <c r="BJ48" s="326" t="s">
        <v>2</v>
      </c>
      <c r="BK48" s="326" t="s">
        <v>2</v>
      </c>
      <c r="BL48" s="326" t="s">
        <v>2</v>
      </c>
      <c r="BM48" s="326" t="s">
        <v>2</v>
      </c>
      <c r="BN48" s="326" t="s">
        <v>2</v>
      </c>
      <c r="BO48" s="326" t="s">
        <v>2</v>
      </c>
      <c r="BP48" s="326" t="s">
        <v>2</v>
      </c>
      <c r="BQ48" s="326" t="s">
        <v>2</v>
      </c>
      <c r="BR48" s="326" t="s">
        <v>2</v>
      </c>
      <c r="BS48" s="326" t="s">
        <v>2</v>
      </c>
      <c r="BT48" s="326" t="s">
        <v>2</v>
      </c>
      <c r="BU48" s="326" t="s">
        <v>2</v>
      </c>
      <c r="BV48" s="326" t="s">
        <v>2</v>
      </c>
      <c r="BW48" s="326" t="s">
        <v>2</v>
      </c>
      <c r="BX48" s="326" t="s">
        <v>2</v>
      </c>
      <c r="BY48" s="326" t="s">
        <v>2</v>
      </c>
      <c r="BZ48" s="329" t="s">
        <v>2</v>
      </c>
      <c r="CA48" s="328">
        <v>1.82</v>
      </c>
      <c r="CB48" s="323">
        <v>0.08</v>
      </c>
      <c r="CC48" s="323">
        <v>0.7</v>
      </c>
      <c r="CD48" s="323">
        <v>0.33</v>
      </c>
      <c r="CE48" s="323">
        <v>0.37</v>
      </c>
      <c r="CF48" s="323">
        <v>0.33</v>
      </c>
      <c r="CG48" s="324">
        <v>0</v>
      </c>
      <c r="CH48" s="326" t="s">
        <v>2</v>
      </c>
      <c r="CI48" s="329" t="s">
        <v>2</v>
      </c>
      <c r="CJ48" s="328" t="s">
        <v>2</v>
      </c>
      <c r="CK48" s="323" t="s">
        <v>2</v>
      </c>
      <c r="CL48" s="323" t="s">
        <v>2</v>
      </c>
      <c r="CM48" s="324" t="s">
        <v>2</v>
      </c>
      <c r="CN48" s="319" t="s">
        <v>2</v>
      </c>
      <c r="CO48" s="319" t="s">
        <v>2</v>
      </c>
    </row>
    <row r="49" spans="1:93" x14ac:dyDescent="0.25">
      <c r="A49" s="316">
        <v>16018</v>
      </c>
      <c r="B49" s="317" t="s">
        <v>1886</v>
      </c>
      <c r="C49" s="318" t="s">
        <v>1887</v>
      </c>
      <c r="D49" s="293">
        <v>16</v>
      </c>
      <c r="E49" s="349">
        <v>0</v>
      </c>
      <c r="F49" s="320">
        <v>280</v>
      </c>
      <c r="G49" s="300">
        <v>1170.3999999999999</v>
      </c>
      <c r="H49" s="321" t="s">
        <v>2</v>
      </c>
      <c r="I49" s="322">
        <v>12</v>
      </c>
      <c r="J49" s="323">
        <v>12.6</v>
      </c>
      <c r="K49" s="323">
        <v>29.9</v>
      </c>
      <c r="L49" s="323">
        <v>1.7</v>
      </c>
      <c r="M49" s="324">
        <v>2.39</v>
      </c>
      <c r="N49" s="325">
        <v>208</v>
      </c>
      <c r="O49" s="326">
        <v>241</v>
      </c>
      <c r="P49" s="323">
        <v>1.86</v>
      </c>
      <c r="Q49" s="323">
        <v>1.63</v>
      </c>
      <c r="R49" s="315">
        <v>624</v>
      </c>
      <c r="S49" s="326">
        <v>168</v>
      </c>
      <c r="T49" s="326">
        <v>21</v>
      </c>
      <c r="U49" s="327">
        <v>0.31</v>
      </c>
      <c r="V49" s="327">
        <v>0.1</v>
      </c>
      <c r="W49" s="324">
        <v>19.399999999999999</v>
      </c>
      <c r="X49" s="328">
        <v>0</v>
      </c>
      <c r="Y49" s="327" t="s">
        <v>2</v>
      </c>
      <c r="Z49" s="327" t="s">
        <v>2</v>
      </c>
      <c r="AA49" s="327" t="s">
        <v>2</v>
      </c>
      <c r="AB49" s="327" t="s">
        <v>2</v>
      </c>
      <c r="AC49" s="327">
        <v>0.11</v>
      </c>
      <c r="AD49" s="326" t="s">
        <v>2</v>
      </c>
      <c r="AE49" s="326" t="s">
        <v>2</v>
      </c>
      <c r="AF49" s="323" t="s">
        <v>2</v>
      </c>
      <c r="AG49" s="324">
        <v>0.64</v>
      </c>
      <c r="AH49" s="320" t="s">
        <v>2</v>
      </c>
      <c r="AI49" s="320">
        <v>73</v>
      </c>
      <c r="AJ49" s="323" t="s">
        <v>2</v>
      </c>
      <c r="AK49" s="323">
        <v>1.06</v>
      </c>
      <c r="AL49" s="324">
        <v>15.5</v>
      </c>
      <c r="AM49" s="325" t="s">
        <v>2</v>
      </c>
      <c r="AN49" s="326" t="s">
        <v>2</v>
      </c>
      <c r="AO49" s="329" t="s">
        <v>2</v>
      </c>
      <c r="AP49" s="322">
        <v>5.18</v>
      </c>
      <c r="AQ49" s="327">
        <v>2.61</v>
      </c>
      <c r="AR49" s="327">
        <v>0.05</v>
      </c>
      <c r="AS49" s="327">
        <v>1.2</v>
      </c>
      <c r="AT49" s="327">
        <v>0.03</v>
      </c>
      <c r="AU49" s="327">
        <v>0.02</v>
      </c>
      <c r="AV49" s="330" t="s">
        <v>2</v>
      </c>
      <c r="AW49" s="328">
        <v>3.21</v>
      </c>
      <c r="AX49" s="327">
        <v>0.05</v>
      </c>
      <c r="AY49" s="327">
        <v>0.12</v>
      </c>
      <c r="AZ49" s="330">
        <v>3</v>
      </c>
      <c r="BA49" s="331">
        <v>2.75</v>
      </c>
      <c r="BB49" s="332">
        <v>2.4300000000000002</v>
      </c>
      <c r="BC49" s="332">
        <v>0.3</v>
      </c>
      <c r="BD49" s="332">
        <v>0.02</v>
      </c>
      <c r="BE49" s="332">
        <v>0</v>
      </c>
      <c r="BF49" s="333">
        <v>0</v>
      </c>
      <c r="BG49" s="319" t="s">
        <v>2</v>
      </c>
      <c r="BH49" s="319">
        <v>21</v>
      </c>
      <c r="BI49" s="325">
        <v>0.69</v>
      </c>
      <c r="BJ49" s="326">
        <v>0.27</v>
      </c>
      <c r="BK49" s="326">
        <v>0.13</v>
      </c>
      <c r="BL49" s="326">
        <v>0.62</v>
      </c>
      <c r="BM49" s="326">
        <v>0.38</v>
      </c>
      <c r="BN49" s="326">
        <v>0.66</v>
      </c>
      <c r="BO49" s="326">
        <v>1.04</v>
      </c>
      <c r="BP49" s="326">
        <v>0.52</v>
      </c>
      <c r="BQ49" s="326">
        <v>0.45</v>
      </c>
      <c r="BR49" s="326">
        <v>0.33</v>
      </c>
      <c r="BS49" s="326">
        <v>0.16</v>
      </c>
      <c r="BT49" s="326">
        <v>0.48</v>
      </c>
      <c r="BU49" s="326">
        <v>0.39</v>
      </c>
      <c r="BV49" s="326">
        <v>0.75</v>
      </c>
      <c r="BW49" s="326">
        <v>3.32</v>
      </c>
      <c r="BX49" s="326">
        <v>0.32</v>
      </c>
      <c r="BY49" s="326">
        <v>1.25</v>
      </c>
      <c r="BZ49" s="329">
        <v>0.65</v>
      </c>
      <c r="CA49" s="328">
        <v>29.9</v>
      </c>
      <c r="CB49" s="323">
        <v>7.0000000000000007E-2</v>
      </c>
      <c r="CC49" s="323">
        <v>1.83</v>
      </c>
      <c r="CD49" s="323">
        <v>0.47</v>
      </c>
      <c r="CE49" s="323">
        <v>0.42</v>
      </c>
      <c r="CF49" s="323">
        <v>0.41</v>
      </c>
      <c r="CG49" s="324">
        <v>0</v>
      </c>
      <c r="CH49" s="326" t="s">
        <v>2</v>
      </c>
      <c r="CI49" s="329" t="s">
        <v>2</v>
      </c>
      <c r="CJ49" s="328" t="s">
        <v>2</v>
      </c>
      <c r="CK49" s="323" t="s">
        <v>2</v>
      </c>
      <c r="CL49" s="323" t="s">
        <v>2</v>
      </c>
      <c r="CM49" s="324" t="s">
        <v>2</v>
      </c>
      <c r="CN49" s="319" t="s">
        <v>2</v>
      </c>
      <c r="CO49" s="319" t="s">
        <v>2</v>
      </c>
    </row>
    <row r="50" spans="1:93" x14ac:dyDescent="0.25">
      <c r="A50" s="316">
        <v>16019</v>
      </c>
      <c r="B50" s="317" t="s">
        <v>1888</v>
      </c>
      <c r="C50" s="318" t="s">
        <v>1889</v>
      </c>
      <c r="D50" s="293">
        <v>16</v>
      </c>
      <c r="E50" s="349">
        <v>0</v>
      </c>
      <c r="F50" s="320">
        <v>298</v>
      </c>
      <c r="G50" s="300">
        <v>1245.6399999999999</v>
      </c>
      <c r="H50" s="321">
        <v>40.799999999999997</v>
      </c>
      <c r="I50" s="322">
        <v>12</v>
      </c>
      <c r="J50" s="323">
        <v>14.2</v>
      </c>
      <c r="K50" s="323">
        <v>30.5</v>
      </c>
      <c r="L50" s="323">
        <v>1.8</v>
      </c>
      <c r="M50" s="324">
        <v>2.5299999999999998</v>
      </c>
      <c r="N50" s="325">
        <v>146</v>
      </c>
      <c r="O50" s="326">
        <v>205</v>
      </c>
      <c r="P50" s="323">
        <v>2.14</v>
      </c>
      <c r="Q50" s="323">
        <v>1.54</v>
      </c>
      <c r="R50" s="315">
        <v>692</v>
      </c>
      <c r="S50" s="326">
        <v>199</v>
      </c>
      <c r="T50" s="326">
        <v>22</v>
      </c>
      <c r="U50" s="327">
        <v>0.36</v>
      </c>
      <c r="V50" s="327">
        <v>0.11</v>
      </c>
      <c r="W50" s="324">
        <v>20.6</v>
      </c>
      <c r="X50" s="328">
        <v>0</v>
      </c>
      <c r="Y50" s="327" t="s">
        <v>2</v>
      </c>
      <c r="Z50" s="327" t="s">
        <v>2</v>
      </c>
      <c r="AA50" s="327" t="s">
        <v>2</v>
      </c>
      <c r="AB50" s="327" t="s">
        <v>2</v>
      </c>
      <c r="AC50" s="327">
        <v>0.14000000000000001</v>
      </c>
      <c r="AD50" s="326" t="s">
        <v>2</v>
      </c>
      <c r="AE50" s="326" t="s">
        <v>2</v>
      </c>
      <c r="AF50" s="323" t="s">
        <v>2</v>
      </c>
      <c r="AG50" s="324">
        <v>0.64</v>
      </c>
      <c r="AH50" s="320" t="s">
        <v>2</v>
      </c>
      <c r="AI50" s="320">
        <v>47</v>
      </c>
      <c r="AJ50" s="323" t="s">
        <v>2</v>
      </c>
      <c r="AK50" s="323">
        <v>0.78</v>
      </c>
      <c r="AL50" s="324">
        <v>19.3</v>
      </c>
      <c r="AM50" s="325" t="s">
        <v>2</v>
      </c>
      <c r="AN50" s="326" t="s">
        <v>2</v>
      </c>
      <c r="AO50" s="329" t="s">
        <v>2</v>
      </c>
      <c r="AP50" s="322">
        <v>5.27</v>
      </c>
      <c r="AQ50" s="327">
        <v>2.88</v>
      </c>
      <c r="AR50" s="327" t="s">
        <v>2</v>
      </c>
      <c r="AS50" s="327">
        <v>1.37</v>
      </c>
      <c r="AT50" s="327">
        <v>0.03</v>
      </c>
      <c r="AU50" s="327">
        <v>0.02</v>
      </c>
      <c r="AV50" s="330" t="s">
        <v>2</v>
      </c>
      <c r="AW50" s="328">
        <v>4.42</v>
      </c>
      <c r="AX50" s="327">
        <v>0.04</v>
      </c>
      <c r="AY50" s="327">
        <v>0.18</v>
      </c>
      <c r="AZ50" s="330">
        <v>4.1100000000000003</v>
      </c>
      <c r="BA50" s="331">
        <v>3.47</v>
      </c>
      <c r="BB50" s="332">
        <v>3.06</v>
      </c>
      <c r="BC50" s="332">
        <v>0.36</v>
      </c>
      <c r="BD50" s="332">
        <v>0.03</v>
      </c>
      <c r="BE50" s="332">
        <v>0</v>
      </c>
      <c r="BF50" s="333">
        <v>0</v>
      </c>
      <c r="BG50" s="319" t="s">
        <v>2</v>
      </c>
      <c r="BH50" s="319">
        <v>25</v>
      </c>
      <c r="BI50" s="325">
        <v>0.65</v>
      </c>
      <c r="BJ50" s="326">
        <v>0.25</v>
      </c>
      <c r="BK50" s="326">
        <v>0.12</v>
      </c>
      <c r="BL50" s="326">
        <v>0.56000000000000005</v>
      </c>
      <c r="BM50" s="326">
        <v>0.37</v>
      </c>
      <c r="BN50" s="326">
        <v>0.6</v>
      </c>
      <c r="BO50" s="326">
        <v>0.95</v>
      </c>
      <c r="BP50" s="326">
        <v>0.49</v>
      </c>
      <c r="BQ50" s="326">
        <v>0.49</v>
      </c>
      <c r="BR50" s="326">
        <v>0.32</v>
      </c>
      <c r="BS50" s="326">
        <v>0.18</v>
      </c>
      <c r="BT50" s="326">
        <v>0.43</v>
      </c>
      <c r="BU50" s="326">
        <v>0.43</v>
      </c>
      <c r="BV50" s="326">
        <v>0.74</v>
      </c>
      <c r="BW50" s="326">
        <v>3.16</v>
      </c>
      <c r="BX50" s="326">
        <v>0.4</v>
      </c>
      <c r="BY50" s="326">
        <v>1.1299999999999999</v>
      </c>
      <c r="BZ50" s="329">
        <v>0.59</v>
      </c>
      <c r="CA50" s="328">
        <v>3.2</v>
      </c>
      <c r="CB50" s="323">
        <v>7.0000000000000007E-2</v>
      </c>
      <c r="CC50" s="323">
        <v>2.0099999999999998</v>
      </c>
      <c r="CD50" s="323">
        <v>0.35</v>
      </c>
      <c r="CE50" s="323">
        <v>0.37</v>
      </c>
      <c r="CF50" s="323">
        <v>0.4</v>
      </c>
      <c r="CG50" s="324">
        <v>0</v>
      </c>
      <c r="CH50" s="326" t="s">
        <v>2</v>
      </c>
      <c r="CI50" s="329" t="s">
        <v>2</v>
      </c>
      <c r="CJ50" s="328" t="s">
        <v>2</v>
      </c>
      <c r="CK50" s="323" t="s">
        <v>2</v>
      </c>
      <c r="CL50" s="323" t="s">
        <v>2</v>
      </c>
      <c r="CM50" s="324" t="s">
        <v>2</v>
      </c>
      <c r="CN50" s="319" t="s">
        <v>2</v>
      </c>
      <c r="CO50" s="319" t="s">
        <v>2</v>
      </c>
    </row>
    <row r="51" spans="1:93" x14ac:dyDescent="0.25">
      <c r="A51" s="316">
        <v>16020</v>
      </c>
      <c r="B51" s="317" t="s">
        <v>1890</v>
      </c>
      <c r="C51" s="318" t="s">
        <v>1891</v>
      </c>
      <c r="D51" s="293">
        <v>16</v>
      </c>
      <c r="E51" s="349">
        <v>0</v>
      </c>
      <c r="F51" s="320">
        <v>243</v>
      </c>
      <c r="G51" s="300">
        <v>1015.7399999999999</v>
      </c>
      <c r="H51" s="321">
        <v>50.2</v>
      </c>
      <c r="I51" s="322">
        <v>11</v>
      </c>
      <c r="J51" s="323">
        <v>10.7</v>
      </c>
      <c r="K51" s="323">
        <v>25.6</v>
      </c>
      <c r="L51" s="323">
        <v>2</v>
      </c>
      <c r="M51" s="324">
        <v>2.56</v>
      </c>
      <c r="N51" s="325">
        <v>129</v>
      </c>
      <c r="O51" s="326">
        <v>200</v>
      </c>
      <c r="P51" s="323">
        <v>1.45</v>
      </c>
      <c r="Q51" s="323">
        <v>1.45</v>
      </c>
      <c r="R51" s="315">
        <v>689</v>
      </c>
      <c r="S51" s="326">
        <v>233</v>
      </c>
      <c r="T51" s="326">
        <v>23</v>
      </c>
      <c r="U51" s="327">
        <v>0.32</v>
      </c>
      <c r="V51" s="327">
        <v>0.13</v>
      </c>
      <c r="W51" s="324">
        <v>19.5</v>
      </c>
      <c r="X51" s="328">
        <v>0</v>
      </c>
      <c r="Y51" s="327" t="s">
        <v>2</v>
      </c>
      <c r="Z51" s="327" t="s">
        <v>2</v>
      </c>
      <c r="AA51" s="327" t="s">
        <v>2</v>
      </c>
      <c r="AB51" s="327" t="s">
        <v>2</v>
      </c>
      <c r="AC51" s="327">
        <v>0.15</v>
      </c>
      <c r="AD51" s="326" t="s">
        <v>2</v>
      </c>
      <c r="AE51" s="326" t="s">
        <v>2</v>
      </c>
      <c r="AF51" s="323" t="s">
        <v>2</v>
      </c>
      <c r="AG51" s="324">
        <v>0.62</v>
      </c>
      <c r="AH51" s="320" t="s">
        <v>2</v>
      </c>
      <c r="AI51" s="320">
        <v>36</v>
      </c>
      <c r="AJ51" s="323" t="s">
        <v>2</v>
      </c>
      <c r="AK51" s="323">
        <v>0.77</v>
      </c>
      <c r="AL51" s="324">
        <v>7.3</v>
      </c>
      <c r="AM51" s="325" t="s">
        <v>2</v>
      </c>
      <c r="AN51" s="326" t="s">
        <v>2</v>
      </c>
      <c r="AO51" s="329" t="s">
        <v>2</v>
      </c>
      <c r="AP51" s="322">
        <v>4.55</v>
      </c>
      <c r="AQ51" s="327">
        <v>2.48</v>
      </c>
      <c r="AR51" s="327" t="s">
        <v>2</v>
      </c>
      <c r="AS51" s="327">
        <v>1.18</v>
      </c>
      <c r="AT51" s="327">
        <v>0.02</v>
      </c>
      <c r="AU51" s="327">
        <v>0</v>
      </c>
      <c r="AV51" s="330" t="s">
        <v>2</v>
      </c>
      <c r="AW51" s="328">
        <v>3.95</v>
      </c>
      <c r="AX51" s="327">
        <v>0.04</v>
      </c>
      <c r="AY51" s="327">
        <v>0.2</v>
      </c>
      <c r="AZ51" s="330">
        <v>3.67</v>
      </c>
      <c r="BA51" s="331">
        <v>1.73</v>
      </c>
      <c r="BB51" s="332">
        <v>1.53</v>
      </c>
      <c r="BC51" s="332">
        <v>0.15</v>
      </c>
      <c r="BD51" s="332">
        <v>0.03</v>
      </c>
      <c r="BE51" s="332">
        <v>0</v>
      </c>
      <c r="BF51" s="333">
        <v>0</v>
      </c>
      <c r="BG51" s="319" t="s">
        <v>2</v>
      </c>
      <c r="BH51" s="319">
        <v>20</v>
      </c>
      <c r="BI51" s="325">
        <v>0.71</v>
      </c>
      <c r="BJ51" s="326">
        <v>0.21</v>
      </c>
      <c r="BK51" s="326">
        <v>0.11</v>
      </c>
      <c r="BL51" s="326">
        <v>0.55000000000000004</v>
      </c>
      <c r="BM51" s="326">
        <v>0.38</v>
      </c>
      <c r="BN51" s="326">
        <v>0.6</v>
      </c>
      <c r="BO51" s="326">
        <v>0.93</v>
      </c>
      <c r="BP51" s="326">
        <v>0.49</v>
      </c>
      <c r="BQ51" s="326">
        <v>0.53</v>
      </c>
      <c r="BR51" s="326">
        <v>0.32</v>
      </c>
      <c r="BS51" s="326">
        <v>0.15</v>
      </c>
      <c r="BT51" s="326">
        <v>0.43</v>
      </c>
      <c r="BU51" s="326">
        <v>0.48</v>
      </c>
      <c r="BV51" s="326">
        <v>0.83</v>
      </c>
      <c r="BW51" s="326">
        <v>2.85</v>
      </c>
      <c r="BX51" s="326">
        <v>0.44</v>
      </c>
      <c r="BY51" s="326">
        <v>1.01</v>
      </c>
      <c r="BZ51" s="329">
        <v>0.59</v>
      </c>
      <c r="CA51" s="328">
        <v>3.71</v>
      </c>
      <c r="CB51" s="323">
        <v>7.0000000000000007E-2</v>
      </c>
      <c r="CC51" s="323">
        <v>1.73</v>
      </c>
      <c r="CD51" s="323">
        <v>0.28000000000000003</v>
      </c>
      <c r="CE51" s="323">
        <v>0.9</v>
      </c>
      <c r="CF51" s="323">
        <v>0.74</v>
      </c>
      <c r="CG51" s="324">
        <v>0</v>
      </c>
      <c r="CH51" s="326" t="s">
        <v>2</v>
      </c>
      <c r="CI51" s="329" t="s">
        <v>2</v>
      </c>
      <c r="CJ51" s="328" t="s">
        <v>2</v>
      </c>
      <c r="CK51" s="323" t="s">
        <v>2</v>
      </c>
      <c r="CL51" s="323" t="s">
        <v>2</v>
      </c>
      <c r="CM51" s="324" t="s">
        <v>2</v>
      </c>
      <c r="CN51" s="319" t="s">
        <v>2</v>
      </c>
      <c r="CO51" s="319" t="s">
        <v>2</v>
      </c>
    </row>
    <row r="52" spans="1:93" x14ac:dyDescent="0.25">
      <c r="A52" s="316">
        <v>16021</v>
      </c>
      <c r="B52" s="317" t="s">
        <v>1892</v>
      </c>
      <c r="C52" s="318" t="s">
        <v>1893</v>
      </c>
      <c r="D52" s="293">
        <v>16</v>
      </c>
      <c r="E52" s="349">
        <v>0</v>
      </c>
      <c r="F52" s="320">
        <v>271</v>
      </c>
      <c r="G52" s="300">
        <v>1132.78</v>
      </c>
      <c r="H52" s="321">
        <v>43.29</v>
      </c>
      <c r="I52" s="322">
        <v>12</v>
      </c>
      <c r="J52" s="323">
        <v>10.9</v>
      </c>
      <c r="K52" s="323">
        <v>31.22</v>
      </c>
      <c r="L52" s="323">
        <v>1.8</v>
      </c>
      <c r="M52" s="324">
        <v>2.67</v>
      </c>
      <c r="N52" s="325">
        <v>209</v>
      </c>
      <c r="O52" s="326">
        <v>249</v>
      </c>
      <c r="P52" s="323">
        <v>1.95</v>
      </c>
      <c r="Q52" s="323">
        <v>1.65</v>
      </c>
      <c r="R52" s="315">
        <v>685</v>
      </c>
      <c r="S52" s="326">
        <v>173</v>
      </c>
      <c r="T52" s="326">
        <v>22</v>
      </c>
      <c r="U52" s="327">
        <v>0.31</v>
      </c>
      <c r="V52" s="327">
        <v>0.09</v>
      </c>
      <c r="W52" s="324">
        <v>20.5</v>
      </c>
      <c r="X52" s="328">
        <v>0</v>
      </c>
      <c r="Y52" s="327" t="s">
        <v>2</v>
      </c>
      <c r="Z52" s="327" t="s">
        <v>2</v>
      </c>
      <c r="AA52" s="327" t="s">
        <v>2</v>
      </c>
      <c r="AB52" s="327" t="s">
        <v>2</v>
      </c>
      <c r="AC52" s="327">
        <v>0.11</v>
      </c>
      <c r="AD52" s="326" t="s">
        <v>2</v>
      </c>
      <c r="AE52" s="326" t="s">
        <v>2</v>
      </c>
      <c r="AF52" s="323" t="s">
        <v>2</v>
      </c>
      <c r="AG52" s="324">
        <v>0.7</v>
      </c>
      <c r="AH52" s="320" t="s">
        <v>2</v>
      </c>
      <c r="AI52" s="320">
        <v>82</v>
      </c>
      <c r="AJ52" s="323" t="s">
        <v>2</v>
      </c>
      <c r="AK52" s="323">
        <v>0.7</v>
      </c>
      <c r="AL52" s="324">
        <v>10.1</v>
      </c>
      <c r="AM52" s="325">
        <v>116</v>
      </c>
      <c r="AN52" s="326">
        <v>0</v>
      </c>
      <c r="AO52" s="329">
        <v>0</v>
      </c>
      <c r="AP52" s="322">
        <v>5.04</v>
      </c>
      <c r="AQ52" s="327">
        <v>2.5</v>
      </c>
      <c r="AR52" s="327" t="s">
        <v>2</v>
      </c>
      <c r="AS52" s="327">
        <v>1.1499999999999999</v>
      </c>
      <c r="AT52" s="327">
        <v>0.02</v>
      </c>
      <c r="AU52" s="327">
        <v>0.01</v>
      </c>
      <c r="AV52" s="330" t="s">
        <v>2</v>
      </c>
      <c r="AW52" s="328">
        <v>2.92</v>
      </c>
      <c r="AX52" s="327">
        <v>0.06</v>
      </c>
      <c r="AY52" s="327">
        <v>0.13</v>
      </c>
      <c r="AZ52" s="330">
        <v>2.7</v>
      </c>
      <c r="BA52" s="331">
        <v>1.84</v>
      </c>
      <c r="BB52" s="332">
        <v>1.63</v>
      </c>
      <c r="BC52" s="332">
        <v>0.2</v>
      </c>
      <c r="BD52" s="332">
        <v>0.02</v>
      </c>
      <c r="BE52" s="332">
        <v>0</v>
      </c>
      <c r="BF52" s="333">
        <v>0</v>
      </c>
      <c r="BG52" s="319" t="s">
        <v>2</v>
      </c>
      <c r="BH52" s="319">
        <v>24</v>
      </c>
      <c r="BI52" s="325">
        <v>0.77</v>
      </c>
      <c r="BJ52" s="326">
        <v>0.26</v>
      </c>
      <c r="BK52" s="326">
        <v>0.13</v>
      </c>
      <c r="BL52" s="326">
        <v>0.67</v>
      </c>
      <c r="BM52" s="326">
        <v>0.41</v>
      </c>
      <c r="BN52" s="326">
        <v>0.72</v>
      </c>
      <c r="BO52" s="326">
        <v>1.1399999999999999</v>
      </c>
      <c r="BP52" s="326">
        <v>0.56999999999999995</v>
      </c>
      <c r="BQ52" s="326">
        <v>0.49</v>
      </c>
      <c r="BR52" s="326">
        <v>0.36</v>
      </c>
      <c r="BS52" s="326">
        <v>0.16</v>
      </c>
      <c r="BT52" s="326">
        <v>0.52</v>
      </c>
      <c r="BU52" s="326">
        <v>0.42</v>
      </c>
      <c r="BV52" s="326">
        <v>0.84</v>
      </c>
      <c r="BW52" s="326">
        <v>3.54</v>
      </c>
      <c r="BX52" s="326">
        <v>0.34</v>
      </c>
      <c r="BY52" s="326">
        <v>1.36</v>
      </c>
      <c r="BZ52" s="329">
        <v>0.7</v>
      </c>
      <c r="CA52" s="328">
        <v>3.37</v>
      </c>
      <c r="CB52" s="323">
        <v>7.0000000000000007E-2</v>
      </c>
      <c r="CC52" s="323">
        <v>1.74</v>
      </c>
      <c r="CD52" s="323">
        <v>0.38</v>
      </c>
      <c r="CE52" s="323">
        <v>0.65</v>
      </c>
      <c r="CF52" s="323">
        <v>0.53</v>
      </c>
      <c r="CG52" s="324">
        <v>0</v>
      </c>
      <c r="CH52" s="326">
        <v>2310</v>
      </c>
      <c r="CI52" s="329">
        <v>69</v>
      </c>
      <c r="CJ52" s="328" t="s">
        <v>2</v>
      </c>
      <c r="CK52" s="323" t="s">
        <v>2</v>
      </c>
      <c r="CL52" s="323" t="s">
        <v>2</v>
      </c>
      <c r="CM52" s="324" t="s">
        <v>2</v>
      </c>
      <c r="CN52" s="319" t="s">
        <v>2</v>
      </c>
      <c r="CO52" s="319" t="s">
        <v>2</v>
      </c>
    </row>
    <row r="53" spans="1:93" x14ac:dyDescent="0.25">
      <c r="A53" s="316">
        <v>16022</v>
      </c>
      <c r="B53" s="317" t="s">
        <v>1894</v>
      </c>
      <c r="C53" s="318" t="s">
        <v>1895</v>
      </c>
      <c r="D53" s="293">
        <v>16</v>
      </c>
      <c r="E53" s="349">
        <v>0</v>
      </c>
      <c r="F53" s="320">
        <v>283</v>
      </c>
      <c r="G53" s="300">
        <v>1182.9399999999998</v>
      </c>
      <c r="H53" s="321">
        <v>41.9</v>
      </c>
      <c r="I53" s="322">
        <v>12</v>
      </c>
      <c r="J53" s="323">
        <v>12.1</v>
      </c>
      <c r="K53" s="323">
        <v>31.9</v>
      </c>
      <c r="L53" s="323">
        <v>2.4</v>
      </c>
      <c r="M53" s="324">
        <v>2.6</v>
      </c>
      <c r="N53" s="325">
        <v>149</v>
      </c>
      <c r="O53" s="326">
        <v>197</v>
      </c>
      <c r="P53" s="323">
        <v>2.54</v>
      </c>
      <c r="Q53" s="323">
        <v>1.33</v>
      </c>
      <c r="R53" s="315">
        <v>693</v>
      </c>
      <c r="S53" s="326">
        <v>190</v>
      </c>
      <c r="T53" s="326">
        <v>24</v>
      </c>
      <c r="U53" s="327">
        <v>0.3</v>
      </c>
      <c r="V53" s="327">
        <v>0.11</v>
      </c>
      <c r="W53" s="324">
        <v>24.5</v>
      </c>
      <c r="X53" s="328">
        <v>0.4</v>
      </c>
      <c r="Y53" s="327" t="s">
        <v>2</v>
      </c>
      <c r="Z53" s="327" t="s">
        <v>2</v>
      </c>
      <c r="AA53" s="327" t="s">
        <v>2</v>
      </c>
      <c r="AB53" s="327" t="s">
        <v>2</v>
      </c>
      <c r="AC53" s="327">
        <v>7.0000000000000007E-2</v>
      </c>
      <c r="AD53" s="326" t="s">
        <v>2</v>
      </c>
      <c r="AE53" s="326" t="s">
        <v>2</v>
      </c>
      <c r="AF53" s="323" t="s">
        <v>2</v>
      </c>
      <c r="AG53" s="324">
        <v>0.52</v>
      </c>
      <c r="AH53" s="320" t="s">
        <v>2</v>
      </c>
      <c r="AI53" s="320">
        <v>0</v>
      </c>
      <c r="AJ53" s="323" t="s">
        <v>2</v>
      </c>
      <c r="AK53" s="323">
        <v>0.88</v>
      </c>
      <c r="AL53" s="324">
        <v>5.9</v>
      </c>
      <c r="AM53" s="325" t="s">
        <v>2</v>
      </c>
      <c r="AN53" s="326" t="s">
        <v>2</v>
      </c>
      <c r="AO53" s="329" t="s">
        <v>2</v>
      </c>
      <c r="AP53" s="322">
        <v>4.8600000000000003</v>
      </c>
      <c r="AQ53" s="327">
        <v>2.5099999999999998</v>
      </c>
      <c r="AR53" s="327" t="s">
        <v>2</v>
      </c>
      <c r="AS53" s="327">
        <v>1.1499999999999999</v>
      </c>
      <c r="AT53" s="327">
        <v>0.02</v>
      </c>
      <c r="AU53" s="327">
        <v>0.02</v>
      </c>
      <c r="AV53" s="330">
        <v>0.01</v>
      </c>
      <c r="AW53" s="328">
        <v>3.62</v>
      </c>
      <c r="AX53" s="327">
        <v>0.05</v>
      </c>
      <c r="AY53" s="327">
        <v>0.18</v>
      </c>
      <c r="AZ53" s="330">
        <v>3.29</v>
      </c>
      <c r="BA53" s="331">
        <v>2.5499999999999998</v>
      </c>
      <c r="BB53" s="332">
        <v>2.23</v>
      </c>
      <c r="BC53" s="332">
        <v>0.26</v>
      </c>
      <c r="BD53" s="332">
        <v>0.02</v>
      </c>
      <c r="BE53" s="332">
        <v>0</v>
      </c>
      <c r="BF53" s="333">
        <v>0</v>
      </c>
      <c r="BG53" s="319" t="s">
        <v>2</v>
      </c>
      <c r="BH53" s="319">
        <v>24</v>
      </c>
      <c r="BI53" s="325">
        <v>0.66</v>
      </c>
      <c r="BJ53" s="326">
        <v>0.25</v>
      </c>
      <c r="BK53" s="326">
        <v>0.11</v>
      </c>
      <c r="BL53" s="326">
        <v>0.6</v>
      </c>
      <c r="BM53" s="326">
        <v>0.36</v>
      </c>
      <c r="BN53" s="326">
        <v>0.59</v>
      </c>
      <c r="BO53" s="326">
        <v>0.96</v>
      </c>
      <c r="BP53" s="326">
        <v>0.47</v>
      </c>
      <c r="BQ53" s="326">
        <v>0.48</v>
      </c>
      <c r="BR53" s="326">
        <v>0.3</v>
      </c>
      <c r="BS53" s="326">
        <v>0.19</v>
      </c>
      <c r="BT53" s="326">
        <v>0.37</v>
      </c>
      <c r="BU53" s="326">
        <v>0.4</v>
      </c>
      <c r="BV53" s="326">
        <v>0.79</v>
      </c>
      <c r="BW53" s="326">
        <v>3.42</v>
      </c>
      <c r="BX53" s="326">
        <v>0.4</v>
      </c>
      <c r="BY53" s="326">
        <v>1.57</v>
      </c>
      <c r="BZ53" s="329">
        <v>0.68</v>
      </c>
      <c r="CA53" s="328">
        <v>3.91</v>
      </c>
      <c r="CB53" s="323">
        <v>7.0000000000000007E-2</v>
      </c>
      <c r="CC53" s="323">
        <v>1.3</v>
      </c>
      <c r="CD53" s="323">
        <v>0.67</v>
      </c>
      <c r="CE53" s="323">
        <v>0.93</v>
      </c>
      <c r="CF53" s="323">
        <v>0.6</v>
      </c>
      <c r="CG53" s="324">
        <v>0.33</v>
      </c>
      <c r="CH53" s="326" t="s">
        <v>2</v>
      </c>
      <c r="CI53" s="329" t="s">
        <v>2</v>
      </c>
      <c r="CJ53" s="328" t="s">
        <v>2</v>
      </c>
      <c r="CK53" s="323" t="s">
        <v>2</v>
      </c>
      <c r="CL53" s="323" t="s">
        <v>2</v>
      </c>
      <c r="CM53" s="324" t="s">
        <v>2</v>
      </c>
      <c r="CN53" s="319" t="s">
        <v>2</v>
      </c>
      <c r="CO53" s="319" t="s">
        <v>2</v>
      </c>
    </row>
    <row r="54" spans="1:93" x14ac:dyDescent="0.25">
      <c r="A54" s="316">
        <v>16023</v>
      </c>
      <c r="B54" s="317" t="s">
        <v>1896</v>
      </c>
      <c r="C54" s="318" t="s">
        <v>1897</v>
      </c>
      <c r="D54" s="293">
        <v>16</v>
      </c>
      <c r="E54" s="349">
        <v>0</v>
      </c>
      <c r="F54" s="320">
        <v>328</v>
      </c>
      <c r="G54" s="300">
        <v>1371.04</v>
      </c>
      <c r="H54" s="321">
        <v>38.53</v>
      </c>
      <c r="I54" s="322">
        <v>14</v>
      </c>
      <c r="J54" s="323">
        <v>19.100000000000001</v>
      </c>
      <c r="K54" s="323">
        <v>25.4</v>
      </c>
      <c r="L54" s="323">
        <v>2.6</v>
      </c>
      <c r="M54" s="324">
        <v>3.19</v>
      </c>
      <c r="N54" s="325">
        <v>236</v>
      </c>
      <c r="O54" s="326">
        <v>263</v>
      </c>
      <c r="P54" s="323">
        <v>1.1299999999999999</v>
      </c>
      <c r="Q54" s="323">
        <v>1.65</v>
      </c>
      <c r="R54" s="315">
        <v>783</v>
      </c>
      <c r="S54" s="326">
        <v>224</v>
      </c>
      <c r="T54" s="326">
        <v>25</v>
      </c>
      <c r="U54" s="327">
        <v>0.28000000000000003</v>
      </c>
      <c r="V54" s="327">
        <v>0.1</v>
      </c>
      <c r="W54" s="324">
        <v>26</v>
      </c>
      <c r="X54" s="328">
        <v>1.2</v>
      </c>
      <c r="Y54" s="327" t="s">
        <v>2</v>
      </c>
      <c r="Z54" s="327" t="s">
        <v>2</v>
      </c>
      <c r="AA54" s="327" t="s">
        <v>2</v>
      </c>
      <c r="AB54" s="327" t="s">
        <v>2</v>
      </c>
      <c r="AC54" s="327">
        <v>0.08</v>
      </c>
      <c r="AD54" s="326" t="s">
        <v>2</v>
      </c>
      <c r="AE54" s="326" t="s">
        <v>2</v>
      </c>
      <c r="AF54" s="323" t="s">
        <v>2</v>
      </c>
      <c r="AG54" s="324">
        <v>0.81</v>
      </c>
      <c r="AH54" s="320" t="s">
        <v>2</v>
      </c>
      <c r="AI54" s="320">
        <v>0</v>
      </c>
      <c r="AJ54" s="323" t="s">
        <v>2</v>
      </c>
      <c r="AK54" s="323" t="s">
        <v>2</v>
      </c>
      <c r="AL54" s="324" t="s">
        <v>2</v>
      </c>
      <c r="AM54" s="325" t="s">
        <v>2</v>
      </c>
      <c r="AN54" s="326" t="s">
        <v>2</v>
      </c>
      <c r="AO54" s="329" t="s">
        <v>2</v>
      </c>
      <c r="AP54" s="322">
        <v>7.56</v>
      </c>
      <c r="AQ54" s="327">
        <v>3.94</v>
      </c>
      <c r="AR54" s="327" t="s">
        <v>2</v>
      </c>
      <c r="AS54" s="327">
        <v>1.81</v>
      </c>
      <c r="AT54" s="327">
        <v>0.04</v>
      </c>
      <c r="AU54" s="327">
        <v>0.03</v>
      </c>
      <c r="AV54" s="330">
        <v>0.01</v>
      </c>
      <c r="AW54" s="328">
        <v>5.94</v>
      </c>
      <c r="AX54" s="327">
        <v>0.08</v>
      </c>
      <c r="AY54" s="327">
        <v>0.3</v>
      </c>
      <c r="AZ54" s="330">
        <v>5.4</v>
      </c>
      <c r="BA54" s="331">
        <v>4.0999999999999996</v>
      </c>
      <c r="BB54" s="332">
        <v>3.62</v>
      </c>
      <c r="BC54" s="332">
        <v>0.37</v>
      </c>
      <c r="BD54" s="332">
        <v>0.04</v>
      </c>
      <c r="BE54" s="332">
        <v>0.01</v>
      </c>
      <c r="BF54" s="333">
        <v>0</v>
      </c>
      <c r="BG54" s="319">
        <v>0.51</v>
      </c>
      <c r="BH54" s="319">
        <v>38</v>
      </c>
      <c r="BI54" s="325" t="s">
        <v>2</v>
      </c>
      <c r="BJ54" s="326" t="s">
        <v>2</v>
      </c>
      <c r="BK54" s="326" t="s">
        <v>2</v>
      </c>
      <c r="BL54" s="326" t="s">
        <v>2</v>
      </c>
      <c r="BM54" s="326" t="s">
        <v>2</v>
      </c>
      <c r="BN54" s="326" t="s">
        <v>2</v>
      </c>
      <c r="BO54" s="326" t="s">
        <v>2</v>
      </c>
      <c r="BP54" s="326" t="s">
        <v>2</v>
      </c>
      <c r="BQ54" s="326" t="s">
        <v>2</v>
      </c>
      <c r="BR54" s="326" t="s">
        <v>2</v>
      </c>
      <c r="BS54" s="326" t="s">
        <v>2</v>
      </c>
      <c r="BT54" s="326" t="s">
        <v>2</v>
      </c>
      <c r="BU54" s="326" t="s">
        <v>2</v>
      </c>
      <c r="BV54" s="326" t="s">
        <v>2</v>
      </c>
      <c r="BW54" s="326" t="s">
        <v>2</v>
      </c>
      <c r="BX54" s="326" t="s">
        <v>2</v>
      </c>
      <c r="BY54" s="326" t="s">
        <v>2</v>
      </c>
      <c r="BZ54" s="329" t="s">
        <v>2</v>
      </c>
      <c r="CA54" s="328">
        <v>3.65</v>
      </c>
      <c r="CB54" s="323">
        <v>0.08</v>
      </c>
      <c r="CC54" s="323">
        <v>0.56999999999999995</v>
      </c>
      <c r="CD54" s="323">
        <v>0.56999999999999995</v>
      </c>
      <c r="CE54" s="323">
        <v>0.97</v>
      </c>
      <c r="CF54" s="323">
        <v>0.83</v>
      </c>
      <c r="CG54" s="324">
        <v>0.63</v>
      </c>
      <c r="CH54" s="326" t="s">
        <v>2</v>
      </c>
      <c r="CI54" s="329" t="s">
        <v>2</v>
      </c>
      <c r="CJ54" s="328" t="s">
        <v>2</v>
      </c>
      <c r="CK54" s="323" t="s">
        <v>2</v>
      </c>
      <c r="CL54" s="323" t="s">
        <v>2</v>
      </c>
      <c r="CM54" s="324" t="s">
        <v>2</v>
      </c>
      <c r="CN54" s="319" t="s">
        <v>2</v>
      </c>
      <c r="CO54" s="319" t="s">
        <v>2</v>
      </c>
    </row>
    <row r="55" spans="1:93" x14ac:dyDescent="0.25">
      <c r="A55" s="316">
        <v>16024</v>
      </c>
      <c r="B55" s="317" t="s">
        <v>1898</v>
      </c>
      <c r="C55" s="318" t="s">
        <v>1899</v>
      </c>
      <c r="D55" s="293">
        <v>16</v>
      </c>
      <c r="E55" s="349">
        <v>0</v>
      </c>
      <c r="F55" s="320">
        <v>274</v>
      </c>
      <c r="G55" s="300">
        <v>1145.32</v>
      </c>
      <c r="H55" s="321">
        <v>42.1</v>
      </c>
      <c r="I55" s="322">
        <v>11.4</v>
      </c>
      <c r="J55" s="323">
        <v>10.3</v>
      </c>
      <c r="K55" s="323">
        <v>33.9</v>
      </c>
      <c r="L55" s="323">
        <v>2.2999999999999998</v>
      </c>
      <c r="M55" s="324">
        <v>2.2999999999999998</v>
      </c>
      <c r="N55" s="325">
        <v>148</v>
      </c>
      <c r="O55" s="326">
        <v>202</v>
      </c>
      <c r="P55" s="323">
        <v>3</v>
      </c>
      <c r="Q55" s="323">
        <v>1.4</v>
      </c>
      <c r="R55" s="315">
        <v>561</v>
      </c>
      <c r="S55" s="326">
        <v>164</v>
      </c>
      <c r="T55" s="326">
        <v>25</v>
      </c>
      <c r="U55" s="327">
        <v>0.4</v>
      </c>
      <c r="V55" s="327">
        <v>0.1</v>
      </c>
      <c r="W55" s="324">
        <v>35.6</v>
      </c>
      <c r="X55" s="328">
        <v>0</v>
      </c>
      <c r="Y55" s="327">
        <v>0.2</v>
      </c>
      <c r="Z55" s="327">
        <v>0.2</v>
      </c>
      <c r="AA55" s="327">
        <v>4.3</v>
      </c>
      <c r="AB55" s="327">
        <v>0.5</v>
      </c>
      <c r="AC55" s="327" t="s">
        <v>2</v>
      </c>
      <c r="AD55" s="326" t="s">
        <v>2</v>
      </c>
      <c r="AE55" s="326" t="s">
        <v>2</v>
      </c>
      <c r="AF55" s="323" t="s">
        <v>2</v>
      </c>
      <c r="AG55" s="324">
        <v>0.5</v>
      </c>
      <c r="AH55" s="320" t="s">
        <v>2</v>
      </c>
      <c r="AI55" s="320">
        <v>102</v>
      </c>
      <c r="AJ55" s="323" t="s">
        <v>2</v>
      </c>
      <c r="AK55" s="323">
        <v>0.9</v>
      </c>
      <c r="AL55" s="324">
        <v>6.1</v>
      </c>
      <c r="AM55" s="325" t="s">
        <v>2</v>
      </c>
      <c r="AN55" s="326" t="s">
        <v>2</v>
      </c>
      <c r="AO55" s="329" t="s">
        <v>2</v>
      </c>
      <c r="AP55" s="322">
        <v>10.3</v>
      </c>
      <c r="AQ55" s="327">
        <v>2.0270000000000001</v>
      </c>
      <c r="AR55" s="327">
        <v>3.6999999999999998E-2</v>
      </c>
      <c r="AS55" s="327">
        <v>0.98099999999999998</v>
      </c>
      <c r="AT55" s="327">
        <v>0.02</v>
      </c>
      <c r="AU55" s="327">
        <v>0.02</v>
      </c>
      <c r="AV55" s="330" t="s">
        <v>2</v>
      </c>
      <c r="AW55" s="328">
        <v>2.9</v>
      </c>
      <c r="AX55" s="327">
        <v>3.9E-2</v>
      </c>
      <c r="AY55" s="327">
        <v>0.97</v>
      </c>
      <c r="AZ55" s="330">
        <v>2.7719999999999998</v>
      </c>
      <c r="BA55" s="331">
        <v>1.9</v>
      </c>
      <c r="BB55" s="332">
        <v>1.7350000000000001</v>
      </c>
      <c r="BC55" s="332">
        <v>0.17599999999999999</v>
      </c>
      <c r="BD55" s="332">
        <v>0.01</v>
      </c>
      <c r="BE55" s="332" t="s">
        <v>2</v>
      </c>
      <c r="BF55" s="333" t="s">
        <v>2</v>
      </c>
      <c r="BG55" s="319" t="s">
        <v>2</v>
      </c>
      <c r="BH55" s="319">
        <v>14</v>
      </c>
      <c r="BI55" s="325">
        <v>0.63500000000000001</v>
      </c>
      <c r="BJ55" s="326">
        <v>0.28100000000000003</v>
      </c>
      <c r="BK55" s="326">
        <v>0.114</v>
      </c>
      <c r="BL55" s="326">
        <v>0.65100000000000002</v>
      </c>
      <c r="BM55" s="326">
        <v>0.38100000000000001</v>
      </c>
      <c r="BN55" s="326">
        <v>0.64700000000000002</v>
      </c>
      <c r="BO55" s="326">
        <v>0.93500000000000005</v>
      </c>
      <c r="BP55" s="326">
        <v>0.51400000000000001</v>
      </c>
      <c r="BQ55" s="326">
        <v>0.81899999999999995</v>
      </c>
      <c r="BR55" s="326">
        <v>0.36</v>
      </c>
      <c r="BS55" s="326">
        <v>0.16500000000000001</v>
      </c>
      <c r="BT55" s="326">
        <v>0.47499999999999998</v>
      </c>
      <c r="BU55" s="326">
        <v>0.38100000000000001</v>
      </c>
      <c r="BV55" s="326">
        <v>0.84499999999999997</v>
      </c>
      <c r="BW55" s="326">
        <v>3.625</v>
      </c>
      <c r="BX55" s="326">
        <v>0.34799999999999998</v>
      </c>
      <c r="BY55" s="326">
        <v>1.446</v>
      </c>
      <c r="BZ55" s="329">
        <v>0.77900000000000003</v>
      </c>
      <c r="CA55" s="328">
        <v>3.3</v>
      </c>
      <c r="CB55" s="323">
        <v>0.1</v>
      </c>
      <c r="CC55" s="323">
        <v>0.94</v>
      </c>
      <c r="CD55" s="323">
        <v>0.74</v>
      </c>
      <c r="CE55" s="323">
        <v>0.88</v>
      </c>
      <c r="CF55" s="323">
        <v>0.69</v>
      </c>
      <c r="CG55" s="324">
        <v>0</v>
      </c>
      <c r="CH55" s="326" t="s">
        <v>2</v>
      </c>
      <c r="CI55" s="329" t="s">
        <v>2</v>
      </c>
      <c r="CJ55" s="328" t="s">
        <v>2</v>
      </c>
      <c r="CK55" s="323" t="s">
        <v>2</v>
      </c>
      <c r="CL55" s="323" t="s">
        <v>2</v>
      </c>
      <c r="CM55" s="324" t="s">
        <v>2</v>
      </c>
      <c r="CN55" s="319" t="s">
        <v>2</v>
      </c>
      <c r="CO55" s="319" t="s">
        <v>2</v>
      </c>
    </row>
    <row r="56" spans="1:93" x14ac:dyDescent="0.25">
      <c r="A56" s="316">
        <v>16025</v>
      </c>
      <c r="B56" s="317" t="s">
        <v>1900</v>
      </c>
      <c r="C56" s="318" t="s">
        <v>1901</v>
      </c>
      <c r="D56" s="293">
        <v>16</v>
      </c>
      <c r="E56" s="349">
        <v>0</v>
      </c>
      <c r="F56" s="320">
        <v>315</v>
      </c>
      <c r="G56" s="300">
        <v>1316.6999999999998</v>
      </c>
      <c r="H56" s="321">
        <v>39.700000000000003</v>
      </c>
      <c r="I56" s="322">
        <v>13</v>
      </c>
      <c r="J56" s="323">
        <v>16.8</v>
      </c>
      <c r="K56" s="323">
        <v>28</v>
      </c>
      <c r="L56" s="323">
        <v>2.1</v>
      </c>
      <c r="M56" s="324">
        <v>2.5</v>
      </c>
      <c r="N56" s="325">
        <v>222</v>
      </c>
      <c r="O56" s="326">
        <v>301</v>
      </c>
      <c r="P56" s="323">
        <v>0.7</v>
      </c>
      <c r="Q56" s="323">
        <v>1.7</v>
      </c>
      <c r="R56" s="315">
        <v>497</v>
      </c>
      <c r="S56" s="326">
        <v>184</v>
      </c>
      <c r="T56" s="326">
        <v>26</v>
      </c>
      <c r="U56" s="327">
        <v>0.3</v>
      </c>
      <c r="V56" s="327">
        <v>0.1</v>
      </c>
      <c r="W56" s="324">
        <v>35.4</v>
      </c>
      <c r="X56" s="328">
        <v>0</v>
      </c>
      <c r="Y56" s="327">
        <v>0.1</v>
      </c>
      <c r="Z56" s="327">
        <v>0.1</v>
      </c>
      <c r="AA56" s="327">
        <v>1</v>
      </c>
      <c r="AB56" s="327">
        <v>0.4</v>
      </c>
      <c r="AC56" s="327" t="s">
        <v>2</v>
      </c>
      <c r="AD56" s="326" t="s">
        <v>2</v>
      </c>
      <c r="AE56" s="326" t="s">
        <v>2</v>
      </c>
      <c r="AF56" s="323" t="s">
        <v>2</v>
      </c>
      <c r="AG56" s="324">
        <v>0.8</v>
      </c>
      <c r="AH56" s="320" t="s">
        <v>2</v>
      </c>
      <c r="AI56" s="320">
        <v>123</v>
      </c>
      <c r="AJ56" s="323" t="s">
        <v>2</v>
      </c>
      <c r="AK56" s="323">
        <v>1.5</v>
      </c>
      <c r="AL56" s="324">
        <v>15.8</v>
      </c>
      <c r="AM56" s="325" t="s">
        <v>2</v>
      </c>
      <c r="AN56" s="326" t="s">
        <v>2</v>
      </c>
      <c r="AO56" s="329" t="s">
        <v>2</v>
      </c>
      <c r="AP56" s="322">
        <v>6.8</v>
      </c>
      <c r="AQ56" s="327">
        <v>3.4590000000000001</v>
      </c>
      <c r="AR56" s="327">
        <v>6.2E-2</v>
      </c>
      <c r="AS56" s="327">
        <v>1.534</v>
      </c>
      <c r="AT56" s="327">
        <v>3.5999999999999997E-2</v>
      </c>
      <c r="AU56" s="327">
        <v>2.9000000000000001E-2</v>
      </c>
      <c r="AV56" s="330" t="s">
        <v>2</v>
      </c>
      <c r="AW56" s="328">
        <v>4.2</v>
      </c>
      <c r="AX56" s="327">
        <v>6.7000000000000004E-2</v>
      </c>
      <c r="AY56" s="327">
        <v>0.13200000000000001</v>
      </c>
      <c r="AZ56" s="330">
        <v>3.9980000000000002</v>
      </c>
      <c r="BA56" s="331">
        <v>3.6</v>
      </c>
      <c r="BB56" s="332">
        <v>3.1640000000000001</v>
      </c>
      <c r="BC56" s="332">
        <v>0.46700000000000003</v>
      </c>
      <c r="BD56" s="332">
        <v>1.4999999999999999E-2</v>
      </c>
      <c r="BE56" s="332" t="s">
        <v>2</v>
      </c>
      <c r="BF56" s="333" t="s">
        <v>2</v>
      </c>
      <c r="BG56" s="319" t="s">
        <v>2</v>
      </c>
      <c r="BH56" s="319">
        <v>21</v>
      </c>
      <c r="BI56" s="325">
        <v>0.88</v>
      </c>
      <c r="BJ56" s="326">
        <v>0.33</v>
      </c>
      <c r="BK56" s="326">
        <v>0.105</v>
      </c>
      <c r="BL56" s="326">
        <v>0.69499999999999995</v>
      </c>
      <c r="BM56" s="326">
        <v>0.42</v>
      </c>
      <c r="BN56" s="326">
        <v>0.752</v>
      </c>
      <c r="BO56" s="326">
        <v>1.2030000000000001</v>
      </c>
      <c r="BP56" s="326">
        <v>0.58499999999999996</v>
      </c>
      <c r="BQ56" s="326">
        <v>0.505</v>
      </c>
      <c r="BR56" s="326">
        <v>3.67</v>
      </c>
      <c r="BS56" s="326">
        <v>0.153</v>
      </c>
      <c r="BT56" s="326">
        <v>0.505</v>
      </c>
      <c r="BU56" s="326">
        <v>0.39500000000000002</v>
      </c>
      <c r="BV56" s="326">
        <v>0.96599999999999997</v>
      </c>
      <c r="BW56" s="326">
        <v>3.6640000000000001</v>
      </c>
      <c r="BX56" s="326">
        <v>0.32300000000000001</v>
      </c>
      <c r="BY56" s="326">
        <v>1.873</v>
      </c>
      <c r="BZ56" s="329">
        <v>0.82799999999999996</v>
      </c>
      <c r="CA56" s="328">
        <v>3.2</v>
      </c>
      <c r="CB56" s="323">
        <v>0.16</v>
      </c>
      <c r="CC56" s="323">
        <v>0.51</v>
      </c>
      <c r="CD56" s="323">
        <v>0.63</v>
      </c>
      <c r="CE56" s="323">
        <v>0.9</v>
      </c>
      <c r="CF56" s="323">
        <v>0.91</v>
      </c>
      <c r="CG56" s="324">
        <v>0.05</v>
      </c>
      <c r="CH56" s="326" t="s">
        <v>2</v>
      </c>
      <c r="CI56" s="329" t="s">
        <v>2</v>
      </c>
      <c r="CJ56" s="328" t="s">
        <v>2</v>
      </c>
      <c r="CK56" s="323" t="s">
        <v>2</v>
      </c>
      <c r="CL56" s="323" t="s">
        <v>2</v>
      </c>
      <c r="CM56" s="324" t="s">
        <v>2</v>
      </c>
      <c r="CN56" s="319" t="s">
        <v>2</v>
      </c>
      <c r="CO56" s="319" t="s">
        <v>2</v>
      </c>
    </row>
    <row r="57" spans="1:93" x14ac:dyDescent="0.25">
      <c r="A57" s="316">
        <v>16026</v>
      </c>
      <c r="B57" s="317" t="s">
        <v>1902</v>
      </c>
      <c r="C57" s="318" t="s">
        <v>1903</v>
      </c>
      <c r="D57" s="293">
        <v>16</v>
      </c>
      <c r="E57" s="349">
        <v>0</v>
      </c>
      <c r="F57" s="320">
        <v>319</v>
      </c>
      <c r="G57" s="300">
        <v>1333.4199999999998</v>
      </c>
      <c r="H57" s="321">
        <v>40.380000000000003</v>
      </c>
      <c r="I57" s="322">
        <v>12.77</v>
      </c>
      <c r="J57" s="323">
        <v>18.5</v>
      </c>
      <c r="K57" s="323">
        <v>25.3</v>
      </c>
      <c r="L57" s="323">
        <v>2.6</v>
      </c>
      <c r="M57" s="324">
        <v>3.03</v>
      </c>
      <c r="N57" s="325">
        <v>234</v>
      </c>
      <c r="O57" s="326">
        <v>270</v>
      </c>
      <c r="P57" s="323">
        <v>1.07</v>
      </c>
      <c r="Q57" s="323">
        <v>1.48</v>
      </c>
      <c r="R57" s="315">
        <v>725</v>
      </c>
      <c r="S57" s="326">
        <v>231</v>
      </c>
      <c r="T57" s="326">
        <v>25</v>
      </c>
      <c r="U57" s="327">
        <v>0.25</v>
      </c>
      <c r="V57" s="327">
        <v>0.11</v>
      </c>
      <c r="W57" s="324">
        <v>19.8</v>
      </c>
      <c r="X57" s="328">
        <v>1.1000000000000001</v>
      </c>
      <c r="Y57" s="327" t="s">
        <v>2</v>
      </c>
      <c r="Z57" s="327" t="s">
        <v>2</v>
      </c>
      <c r="AA57" s="327" t="s">
        <v>2</v>
      </c>
      <c r="AB57" s="327" t="s">
        <v>2</v>
      </c>
      <c r="AC57" s="327">
        <v>7.0000000000000007E-2</v>
      </c>
      <c r="AD57" s="326" t="s">
        <v>2</v>
      </c>
      <c r="AE57" s="326" t="s">
        <v>2</v>
      </c>
      <c r="AF57" s="323" t="s">
        <v>2</v>
      </c>
      <c r="AG57" s="324">
        <v>0.66</v>
      </c>
      <c r="AH57" s="320" t="s">
        <v>2</v>
      </c>
      <c r="AI57" s="320">
        <v>0</v>
      </c>
      <c r="AJ57" s="323" t="s">
        <v>2</v>
      </c>
      <c r="AK57" s="323" t="s">
        <v>2</v>
      </c>
      <c r="AL57" s="324" t="s">
        <v>2</v>
      </c>
      <c r="AM57" s="325" t="s">
        <v>2</v>
      </c>
      <c r="AN57" s="326" t="s">
        <v>2</v>
      </c>
      <c r="AO57" s="329" t="s">
        <v>2</v>
      </c>
      <c r="AP57" s="322">
        <v>7.08</v>
      </c>
      <c r="AQ57" s="327">
        <v>3.75</v>
      </c>
      <c r="AR57" s="327" t="s">
        <v>2</v>
      </c>
      <c r="AS57" s="327">
        <v>1.64</v>
      </c>
      <c r="AT57" s="327">
        <v>0.04</v>
      </c>
      <c r="AU57" s="327">
        <v>0.03</v>
      </c>
      <c r="AV57" s="330">
        <v>0.01</v>
      </c>
      <c r="AW57" s="328">
        <v>5.6</v>
      </c>
      <c r="AX57" s="327">
        <v>0.06</v>
      </c>
      <c r="AY57" s="327">
        <v>0.25</v>
      </c>
      <c r="AZ57" s="330">
        <v>5.16</v>
      </c>
      <c r="BA57" s="331">
        <v>4.5199999999999996</v>
      </c>
      <c r="BB57" s="332">
        <v>3.92</v>
      </c>
      <c r="BC57" s="332">
        <v>0.46</v>
      </c>
      <c r="BD57" s="332">
        <v>0.04</v>
      </c>
      <c r="BE57" s="332">
        <v>0</v>
      </c>
      <c r="BF57" s="333">
        <v>0</v>
      </c>
      <c r="BG57" s="319">
        <v>0.31</v>
      </c>
      <c r="BH57" s="319">
        <v>35</v>
      </c>
      <c r="BI57" s="325" t="s">
        <v>2</v>
      </c>
      <c r="BJ57" s="326" t="s">
        <v>2</v>
      </c>
      <c r="BK57" s="326" t="s">
        <v>2</v>
      </c>
      <c r="BL57" s="326" t="s">
        <v>2</v>
      </c>
      <c r="BM57" s="326" t="s">
        <v>2</v>
      </c>
      <c r="BN57" s="326" t="s">
        <v>2</v>
      </c>
      <c r="BO57" s="326" t="s">
        <v>2</v>
      </c>
      <c r="BP57" s="326" t="s">
        <v>2</v>
      </c>
      <c r="BQ57" s="326" t="s">
        <v>2</v>
      </c>
      <c r="BR57" s="326" t="s">
        <v>2</v>
      </c>
      <c r="BS57" s="326" t="s">
        <v>2</v>
      </c>
      <c r="BT57" s="326" t="s">
        <v>2</v>
      </c>
      <c r="BU57" s="326" t="s">
        <v>2</v>
      </c>
      <c r="BV57" s="326" t="s">
        <v>2</v>
      </c>
      <c r="BW57" s="326" t="s">
        <v>2</v>
      </c>
      <c r="BX57" s="326" t="s">
        <v>2</v>
      </c>
      <c r="BY57" s="326" t="s">
        <v>2</v>
      </c>
      <c r="BZ57" s="329" t="s">
        <v>2</v>
      </c>
      <c r="CA57" s="328">
        <v>3.42</v>
      </c>
      <c r="CB57" s="323">
        <v>0.08</v>
      </c>
      <c r="CC57" s="323">
        <v>0.56999999999999995</v>
      </c>
      <c r="CD57" s="323">
        <v>0.6</v>
      </c>
      <c r="CE57" s="323">
        <v>0.83</v>
      </c>
      <c r="CF57" s="323">
        <v>0.77</v>
      </c>
      <c r="CG57" s="324">
        <v>0.56999999999999995</v>
      </c>
      <c r="CH57" s="326" t="s">
        <v>2</v>
      </c>
      <c r="CI57" s="329" t="s">
        <v>2</v>
      </c>
      <c r="CJ57" s="328" t="s">
        <v>2</v>
      </c>
      <c r="CK57" s="323" t="s">
        <v>2</v>
      </c>
      <c r="CL57" s="323" t="s">
        <v>2</v>
      </c>
      <c r="CM57" s="324" t="s">
        <v>2</v>
      </c>
      <c r="CN57" s="319" t="s">
        <v>2</v>
      </c>
      <c r="CO57" s="319" t="s">
        <v>2</v>
      </c>
    </row>
    <row r="58" spans="1:93" x14ac:dyDescent="0.25">
      <c r="A58" s="316">
        <v>16027</v>
      </c>
      <c r="B58" s="317" t="s">
        <v>1904</v>
      </c>
      <c r="C58" s="318" t="s">
        <v>1905</v>
      </c>
      <c r="D58" s="293">
        <v>16</v>
      </c>
      <c r="E58" s="349">
        <v>0</v>
      </c>
      <c r="F58" s="320">
        <v>277</v>
      </c>
      <c r="G58" s="300">
        <v>1157.8599999999999</v>
      </c>
      <c r="H58" s="321">
        <v>43.12</v>
      </c>
      <c r="I58" s="322">
        <v>11</v>
      </c>
      <c r="J58" s="323">
        <v>12</v>
      </c>
      <c r="K58" s="323">
        <v>31.2</v>
      </c>
      <c r="L58" s="323">
        <v>2.6</v>
      </c>
      <c r="M58" s="324">
        <v>2.65</v>
      </c>
      <c r="N58" s="325">
        <v>154</v>
      </c>
      <c r="O58" s="326">
        <v>207</v>
      </c>
      <c r="P58" s="323">
        <v>2.5</v>
      </c>
      <c r="Q58" s="323">
        <v>1.27</v>
      </c>
      <c r="R58" s="315">
        <v>677</v>
      </c>
      <c r="S58" s="326">
        <v>188</v>
      </c>
      <c r="T58" s="326">
        <v>24</v>
      </c>
      <c r="U58" s="327">
        <v>0.27</v>
      </c>
      <c r="V58" s="327">
        <v>0.11</v>
      </c>
      <c r="W58" s="324">
        <v>19.5</v>
      </c>
      <c r="X58" s="328">
        <v>0.4</v>
      </c>
      <c r="Y58" s="327" t="s">
        <v>2</v>
      </c>
      <c r="Z58" s="327" t="s">
        <v>2</v>
      </c>
      <c r="AA58" s="327" t="s">
        <v>2</v>
      </c>
      <c r="AB58" s="327" t="s">
        <v>2</v>
      </c>
      <c r="AC58" s="327">
        <v>0.05</v>
      </c>
      <c r="AD58" s="326" t="s">
        <v>2</v>
      </c>
      <c r="AE58" s="326" t="s">
        <v>2</v>
      </c>
      <c r="AF58" s="323" t="s">
        <v>2</v>
      </c>
      <c r="AG58" s="324">
        <v>0.5</v>
      </c>
      <c r="AH58" s="320" t="s">
        <v>2</v>
      </c>
      <c r="AI58" s="320">
        <v>0</v>
      </c>
      <c r="AJ58" s="323" t="s">
        <v>2</v>
      </c>
      <c r="AK58" s="323" t="s">
        <v>2</v>
      </c>
      <c r="AL58" s="324" t="s">
        <v>2</v>
      </c>
      <c r="AM58" s="325" t="s">
        <v>2</v>
      </c>
      <c r="AN58" s="326" t="s">
        <v>2</v>
      </c>
      <c r="AO58" s="329" t="s">
        <v>2</v>
      </c>
      <c r="AP58" s="322">
        <v>4.76</v>
      </c>
      <c r="AQ58" s="327">
        <v>2.4900000000000002</v>
      </c>
      <c r="AR58" s="327" t="s">
        <v>2</v>
      </c>
      <c r="AS58" s="327">
        <v>1.1000000000000001</v>
      </c>
      <c r="AT58" s="327">
        <v>0.03</v>
      </c>
      <c r="AU58" s="327">
        <v>0.02</v>
      </c>
      <c r="AV58" s="330">
        <v>0.01</v>
      </c>
      <c r="AW58" s="328">
        <v>3.61</v>
      </c>
      <c r="AX58" s="327">
        <v>0.04</v>
      </c>
      <c r="AY58" s="327">
        <v>0.17</v>
      </c>
      <c r="AZ58" s="330">
        <v>3.31</v>
      </c>
      <c r="BA58" s="331">
        <v>2.71</v>
      </c>
      <c r="BB58" s="332">
        <v>2.73</v>
      </c>
      <c r="BC58" s="332">
        <v>0.26</v>
      </c>
      <c r="BD58" s="332">
        <v>0.02</v>
      </c>
      <c r="BE58" s="332">
        <v>0</v>
      </c>
      <c r="BF58" s="333">
        <v>0</v>
      </c>
      <c r="BG58" s="319">
        <v>0.26</v>
      </c>
      <c r="BH58" s="319">
        <v>23</v>
      </c>
      <c r="BI58" s="325" t="s">
        <v>2</v>
      </c>
      <c r="BJ58" s="326" t="s">
        <v>2</v>
      </c>
      <c r="BK58" s="326" t="s">
        <v>2</v>
      </c>
      <c r="BL58" s="326" t="s">
        <v>2</v>
      </c>
      <c r="BM58" s="326" t="s">
        <v>2</v>
      </c>
      <c r="BN58" s="326" t="s">
        <v>2</v>
      </c>
      <c r="BO58" s="326" t="s">
        <v>2</v>
      </c>
      <c r="BP58" s="326" t="s">
        <v>2</v>
      </c>
      <c r="BQ58" s="326" t="s">
        <v>2</v>
      </c>
      <c r="BR58" s="326" t="s">
        <v>2</v>
      </c>
      <c r="BS58" s="326" t="s">
        <v>2</v>
      </c>
      <c r="BT58" s="326" t="s">
        <v>2</v>
      </c>
      <c r="BU58" s="326" t="s">
        <v>2</v>
      </c>
      <c r="BV58" s="326" t="s">
        <v>2</v>
      </c>
      <c r="BW58" s="326" t="s">
        <v>2</v>
      </c>
      <c r="BX58" s="326" t="s">
        <v>2</v>
      </c>
      <c r="BY58" s="326" t="s">
        <v>2</v>
      </c>
      <c r="BZ58" s="329" t="s">
        <v>2</v>
      </c>
      <c r="CA58" s="328">
        <v>3.82</v>
      </c>
      <c r="CB58" s="323">
        <v>0.08</v>
      </c>
      <c r="CC58" s="323">
        <v>1.43</v>
      </c>
      <c r="CD58" s="323">
        <v>0.67</v>
      </c>
      <c r="CE58" s="323">
        <v>0.83</v>
      </c>
      <c r="CF58" s="323">
        <v>0.5</v>
      </c>
      <c r="CG58" s="324">
        <v>0.3</v>
      </c>
      <c r="CH58" s="326" t="s">
        <v>2</v>
      </c>
      <c r="CI58" s="329" t="s">
        <v>2</v>
      </c>
      <c r="CJ58" s="328" t="s">
        <v>2</v>
      </c>
      <c r="CK58" s="323" t="s">
        <v>2</v>
      </c>
      <c r="CL58" s="323" t="s">
        <v>2</v>
      </c>
      <c r="CM58" s="324" t="s">
        <v>2</v>
      </c>
      <c r="CN58" s="319" t="s">
        <v>2</v>
      </c>
      <c r="CO58" s="319" t="s">
        <v>2</v>
      </c>
    </row>
    <row r="59" spans="1:93" x14ac:dyDescent="0.25">
      <c r="A59" s="316">
        <v>16028</v>
      </c>
      <c r="B59" s="317" t="s">
        <v>1906</v>
      </c>
      <c r="C59" s="318" t="s">
        <v>1907</v>
      </c>
      <c r="D59" s="293">
        <v>16</v>
      </c>
      <c r="E59" s="349">
        <v>0</v>
      </c>
      <c r="F59" s="320">
        <v>92</v>
      </c>
      <c r="G59" s="300">
        <v>384.55999999999995</v>
      </c>
      <c r="H59" s="321">
        <v>77.569999999999993</v>
      </c>
      <c r="I59" s="322">
        <v>1.81</v>
      </c>
      <c r="J59" s="323">
        <v>1.46</v>
      </c>
      <c r="K59" s="323">
        <v>17.71</v>
      </c>
      <c r="L59" s="323">
        <v>1.4</v>
      </c>
      <c r="M59" s="324" t="s">
        <v>2</v>
      </c>
      <c r="N59" s="325">
        <v>5</v>
      </c>
      <c r="O59" s="326">
        <v>14</v>
      </c>
      <c r="P59" s="323">
        <v>0.21</v>
      </c>
      <c r="Q59" s="323">
        <v>0.39</v>
      </c>
      <c r="R59" s="315">
        <v>361</v>
      </c>
      <c r="S59" s="326">
        <v>69</v>
      </c>
      <c r="T59" s="326">
        <v>8</v>
      </c>
      <c r="U59" s="327" t="s">
        <v>2</v>
      </c>
      <c r="V59" s="327">
        <v>6.0999999999999999E-2</v>
      </c>
      <c r="W59" s="324">
        <v>4.2</v>
      </c>
      <c r="X59" s="328">
        <v>1.7</v>
      </c>
      <c r="Y59" s="327">
        <v>2.4E-2</v>
      </c>
      <c r="Z59" s="327">
        <v>0.03</v>
      </c>
      <c r="AA59" s="327">
        <v>0.39800000000000002</v>
      </c>
      <c r="AB59" s="327" t="s">
        <v>2</v>
      </c>
      <c r="AC59" s="327">
        <v>4.8000000000000001E-2</v>
      </c>
      <c r="AD59" s="326">
        <v>11</v>
      </c>
      <c r="AE59" s="326">
        <v>0</v>
      </c>
      <c r="AF59" s="323" t="s">
        <v>2</v>
      </c>
      <c r="AG59" s="324">
        <v>0</v>
      </c>
      <c r="AH59" s="320" t="s">
        <v>2</v>
      </c>
      <c r="AI59" s="320">
        <v>5</v>
      </c>
      <c r="AJ59" s="323">
        <v>0</v>
      </c>
      <c r="AK59" s="323">
        <v>0.23</v>
      </c>
      <c r="AL59" s="324">
        <v>3.4</v>
      </c>
      <c r="AM59" s="325">
        <v>51</v>
      </c>
      <c r="AN59" s="326">
        <v>3</v>
      </c>
      <c r="AO59" s="329">
        <v>5</v>
      </c>
      <c r="AP59" s="322">
        <v>0.223</v>
      </c>
      <c r="AQ59" s="327">
        <v>0.21299999999999999</v>
      </c>
      <c r="AR59" s="327" t="s">
        <v>2</v>
      </c>
      <c r="AS59" s="327">
        <v>7.0000000000000001E-3</v>
      </c>
      <c r="AT59" s="327" t="s">
        <v>2</v>
      </c>
      <c r="AU59" s="327" t="s">
        <v>2</v>
      </c>
      <c r="AV59" s="330" t="s">
        <v>2</v>
      </c>
      <c r="AW59" s="328">
        <v>0.92700000000000005</v>
      </c>
      <c r="AX59" s="327" t="s">
        <v>2</v>
      </c>
      <c r="AY59" s="327">
        <v>6.3E-2</v>
      </c>
      <c r="AZ59" s="330">
        <v>0.86199999999999999</v>
      </c>
      <c r="BA59" s="331">
        <v>0.217</v>
      </c>
      <c r="BB59" s="332">
        <v>0.20100000000000001</v>
      </c>
      <c r="BC59" s="332">
        <v>1.0999999999999999E-2</v>
      </c>
      <c r="BD59" s="332">
        <v>0</v>
      </c>
      <c r="BE59" s="332">
        <v>1E-3</v>
      </c>
      <c r="BF59" s="333">
        <v>0</v>
      </c>
      <c r="BG59" s="319" t="s">
        <v>2</v>
      </c>
      <c r="BH59" s="319">
        <v>0</v>
      </c>
      <c r="BI59" s="325" t="s">
        <v>2</v>
      </c>
      <c r="BJ59" s="326" t="s">
        <v>2</v>
      </c>
      <c r="BK59" s="326" t="s">
        <v>2</v>
      </c>
      <c r="BL59" s="326" t="s">
        <v>2</v>
      </c>
      <c r="BM59" s="326" t="s">
        <v>2</v>
      </c>
      <c r="BN59" s="326" t="s">
        <v>2</v>
      </c>
      <c r="BO59" s="326" t="s">
        <v>2</v>
      </c>
      <c r="BP59" s="326" t="s">
        <v>2</v>
      </c>
      <c r="BQ59" s="326" t="s">
        <v>2</v>
      </c>
      <c r="BR59" s="326" t="s">
        <v>2</v>
      </c>
      <c r="BS59" s="326" t="s">
        <v>2</v>
      </c>
      <c r="BT59" s="326" t="s">
        <v>2</v>
      </c>
      <c r="BU59" s="326" t="s">
        <v>2</v>
      </c>
      <c r="BV59" s="326" t="s">
        <v>2</v>
      </c>
      <c r="BW59" s="326" t="s">
        <v>2</v>
      </c>
      <c r="BX59" s="326" t="s">
        <v>2</v>
      </c>
      <c r="BY59" s="326" t="s">
        <v>2</v>
      </c>
      <c r="BZ59" s="329" t="s">
        <v>2</v>
      </c>
      <c r="CA59" s="328">
        <v>1.21</v>
      </c>
      <c r="CB59" s="323" t="s">
        <v>2</v>
      </c>
      <c r="CC59" s="323" t="s">
        <v>2</v>
      </c>
      <c r="CD59" s="323" t="s">
        <v>2</v>
      </c>
      <c r="CE59" s="323" t="s">
        <v>2</v>
      </c>
      <c r="CF59" s="323" t="s">
        <v>2</v>
      </c>
      <c r="CG59" s="324" t="s">
        <v>2</v>
      </c>
      <c r="CH59" s="326">
        <v>0</v>
      </c>
      <c r="CI59" s="329">
        <v>26</v>
      </c>
      <c r="CJ59" s="328" t="s">
        <v>2</v>
      </c>
      <c r="CK59" s="323" t="s">
        <v>2</v>
      </c>
      <c r="CL59" s="323" t="s">
        <v>2</v>
      </c>
      <c r="CM59" s="324" t="s">
        <v>2</v>
      </c>
      <c r="CN59" s="319" t="s">
        <v>2</v>
      </c>
      <c r="CO59" s="319" t="s">
        <v>2</v>
      </c>
    </row>
    <row r="60" spans="1:93" x14ac:dyDescent="0.25">
      <c r="A60" s="316">
        <v>16029</v>
      </c>
      <c r="B60" s="317" t="s">
        <v>1908</v>
      </c>
      <c r="C60" s="318" t="s">
        <v>1909</v>
      </c>
      <c r="D60" s="293">
        <v>16</v>
      </c>
      <c r="E60" s="349">
        <v>0</v>
      </c>
      <c r="F60" s="320">
        <v>97</v>
      </c>
      <c r="G60" s="300">
        <v>405.46</v>
      </c>
      <c r="H60" s="321">
        <v>75.61</v>
      </c>
      <c r="I60" s="322">
        <v>7.4</v>
      </c>
      <c r="J60" s="323">
        <v>0.25</v>
      </c>
      <c r="K60" s="323">
        <v>15.3</v>
      </c>
      <c r="L60" s="323">
        <v>0.7</v>
      </c>
      <c r="M60" s="324" t="s">
        <v>2</v>
      </c>
      <c r="N60" s="325">
        <v>4</v>
      </c>
      <c r="O60" s="326">
        <v>74</v>
      </c>
      <c r="P60" s="323">
        <v>0.31</v>
      </c>
      <c r="Q60" s="323">
        <v>0.38</v>
      </c>
      <c r="R60" s="315">
        <v>343</v>
      </c>
      <c r="S60" s="326">
        <v>119</v>
      </c>
      <c r="T60" s="326">
        <v>12</v>
      </c>
      <c r="U60" s="327" t="s">
        <v>2</v>
      </c>
      <c r="V60" s="327">
        <v>4.5999999999999999E-2</v>
      </c>
      <c r="W60" s="324">
        <v>26</v>
      </c>
      <c r="X60" s="328">
        <v>0.5</v>
      </c>
      <c r="Y60" s="327">
        <v>4.3999999999999997E-2</v>
      </c>
      <c r="Z60" s="327">
        <v>4.2999999999999997E-2</v>
      </c>
      <c r="AA60" s="327">
        <v>4.7249999999999996</v>
      </c>
      <c r="AB60" s="327" t="s">
        <v>2</v>
      </c>
      <c r="AC60" s="327">
        <v>0.247</v>
      </c>
      <c r="AD60" s="326">
        <v>3</v>
      </c>
      <c r="AE60" s="326">
        <v>0</v>
      </c>
      <c r="AF60" s="323" t="s">
        <v>2</v>
      </c>
      <c r="AG60" s="324">
        <v>0.51</v>
      </c>
      <c r="AH60" s="320" t="s">
        <v>2</v>
      </c>
      <c r="AI60" s="320">
        <v>8</v>
      </c>
      <c r="AJ60" s="323">
        <v>0.4</v>
      </c>
      <c r="AK60" s="323">
        <v>0.1</v>
      </c>
      <c r="AL60" s="324">
        <v>0.1</v>
      </c>
      <c r="AM60" s="325">
        <v>38</v>
      </c>
      <c r="AN60" s="326">
        <v>0</v>
      </c>
      <c r="AO60" s="329">
        <v>0</v>
      </c>
      <c r="AP60" s="322">
        <v>6.9000000000000006E-2</v>
      </c>
      <c r="AQ60" s="327">
        <v>3.0000000000000001E-3</v>
      </c>
      <c r="AR60" s="327" t="s">
        <v>2</v>
      </c>
      <c r="AS60" s="327">
        <v>1.2999999999999999E-2</v>
      </c>
      <c r="AT60" s="327" t="s">
        <v>2</v>
      </c>
      <c r="AU60" s="327" t="s">
        <v>2</v>
      </c>
      <c r="AV60" s="330" t="s">
        <v>2</v>
      </c>
      <c r="AW60" s="328">
        <v>7.5999999999999998E-2</v>
      </c>
      <c r="AX60" s="327" t="s">
        <v>2</v>
      </c>
      <c r="AY60" s="327">
        <v>3.0000000000000001E-3</v>
      </c>
      <c r="AZ60" s="330">
        <v>6.8000000000000005E-2</v>
      </c>
      <c r="BA60" s="331">
        <v>8.4000000000000005E-2</v>
      </c>
      <c r="BB60" s="332">
        <v>0.05</v>
      </c>
      <c r="BC60" s="332">
        <v>3.0000000000000001E-3</v>
      </c>
      <c r="BD60" s="332">
        <v>4.0000000000000001E-3</v>
      </c>
      <c r="BE60" s="332">
        <v>4.0000000000000001E-3</v>
      </c>
      <c r="BF60" s="333">
        <v>2.1000000000000001E-2</v>
      </c>
      <c r="BG60" s="319" t="s">
        <v>2</v>
      </c>
      <c r="BH60" s="319">
        <v>10</v>
      </c>
      <c r="BI60" s="325" t="s">
        <v>2</v>
      </c>
      <c r="BJ60" s="326" t="s">
        <v>2</v>
      </c>
      <c r="BK60" s="326" t="s">
        <v>2</v>
      </c>
      <c r="BL60" s="326" t="s">
        <v>2</v>
      </c>
      <c r="BM60" s="326" t="s">
        <v>2</v>
      </c>
      <c r="BN60" s="326" t="s">
        <v>2</v>
      </c>
      <c r="BO60" s="326" t="s">
        <v>2</v>
      </c>
      <c r="BP60" s="326" t="s">
        <v>2</v>
      </c>
      <c r="BQ60" s="326" t="s">
        <v>2</v>
      </c>
      <c r="BR60" s="326" t="s">
        <v>2</v>
      </c>
      <c r="BS60" s="326" t="s">
        <v>2</v>
      </c>
      <c r="BT60" s="326" t="s">
        <v>2</v>
      </c>
      <c r="BU60" s="326" t="s">
        <v>2</v>
      </c>
      <c r="BV60" s="326" t="s">
        <v>2</v>
      </c>
      <c r="BW60" s="326" t="s">
        <v>2</v>
      </c>
      <c r="BX60" s="326" t="s">
        <v>2</v>
      </c>
      <c r="BY60" s="326" t="s">
        <v>2</v>
      </c>
      <c r="BZ60" s="329" t="s">
        <v>2</v>
      </c>
      <c r="CA60" s="328">
        <v>0.92</v>
      </c>
      <c r="CB60" s="323" t="s">
        <v>2</v>
      </c>
      <c r="CC60" s="323" t="s">
        <v>2</v>
      </c>
      <c r="CD60" s="323" t="s">
        <v>2</v>
      </c>
      <c r="CE60" s="323" t="s">
        <v>2</v>
      </c>
      <c r="CF60" s="323" t="s">
        <v>2</v>
      </c>
      <c r="CG60" s="324" t="s">
        <v>2</v>
      </c>
      <c r="CH60" s="326">
        <v>0</v>
      </c>
      <c r="CI60" s="329">
        <v>0</v>
      </c>
      <c r="CJ60" s="328" t="s">
        <v>2</v>
      </c>
      <c r="CK60" s="323" t="s">
        <v>2</v>
      </c>
      <c r="CL60" s="323" t="s">
        <v>2</v>
      </c>
      <c r="CM60" s="324" t="s">
        <v>2</v>
      </c>
      <c r="CN60" s="319" t="s">
        <v>2</v>
      </c>
      <c r="CO60" s="319" t="s">
        <v>2</v>
      </c>
    </row>
    <row r="61" spans="1:93" x14ac:dyDescent="0.25">
      <c r="A61" s="316">
        <v>16030</v>
      </c>
      <c r="B61" s="317" t="s">
        <v>1910</v>
      </c>
      <c r="C61" s="318" t="s">
        <v>1911</v>
      </c>
      <c r="D61" s="293">
        <v>16</v>
      </c>
      <c r="E61" s="349">
        <v>0</v>
      </c>
      <c r="F61" s="320">
        <v>100</v>
      </c>
      <c r="G61" s="300">
        <v>418</v>
      </c>
      <c r="H61" s="321">
        <v>75.3</v>
      </c>
      <c r="I61" s="322">
        <v>9.66</v>
      </c>
      <c r="J61" s="323">
        <v>0.28000000000000003</v>
      </c>
      <c r="K61" s="323">
        <v>13.39</v>
      </c>
      <c r="L61" s="323">
        <v>0.6</v>
      </c>
      <c r="M61" s="324" t="s">
        <v>2</v>
      </c>
      <c r="N61" s="325">
        <v>3</v>
      </c>
      <c r="O61" s="326">
        <v>101</v>
      </c>
      <c r="P61" s="323">
        <v>0.36</v>
      </c>
      <c r="Q61" s="323">
        <v>0.38</v>
      </c>
      <c r="R61" s="315">
        <v>306</v>
      </c>
      <c r="S61" s="326">
        <v>159</v>
      </c>
      <c r="T61" s="326">
        <v>15</v>
      </c>
      <c r="U61" s="327" t="s">
        <v>2</v>
      </c>
      <c r="V61" s="327">
        <v>4.2000000000000003E-2</v>
      </c>
      <c r="W61" s="324">
        <v>34.799999999999997</v>
      </c>
      <c r="X61" s="328">
        <v>0</v>
      </c>
      <c r="Y61" s="327">
        <v>5.2999999999999999E-2</v>
      </c>
      <c r="Z61" s="327">
        <v>4.8000000000000001E-2</v>
      </c>
      <c r="AA61" s="327">
        <v>6.5739999999999998</v>
      </c>
      <c r="AB61" s="327" t="s">
        <v>2</v>
      </c>
      <c r="AC61" s="327">
        <v>0.39</v>
      </c>
      <c r="AD61" s="326">
        <v>1</v>
      </c>
      <c r="AE61" s="326">
        <v>0</v>
      </c>
      <c r="AF61" s="323" t="s">
        <v>2</v>
      </c>
      <c r="AG61" s="324">
        <v>0.72</v>
      </c>
      <c r="AH61" s="320" t="s">
        <v>2</v>
      </c>
      <c r="AI61" s="320">
        <v>6</v>
      </c>
      <c r="AJ61" s="323">
        <v>0.6</v>
      </c>
      <c r="AK61" s="323">
        <v>0.11</v>
      </c>
      <c r="AL61" s="324">
        <v>0</v>
      </c>
      <c r="AM61" s="325">
        <v>0</v>
      </c>
      <c r="AN61" s="326">
        <v>0</v>
      </c>
      <c r="AO61" s="329">
        <v>0</v>
      </c>
      <c r="AP61" s="322">
        <v>8.3000000000000004E-2</v>
      </c>
      <c r="AQ61" s="327">
        <v>5.6000000000000001E-2</v>
      </c>
      <c r="AR61" s="327" t="s">
        <v>2</v>
      </c>
      <c r="AS61" s="327">
        <v>1.7000000000000001E-2</v>
      </c>
      <c r="AT61" s="327" t="s">
        <v>2</v>
      </c>
      <c r="AU61" s="327" t="s">
        <v>2</v>
      </c>
      <c r="AV61" s="330" t="s">
        <v>2</v>
      </c>
      <c r="AW61" s="328">
        <v>8.2000000000000003E-2</v>
      </c>
      <c r="AX61" s="327" t="s">
        <v>2</v>
      </c>
      <c r="AY61" s="327">
        <v>4.0000000000000001E-3</v>
      </c>
      <c r="AZ61" s="330">
        <v>7.0999999999999994E-2</v>
      </c>
      <c r="BA61" s="331">
        <v>9.1999999999999998E-2</v>
      </c>
      <c r="BB61" s="332">
        <v>4.5999999999999999E-2</v>
      </c>
      <c r="BC61" s="332">
        <v>2E-3</v>
      </c>
      <c r="BD61" s="332">
        <v>5.0000000000000001E-3</v>
      </c>
      <c r="BE61" s="332">
        <v>4.0000000000000001E-3</v>
      </c>
      <c r="BF61" s="333">
        <v>0.03</v>
      </c>
      <c r="BG61" s="319" t="s">
        <v>2</v>
      </c>
      <c r="BH61" s="319">
        <v>14</v>
      </c>
      <c r="BI61" s="325" t="s">
        <v>2</v>
      </c>
      <c r="BJ61" s="326" t="s">
        <v>2</v>
      </c>
      <c r="BK61" s="326" t="s">
        <v>2</v>
      </c>
      <c r="BL61" s="326" t="s">
        <v>2</v>
      </c>
      <c r="BM61" s="326" t="s">
        <v>2</v>
      </c>
      <c r="BN61" s="326" t="s">
        <v>2</v>
      </c>
      <c r="BO61" s="326" t="s">
        <v>2</v>
      </c>
      <c r="BP61" s="326" t="s">
        <v>2</v>
      </c>
      <c r="BQ61" s="326" t="s">
        <v>2</v>
      </c>
      <c r="BR61" s="326" t="s">
        <v>2</v>
      </c>
      <c r="BS61" s="326" t="s">
        <v>2</v>
      </c>
      <c r="BT61" s="326" t="s">
        <v>2</v>
      </c>
      <c r="BU61" s="326" t="s">
        <v>2</v>
      </c>
      <c r="BV61" s="326" t="s">
        <v>2</v>
      </c>
      <c r="BW61" s="326" t="s">
        <v>2</v>
      </c>
      <c r="BX61" s="326" t="s">
        <v>2</v>
      </c>
      <c r="BY61" s="326" t="s">
        <v>2</v>
      </c>
      <c r="BZ61" s="329" t="s">
        <v>2</v>
      </c>
      <c r="CA61" s="328">
        <v>0.8</v>
      </c>
      <c r="CB61" s="323" t="s">
        <v>2</v>
      </c>
      <c r="CC61" s="323" t="s">
        <v>2</v>
      </c>
      <c r="CD61" s="323" t="s">
        <v>2</v>
      </c>
      <c r="CE61" s="323" t="s">
        <v>2</v>
      </c>
      <c r="CF61" s="323" t="s">
        <v>2</v>
      </c>
      <c r="CG61" s="324" t="s">
        <v>2</v>
      </c>
      <c r="CH61" s="326">
        <v>0</v>
      </c>
      <c r="CI61" s="329">
        <v>0</v>
      </c>
      <c r="CJ61" s="328" t="s">
        <v>2</v>
      </c>
      <c r="CK61" s="323" t="s">
        <v>2</v>
      </c>
      <c r="CL61" s="323" t="s">
        <v>2</v>
      </c>
      <c r="CM61" s="324" t="s">
        <v>2</v>
      </c>
      <c r="CN61" s="319" t="s">
        <v>2</v>
      </c>
      <c r="CO61" s="319" t="s">
        <v>2</v>
      </c>
    </row>
    <row r="62" spans="1:93" x14ac:dyDescent="0.25">
      <c r="A62" s="316">
        <v>16031</v>
      </c>
      <c r="B62" s="317" t="s">
        <v>1912</v>
      </c>
      <c r="C62" s="318" t="s">
        <v>1913</v>
      </c>
      <c r="D62" s="293">
        <v>16</v>
      </c>
      <c r="E62" s="349">
        <v>0</v>
      </c>
      <c r="F62" s="320">
        <v>103</v>
      </c>
      <c r="G62" s="300">
        <v>430.53999999999996</v>
      </c>
      <c r="H62" s="321">
        <v>75.239999999999995</v>
      </c>
      <c r="I62" s="322">
        <v>6.88</v>
      </c>
      <c r="J62" s="323">
        <v>1.28</v>
      </c>
      <c r="K62" s="323">
        <v>15.3</v>
      </c>
      <c r="L62" s="323">
        <v>0.7</v>
      </c>
      <c r="M62" s="324" t="s">
        <v>2</v>
      </c>
      <c r="N62" s="325">
        <v>5</v>
      </c>
      <c r="O62" s="326">
        <v>69</v>
      </c>
      <c r="P62" s="323">
        <v>0.23</v>
      </c>
      <c r="Q62" s="323">
        <v>0.41</v>
      </c>
      <c r="R62" s="315">
        <v>351</v>
      </c>
      <c r="S62" s="326">
        <v>101</v>
      </c>
      <c r="T62" s="326">
        <v>11</v>
      </c>
      <c r="U62" s="327" t="s">
        <v>2</v>
      </c>
      <c r="V62" s="327">
        <v>5.2999999999999999E-2</v>
      </c>
      <c r="W62" s="324">
        <v>11.1</v>
      </c>
      <c r="X62" s="328">
        <v>0.5</v>
      </c>
      <c r="Y62" s="327">
        <v>4.7E-2</v>
      </c>
      <c r="Z62" s="327">
        <v>6.5000000000000002E-2</v>
      </c>
      <c r="AA62" s="327">
        <v>2.2919999999999998</v>
      </c>
      <c r="AB62" s="327" t="s">
        <v>2</v>
      </c>
      <c r="AC62" s="327">
        <v>0.19800000000000001</v>
      </c>
      <c r="AD62" s="326">
        <v>4</v>
      </c>
      <c r="AE62" s="326">
        <v>0</v>
      </c>
      <c r="AF62" s="323" t="s">
        <v>2</v>
      </c>
      <c r="AG62" s="324">
        <v>1.1399999999999999</v>
      </c>
      <c r="AH62" s="320" t="s">
        <v>2</v>
      </c>
      <c r="AI62" s="320">
        <v>15</v>
      </c>
      <c r="AJ62" s="323">
        <v>3.4</v>
      </c>
      <c r="AK62" s="323">
        <v>0.24</v>
      </c>
      <c r="AL62" s="324">
        <v>0.1</v>
      </c>
      <c r="AM62" s="325">
        <v>38</v>
      </c>
      <c r="AN62" s="326">
        <v>0</v>
      </c>
      <c r="AO62" s="329">
        <v>0</v>
      </c>
      <c r="AP62" s="322">
        <v>2.5999999999999999E-2</v>
      </c>
      <c r="AQ62" s="327">
        <v>0.17699999999999999</v>
      </c>
      <c r="AR62" s="327" t="s">
        <v>2</v>
      </c>
      <c r="AS62" s="327">
        <v>2.7E-2</v>
      </c>
      <c r="AT62" s="327" t="s">
        <v>2</v>
      </c>
      <c r="AU62" s="327" t="s">
        <v>2</v>
      </c>
      <c r="AV62" s="330" t="s">
        <v>2</v>
      </c>
      <c r="AW62" s="328">
        <v>0.38300000000000001</v>
      </c>
      <c r="AX62" s="327" t="s">
        <v>2</v>
      </c>
      <c r="AY62" s="327">
        <v>3.4000000000000002E-2</v>
      </c>
      <c r="AZ62" s="330">
        <v>0.221</v>
      </c>
      <c r="BA62" s="331">
        <v>0.32</v>
      </c>
      <c r="BB62" s="332">
        <v>8.4000000000000005E-2</v>
      </c>
      <c r="BC62" s="332">
        <v>1.0999999999999999E-2</v>
      </c>
      <c r="BD62" s="332">
        <v>4.0000000000000001E-3</v>
      </c>
      <c r="BE62" s="332">
        <v>6.2E-2</v>
      </c>
      <c r="BF62" s="333">
        <v>0.15</v>
      </c>
      <c r="BG62" s="319" t="s">
        <v>2</v>
      </c>
      <c r="BH62" s="319">
        <v>12</v>
      </c>
      <c r="BI62" s="325" t="s">
        <v>2</v>
      </c>
      <c r="BJ62" s="326" t="s">
        <v>2</v>
      </c>
      <c r="BK62" s="326" t="s">
        <v>2</v>
      </c>
      <c r="BL62" s="326" t="s">
        <v>2</v>
      </c>
      <c r="BM62" s="326" t="s">
        <v>2</v>
      </c>
      <c r="BN62" s="326" t="s">
        <v>2</v>
      </c>
      <c r="BO62" s="326" t="s">
        <v>2</v>
      </c>
      <c r="BP62" s="326" t="s">
        <v>2</v>
      </c>
      <c r="BQ62" s="326" t="s">
        <v>2</v>
      </c>
      <c r="BR62" s="326" t="s">
        <v>2</v>
      </c>
      <c r="BS62" s="326" t="s">
        <v>2</v>
      </c>
      <c r="BT62" s="326" t="s">
        <v>2</v>
      </c>
      <c r="BU62" s="326" t="s">
        <v>2</v>
      </c>
      <c r="BV62" s="326" t="s">
        <v>2</v>
      </c>
      <c r="BW62" s="326" t="s">
        <v>2</v>
      </c>
      <c r="BX62" s="326" t="s">
        <v>2</v>
      </c>
      <c r="BY62" s="326" t="s">
        <v>2</v>
      </c>
      <c r="BZ62" s="329" t="s">
        <v>2</v>
      </c>
      <c r="CA62" s="328">
        <v>0.92</v>
      </c>
      <c r="CB62" s="323" t="s">
        <v>2</v>
      </c>
      <c r="CC62" s="323" t="s">
        <v>2</v>
      </c>
      <c r="CD62" s="323" t="s">
        <v>2</v>
      </c>
      <c r="CE62" s="323" t="s">
        <v>2</v>
      </c>
      <c r="CF62" s="323" t="s">
        <v>2</v>
      </c>
      <c r="CG62" s="324" t="s">
        <v>2</v>
      </c>
      <c r="CH62" s="326">
        <v>0</v>
      </c>
      <c r="CI62" s="329">
        <v>0</v>
      </c>
      <c r="CJ62" s="328" t="s">
        <v>2</v>
      </c>
      <c r="CK62" s="323" t="s">
        <v>2</v>
      </c>
      <c r="CL62" s="323" t="s">
        <v>2</v>
      </c>
      <c r="CM62" s="324" t="s">
        <v>2</v>
      </c>
      <c r="CN62" s="319" t="s">
        <v>2</v>
      </c>
      <c r="CO62" s="319" t="s">
        <v>2</v>
      </c>
    </row>
    <row r="63" spans="1:93" x14ac:dyDescent="0.25">
      <c r="A63" s="316">
        <v>16032</v>
      </c>
      <c r="B63" s="317" t="s">
        <v>1914</v>
      </c>
      <c r="C63" s="318" t="s">
        <v>1915</v>
      </c>
      <c r="D63" s="293">
        <v>16</v>
      </c>
      <c r="E63" s="349">
        <v>0</v>
      </c>
      <c r="F63" s="320">
        <v>107</v>
      </c>
      <c r="G63" s="300">
        <v>447.26</v>
      </c>
      <c r="H63" s="321">
        <v>74.78</v>
      </c>
      <c r="I63" s="322">
        <v>8.92</v>
      </c>
      <c r="J63" s="323">
        <v>1.74</v>
      </c>
      <c r="K63" s="323">
        <v>13.39</v>
      </c>
      <c r="L63" s="323">
        <v>0.6</v>
      </c>
      <c r="M63" s="324" t="s">
        <v>2</v>
      </c>
      <c r="N63" s="325">
        <v>5</v>
      </c>
      <c r="O63" s="326">
        <v>94</v>
      </c>
      <c r="P63" s="323">
        <v>0.24</v>
      </c>
      <c r="Q63" s="323">
        <v>0.41</v>
      </c>
      <c r="R63" s="315">
        <v>318</v>
      </c>
      <c r="S63" s="326">
        <v>133</v>
      </c>
      <c r="T63" s="326">
        <v>13</v>
      </c>
      <c r="U63" s="327" t="s">
        <v>2</v>
      </c>
      <c r="V63" s="327">
        <v>5.1999999999999998E-2</v>
      </c>
      <c r="W63" s="324">
        <v>13.7</v>
      </c>
      <c r="X63" s="328">
        <v>0</v>
      </c>
      <c r="Y63" s="327">
        <v>5.8000000000000003E-2</v>
      </c>
      <c r="Z63" s="327">
        <v>0.08</v>
      </c>
      <c r="AA63" s="327">
        <v>3.121</v>
      </c>
      <c r="AB63" s="327" t="s">
        <v>2</v>
      </c>
      <c r="AC63" s="327">
        <v>0.26900000000000002</v>
      </c>
      <c r="AD63" s="326">
        <v>3</v>
      </c>
      <c r="AE63" s="326">
        <v>0</v>
      </c>
      <c r="AF63" s="323" t="s">
        <v>2</v>
      </c>
      <c r="AG63" s="324">
        <v>1.62</v>
      </c>
      <c r="AH63" s="320" t="s">
        <v>2</v>
      </c>
      <c r="AI63" s="320">
        <v>17</v>
      </c>
      <c r="AJ63" s="323">
        <v>4.9000000000000004</v>
      </c>
      <c r="AK63" s="323">
        <v>0.31</v>
      </c>
      <c r="AL63" s="324">
        <v>0</v>
      </c>
      <c r="AM63" s="325">
        <v>0</v>
      </c>
      <c r="AN63" s="326">
        <v>0</v>
      </c>
      <c r="AO63" s="329">
        <v>0</v>
      </c>
      <c r="AP63" s="322">
        <v>0.3</v>
      </c>
      <c r="AQ63" s="327">
        <v>0.21</v>
      </c>
      <c r="AR63" s="327" t="s">
        <v>2</v>
      </c>
      <c r="AS63" s="327">
        <v>3.7999999999999999E-2</v>
      </c>
      <c r="AT63" s="327" t="s">
        <v>2</v>
      </c>
      <c r="AU63" s="327" t="s">
        <v>2</v>
      </c>
      <c r="AV63" s="330" t="s">
        <v>2</v>
      </c>
      <c r="AW63" s="328">
        <v>0.51700000000000002</v>
      </c>
      <c r="AX63" s="327" t="s">
        <v>2</v>
      </c>
      <c r="AY63" s="327">
        <v>4.8000000000000001E-2</v>
      </c>
      <c r="AZ63" s="330">
        <v>0.28799999999999998</v>
      </c>
      <c r="BA63" s="331">
        <v>0.42799999999999999</v>
      </c>
      <c r="BB63" s="332">
        <v>9.5000000000000001E-2</v>
      </c>
      <c r="BC63" s="332">
        <v>8.0000000000000002E-3</v>
      </c>
      <c r="BD63" s="332">
        <v>6.0000000000000001E-3</v>
      </c>
      <c r="BE63" s="332">
        <v>8.6999999999999994E-2</v>
      </c>
      <c r="BF63" s="333">
        <v>0.16300000000000001</v>
      </c>
      <c r="BG63" s="319" t="s">
        <v>2</v>
      </c>
      <c r="BH63" s="319">
        <v>18</v>
      </c>
      <c r="BI63" s="325" t="s">
        <v>2</v>
      </c>
      <c r="BJ63" s="326" t="s">
        <v>2</v>
      </c>
      <c r="BK63" s="326" t="s">
        <v>2</v>
      </c>
      <c r="BL63" s="326" t="s">
        <v>2</v>
      </c>
      <c r="BM63" s="326" t="s">
        <v>2</v>
      </c>
      <c r="BN63" s="326" t="s">
        <v>2</v>
      </c>
      <c r="BO63" s="326" t="s">
        <v>2</v>
      </c>
      <c r="BP63" s="326" t="s">
        <v>2</v>
      </c>
      <c r="BQ63" s="326" t="s">
        <v>2</v>
      </c>
      <c r="BR63" s="326" t="s">
        <v>2</v>
      </c>
      <c r="BS63" s="326" t="s">
        <v>2</v>
      </c>
      <c r="BT63" s="326" t="s">
        <v>2</v>
      </c>
      <c r="BU63" s="326" t="s">
        <v>2</v>
      </c>
      <c r="BV63" s="326" t="s">
        <v>2</v>
      </c>
      <c r="BW63" s="326" t="s">
        <v>2</v>
      </c>
      <c r="BX63" s="326" t="s">
        <v>2</v>
      </c>
      <c r="BY63" s="326" t="s">
        <v>2</v>
      </c>
      <c r="BZ63" s="329" t="s">
        <v>2</v>
      </c>
      <c r="CA63" s="328">
        <v>0.8</v>
      </c>
      <c r="CB63" s="323" t="s">
        <v>2</v>
      </c>
      <c r="CC63" s="323" t="s">
        <v>2</v>
      </c>
      <c r="CD63" s="323" t="s">
        <v>2</v>
      </c>
      <c r="CE63" s="323" t="s">
        <v>2</v>
      </c>
      <c r="CF63" s="323" t="s">
        <v>2</v>
      </c>
      <c r="CG63" s="324" t="s">
        <v>2</v>
      </c>
      <c r="CH63" s="326">
        <v>0</v>
      </c>
      <c r="CI63" s="329">
        <v>0</v>
      </c>
      <c r="CJ63" s="328" t="s">
        <v>2</v>
      </c>
      <c r="CK63" s="323" t="s">
        <v>2</v>
      </c>
      <c r="CL63" s="323" t="s">
        <v>2</v>
      </c>
      <c r="CM63" s="324" t="s">
        <v>2</v>
      </c>
      <c r="CN63" s="319" t="s">
        <v>2</v>
      </c>
      <c r="CO63" s="319" t="s">
        <v>2</v>
      </c>
    </row>
    <row r="64" spans="1:93" x14ac:dyDescent="0.25">
      <c r="A64" s="316">
        <v>16033</v>
      </c>
      <c r="B64" s="317" t="s">
        <v>1916</v>
      </c>
      <c r="C64" s="318" t="s">
        <v>1917</v>
      </c>
      <c r="D64" s="293">
        <v>16</v>
      </c>
      <c r="E64" s="349">
        <v>0</v>
      </c>
      <c r="F64" s="320">
        <v>100</v>
      </c>
      <c r="G64" s="300">
        <v>418</v>
      </c>
      <c r="H64" s="321">
        <v>75.010000000000005</v>
      </c>
      <c r="I64" s="322">
        <v>7.01</v>
      </c>
      <c r="J64" s="323">
        <v>0.55000000000000004</v>
      </c>
      <c r="K64" s="323">
        <v>15.67</v>
      </c>
      <c r="L64" s="323">
        <v>0.7</v>
      </c>
      <c r="M64" s="324" t="s">
        <v>2</v>
      </c>
      <c r="N64" s="325">
        <v>25</v>
      </c>
      <c r="O64" s="326">
        <v>81</v>
      </c>
      <c r="P64" s="323">
        <v>0.2</v>
      </c>
      <c r="Q64" s="323">
        <v>0.69</v>
      </c>
      <c r="R64" s="315">
        <v>359</v>
      </c>
      <c r="S64" s="326">
        <v>53</v>
      </c>
      <c r="T64" s="326">
        <v>13</v>
      </c>
      <c r="U64" s="327" t="s">
        <v>2</v>
      </c>
      <c r="V64" s="327">
        <v>0.1</v>
      </c>
      <c r="W64" s="324">
        <v>15.9</v>
      </c>
      <c r="X64" s="328">
        <v>0.5</v>
      </c>
      <c r="Y64" s="327">
        <v>2.3E-2</v>
      </c>
      <c r="Z64" s="327">
        <v>0.02</v>
      </c>
      <c r="AA64" s="327">
        <v>0.86899999999999999</v>
      </c>
      <c r="AB64" s="327" t="s">
        <v>2</v>
      </c>
      <c r="AC64" s="327">
        <v>7.9000000000000001E-2</v>
      </c>
      <c r="AD64" s="326">
        <v>8</v>
      </c>
      <c r="AE64" s="326">
        <v>0</v>
      </c>
      <c r="AF64" s="323" t="s">
        <v>2</v>
      </c>
      <c r="AG64" s="324">
        <v>0.4</v>
      </c>
      <c r="AH64" s="320" t="s">
        <v>2</v>
      </c>
      <c r="AI64" s="320">
        <v>25</v>
      </c>
      <c r="AJ64" s="323">
        <v>0</v>
      </c>
      <c r="AK64" s="323">
        <v>0.57999999999999996</v>
      </c>
      <c r="AL64" s="324">
        <v>0.1</v>
      </c>
      <c r="AM64" s="325">
        <v>38</v>
      </c>
      <c r="AN64" s="326">
        <v>0</v>
      </c>
      <c r="AO64" s="329">
        <v>0</v>
      </c>
      <c r="AP64" s="322">
        <v>0.125</v>
      </c>
      <c r="AQ64" s="327">
        <v>9.1999999999999998E-2</v>
      </c>
      <c r="AR64" s="327" t="s">
        <v>2</v>
      </c>
      <c r="AS64" s="327">
        <v>0.04</v>
      </c>
      <c r="AT64" s="327" t="s">
        <v>2</v>
      </c>
      <c r="AU64" s="327" t="s">
        <v>2</v>
      </c>
      <c r="AV64" s="330" t="s">
        <v>2</v>
      </c>
      <c r="AW64" s="328">
        <v>0.13600000000000001</v>
      </c>
      <c r="AX64" s="327" t="s">
        <v>2</v>
      </c>
      <c r="AY64" s="327">
        <v>1.0999999999999999E-2</v>
      </c>
      <c r="AZ64" s="330">
        <v>0.02</v>
      </c>
      <c r="BA64" s="331">
        <v>0.192</v>
      </c>
      <c r="BB64" s="332">
        <v>9.1999999999999998E-2</v>
      </c>
      <c r="BC64" s="332">
        <v>5.0000000000000001E-3</v>
      </c>
      <c r="BD64" s="332">
        <v>1.6E-2</v>
      </c>
      <c r="BE64" s="332">
        <v>3.4000000000000002E-2</v>
      </c>
      <c r="BF64" s="333">
        <v>3.4000000000000002E-2</v>
      </c>
      <c r="BG64" s="319" t="s">
        <v>2</v>
      </c>
      <c r="BH64" s="319">
        <v>51</v>
      </c>
      <c r="BI64" s="325" t="s">
        <v>2</v>
      </c>
      <c r="BJ64" s="326" t="s">
        <v>2</v>
      </c>
      <c r="BK64" s="326" t="s">
        <v>2</v>
      </c>
      <c r="BL64" s="326" t="s">
        <v>2</v>
      </c>
      <c r="BM64" s="326" t="s">
        <v>2</v>
      </c>
      <c r="BN64" s="326" t="s">
        <v>2</v>
      </c>
      <c r="BO64" s="326" t="s">
        <v>2</v>
      </c>
      <c r="BP64" s="326" t="s">
        <v>2</v>
      </c>
      <c r="BQ64" s="326" t="s">
        <v>2</v>
      </c>
      <c r="BR64" s="326" t="s">
        <v>2</v>
      </c>
      <c r="BS64" s="326" t="s">
        <v>2</v>
      </c>
      <c r="BT64" s="326" t="s">
        <v>2</v>
      </c>
      <c r="BU64" s="326" t="s">
        <v>2</v>
      </c>
      <c r="BV64" s="326" t="s">
        <v>2</v>
      </c>
      <c r="BW64" s="326" t="s">
        <v>2</v>
      </c>
      <c r="BX64" s="326" t="s">
        <v>2</v>
      </c>
      <c r="BY64" s="326" t="s">
        <v>2</v>
      </c>
      <c r="BZ64" s="329" t="s">
        <v>2</v>
      </c>
      <c r="CA64" s="328">
        <v>0.92</v>
      </c>
      <c r="CB64" s="323" t="s">
        <v>2</v>
      </c>
      <c r="CC64" s="323" t="s">
        <v>2</v>
      </c>
      <c r="CD64" s="323" t="s">
        <v>2</v>
      </c>
      <c r="CE64" s="323" t="s">
        <v>2</v>
      </c>
      <c r="CF64" s="323" t="s">
        <v>2</v>
      </c>
      <c r="CG64" s="324" t="s">
        <v>2</v>
      </c>
      <c r="CH64" s="326">
        <v>0</v>
      </c>
      <c r="CI64" s="329">
        <v>0</v>
      </c>
      <c r="CJ64" s="328" t="s">
        <v>2</v>
      </c>
      <c r="CK64" s="323" t="s">
        <v>2</v>
      </c>
      <c r="CL64" s="323" t="s">
        <v>2</v>
      </c>
      <c r="CM64" s="324" t="s">
        <v>2</v>
      </c>
      <c r="CN64" s="319" t="s">
        <v>2</v>
      </c>
      <c r="CO64" s="319" t="s">
        <v>2</v>
      </c>
    </row>
    <row r="65" spans="1:93" x14ac:dyDescent="0.25">
      <c r="A65" s="316">
        <v>16034</v>
      </c>
      <c r="B65" s="317" t="s">
        <v>1918</v>
      </c>
      <c r="C65" s="318" t="s">
        <v>1919</v>
      </c>
      <c r="D65" s="293">
        <v>16</v>
      </c>
      <c r="E65" s="349">
        <v>0</v>
      </c>
      <c r="F65" s="320">
        <v>103</v>
      </c>
      <c r="G65" s="300">
        <v>430.53999999999996</v>
      </c>
      <c r="H65" s="321">
        <v>74.44</v>
      </c>
      <c r="I65" s="322">
        <v>9.1</v>
      </c>
      <c r="J65" s="323">
        <v>0.7</v>
      </c>
      <c r="K65" s="323">
        <v>13.92</v>
      </c>
      <c r="L65" s="323">
        <v>0.6</v>
      </c>
      <c r="M65" s="324" t="s">
        <v>2</v>
      </c>
      <c r="N65" s="325">
        <v>33</v>
      </c>
      <c r="O65" s="326">
        <v>111</v>
      </c>
      <c r="P65" s="323">
        <v>0.2</v>
      </c>
      <c r="Q65" s="323">
        <v>0.81</v>
      </c>
      <c r="R65" s="315">
        <v>329</v>
      </c>
      <c r="S65" s="326">
        <v>65</v>
      </c>
      <c r="T65" s="326">
        <v>16</v>
      </c>
      <c r="U65" s="327" t="s">
        <v>2</v>
      </c>
      <c r="V65" s="327">
        <v>0.11899999999999999</v>
      </c>
      <c r="W65" s="324">
        <v>20.5</v>
      </c>
      <c r="X65" s="328">
        <v>0</v>
      </c>
      <c r="Y65" s="327">
        <v>2.3E-2</v>
      </c>
      <c r="Z65" s="327">
        <v>1.6E-2</v>
      </c>
      <c r="AA65" s="327">
        <v>1.101</v>
      </c>
      <c r="AB65" s="327" t="s">
        <v>2</v>
      </c>
      <c r="AC65" s="327">
        <v>9.9000000000000005E-2</v>
      </c>
      <c r="AD65" s="326">
        <v>9</v>
      </c>
      <c r="AE65" s="326">
        <v>0</v>
      </c>
      <c r="AF65" s="323" t="s">
        <v>2</v>
      </c>
      <c r="AG65" s="324">
        <v>0.56999999999999995</v>
      </c>
      <c r="AH65" s="320" t="s">
        <v>2</v>
      </c>
      <c r="AI65" s="320">
        <v>31</v>
      </c>
      <c r="AJ65" s="323">
        <v>0</v>
      </c>
      <c r="AK65" s="323">
        <v>0.79</v>
      </c>
      <c r="AL65" s="324">
        <v>0.1</v>
      </c>
      <c r="AM65" s="325">
        <v>0</v>
      </c>
      <c r="AN65" s="326">
        <v>0</v>
      </c>
      <c r="AO65" s="329">
        <v>0</v>
      </c>
      <c r="AP65" s="322">
        <v>0.20399999999999999</v>
      </c>
      <c r="AQ65" s="327">
        <v>0.11799999999999999</v>
      </c>
      <c r="AR65" s="327" t="s">
        <v>2</v>
      </c>
      <c r="AS65" s="327">
        <v>5.6000000000000001E-2</v>
      </c>
      <c r="AT65" s="327" t="s">
        <v>2</v>
      </c>
      <c r="AU65" s="327" t="s">
        <v>2</v>
      </c>
      <c r="AV65" s="330" t="s">
        <v>2</v>
      </c>
      <c r="AW65" s="328">
        <v>0.16700000000000001</v>
      </c>
      <c r="AX65" s="327" t="s">
        <v>2</v>
      </c>
      <c r="AY65" s="327">
        <v>1.0999999999999999E-2</v>
      </c>
      <c r="AZ65" s="330">
        <v>0.11899999999999999</v>
      </c>
      <c r="BA65" s="331">
        <v>0.246</v>
      </c>
      <c r="BB65" s="332">
        <v>0.19600000000000001</v>
      </c>
      <c r="BC65" s="332">
        <v>6.0000000000000001E-3</v>
      </c>
      <c r="BD65" s="332">
        <v>2.3E-2</v>
      </c>
      <c r="BE65" s="332">
        <v>4.7E-2</v>
      </c>
      <c r="BF65" s="333">
        <v>4.9000000000000002E-2</v>
      </c>
      <c r="BG65" s="319" t="s">
        <v>2</v>
      </c>
      <c r="BH65" s="319">
        <v>73</v>
      </c>
      <c r="BI65" s="325" t="s">
        <v>2</v>
      </c>
      <c r="BJ65" s="326" t="s">
        <v>2</v>
      </c>
      <c r="BK65" s="326" t="s">
        <v>2</v>
      </c>
      <c r="BL65" s="326" t="s">
        <v>2</v>
      </c>
      <c r="BM65" s="326" t="s">
        <v>2</v>
      </c>
      <c r="BN65" s="326" t="s">
        <v>2</v>
      </c>
      <c r="BO65" s="326" t="s">
        <v>2</v>
      </c>
      <c r="BP65" s="326" t="s">
        <v>2</v>
      </c>
      <c r="BQ65" s="326" t="s">
        <v>2</v>
      </c>
      <c r="BR65" s="326" t="s">
        <v>2</v>
      </c>
      <c r="BS65" s="326" t="s">
        <v>2</v>
      </c>
      <c r="BT65" s="326" t="s">
        <v>2</v>
      </c>
      <c r="BU65" s="326" t="s">
        <v>2</v>
      </c>
      <c r="BV65" s="326" t="s">
        <v>2</v>
      </c>
      <c r="BW65" s="326" t="s">
        <v>2</v>
      </c>
      <c r="BX65" s="326" t="s">
        <v>2</v>
      </c>
      <c r="BY65" s="326" t="s">
        <v>2</v>
      </c>
      <c r="BZ65" s="329" t="s">
        <v>2</v>
      </c>
      <c r="CA65" s="328">
        <v>0.8</v>
      </c>
      <c r="CB65" s="323" t="s">
        <v>2</v>
      </c>
      <c r="CC65" s="323" t="s">
        <v>2</v>
      </c>
      <c r="CD65" s="323" t="s">
        <v>2</v>
      </c>
      <c r="CE65" s="323" t="s">
        <v>2</v>
      </c>
      <c r="CF65" s="323" t="s">
        <v>2</v>
      </c>
      <c r="CG65" s="324" t="s">
        <v>2</v>
      </c>
      <c r="CH65" s="326">
        <v>0</v>
      </c>
      <c r="CI65" s="329">
        <v>0</v>
      </c>
      <c r="CJ65" s="328" t="s">
        <v>2</v>
      </c>
      <c r="CK65" s="323" t="s">
        <v>2</v>
      </c>
      <c r="CL65" s="323" t="s">
        <v>2</v>
      </c>
      <c r="CM65" s="324" t="s">
        <v>2</v>
      </c>
      <c r="CN65" s="319" t="s">
        <v>2</v>
      </c>
      <c r="CO65" s="319" t="s">
        <v>2</v>
      </c>
    </row>
    <row r="66" spans="1:93" x14ac:dyDescent="0.25">
      <c r="A66" s="316">
        <v>16035</v>
      </c>
      <c r="B66" s="317" t="s">
        <v>1920</v>
      </c>
      <c r="C66" s="318" t="s">
        <v>1921</v>
      </c>
      <c r="D66" s="293">
        <v>16</v>
      </c>
      <c r="E66" s="349">
        <v>0</v>
      </c>
      <c r="F66" s="320">
        <v>127</v>
      </c>
      <c r="G66" s="300">
        <v>530.86</v>
      </c>
      <c r="H66" s="321">
        <v>72</v>
      </c>
      <c r="I66" s="322">
        <v>7.1</v>
      </c>
      <c r="J66" s="323">
        <v>3.71</v>
      </c>
      <c r="K66" s="323">
        <v>15.3</v>
      </c>
      <c r="L66" s="323">
        <v>0.7</v>
      </c>
      <c r="M66" s="324" t="s">
        <v>2</v>
      </c>
      <c r="N66" s="325">
        <v>9</v>
      </c>
      <c r="O66" s="326">
        <v>66</v>
      </c>
      <c r="P66" s="323">
        <v>0.28000000000000003</v>
      </c>
      <c r="Q66" s="323">
        <v>0.79</v>
      </c>
      <c r="R66" s="315">
        <v>424</v>
      </c>
      <c r="S66" s="326">
        <v>82</v>
      </c>
      <c r="T66" s="326">
        <v>9</v>
      </c>
      <c r="U66" s="327" t="s">
        <v>2</v>
      </c>
      <c r="V66" s="327">
        <v>4.3999999999999997E-2</v>
      </c>
      <c r="W66" s="324">
        <v>5.8</v>
      </c>
      <c r="X66" s="328">
        <v>0.9</v>
      </c>
      <c r="Y66" s="327">
        <v>5.1999999999999998E-2</v>
      </c>
      <c r="Z66" s="327">
        <v>2.5000000000000001E-2</v>
      </c>
      <c r="AA66" s="327">
        <v>1.1279999999999999</v>
      </c>
      <c r="AB66" s="327" t="s">
        <v>2</v>
      </c>
      <c r="AC66" s="327">
        <v>3.5999999999999997E-2</v>
      </c>
      <c r="AD66" s="326">
        <v>6</v>
      </c>
      <c r="AE66" s="326">
        <v>0</v>
      </c>
      <c r="AF66" s="323" t="s">
        <v>2</v>
      </c>
      <c r="AG66" s="324">
        <v>0.78</v>
      </c>
      <c r="AH66" s="320" t="s">
        <v>2</v>
      </c>
      <c r="AI66" s="320">
        <v>275</v>
      </c>
      <c r="AJ66" s="323">
        <v>7.2</v>
      </c>
      <c r="AK66" s="323">
        <v>1.27</v>
      </c>
      <c r="AL66" s="324">
        <v>0</v>
      </c>
      <c r="AM66" s="325">
        <v>38</v>
      </c>
      <c r="AN66" s="326">
        <v>0</v>
      </c>
      <c r="AO66" s="329">
        <v>0</v>
      </c>
      <c r="AP66" s="322">
        <v>0.751</v>
      </c>
      <c r="AQ66" s="327">
        <v>0.51</v>
      </c>
      <c r="AR66" s="327" t="s">
        <v>2</v>
      </c>
      <c r="AS66" s="327">
        <v>6.0999999999999999E-2</v>
      </c>
      <c r="AT66" s="327" t="s">
        <v>2</v>
      </c>
      <c r="AU66" s="327" t="s">
        <v>2</v>
      </c>
      <c r="AV66" s="330" t="s">
        <v>2</v>
      </c>
      <c r="AW66" s="328">
        <v>2.2549999999999999</v>
      </c>
      <c r="AX66" s="327" t="s">
        <v>2</v>
      </c>
      <c r="AY66" s="327">
        <v>0.38600000000000001</v>
      </c>
      <c r="AZ66" s="330">
        <v>0.89900000000000002</v>
      </c>
      <c r="BA66" s="331">
        <v>0.39389999999999997</v>
      </c>
      <c r="BB66" s="332">
        <v>0.105</v>
      </c>
      <c r="BC66" s="332">
        <v>0.13500000000000001</v>
      </c>
      <c r="BD66" s="332">
        <v>2.9000000000000001E-2</v>
      </c>
      <c r="BE66" s="332">
        <v>2.7E-2</v>
      </c>
      <c r="BF66" s="333">
        <v>8.9999999999999993E-3</v>
      </c>
      <c r="BG66" s="319" t="s">
        <v>2</v>
      </c>
      <c r="BH66" s="319">
        <v>39</v>
      </c>
      <c r="BI66" s="325" t="s">
        <v>2</v>
      </c>
      <c r="BJ66" s="326" t="s">
        <v>2</v>
      </c>
      <c r="BK66" s="326" t="s">
        <v>2</v>
      </c>
      <c r="BL66" s="326" t="s">
        <v>2</v>
      </c>
      <c r="BM66" s="326" t="s">
        <v>2</v>
      </c>
      <c r="BN66" s="326" t="s">
        <v>2</v>
      </c>
      <c r="BO66" s="326" t="s">
        <v>2</v>
      </c>
      <c r="BP66" s="326" t="s">
        <v>2</v>
      </c>
      <c r="BQ66" s="326" t="s">
        <v>2</v>
      </c>
      <c r="BR66" s="326" t="s">
        <v>2</v>
      </c>
      <c r="BS66" s="326" t="s">
        <v>2</v>
      </c>
      <c r="BT66" s="326" t="s">
        <v>2</v>
      </c>
      <c r="BU66" s="326" t="s">
        <v>2</v>
      </c>
      <c r="BV66" s="326" t="s">
        <v>2</v>
      </c>
      <c r="BW66" s="326" t="s">
        <v>2</v>
      </c>
      <c r="BX66" s="326" t="s">
        <v>2</v>
      </c>
      <c r="BY66" s="326" t="s">
        <v>2</v>
      </c>
      <c r="BZ66" s="329" t="s">
        <v>2</v>
      </c>
      <c r="CA66" s="328">
        <v>0.92</v>
      </c>
      <c r="CB66" s="323" t="s">
        <v>2</v>
      </c>
      <c r="CC66" s="323" t="s">
        <v>2</v>
      </c>
      <c r="CD66" s="323" t="s">
        <v>2</v>
      </c>
      <c r="CE66" s="323" t="s">
        <v>2</v>
      </c>
      <c r="CF66" s="323" t="s">
        <v>2</v>
      </c>
      <c r="CG66" s="324" t="s">
        <v>2</v>
      </c>
      <c r="CH66" s="326">
        <v>0</v>
      </c>
      <c r="CI66" s="329">
        <v>0</v>
      </c>
      <c r="CJ66" s="328" t="s">
        <v>2</v>
      </c>
      <c r="CK66" s="323" t="s">
        <v>2</v>
      </c>
      <c r="CL66" s="323" t="s">
        <v>2</v>
      </c>
      <c r="CM66" s="324" t="s">
        <v>2</v>
      </c>
      <c r="CN66" s="319" t="s">
        <v>2</v>
      </c>
      <c r="CO66" s="319" t="s">
        <v>2</v>
      </c>
    </row>
    <row r="67" spans="1:93" x14ac:dyDescent="0.25">
      <c r="A67" s="316">
        <v>16036</v>
      </c>
      <c r="B67" s="317" t="s">
        <v>1922</v>
      </c>
      <c r="C67" s="318" t="s">
        <v>1923</v>
      </c>
      <c r="D67" s="293">
        <v>16</v>
      </c>
      <c r="E67" s="349">
        <v>0</v>
      </c>
      <c r="F67" s="320">
        <v>116</v>
      </c>
      <c r="G67" s="300">
        <v>484.88</v>
      </c>
      <c r="H67" s="321">
        <v>75.97</v>
      </c>
      <c r="I67" s="322">
        <v>7</v>
      </c>
      <c r="J67" s="323">
        <v>4.63</v>
      </c>
      <c r="K67" s="323">
        <v>10.74</v>
      </c>
      <c r="L67" s="323">
        <v>0.4</v>
      </c>
      <c r="M67" s="324" t="s">
        <v>2</v>
      </c>
      <c r="N67" s="325">
        <v>43</v>
      </c>
      <c r="O67" s="326">
        <v>105</v>
      </c>
      <c r="P67" s="323">
        <v>0.87</v>
      </c>
      <c r="Q67" s="323">
        <v>0.82</v>
      </c>
      <c r="R67" s="315">
        <v>412</v>
      </c>
      <c r="S67" s="326">
        <v>88</v>
      </c>
      <c r="T67" s="326">
        <v>9</v>
      </c>
      <c r="U67" s="327" t="s">
        <v>2</v>
      </c>
      <c r="V67" s="327">
        <v>5.8000000000000003E-2</v>
      </c>
      <c r="W67" s="324">
        <v>16.600000000000001</v>
      </c>
      <c r="X67" s="328">
        <v>0.3</v>
      </c>
      <c r="Y67" s="327">
        <v>0.03</v>
      </c>
      <c r="Z67" s="327">
        <v>0.22800000000000001</v>
      </c>
      <c r="AA67" s="327">
        <v>0.182</v>
      </c>
      <c r="AB67" s="327" t="s">
        <v>2</v>
      </c>
      <c r="AC67" s="327">
        <v>0.09</v>
      </c>
      <c r="AD67" s="326">
        <v>18</v>
      </c>
      <c r="AE67" s="326">
        <v>0</v>
      </c>
      <c r="AF67" s="323" t="s">
        <v>2</v>
      </c>
      <c r="AG67" s="324">
        <v>0.39</v>
      </c>
      <c r="AH67" s="320" t="s">
        <v>2</v>
      </c>
      <c r="AI67" s="320">
        <v>81</v>
      </c>
      <c r="AJ67" s="323">
        <v>1.1000000000000001</v>
      </c>
      <c r="AK67" s="323">
        <v>0.5</v>
      </c>
      <c r="AL67" s="324">
        <v>0.2</v>
      </c>
      <c r="AM67" s="325">
        <v>25</v>
      </c>
      <c r="AN67" s="326">
        <v>0</v>
      </c>
      <c r="AO67" s="329">
        <v>4</v>
      </c>
      <c r="AP67" s="322">
        <v>1.5880000000000001</v>
      </c>
      <c r="AQ67" s="327">
        <v>1.0900000000000001</v>
      </c>
      <c r="AR67" s="327" t="s">
        <v>2</v>
      </c>
      <c r="AS67" s="327">
        <v>0.38800000000000001</v>
      </c>
      <c r="AT67" s="327" t="s">
        <v>2</v>
      </c>
      <c r="AU67" s="327" t="s">
        <v>2</v>
      </c>
      <c r="AV67" s="330" t="s">
        <v>2</v>
      </c>
      <c r="AW67" s="328">
        <v>1.7450000000000001</v>
      </c>
      <c r="AX67" s="327" t="s">
        <v>2</v>
      </c>
      <c r="AY67" s="327">
        <v>9.1999999999999998E-2</v>
      </c>
      <c r="AZ67" s="330">
        <v>1.631</v>
      </c>
      <c r="BA67" s="331">
        <v>0.90100000000000002</v>
      </c>
      <c r="BB67" s="332">
        <v>0.73599999999999999</v>
      </c>
      <c r="BC67" s="332">
        <v>2.7E-2</v>
      </c>
      <c r="BD67" s="332">
        <v>8.4000000000000005E-2</v>
      </c>
      <c r="BE67" s="332">
        <v>1E-3</v>
      </c>
      <c r="BF67" s="333">
        <v>2.5999999999999999E-2</v>
      </c>
      <c r="BG67" s="319" t="s">
        <v>2</v>
      </c>
      <c r="BH67" s="319">
        <v>168</v>
      </c>
      <c r="BI67" s="325" t="s">
        <v>2</v>
      </c>
      <c r="BJ67" s="326" t="s">
        <v>2</v>
      </c>
      <c r="BK67" s="326" t="s">
        <v>2</v>
      </c>
      <c r="BL67" s="326" t="s">
        <v>2</v>
      </c>
      <c r="BM67" s="326" t="s">
        <v>2</v>
      </c>
      <c r="BN67" s="326" t="s">
        <v>2</v>
      </c>
      <c r="BO67" s="326" t="s">
        <v>2</v>
      </c>
      <c r="BP67" s="326" t="s">
        <v>2</v>
      </c>
      <c r="BQ67" s="326" t="s">
        <v>2</v>
      </c>
      <c r="BR67" s="326" t="s">
        <v>2</v>
      </c>
      <c r="BS67" s="326" t="s">
        <v>2</v>
      </c>
      <c r="BT67" s="326" t="s">
        <v>2</v>
      </c>
      <c r="BU67" s="326" t="s">
        <v>2</v>
      </c>
      <c r="BV67" s="326" t="s">
        <v>2</v>
      </c>
      <c r="BW67" s="326" t="s">
        <v>2</v>
      </c>
      <c r="BX67" s="326" t="s">
        <v>2</v>
      </c>
      <c r="BY67" s="326" t="s">
        <v>2</v>
      </c>
      <c r="BZ67" s="329" t="s">
        <v>2</v>
      </c>
      <c r="CA67" s="328">
        <v>1.45</v>
      </c>
      <c r="CB67" s="323" t="s">
        <v>2</v>
      </c>
      <c r="CC67" s="323" t="s">
        <v>2</v>
      </c>
      <c r="CD67" s="323" t="s">
        <v>2</v>
      </c>
      <c r="CE67" s="323" t="s">
        <v>2</v>
      </c>
      <c r="CF67" s="323" t="s">
        <v>2</v>
      </c>
      <c r="CG67" s="324" t="s">
        <v>2</v>
      </c>
      <c r="CH67" s="326">
        <v>0</v>
      </c>
      <c r="CI67" s="329">
        <v>226</v>
      </c>
      <c r="CJ67" s="328" t="s">
        <v>2</v>
      </c>
      <c r="CK67" s="323" t="s">
        <v>2</v>
      </c>
      <c r="CL67" s="323" t="s">
        <v>2</v>
      </c>
      <c r="CM67" s="324" t="s">
        <v>2</v>
      </c>
      <c r="CN67" s="319" t="s">
        <v>2</v>
      </c>
      <c r="CO67" s="319" t="s">
        <v>2</v>
      </c>
    </row>
    <row r="68" spans="1:93" x14ac:dyDescent="0.25">
      <c r="A68" s="316">
        <v>16037</v>
      </c>
      <c r="B68" s="317" t="s">
        <v>1924</v>
      </c>
      <c r="C68" s="318"/>
      <c r="D68" s="293">
        <v>16</v>
      </c>
      <c r="E68" s="349">
        <v>0</v>
      </c>
      <c r="F68" s="320">
        <v>395</v>
      </c>
      <c r="G68" s="300">
        <v>1651.1</v>
      </c>
      <c r="H68" s="321" t="s">
        <v>2</v>
      </c>
      <c r="I68" s="322">
        <v>7.63</v>
      </c>
      <c r="J68" s="323">
        <v>17.8</v>
      </c>
      <c r="K68" s="323">
        <v>51.1</v>
      </c>
      <c r="L68" s="323" t="s">
        <v>2</v>
      </c>
      <c r="M68" s="324" t="s">
        <v>2</v>
      </c>
      <c r="N68" s="325">
        <v>118</v>
      </c>
      <c r="O68" s="326" t="s">
        <v>2</v>
      </c>
      <c r="P68" s="323">
        <v>1.28</v>
      </c>
      <c r="Q68" s="323" t="s">
        <v>2</v>
      </c>
      <c r="R68" s="315">
        <v>197</v>
      </c>
      <c r="S68" s="326" t="s">
        <v>2</v>
      </c>
      <c r="T68" s="326" t="s">
        <v>2</v>
      </c>
      <c r="U68" s="327" t="s">
        <v>2</v>
      </c>
      <c r="V68" s="327" t="s">
        <v>2</v>
      </c>
      <c r="W68" s="324" t="s">
        <v>2</v>
      </c>
      <c r="X68" s="328" t="s">
        <v>2</v>
      </c>
      <c r="Y68" s="327" t="s">
        <v>2</v>
      </c>
      <c r="Z68" s="327" t="s">
        <v>2</v>
      </c>
      <c r="AA68" s="327" t="s">
        <v>2</v>
      </c>
      <c r="AB68" s="327" t="s">
        <v>2</v>
      </c>
      <c r="AC68" s="327" t="s">
        <v>2</v>
      </c>
      <c r="AD68" s="326" t="s">
        <v>2</v>
      </c>
      <c r="AE68" s="326" t="s">
        <v>2</v>
      </c>
      <c r="AF68" s="323" t="s">
        <v>2</v>
      </c>
      <c r="AG68" s="324" t="s">
        <v>2</v>
      </c>
      <c r="AH68" s="320" t="s">
        <v>2</v>
      </c>
      <c r="AI68" s="320" t="s">
        <v>2</v>
      </c>
      <c r="AJ68" s="323" t="s">
        <v>2</v>
      </c>
      <c r="AK68" s="323" t="s">
        <v>2</v>
      </c>
      <c r="AL68" s="324" t="s">
        <v>2</v>
      </c>
      <c r="AM68" s="325" t="s">
        <v>2</v>
      </c>
      <c r="AN68" s="326" t="s">
        <v>2</v>
      </c>
      <c r="AO68" s="329" t="s">
        <v>2</v>
      </c>
      <c r="AP68" s="322" t="s">
        <v>2</v>
      </c>
      <c r="AQ68" s="327" t="s">
        <v>2</v>
      </c>
      <c r="AR68" s="327" t="s">
        <v>2</v>
      </c>
      <c r="AS68" s="327" t="s">
        <v>2</v>
      </c>
      <c r="AT68" s="327" t="s">
        <v>2</v>
      </c>
      <c r="AU68" s="327" t="s">
        <v>2</v>
      </c>
      <c r="AV68" s="330" t="s">
        <v>2</v>
      </c>
      <c r="AW68" s="328" t="s">
        <v>2</v>
      </c>
      <c r="AX68" s="327" t="s">
        <v>2</v>
      </c>
      <c r="AY68" s="327" t="s">
        <v>2</v>
      </c>
      <c r="AZ68" s="330" t="s">
        <v>2</v>
      </c>
      <c r="BA68" s="331" t="s">
        <v>2</v>
      </c>
      <c r="BB68" s="332" t="s">
        <v>2</v>
      </c>
      <c r="BC68" s="332" t="s">
        <v>2</v>
      </c>
      <c r="BD68" s="332" t="s">
        <v>2</v>
      </c>
      <c r="BE68" s="332" t="s">
        <v>2</v>
      </c>
      <c r="BF68" s="333" t="s">
        <v>2</v>
      </c>
      <c r="BG68" s="319" t="s">
        <v>2</v>
      </c>
      <c r="BH68" s="319" t="s">
        <v>2</v>
      </c>
      <c r="BI68" s="325" t="s">
        <v>2</v>
      </c>
      <c r="BJ68" s="326" t="s">
        <v>2</v>
      </c>
      <c r="BK68" s="326" t="s">
        <v>2</v>
      </c>
      <c r="BL68" s="326" t="s">
        <v>2</v>
      </c>
      <c r="BM68" s="326" t="s">
        <v>2</v>
      </c>
      <c r="BN68" s="326" t="s">
        <v>2</v>
      </c>
      <c r="BO68" s="326" t="s">
        <v>2</v>
      </c>
      <c r="BP68" s="326" t="s">
        <v>2</v>
      </c>
      <c r="BQ68" s="326" t="s">
        <v>2</v>
      </c>
      <c r="BR68" s="326" t="s">
        <v>2</v>
      </c>
      <c r="BS68" s="326" t="s">
        <v>2</v>
      </c>
      <c r="BT68" s="326" t="s">
        <v>2</v>
      </c>
      <c r="BU68" s="326" t="s">
        <v>2</v>
      </c>
      <c r="BV68" s="326" t="s">
        <v>2</v>
      </c>
      <c r="BW68" s="326" t="s">
        <v>2</v>
      </c>
      <c r="BX68" s="326" t="s">
        <v>2</v>
      </c>
      <c r="BY68" s="326" t="s">
        <v>2</v>
      </c>
      <c r="BZ68" s="329" t="s">
        <v>2</v>
      </c>
      <c r="CA68" s="328" t="s">
        <v>2</v>
      </c>
      <c r="CB68" s="323" t="s">
        <v>2</v>
      </c>
      <c r="CC68" s="323" t="s">
        <v>2</v>
      </c>
      <c r="CD68" s="323" t="s">
        <v>2</v>
      </c>
      <c r="CE68" s="323" t="s">
        <v>2</v>
      </c>
      <c r="CF68" s="323" t="s">
        <v>2</v>
      </c>
      <c r="CG68" s="324" t="s">
        <v>2</v>
      </c>
      <c r="CH68" s="326" t="s">
        <v>2</v>
      </c>
      <c r="CI68" s="329" t="s">
        <v>2</v>
      </c>
      <c r="CJ68" s="328" t="s">
        <v>2</v>
      </c>
      <c r="CK68" s="323" t="s">
        <v>2</v>
      </c>
      <c r="CL68" s="323" t="s">
        <v>2</v>
      </c>
      <c r="CM68" s="324" t="s">
        <v>2</v>
      </c>
      <c r="CN68" s="319" t="s">
        <v>2</v>
      </c>
      <c r="CO68" s="319" t="s">
        <v>2</v>
      </c>
    </row>
    <row r="69" spans="1:93" x14ac:dyDescent="0.25">
      <c r="A69" s="316">
        <v>16038</v>
      </c>
      <c r="B69" s="317" t="s">
        <v>1925</v>
      </c>
      <c r="C69" s="318"/>
      <c r="D69" s="293">
        <v>16</v>
      </c>
      <c r="E69" s="349">
        <v>0</v>
      </c>
      <c r="F69" s="320">
        <v>418</v>
      </c>
      <c r="G69" s="300">
        <v>1747.2399999999998</v>
      </c>
      <c r="H69" s="321" t="s">
        <v>2</v>
      </c>
      <c r="I69" s="322">
        <v>7.48</v>
      </c>
      <c r="J69" s="323">
        <v>21.6</v>
      </c>
      <c r="K69" s="323">
        <v>49.4</v>
      </c>
      <c r="L69" s="323" t="s">
        <v>2</v>
      </c>
      <c r="M69" s="324" t="s">
        <v>2</v>
      </c>
      <c r="N69" s="325">
        <v>110</v>
      </c>
      <c r="O69" s="326" t="s">
        <v>2</v>
      </c>
      <c r="P69" s="323">
        <v>0.53</v>
      </c>
      <c r="Q69" s="323" t="s">
        <v>2</v>
      </c>
      <c r="R69" s="315">
        <v>187</v>
      </c>
      <c r="S69" s="326" t="s">
        <v>2</v>
      </c>
      <c r="T69" s="326" t="s">
        <v>2</v>
      </c>
      <c r="U69" s="327" t="s">
        <v>2</v>
      </c>
      <c r="V69" s="327" t="s">
        <v>2</v>
      </c>
      <c r="W69" s="324" t="s">
        <v>2</v>
      </c>
      <c r="X69" s="328" t="s">
        <v>2</v>
      </c>
      <c r="Y69" s="327" t="s">
        <v>2</v>
      </c>
      <c r="Z69" s="327" t="s">
        <v>2</v>
      </c>
      <c r="AA69" s="327" t="s">
        <v>2</v>
      </c>
      <c r="AB69" s="327" t="s">
        <v>2</v>
      </c>
      <c r="AC69" s="327" t="s">
        <v>2</v>
      </c>
      <c r="AD69" s="326" t="s">
        <v>2</v>
      </c>
      <c r="AE69" s="326" t="s">
        <v>2</v>
      </c>
      <c r="AF69" s="323" t="s">
        <v>2</v>
      </c>
      <c r="AG69" s="324" t="s">
        <v>2</v>
      </c>
      <c r="AH69" s="320" t="s">
        <v>2</v>
      </c>
      <c r="AI69" s="320" t="s">
        <v>2</v>
      </c>
      <c r="AJ69" s="323" t="s">
        <v>2</v>
      </c>
      <c r="AK69" s="323" t="s">
        <v>2</v>
      </c>
      <c r="AL69" s="324" t="s">
        <v>2</v>
      </c>
      <c r="AM69" s="325" t="s">
        <v>2</v>
      </c>
      <c r="AN69" s="326" t="s">
        <v>2</v>
      </c>
      <c r="AO69" s="329" t="s">
        <v>2</v>
      </c>
      <c r="AP69" s="322" t="s">
        <v>2</v>
      </c>
      <c r="AQ69" s="327" t="s">
        <v>2</v>
      </c>
      <c r="AR69" s="327" t="s">
        <v>2</v>
      </c>
      <c r="AS69" s="327" t="s">
        <v>2</v>
      </c>
      <c r="AT69" s="327" t="s">
        <v>2</v>
      </c>
      <c r="AU69" s="327" t="s">
        <v>2</v>
      </c>
      <c r="AV69" s="330" t="s">
        <v>2</v>
      </c>
      <c r="AW69" s="328" t="s">
        <v>2</v>
      </c>
      <c r="AX69" s="327" t="s">
        <v>2</v>
      </c>
      <c r="AY69" s="327" t="s">
        <v>2</v>
      </c>
      <c r="AZ69" s="330" t="s">
        <v>2</v>
      </c>
      <c r="BA69" s="331" t="s">
        <v>2</v>
      </c>
      <c r="BB69" s="332" t="s">
        <v>2</v>
      </c>
      <c r="BC69" s="332" t="s">
        <v>2</v>
      </c>
      <c r="BD69" s="332" t="s">
        <v>2</v>
      </c>
      <c r="BE69" s="332" t="s">
        <v>2</v>
      </c>
      <c r="BF69" s="333" t="s">
        <v>2</v>
      </c>
      <c r="BG69" s="319" t="s">
        <v>2</v>
      </c>
      <c r="BH69" s="319" t="s">
        <v>2</v>
      </c>
      <c r="BI69" s="325" t="s">
        <v>2</v>
      </c>
      <c r="BJ69" s="326" t="s">
        <v>2</v>
      </c>
      <c r="BK69" s="326" t="s">
        <v>2</v>
      </c>
      <c r="BL69" s="326" t="s">
        <v>2</v>
      </c>
      <c r="BM69" s="326" t="s">
        <v>2</v>
      </c>
      <c r="BN69" s="326" t="s">
        <v>2</v>
      </c>
      <c r="BO69" s="326" t="s">
        <v>2</v>
      </c>
      <c r="BP69" s="326" t="s">
        <v>2</v>
      </c>
      <c r="BQ69" s="326" t="s">
        <v>2</v>
      </c>
      <c r="BR69" s="326" t="s">
        <v>2</v>
      </c>
      <c r="BS69" s="326" t="s">
        <v>2</v>
      </c>
      <c r="BT69" s="326" t="s">
        <v>2</v>
      </c>
      <c r="BU69" s="326" t="s">
        <v>2</v>
      </c>
      <c r="BV69" s="326" t="s">
        <v>2</v>
      </c>
      <c r="BW69" s="326" t="s">
        <v>2</v>
      </c>
      <c r="BX69" s="326" t="s">
        <v>2</v>
      </c>
      <c r="BY69" s="326" t="s">
        <v>2</v>
      </c>
      <c r="BZ69" s="329" t="s">
        <v>2</v>
      </c>
      <c r="CA69" s="328" t="s">
        <v>2</v>
      </c>
      <c r="CB69" s="323" t="s">
        <v>2</v>
      </c>
      <c r="CC69" s="323" t="s">
        <v>2</v>
      </c>
      <c r="CD69" s="323" t="s">
        <v>2</v>
      </c>
      <c r="CE69" s="323" t="s">
        <v>2</v>
      </c>
      <c r="CF69" s="323" t="s">
        <v>2</v>
      </c>
      <c r="CG69" s="324" t="s">
        <v>2</v>
      </c>
      <c r="CH69" s="326" t="s">
        <v>2</v>
      </c>
      <c r="CI69" s="329" t="s">
        <v>2</v>
      </c>
      <c r="CJ69" s="328" t="s">
        <v>2</v>
      </c>
      <c r="CK69" s="323" t="s">
        <v>2</v>
      </c>
      <c r="CL69" s="323" t="s">
        <v>2</v>
      </c>
      <c r="CM69" s="324" t="s">
        <v>2</v>
      </c>
      <c r="CN69" s="319" t="s">
        <v>2</v>
      </c>
      <c r="CO69" s="319" t="s">
        <v>2</v>
      </c>
    </row>
    <row r="70" spans="1:93" x14ac:dyDescent="0.25">
      <c r="A70" s="316">
        <v>16039</v>
      </c>
      <c r="B70" s="317" t="s">
        <v>1926</v>
      </c>
      <c r="C70" s="318"/>
      <c r="D70" s="293">
        <v>16</v>
      </c>
      <c r="E70" s="349">
        <v>0</v>
      </c>
      <c r="F70" s="320">
        <v>393</v>
      </c>
      <c r="G70" s="300">
        <v>1642.7399999999998</v>
      </c>
      <c r="H70" s="321"/>
      <c r="I70" s="322">
        <v>11.11</v>
      </c>
      <c r="J70" s="323">
        <v>10.99</v>
      </c>
      <c r="K70" s="323">
        <v>62.33</v>
      </c>
      <c r="L70" s="323" t="s">
        <v>2</v>
      </c>
      <c r="M70" s="324" t="s">
        <v>2</v>
      </c>
      <c r="N70" s="325">
        <v>67.77</v>
      </c>
      <c r="O70" s="326" t="s">
        <v>2</v>
      </c>
      <c r="P70" s="323">
        <v>0.85</v>
      </c>
      <c r="Q70" s="323" t="s">
        <v>2</v>
      </c>
      <c r="R70" s="315">
        <v>487.77</v>
      </c>
      <c r="S70" s="326" t="s">
        <v>2</v>
      </c>
      <c r="T70" s="326" t="s">
        <v>2</v>
      </c>
      <c r="U70" s="327" t="s">
        <v>2</v>
      </c>
      <c r="V70" s="327" t="s">
        <v>2</v>
      </c>
      <c r="W70" s="324" t="s">
        <v>2</v>
      </c>
      <c r="X70" s="328" t="s">
        <v>2</v>
      </c>
      <c r="Y70" s="327" t="s">
        <v>2</v>
      </c>
      <c r="Z70" s="327" t="s">
        <v>2</v>
      </c>
      <c r="AA70" s="327" t="s">
        <v>2</v>
      </c>
      <c r="AB70" s="327" t="s">
        <v>2</v>
      </c>
      <c r="AC70" s="327" t="s">
        <v>2</v>
      </c>
      <c r="AD70" s="326" t="s">
        <v>2</v>
      </c>
      <c r="AE70" s="326" t="s">
        <v>2</v>
      </c>
      <c r="AF70" s="323" t="s">
        <v>2</v>
      </c>
      <c r="AG70" s="324" t="s">
        <v>2</v>
      </c>
      <c r="AH70" s="320" t="s">
        <v>2</v>
      </c>
      <c r="AI70" s="320" t="s">
        <v>2</v>
      </c>
      <c r="AJ70" s="323" t="s">
        <v>2</v>
      </c>
      <c r="AK70" s="323" t="s">
        <v>2</v>
      </c>
      <c r="AL70" s="324" t="s">
        <v>2</v>
      </c>
      <c r="AM70" s="325" t="s">
        <v>2</v>
      </c>
      <c r="AN70" s="326" t="s">
        <v>2</v>
      </c>
      <c r="AO70" s="329" t="s">
        <v>2</v>
      </c>
      <c r="AP70" s="322" t="s">
        <v>2</v>
      </c>
      <c r="AQ70" s="327" t="s">
        <v>2</v>
      </c>
      <c r="AR70" s="327" t="s">
        <v>2</v>
      </c>
      <c r="AS70" s="327" t="s">
        <v>2</v>
      </c>
      <c r="AT70" s="327" t="s">
        <v>2</v>
      </c>
      <c r="AU70" s="327" t="s">
        <v>2</v>
      </c>
      <c r="AV70" s="330" t="s">
        <v>2</v>
      </c>
      <c r="AW70" s="328" t="s">
        <v>2</v>
      </c>
      <c r="AX70" s="327" t="s">
        <v>2</v>
      </c>
      <c r="AY70" s="327" t="s">
        <v>2</v>
      </c>
      <c r="AZ70" s="330" t="s">
        <v>2</v>
      </c>
      <c r="BA70" s="331" t="s">
        <v>2</v>
      </c>
      <c r="BB70" s="332" t="s">
        <v>2</v>
      </c>
      <c r="BC70" s="332" t="s">
        <v>2</v>
      </c>
      <c r="BD70" s="332" t="s">
        <v>2</v>
      </c>
      <c r="BE70" s="332" t="s">
        <v>2</v>
      </c>
      <c r="BF70" s="333" t="s">
        <v>2</v>
      </c>
      <c r="BG70" s="319" t="s">
        <v>2</v>
      </c>
      <c r="BH70" s="319" t="s">
        <v>2</v>
      </c>
      <c r="BI70" s="325" t="s">
        <v>2</v>
      </c>
      <c r="BJ70" s="326" t="s">
        <v>2</v>
      </c>
      <c r="BK70" s="326" t="s">
        <v>2</v>
      </c>
      <c r="BL70" s="326" t="s">
        <v>2</v>
      </c>
      <c r="BM70" s="326" t="s">
        <v>2</v>
      </c>
      <c r="BN70" s="326" t="s">
        <v>2</v>
      </c>
      <c r="BO70" s="326" t="s">
        <v>2</v>
      </c>
      <c r="BP70" s="326" t="s">
        <v>2</v>
      </c>
      <c r="BQ70" s="326" t="s">
        <v>2</v>
      </c>
      <c r="BR70" s="326" t="s">
        <v>2</v>
      </c>
      <c r="BS70" s="326" t="s">
        <v>2</v>
      </c>
      <c r="BT70" s="326" t="s">
        <v>2</v>
      </c>
      <c r="BU70" s="326" t="s">
        <v>2</v>
      </c>
      <c r="BV70" s="326" t="s">
        <v>2</v>
      </c>
      <c r="BW70" s="326" t="s">
        <v>2</v>
      </c>
      <c r="BX70" s="326" t="s">
        <v>2</v>
      </c>
      <c r="BY70" s="326" t="s">
        <v>2</v>
      </c>
      <c r="BZ70" s="329" t="s">
        <v>2</v>
      </c>
      <c r="CA70" s="328" t="s">
        <v>2</v>
      </c>
      <c r="CB70" s="323" t="s">
        <v>2</v>
      </c>
      <c r="CC70" s="323" t="s">
        <v>2</v>
      </c>
      <c r="CD70" s="323" t="s">
        <v>2</v>
      </c>
      <c r="CE70" s="323" t="s">
        <v>2</v>
      </c>
      <c r="CF70" s="323" t="s">
        <v>2</v>
      </c>
      <c r="CG70" s="324" t="s">
        <v>2</v>
      </c>
      <c r="CH70" s="326" t="s">
        <v>2</v>
      </c>
      <c r="CI70" s="329" t="s">
        <v>2</v>
      </c>
      <c r="CJ70" s="328" t="s">
        <v>2</v>
      </c>
      <c r="CK70" s="323" t="s">
        <v>2</v>
      </c>
      <c r="CL70" s="323" t="s">
        <v>2</v>
      </c>
      <c r="CM70" s="324" t="s">
        <v>2</v>
      </c>
      <c r="CN70" s="319" t="s">
        <v>2</v>
      </c>
      <c r="CO70" s="319" t="s">
        <v>2</v>
      </c>
    </row>
    <row r="71" spans="1:93" x14ac:dyDescent="0.25">
      <c r="A71" s="316">
        <v>16040</v>
      </c>
      <c r="B71" s="317" t="s">
        <v>1927</v>
      </c>
      <c r="C71" s="318"/>
      <c r="D71" s="293">
        <v>16</v>
      </c>
      <c r="E71" s="349">
        <v>0</v>
      </c>
      <c r="F71" s="320">
        <v>380</v>
      </c>
      <c r="G71" s="300">
        <v>1588.3999999999999</v>
      </c>
      <c r="H71" s="321" t="s">
        <v>2</v>
      </c>
      <c r="I71" s="322">
        <v>10</v>
      </c>
      <c r="J71" s="323">
        <v>16</v>
      </c>
      <c r="K71" s="323">
        <v>48</v>
      </c>
      <c r="L71" s="323">
        <v>2</v>
      </c>
      <c r="M71" s="324" t="s">
        <v>2</v>
      </c>
      <c r="N71" s="325">
        <v>80</v>
      </c>
      <c r="O71" s="326" t="s">
        <v>2</v>
      </c>
      <c r="P71" s="323">
        <v>3.2</v>
      </c>
      <c r="Q71" s="323" t="s">
        <v>2</v>
      </c>
      <c r="R71" s="315">
        <v>400</v>
      </c>
      <c r="S71" s="326" t="s">
        <v>2</v>
      </c>
      <c r="T71" s="326" t="s">
        <v>2</v>
      </c>
      <c r="U71" s="327" t="s">
        <v>2</v>
      </c>
      <c r="V71" s="327" t="s">
        <v>2</v>
      </c>
      <c r="W71" s="324" t="s">
        <v>2</v>
      </c>
      <c r="X71" s="328" t="s">
        <v>2</v>
      </c>
      <c r="Y71" s="327" t="s">
        <v>2</v>
      </c>
      <c r="Z71" s="327" t="s">
        <v>2</v>
      </c>
      <c r="AA71" s="327" t="s">
        <v>2</v>
      </c>
      <c r="AB71" s="327" t="s">
        <v>2</v>
      </c>
      <c r="AC71" s="327" t="s">
        <v>2</v>
      </c>
      <c r="AD71" s="326" t="s">
        <v>2</v>
      </c>
      <c r="AE71" s="326" t="s">
        <v>2</v>
      </c>
      <c r="AF71" s="323" t="s">
        <v>2</v>
      </c>
      <c r="AG71" s="324" t="s">
        <v>2</v>
      </c>
      <c r="AH71" s="320" t="s">
        <v>2</v>
      </c>
      <c r="AI71" s="320" t="s">
        <v>2</v>
      </c>
      <c r="AJ71" s="323" t="s">
        <v>2</v>
      </c>
      <c r="AK71" s="323" t="s">
        <v>2</v>
      </c>
      <c r="AL71" s="324" t="s">
        <v>2</v>
      </c>
      <c r="AM71" s="325" t="s">
        <v>2</v>
      </c>
      <c r="AN71" s="326" t="s">
        <v>2</v>
      </c>
      <c r="AO71" s="329" t="s">
        <v>2</v>
      </c>
      <c r="AP71" s="322" t="s">
        <v>2</v>
      </c>
      <c r="AQ71" s="327" t="s">
        <v>2</v>
      </c>
      <c r="AR71" s="327" t="s">
        <v>2</v>
      </c>
      <c r="AS71" s="327" t="s">
        <v>2</v>
      </c>
      <c r="AT71" s="327" t="s">
        <v>2</v>
      </c>
      <c r="AU71" s="327" t="s">
        <v>2</v>
      </c>
      <c r="AV71" s="330" t="s">
        <v>2</v>
      </c>
      <c r="AW71" s="328" t="s">
        <v>2</v>
      </c>
      <c r="AX71" s="327" t="s">
        <v>2</v>
      </c>
      <c r="AY71" s="327" t="s">
        <v>2</v>
      </c>
      <c r="AZ71" s="330" t="s">
        <v>2</v>
      </c>
      <c r="BA71" s="331" t="s">
        <v>2</v>
      </c>
      <c r="BB71" s="332" t="s">
        <v>2</v>
      </c>
      <c r="BC71" s="332" t="s">
        <v>2</v>
      </c>
      <c r="BD71" s="332" t="s">
        <v>2</v>
      </c>
      <c r="BE71" s="332" t="s">
        <v>2</v>
      </c>
      <c r="BF71" s="333" t="s">
        <v>2</v>
      </c>
      <c r="BG71" s="319" t="s">
        <v>2</v>
      </c>
      <c r="BH71" s="319">
        <v>10</v>
      </c>
      <c r="BI71" s="325" t="s">
        <v>2</v>
      </c>
      <c r="BJ71" s="326" t="s">
        <v>2</v>
      </c>
      <c r="BK71" s="326" t="s">
        <v>2</v>
      </c>
      <c r="BL71" s="326" t="s">
        <v>2</v>
      </c>
      <c r="BM71" s="326" t="s">
        <v>2</v>
      </c>
      <c r="BN71" s="326" t="s">
        <v>2</v>
      </c>
      <c r="BO71" s="326" t="s">
        <v>2</v>
      </c>
      <c r="BP71" s="326" t="s">
        <v>2</v>
      </c>
      <c r="BQ71" s="326" t="s">
        <v>2</v>
      </c>
      <c r="BR71" s="326" t="s">
        <v>2</v>
      </c>
      <c r="BS71" s="326" t="s">
        <v>2</v>
      </c>
      <c r="BT71" s="326" t="s">
        <v>2</v>
      </c>
      <c r="BU71" s="326" t="s">
        <v>2</v>
      </c>
      <c r="BV71" s="326" t="s">
        <v>2</v>
      </c>
      <c r="BW71" s="326" t="s">
        <v>2</v>
      </c>
      <c r="BX71" s="326" t="s">
        <v>2</v>
      </c>
      <c r="BY71" s="326" t="s">
        <v>2</v>
      </c>
      <c r="BZ71" s="329" t="s">
        <v>2</v>
      </c>
      <c r="CA71" s="328" t="s">
        <v>2</v>
      </c>
      <c r="CB71" s="323" t="s">
        <v>2</v>
      </c>
      <c r="CC71" s="323" t="s">
        <v>2</v>
      </c>
      <c r="CD71" s="323" t="s">
        <v>2</v>
      </c>
      <c r="CE71" s="323" t="s">
        <v>2</v>
      </c>
      <c r="CF71" s="323" t="s">
        <v>2</v>
      </c>
      <c r="CG71" s="324" t="s">
        <v>2</v>
      </c>
      <c r="CH71" s="326" t="s">
        <v>2</v>
      </c>
      <c r="CI71" s="329" t="s">
        <v>2</v>
      </c>
      <c r="CJ71" s="328" t="s">
        <v>2</v>
      </c>
      <c r="CK71" s="323" t="s">
        <v>2</v>
      </c>
      <c r="CL71" s="323" t="s">
        <v>2</v>
      </c>
      <c r="CM71" s="324" t="s">
        <v>2</v>
      </c>
      <c r="CN71" s="319" t="s">
        <v>2</v>
      </c>
      <c r="CO71" s="319" t="s">
        <v>2</v>
      </c>
    </row>
    <row r="72" spans="1:93" x14ac:dyDescent="0.25">
      <c r="A72" s="316">
        <v>16041</v>
      </c>
      <c r="B72" s="317" t="s">
        <v>1928</v>
      </c>
      <c r="C72" s="318"/>
      <c r="D72" s="293">
        <v>16</v>
      </c>
      <c r="E72" s="349">
        <v>0</v>
      </c>
      <c r="F72" s="320">
        <v>311</v>
      </c>
      <c r="G72" s="300">
        <v>1299.98</v>
      </c>
      <c r="H72" s="321" t="s">
        <v>2</v>
      </c>
      <c r="I72" s="322">
        <v>7.77</v>
      </c>
      <c r="J72" s="323">
        <v>6.6</v>
      </c>
      <c r="K72" s="323">
        <v>54.44</v>
      </c>
      <c r="L72" s="323">
        <v>2.2200000000000002</v>
      </c>
      <c r="M72" s="324" t="s">
        <v>2</v>
      </c>
      <c r="N72" s="325">
        <v>77.77</v>
      </c>
      <c r="O72" s="326" t="s">
        <v>2</v>
      </c>
      <c r="P72" s="323">
        <v>2.77</v>
      </c>
      <c r="Q72" s="323" t="s">
        <v>2</v>
      </c>
      <c r="R72" s="315">
        <v>277.77</v>
      </c>
      <c r="S72" s="326" t="s">
        <v>2</v>
      </c>
      <c r="T72" s="326" t="s">
        <v>2</v>
      </c>
      <c r="U72" s="327" t="s">
        <v>2</v>
      </c>
      <c r="V72" s="327" t="s">
        <v>2</v>
      </c>
      <c r="W72" s="324" t="s">
        <v>2</v>
      </c>
      <c r="X72" s="328" t="s">
        <v>2</v>
      </c>
      <c r="Y72" s="327" t="s">
        <v>2</v>
      </c>
      <c r="Z72" s="327" t="s">
        <v>2</v>
      </c>
      <c r="AA72" s="327" t="s">
        <v>2</v>
      </c>
      <c r="AB72" s="327" t="s">
        <v>2</v>
      </c>
      <c r="AC72" s="327" t="s">
        <v>2</v>
      </c>
      <c r="AD72" s="326" t="s">
        <v>2</v>
      </c>
      <c r="AE72" s="326" t="s">
        <v>2</v>
      </c>
      <c r="AF72" s="323" t="s">
        <v>2</v>
      </c>
      <c r="AG72" s="324" t="s">
        <v>2</v>
      </c>
      <c r="AH72" s="320" t="s">
        <v>2</v>
      </c>
      <c r="AI72" s="320" t="s">
        <v>2</v>
      </c>
      <c r="AJ72" s="323" t="s">
        <v>2</v>
      </c>
      <c r="AK72" s="323" t="s">
        <v>2</v>
      </c>
      <c r="AL72" s="324" t="s">
        <v>2</v>
      </c>
      <c r="AM72" s="325" t="s">
        <v>2</v>
      </c>
      <c r="AN72" s="326" t="s">
        <v>2</v>
      </c>
      <c r="AO72" s="329" t="s">
        <v>2</v>
      </c>
      <c r="AP72" s="322" t="s">
        <v>2</v>
      </c>
      <c r="AQ72" s="327" t="s">
        <v>2</v>
      </c>
      <c r="AR72" s="327" t="s">
        <v>2</v>
      </c>
      <c r="AS72" s="327" t="s">
        <v>2</v>
      </c>
      <c r="AT72" s="327" t="s">
        <v>2</v>
      </c>
      <c r="AU72" s="327" t="s">
        <v>2</v>
      </c>
      <c r="AV72" s="330" t="s">
        <v>2</v>
      </c>
      <c r="AW72" s="328" t="s">
        <v>2</v>
      </c>
      <c r="AX72" s="327" t="s">
        <v>2</v>
      </c>
      <c r="AY72" s="327" t="s">
        <v>2</v>
      </c>
      <c r="AZ72" s="330" t="s">
        <v>2</v>
      </c>
      <c r="BA72" s="331" t="s">
        <v>2</v>
      </c>
      <c r="BB72" s="332" t="s">
        <v>2</v>
      </c>
      <c r="BC72" s="332" t="s">
        <v>2</v>
      </c>
      <c r="BD72" s="332" t="s">
        <v>2</v>
      </c>
      <c r="BE72" s="332" t="s">
        <v>2</v>
      </c>
      <c r="BF72" s="333" t="s">
        <v>2</v>
      </c>
      <c r="BG72" s="319" t="s">
        <v>2</v>
      </c>
      <c r="BH72" s="319">
        <v>16.670000000000002</v>
      </c>
      <c r="BI72" s="325" t="s">
        <v>2</v>
      </c>
      <c r="BJ72" s="326" t="s">
        <v>2</v>
      </c>
      <c r="BK72" s="326" t="s">
        <v>2</v>
      </c>
      <c r="BL72" s="326" t="s">
        <v>2</v>
      </c>
      <c r="BM72" s="326" t="s">
        <v>2</v>
      </c>
      <c r="BN72" s="326" t="s">
        <v>2</v>
      </c>
      <c r="BO72" s="326" t="s">
        <v>2</v>
      </c>
      <c r="BP72" s="326" t="s">
        <v>2</v>
      </c>
      <c r="BQ72" s="326" t="s">
        <v>2</v>
      </c>
      <c r="BR72" s="326" t="s">
        <v>2</v>
      </c>
      <c r="BS72" s="326" t="s">
        <v>2</v>
      </c>
      <c r="BT72" s="326" t="s">
        <v>2</v>
      </c>
      <c r="BU72" s="326" t="s">
        <v>2</v>
      </c>
      <c r="BV72" s="326" t="s">
        <v>2</v>
      </c>
      <c r="BW72" s="326" t="s">
        <v>2</v>
      </c>
      <c r="BX72" s="326" t="s">
        <v>2</v>
      </c>
      <c r="BY72" s="326" t="s">
        <v>2</v>
      </c>
      <c r="BZ72" s="329" t="s">
        <v>2</v>
      </c>
      <c r="CA72" s="328" t="s">
        <v>2</v>
      </c>
      <c r="CB72" s="323" t="s">
        <v>2</v>
      </c>
      <c r="CC72" s="323" t="s">
        <v>2</v>
      </c>
      <c r="CD72" s="323" t="s">
        <v>2</v>
      </c>
      <c r="CE72" s="323" t="s">
        <v>2</v>
      </c>
      <c r="CF72" s="323" t="s">
        <v>2</v>
      </c>
      <c r="CG72" s="324" t="s">
        <v>2</v>
      </c>
      <c r="CH72" s="326" t="s">
        <v>2</v>
      </c>
      <c r="CI72" s="329" t="s">
        <v>2</v>
      </c>
      <c r="CJ72" s="328" t="s">
        <v>2</v>
      </c>
      <c r="CK72" s="323" t="s">
        <v>2</v>
      </c>
      <c r="CL72" s="323" t="s">
        <v>2</v>
      </c>
      <c r="CM72" s="324" t="s">
        <v>2</v>
      </c>
      <c r="CN72" s="319" t="s">
        <v>2</v>
      </c>
      <c r="CO72" s="319" t="s">
        <v>2</v>
      </c>
    </row>
    <row r="73" spans="1:93" x14ac:dyDescent="0.25">
      <c r="A73" s="316">
        <v>16042</v>
      </c>
      <c r="B73" s="317" t="s">
        <v>1929</v>
      </c>
      <c r="C73" s="318"/>
      <c r="D73" s="293">
        <v>16</v>
      </c>
      <c r="E73" s="349">
        <v>0</v>
      </c>
      <c r="F73" s="320">
        <f>350*100/75</f>
        <v>466.66666666666669</v>
      </c>
      <c r="G73" s="300">
        <v>1950.6666666666665</v>
      </c>
      <c r="H73" s="321" t="s">
        <v>2</v>
      </c>
      <c r="I73" s="322">
        <f>6.9*100/75</f>
        <v>9.1999999999999993</v>
      </c>
      <c r="J73" s="323">
        <f>13*100/75</f>
        <v>17.333333333333332</v>
      </c>
      <c r="K73" s="323">
        <f>51.4*100/75</f>
        <v>68.533333333333331</v>
      </c>
      <c r="L73" s="323" t="s">
        <v>2</v>
      </c>
      <c r="M73" s="324" t="s">
        <v>2</v>
      </c>
      <c r="N73" s="325" t="s">
        <v>2</v>
      </c>
      <c r="O73" s="326" t="s">
        <v>2</v>
      </c>
      <c r="P73" s="323" t="s">
        <v>2</v>
      </c>
      <c r="Q73" s="323" t="s">
        <v>2</v>
      </c>
      <c r="R73" s="315" t="s">
        <v>2</v>
      </c>
      <c r="S73" s="326" t="s">
        <v>2</v>
      </c>
      <c r="T73" s="326" t="s">
        <v>2</v>
      </c>
      <c r="U73" s="327" t="s">
        <v>2</v>
      </c>
      <c r="V73" s="327" t="s">
        <v>2</v>
      </c>
      <c r="W73" s="324" t="s">
        <v>2</v>
      </c>
      <c r="X73" s="328" t="s">
        <v>2</v>
      </c>
      <c r="Y73" s="327" t="s">
        <v>2</v>
      </c>
      <c r="Z73" s="327" t="s">
        <v>2</v>
      </c>
      <c r="AA73" s="327" t="s">
        <v>2</v>
      </c>
      <c r="AB73" s="327" t="s">
        <v>2</v>
      </c>
      <c r="AC73" s="327" t="s">
        <v>2</v>
      </c>
      <c r="AD73" s="326" t="s">
        <v>2</v>
      </c>
      <c r="AE73" s="326" t="s">
        <v>2</v>
      </c>
      <c r="AF73" s="323" t="s">
        <v>2</v>
      </c>
      <c r="AG73" s="324" t="s">
        <v>2</v>
      </c>
      <c r="AH73" s="320" t="s">
        <v>2</v>
      </c>
      <c r="AI73" s="320" t="s">
        <v>2</v>
      </c>
      <c r="AJ73" s="323" t="s">
        <v>2</v>
      </c>
      <c r="AK73" s="323" t="s">
        <v>2</v>
      </c>
      <c r="AL73" s="324" t="s">
        <v>2</v>
      </c>
      <c r="AM73" s="325" t="s">
        <v>2</v>
      </c>
      <c r="AN73" s="326" t="s">
        <v>2</v>
      </c>
      <c r="AO73" s="329" t="s">
        <v>2</v>
      </c>
      <c r="AP73" s="322" t="s">
        <v>2</v>
      </c>
      <c r="AQ73" s="327" t="s">
        <v>2</v>
      </c>
      <c r="AR73" s="327" t="s">
        <v>2</v>
      </c>
      <c r="AS73" s="327" t="s">
        <v>2</v>
      </c>
      <c r="AT73" s="327" t="s">
        <v>2</v>
      </c>
      <c r="AU73" s="327" t="s">
        <v>2</v>
      </c>
      <c r="AV73" s="330" t="s">
        <v>2</v>
      </c>
      <c r="AW73" s="328" t="s">
        <v>2</v>
      </c>
      <c r="AX73" s="327" t="s">
        <v>2</v>
      </c>
      <c r="AY73" s="327" t="s">
        <v>2</v>
      </c>
      <c r="AZ73" s="330" t="s">
        <v>2</v>
      </c>
      <c r="BA73" s="331" t="s">
        <v>2</v>
      </c>
      <c r="BB73" s="332" t="s">
        <v>2</v>
      </c>
      <c r="BC73" s="332" t="s">
        <v>2</v>
      </c>
      <c r="BD73" s="332" t="s">
        <v>2</v>
      </c>
      <c r="BE73" s="332" t="s">
        <v>2</v>
      </c>
      <c r="BF73" s="333" t="s">
        <v>2</v>
      </c>
      <c r="BG73" s="319" t="s">
        <v>2</v>
      </c>
      <c r="BH73" s="319" t="s">
        <v>2</v>
      </c>
      <c r="BI73" s="325" t="s">
        <v>2</v>
      </c>
      <c r="BJ73" s="326" t="s">
        <v>2</v>
      </c>
      <c r="BK73" s="326" t="s">
        <v>2</v>
      </c>
      <c r="BL73" s="326" t="s">
        <v>2</v>
      </c>
      <c r="BM73" s="326" t="s">
        <v>2</v>
      </c>
      <c r="BN73" s="326" t="s">
        <v>2</v>
      </c>
      <c r="BO73" s="326" t="s">
        <v>2</v>
      </c>
      <c r="BP73" s="326" t="s">
        <v>2</v>
      </c>
      <c r="BQ73" s="326" t="s">
        <v>2</v>
      </c>
      <c r="BR73" s="326" t="s">
        <v>2</v>
      </c>
      <c r="BS73" s="326" t="s">
        <v>2</v>
      </c>
      <c r="BT73" s="326" t="s">
        <v>2</v>
      </c>
      <c r="BU73" s="326" t="s">
        <v>2</v>
      </c>
      <c r="BV73" s="326" t="s">
        <v>2</v>
      </c>
      <c r="BW73" s="326" t="s">
        <v>2</v>
      </c>
      <c r="BX73" s="326" t="s">
        <v>2</v>
      </c>
      <c r="BY73" s="326" t="s">
        <v>2</v>
      </c>
      <c r="BZ73" s="329" t="s">
        <v>2</v>
      </c>
      <c r="CA73" s="328" t="s">
        <v>2</v>
      </c>
      <c r="CB73" s="323" t="s">
        <v>2</v>
      </c>
      <c r="CC73" s="323" t="s">
        <v>2</v>
      </c>
      <c r="CD73" s="323" t="s">
        <v>2</v>
      </c>
      <c r="CE73" s="323" t="s">
        <v>2</v>
      </c>
      <c r="CF73" s="323" t="s">
        <v>2</v>
      </c>
      <c r="CG73" s="324" t="s">
        <v>2</v>
      </c>
      <c r="CH73" s="326" t="s">
        <v>2</v>
      </c>
      <c r="CI73" s="329" t="s">
        <v>2</v>
      </c>
      <c r="CJ73" s="328" t="s">
        <v>2</v>
      </c>
      <c r="CK73" s="323" t="s">
        <v>2</v>
      </c>
      <c r="CL73" s="323" t="s">
        <v>2</v>
      </c>
      <c r="CM73" s="324" t="s">
        <v>2</v>
      </c>
      <c r="CN73" s="319" t="s">
        <v>2</v>
      </c>
      <c r="CO73" s="319" t="s">
        <v>2</v>
      </c>
    </row>
    <row r="74" spans="1:93" x14ac:dyDescent="0.25">
      <c r="A74" s="316">
        <v>16043</v>
      </c>
      <c r="B74" s="317" t="s">
        <v>1930</v>
      </c>
      <c r="C74" s="318"/>
      <c r="D74" s="293">
        <v>16</v>
      </c>
      <c r="E74" s="349">
        <v>0</v>
      </c>
      <c r="F74" s="320">
        <f>339*100/75</f>
        <v>452</v>
      </c>
      <c r="G74" s="300">
        <v>1889.36</v>
      </c>
      <c r="H74" s="321" t="s">
        <v>2</v>
      </c>
      <c r="I74" s="322">
        <f>7.3*100/75</f>
        <v>9.7333333333333325</v>
      </c>
      <c r="J74" s="323">
        <f>13*100/75</f>
        <v>17.333333333333332</v>
      </c>
      <c r="K74" s="323">
        <f>48.2*100/75</f>
        <v>64.266666666666666</v>
      </c>
      <c r="L74" s="323" t="s">
        <v>2</v>
      </c>
      <c r="M74" s="324" t="s">
        <v>2</v>
      </c>
      <c r="N74" s="325" t="s">
        <v>2</v>
      </c>
      <c r="O74" s="326" t="s">
        <v>2</v>
      </c>
      <c r="P74" s="323" t="s">
        <v>2</v>
      </c>
      <c r="Q74" s="323" t="s">
        <v>2</v>
      </c>
      <c r="R74" s="315" t="s">
        <v>2</v>
      </c>
      <c r="S74" s="326" t="s">
        <v>2</v>
      </c>
      <c r="T74" s="326" t="s">
        <v>2</v>
      </c>
      <c r="U74" s="327" t="s">
        <v>2</v>
      </c>
      <c r="V74" s="327" t="s">
        <v>2</v>
      </c>
      <c r="W74" s="324" t="s">
        <v>2</v>
      </c>
      <c r="X74" s="328" t="s">
        <v>2</v>
      </c>
      <c r="Y74" s="327" t="s">
        <v>2</v>
      </c>
      <c r="Z74" s="327" t="s">
        <v>2</v>
      </c>
      <c r="AA74" s="327" t="s">
        <v>2</v>
      </c>
      <c r="AB74" s="327" t="s">
        <v>2</v>
      </c>
      <c r="AC74" s="327" t="s">
        <v>2</v>
      </c>
      <c r="AD74" s="326" t="s">
        <v>2</v>
      </c>
      <c r="AE74" s="326" t="s">
        <v>2</v>
      </c>
      <c r="AF74" s="323" t="s">
        <v>2</v>
      </c>
      <c r="AG74" s="324" t="s">
        <v>2</v>
      </c>
      <c r="AH74" s="320" t="s">
        <v>2</v>
      </c>
      <c r="AI74" s="320" t="s">
        <v>2</v>
      </c>
      <c r="AJ74" s="323" t="s">
        <v>2</v>
      </c>
      <c r="AK74" s="323" t="s">
        <v>2</v>
      </c>
      <c r="AL74" s="324" t="s">
        <v>2</v>
      </c>
      <c r="AM74" s="325" t="s">
        <v>2</v>
      </c>
      <c r="AN74" s="326" t="s">
        <v>2</v>
      </c>
      <c r="AO74" s="329" t="s">
        <v>2</v>
      </c>
      <c r="AP74" s="322" t="s">
        <v>2</v>
      </c>
      <c r="AQ74" s="327" t="s">
        <v>2</v>
      </c>
      <c r="AR74" s="327" t="s">
        <v>2</v>
      </c>
      <c r="AS74" s="327" t="s">
        <v>2</v>
      </c>
      <c r="AT74" s="327" t="s">
        <v>2</v>
      </c>
      <c r="AU74" s="327" t="s">
        <v>2</v>
      </c>
      <c r="AV74" s="330" t="s">
        <v>2</v>
      </c>
      <c r="AW74" s="328" t="s">
        <v>2</v>
      </c>
      <c r="AX74" s="327" t="s">
        <v>2</v>
      </c>
      <c r="AY74" s="327" t="s">
        <v>2</v>
      </c>
      <c r="AZ74" s="330" t="s">
        <v>2</v>
      </c>
      <c r="BA74" s="331" t="s">
        <v>2</v>
      </c>
      <c r="BB74" s="332" t="s">
        <v>2</v>
      </c>
      <c r="BC74" s="332" t="s">
        <v>2</v>
      </c>
      <c r="BD74" s="332" t="s">
        <v>2</v>
      </c>
      <c r="BE74" s="332" t="s">
        <v>2</v>
      </c>
      <c r="BF74" s="333" t="s">
        <v>2</v>
      </c>
      <c r="BG74" s="319" t="s">
        <v>2</v>
      </c>
      <c r="BH74" s="319" t="s">
        <v>2</v>
      </c>
      <c r="BI74" s="325" t="s">
        <v>2</v>
      </c>
      <c r="BJ74" s="326" t="s">
        <v>2</v>
      </c>
      <c r="BK74" s="326" t="s">
        <v>2</v>
      </c>
      <c r="BL74" s="326" t="s">
        <v>2</v>
      </c>
      <c r="BM74" s="326" t="s">
        <v>2</v>
      </c>
      <c r="BN74" s="326" t="s">
        <v>2</v>
      </c>
      <c r="BO74" s="326" t="s">
        <v>2</v>
      </c>
      <c r="BP74" s="326" t="s">
        <v>2</v>
      </c>
      <c r="BQ74" s="326" t="s">
        <v>2</v>
      </c>
      <c r="BR74" s="326" t="s">
        <v>2</v>
      </c>
      <c r="BS74" s="326" t="s">
        <v>2</v>
      </c>
      <c r="BT74" s="326" t="s">
        <v>2</v>
      </c>
      <c r="BU74" s="326" t="s">
        <v>2</v>
      </c>
      <c r="BV74" s="326" t="s">
        <v>2</v>
      </c>
      <c r="BW74" s="326" t="s">
        <v>2</v>
      </c>
      <c r="BX74" s="326" t="s">
        <v>2</v>
      </c>
      <c r="BY74" s="326" t="s">
        <v>2</v>
      </c>
      <c r="BZ74" s="329" t="s">
        <v>2</v>
      </c>
      <c r="CA74" s="328" t="s">
        <v>2</v>
      </c>
      <c r="CB74" s="323" t="s">
        <v>2</v>
      </c>
      <c r="CC74" s="323" t="s">
        <v>2</v>
      </c>
      <c r="CD74" s="323" t="s">
        <v>2</v>
      </c>
      <c r="CE74" s="323" t="s">
        <v>2</v>
      </c>
      <c r="CF74" s="323" t="s">
        <v>2</v>
      </c>
      <c r="CG74" s="324" t="s">
        <v>2</v>
      </c>
      <c r="CH74" s="326" t="s">
        <v>2</v>
      </c>
      <c r="CI74" s="329" t="s">
        <v>2</v>
      </c>
      <c r="CJ74" s="328" t="s">
        <v>2</v>
      </c>
      <c r="CK74" s="323" t="s">
        <v>2</v>
      </c>
      <c r="CL74" s="323" t="s">
        <v>2</v>
      </c>
      <c r="CM74" s="324" t="s">
        <v>2</v>
      </c>
      <c r="CN74" s="319" t="s">
        <v>2</v>
      </c>
      <c r="CO74" s="319" t="s">
        <v>2</v>
      </c>
    </row>
    <row r="75" spans="1:93" x14ac:dyDescent="0.25">
      <c r="A75" s="316">
        <v>16044</v>
      </c>
      <c r="B75" s="317" t="s">
        <v>1931</v>
      </c>
      <c r="C75" s="318"/>
      <c r="D75" s="293">
        <v>16</v>
      </c>
      <c r="E75" s="349">
        <v>0</v>
      </c>
      <c r="F75" s="320">
        <f>331*100/73</f>
        <v>453.42465753424659</v>
      </c>
      <c r="G75" s="300">
        <v>1895.3150684931506</v>
      </c>
      <c r="H75" s="321" t="s">
        <v>2</v>
      </c>
      <c r="I75" s="322">
        <f>7.1*100/73</f>
        <v>9.7260273972602747</v>
      </c>
      <c r="J75" s="323">
        <f>12.6*100/73</f>
        <v>17.260273972602739</v>
      </c>
      <c r="K75" s="323">
        <f>47.2*100/73</f>
        <v>64.657534246575338</v>
      </c>
      <c r="L75" s="323" t="s">
        <v>2</v>
      </c>
      <c r="M75" s="324" t="s">
        <v>2</v>
      </c>
      <c r="N75" s="325" t="s">
        <v>2</v>
      </c>
      <c r="O75" s="326" t="s">
        <v>2</v>
      </c>
      <c r="P75" s="323" t="s">
        <v>2</v>
      </c>
      <c r="Q75" s="323" t="s">
        <v>2</v>
      </c>
      <c r="R75" s="315" t="s">
        <v>2</v>
      </c>
      <c r="S75" s="326" t="s">
        <v>2</v>
      </c>
      <c r="T75" s="326" t="s">
        <v>2</v>
      </c>
      <c r="U75" s="327" t="s">
        <v>2</v>
      </c>
      <c r="V75" s="327" t="s">
        <v>2</v>
      </c>
      <c r="W75" s="324" t="s">
        <v>2</v>
      </c>
      <c r="X75" s="328" t="s">
        <v>2</v>
      </c>
      <c r="Y75" s="327" t="s">
        <v>2</v>
      </c>
      <c r="Z75" s="327" t="s">
        <v>2</v>
      </c>
      <c r="AA75" s="327" t="s">
        <v>2</v>
      </c>
      <c r="AB75" s="327" t="s">
        <v>2</v>
      </c>
      <c r="AC75" s="327" t="s">
        <v>2</v>
      </c>
      <c r="AD75" s="326" t="s">
        <v>2</v>
      </c>
      <c r="AE75" s="326" t="s">
        <v>2</v>
      </c>
      <c r="AF75" s="323" t="s">
        <v>2</v>
      </c>
      <c r="AG75" s="324" t="s">
        <v>2</v>
      </c>
      <c r="AH75" s="320" t="s">
        <v>2</v>
      </c>
      <c r="AI75" s="320" t="s">
        <v>2</v>
      </c>
      <c r="AJ75" s="323" t="s">
        <v>2</v>
      </c>
      <c r="AK75" s="323" t="s">
        <v>2</v>
      </c>
      <c r="AL75" s="324" t="s">
        <v>2</v>
      </c>
      <c r="AM75" s="325" t="s">
        <v>2</v>
      </c>
      <c r="AN75" s="326" t="s">
        <v>2</v>
      </c>
      <c r="AO75" s="329" t="s">
        <v>2</v>
      </c>
      <c r="AP75" s="322" t="s">
        <v>2</v>
      </c>
      <c r="AQ75" s="327" t="s">
        <v>2</v>
      </c>
      <c r="AR75" s="327" t="s">
        <v>2</v>
      </c>
      <c r="AS75" s="327" t="s">
        <v>2</v>
      </c>
      <c r="AT75" s="327" t="s">
        <v>2</v>
      </c>
      <c r="AU75" s="327" t="s">
        <v>2</v>
      </c>
      <c r="AV75" s="330" t="s">
        <v>2</v>
      </c>
      <c r="AW75" s="328" t="s">
        <v>2</v>
      </c>
      <c r="AX75" s="327" t="s">
        <v>2</v>
      </c>
      <c r="AY75" s="327" t="s">
        <v>2</v>
      </c>
      <c r="AZ75" s="330" t="s">
        <v>2</v>
      </c>
      <c r="BA75" s="331" t="s">
        <v>2</v>
      </c>
      <c r="BB75" s="332" t="s">
        <v>2</v>
      </c>
      <c r="BC75" s="332" t="s">
        <v>2</v>
      </c>
      <c r="BD75" s="332" t="s">
        <v>2</v>
      </c>
      <c r="BE75" s="332" t="s">
        <v>2</v>
      </c>
      <c r="BF75" s="333" t="s">
        <v>2</v>
      </c>
      <c r="BG75" s="319" t="s">
        <v>2</v>
      </c>
      <c r="BH75" s="319" t="s">
        <v>2</v>
      </c>
      <c r="BI75" s="325" t="s">
        <v>2</v>
      </c>
      <c r="BJ75" s="326" t="s">
        <v>2</v>
      </c>
      <c r="BK75" s="326" t="s">
        <v>2</v>
      </c>
      <c r="BL75" s="326" t="s">
        <v>2</v>
      </c>
      <c r="BM75" s="326" t="s">
        <v>2</v>
      </c>
      <c r="BN75" s="326" t="s">
        <v>2</v>
      </c>
      <c r="BO75" s="326" t="s">
        <v>2</v>
      </c>
      <c r="BP75" s="326" t="s">
        <v>2</v>
      </c>
      <c r="BQ75" s="326" t="s">
        <v>2</v>
      </c>
      <c r="BR75" s="326" t="s">
        <v>2</v>
      </c>
      <c r="BS75" s="326" t="s">
        <v>2</v>
      </c>
      <c r="BT75" s="326" t="s">
        <v>2</v>
      </c>
      <c r="BU75" s="326" t="s">
        <v>2</v>
      </c>
      <c r="BV75" s="326" t="s">
        <v>2</v>
      </c>
      <c r="BW75" s="326" t="s">
        <v>2</v>
      </c>
      <c r="BX75" s="326" t="s">
        <v>2</v>
      </c>
      <c r="BY75" s="326" t="s">
        <v>2</v>
      </c>
      <c r="BZ75" s="329" t="s">
        <v>2</v>
      </c>
      <c r="CA75" s="328" t="s">
        <v>2</v>
      </c>
      <c r="CB75" s="323" t="s">
        <v>2</v>
      </c>
      <c r="CC75" s="323" t="s">
        <v>2</v>
      </c>
      <c r="CD75" s="323" t="s">
        <v>2</v>
      </c>
      <c r="CE75" s="323" t="s">
        <v>2</v>
      </c>
      <c r="CF75" s="323" t="s">
        <v>2</v>
      </c>
      <c r="CG75" s="324" t="s">
        <v>2</v>
      </c>
      <c r="CH75" s="326" t="s">
        <v>2</v>
      </c>
      <c r="CI75" s="329" t="s">
        <v>2</v>
      </c>
      <c r="CJ75" s="328" t="s">
        <v>2</v>
      </c>
      <c r="CK75" s="323" t="s">
        <v>2</v>
      </c>
      <c r="CL75" s="323" t="s">
        <v>2</v>
      </c>
      <c r="CM75" s="324" t="s">
        <v>2</v>
      </c>
      <c r="CN75" s="319" t="s">
        <v>2</v>
      </c>
      <c r="CO75" s="319" t="s">
        <v>2</v>
      </c>
    </row>
    <row r="76" spans="1:93" x14ac:dyDescent="0.25">
      <c r="A76" s="316">
        <v>16045</v>
      </c>
      <c r="B76" s="317" t="s">
        <v>1932</v>
      </c>
      <c r="C76" s="318"/>
      <c r="D76" s="293">
        <v>16</v>
      </c>
      <c r="E76" s="349">
        <v>0</v>
      </c>
      <c r="F76" s="320">
        <f>334*100/74</f>
        <v>451.35135135135135</v>
      </c>
      <c r="G76" s="300">
        <v>1886.6486486486485</v>
      </c>
      <c r="H76" s="321" t="s">
        <v>2</v>
      </c>
      <c r="I76" s="322">
        <f>7.6*100/74</f>
        <v>10.27027027027027</v>
      </c>
      <c r="J76" s="323">
        <f>12.2*100/74</f>
        <v>16.486486486486488</v>
      </c>
      <c r="K76" s="323">
        <f>48.5*100/74</f>
        <v>65.540540540540547</v>
      </c>
      <c r="L76" s="323" t="s">
        <v>2</v>
      </c>
      <c r="M76" s="324" t="s">
        <v>2</v>
      </c>
      <c r="N76" s="325" t="s">
        <v>2</v>
      </c>
      <c r="O76" s="326" t="s">
        <v>2</v>
      </c>
      <c r="P76" s="323" t="s">
        <v>2</v>
      </c>
      <c r="Q76" s="323" t="s">
        <v>2</v>
      </c>
      <c r="R76" s="315" t="s">
        <v>2</v>
      </c>
      <c r="S76" s="326" t="s">
        <v>2</v>
      </c>
      <c r="T76" s="326" t="s">
        <v>2</v>
      </c>
      <c r="U76" s="327" t="s">
        <v>2</v>
      </c>
      <c r="V76" s="327" t="s">
        <v>2</v>
      </c>
      <c r="W76" s="324" t="s">
        <v>2</v>
      </c>
      <c r="X76" s="328" t="s">
        <v>2</v>
      </c>
      <c r="Y76" s="327" t="s">
        <v>2</v>
      </c>
      <c r="Z76" s="327" t="s">
        <v>2</v>
      </c>
      <c r="AA76" s="327" t="s">
        <v>2</v>
      </c>
      <c r="AB76" s="327" t="s">
        <v>2</v>
      </c>
      <c r="AC76" s="327" t="s">
        <v>2</v>
      </c>
      <c r="AD76" s="326" t="s">
        <v>2</v>
      </c>
      <c r="AE76" s="326" t="s">
        <v>2</v>
      </c>
      <c r="AF76" s="323" t="s">
        <v>2</v>
      </c>
      <c r="AG76" s="324" t="s">
        <v>2</v>
      </c>
      <c r="AH76" s="320" t="s">
        <v>2</v>
      </c>
      <c r="AI76" s="320" t="s">
        <v>2</v>
      </c>
      <c r="AJ76" s="323" t="s">
        <v>2</v>
      </c>
      <c r="AK76" s="323" t="s">
        <v>2</v>
      </c>
      <c r="AL76" s="324" t="s">
        <v>2</v>
      </c>
      <c r="AM76" s="325" t="s">
        <v>2</v>
      </c>
      <c r="AN76" s="326" t="s">
        <v>2</v>
      </c>
      <c r="AO76" s="329" t="s">
        <v>2</v>
      </c>
      <c r="AP76" s="322" t="s">
        <v>2</v>
      </c>
      <c r="AQ76" s="327" t="s">
        <v>2</v>
      </c>
      <c r="AR76" s="327" t="s">
        <v>2</v>
      </c>
      <c r="AS76" s="327" t="s">
        <v>2</v>
      </c>
      <c r="AT76" s="327" t="s">
        <v>2</v>
      </c>
      <c r="AU76" s="327" t="s">
        <v>2</v>
      </c>
      <c r="AV76" s="330" t="s">
        <v>2</v>
      </c>
      <c r="AW76" s="328" t="s">
        <v>2</v>
      </c>
      <c r="AX76" s="327" t="s">
        <v>2</v>
      </c>
      <c r="AY76" s="327" t="s">
        <v>2</v>
      </c>
      <c r="AZ76" s="330" t="s">
        <v>2</v>
      </c>
      <c r="BA76" s="331" t="s">
        <v>2</v>
      </c>
      <c r="BB76" s="332" t="s">
        <v>2</v>
      </c>
      <c r="BC76" s="332" t="s">
        <v>2</v>
      </c>
      <c r="BD76" s="332" t="s">
        <v>2</v>
      </c>
      <c r="BE76" s="332" t="s">
        <v>2</v>
      </c>
      <c r="BF76" s="333" t="s">
        <v>2</v>
      </c>
      <c r="BG76" s="319" t="s">
        <v>2</v>
      </c>
      <c r="BH76" s="319" t="s">
        <v>2</v>
      </c>
      <c r="BI76" s="325" t="s">
        <v>2</v>
      </c>
      <c r="BJ76" s="326" t="s">
        <v>2</v>
      </c>
      <c r="BK76" s="326" t="s">
        <v>2</v>
      </c>
      <c r="BL76" s="326" t="s">
        <v>2</v>
      </c>
      <c r="BM76" s="326" t="s">
        <v>2</v>
      </c>
      <c r="BN76" s="326" t="s">
        <v>2</v>
      </c>
      <c r="BO76" s="326" t="s">
        <v>2</v>
      </c>
      <c r="BP76" s="326" t="s">
        <v>2</v>
      </c>
      <c r="BQ76" s="326" t="s">
        <v>2</v>
      </c>
      <c r="BR76" s="326" t="s">
        <v>2</v>
      </c>
      <c r="BS76" s="326" t="s">
        <v>2</v>
      </c>
      <c r="BT76" s="326" t="s">
        <v>2</v>
      </c>
      <c r="BU76" s="326" t="s">
        <v>2</v>
      </c>
      <c r="BV76" s="326" t="s">
        <v>2</v>
      </c>
      <c r="BW76" s="326" t="s">
        <v>2</v>
      </c>
      <c r="BX76" s="326" t="s">
        <v>2</v>
      </c>
      <c r="BY76" s="326" t="s">
        <v>2</v>
      </c>
      <c r="BZ76" s="329" t="s">
        <v>2</v>
      </c>
      <c r="CA76" s="328" t="s">
        <v>2</v>
      </c>
      <c r="CB76" s="323" t="s">
        <v>2</v>
      </c>
      <c r="CC76" s="323" t="s">
        <v>2</v>
      </c>
      <c r="CD76" s="323" t="s">
        <v>2</v>
      </c>
      <c r="CE76" s="323" t="s">
        <v>2</v>
      </c>
      <c r="CF76" s="323" t="s">
        <v>2</v>
      </c>
      <c r="CG76" s="324" t="s">
        <v>2</v>
      </c>
      <c r="CH76" s="326" t="s">
        <v>2</v>
      </c>
      <c r="CI76" s="329" t="s">
        <v>2</v>
      </c>
      <c r="CJ76" s="328" t="s">
        <v>2</v>
      </c>
      <c r="CK76" s="323" t="s">
        <v>2</v>
      </c>
      <c r="CL76" s="323" t="s">
        <v>2</v>
      </c>
      <c r="CM76" s="324" t="s">
        <v>2</v>
      </c>
      <c r="CN76" s="319" t="s">
        <v>2</v>
      </c>
      <c r="CO76" s="319" t="s">
        <v>2</v>
      </c>
    </row>
    <row r="77" spans="1:93" x14ac:dyDescent="0.25">
      <c r="A77" s="316">
        <v>16046</v>
      </c>
      <c r="B77" s="317" t="s">
        <v>1933</v>
      </c>
      <c r="C77" s="318"/>
      <c r="D77" s="293">
        <v>16</v>
      </c>
      <c r="E77" s="349">
        <v>0</v>
      </c>
      <c r="F77" s="320">
        <f>285*100/65</f>
        <v>438.46153846153845</v>
      </c>
      <c r="G77" s="300">
        <v>1832.7692307692307</v>
      </c>
      <c r="H77" s="321" t="s">
        <v>2</v>
      </c>
      <c r="I77" s="322">
        <f>6*100/65</f>
        <v>9.2307692307692299</v>
      </c>
      <c r="J77" s="323">
        <f>11.1*100/65</f>
        <v>17.076923076923077</v>
      </c>
      <c r="K77" s="323">
        <f>40.2*100/65</f>
        <v>61.846153846153854</v>
      </c>
      <c r="L77" s="323" t="s">
        <v>2</v>
      </c>
      <c r="M77" s="324" t="s">
        <v>2</v>
      </c>
      <c r="N77" s="325" t="s">
        <v>2</v>
      </c>
      <c r="O77" s="326" t="s">
        <v>2</v>
      </c>
      <c r="P77" s="323" t="s">
        <v>2</v>
      </c>
      <c r="Q77" s="323" t="s">
        <v>2</v>
      </c>
      <c r="R77" s="315" t="s">
        <v>2</v>
      </c>
      <c r="S77" s="326" t="s">
        <v>2</v>
      </c>
      <c r="T77" s="326" t="s">
        <v>2</v>
      </c>
      <c r="U77" s="327" t="s">
        <v>2</v>
      </c>
      <c r="V77" s="327" t="s">
        <v>2</v>
      </c>
      <c r="W77" s="324" t="s">
        <v>2</v>
      </c>
      <c r="X77" s="328" t="s">
        <v>2</v>
      </c>
      <c r="Y77" s="327" t="s">
        <v>2</v>
      </c>
      <c r="Z77" s="327" t="s">
        <v>2</v>
      </c>
      <c r="AA77" s="327" t="s">
        <v>2</v>
      </c>
      <c r="AB77" s="327" t="s">
        <v>2</v>
      </c>
      <c r="AC77" s="327" t="s">
        <v>2</v>
      </c>
      <c r="AD77" s="326" t="s">
        <v>2</v>
      </c>
      <c r="AE77" s="326" t="s">
        <v>2</v>
      </c>
      <c r="AF77" s="323" t="s">
        <v>2</v>
      </c>
      <c r="AG77" s="324" t="s">
        <v>2</v>
      </c>
      <c r="AH77" s="320" t="s">
        <v>2</v>
      </c>
      <c r="AI77" s="320" t="s">
        <v>2</v>
      </c>
      <c r="AJ77" s="323" t="s">
        <v>2</v>
      </c>
      <c r="AK77" s="323" t="s">
        <v>2</v>
      </c>
      <c r="AL77" s="324" t="s">
        <v>2</v>
      </c>
      <c r="AM77" s="325" t="s">
        <v>2</v>
      </c>
      <c r="AN77" s="326" t="s">
        <v>2</v>
      </c>
      <c r="AO77" s="329" t="s">
        <v>2</v>
      </c>
      <c r="AP77" s="322" t="s">
        <v>2</v>
      </c>
      <c r="AQ77" s="327" t="s">
        <v>2</v>
      </c>
      <c r="AR77" s="327" t="s">
        <v>2</v>
      </c>
      <c r="AS77" s="327" t="s">
        <v>2</v>
      </c>
      <c r="AT77" s="327" t="s">
        <v>2</v>
      </c>
      <c r="AU77" s="327" t="s">
        <v>2</v>
      </c>
      <c r="AV77" s="330" t="s">
        <v>2</v>
      </c>
      <c r="AW77" s="328" t="s">
        <v>2</v>
      </c>
      <c r="AX77" s="327" t="s">
        <v>2</v>
      </c>
      <c r="AY77" s="327" t="s">
        <v>2</v>
      </c>
      <c r="AZ77" s="330" t="s">
        <v>2</v>
      </c>
      <c r="BA77" s="331" t="s">
        <v>2</v>
      </c>
      <c r="BB77" s="332" t="s">
        <v>2</v>
      </c>
      <c r="BC77" s="332" t="s">
        <v>2</v>
      </c>
      <c r="BD77" s="332" t="s">
        <v>2</v>
      </c>
      <c r="BE77" s="332" t="s">
        <v>2</v>
      </c>
      <c r="BF77" s="333" t="s">
        <v>2</v>
      </c>
      <c r="BG77" s="319" t="s">
        <v>2</v>
      </c>
      <c r="BH77" s="319" t="s">
        <v>2</v>
      </c>
      <c r="BI77" s="325" t="s">
        <v>2</v>
      </c>
      <c r="BJ77" s="326" t="s">
        <v>2</v>
      </c>
      <c r="BK77" s="326" t="s">
        <v>2</v>
      </c>
      <c r="BL77" s="326" t="s">
        <v>2</v>
      </c>
      <c r="BM77" s="326" t="s">
        <v>2</v>
      </c>
      <c r="BN77" s="326" t="s">
        <v>2</v>
      </c>
      <c r="BO77" s="326" t="s">
        <v>2</v>
      </c>
      <c r="BP77" s="326" t="s">
        <v>2</v>
      </c>
      <c r="BQ77" s="326" t="s">
        <v>2</v>
      </c>
      <c r="BR77" s="326" t="s">
        <v>2</v>
      </c>
      <c r="BS77" s="326" t="s">
        <v>2</v>
      </c>
      <c r="BT77" s="326" t="s">
        <v>2</v>
      </c>
      <c r="BU77" s="326" t="s">
        <v>2</v>
      </c>
      <c r="BV77" s="326" t="s">
        <v>2</v>
      </c>
      <c r="BW77" s="326" t="s">
        <v>2</v>
      </c>
      <c r="BX77" s="326" t="s">
        <v>2</v>
      </c>
      <c r="BY77" s="326" t="s">
        <v>2</v>
      </c>
      <c r="BZ77" s="329" t="s">
        <v>2</v>
      </c>
      <c r="CA77" s="328" t="s">
        <v>2</v>
      </c>
      <c r="CB77" s="323" t="s">
        <v>2</v>
      </c>
      <c r="CC77" s="323" t="s">
        <v>2</v>
      </c>
      <c r="CD77" s="323" t="s">
        <v>2</v>
      </c>
      <c r="CE77" s="323" t="s">
        <v>2</v>
      </c>
      <c r="CF77" s="323" t="s">
        <v>2</v>
      </c>
      <c r="CG77" s="324" t="s">
        <v>2</v>
      </c>
      <c r="CH77" s="326" t="s">
        <v>2</v>
      </c>
      <c r="CI77" s="329" t="s">
        <v>2</v>
      </c>
      <c r="CJ77" s="328" t="s">
        <v>2</v>
      </c>
      <c r="CK77" s="323" t="s">
        <v>2</v>
      </c>
      <c r="CL77" s="323" t="s">
        <v>2</v>
      </c>
      <c r="CM77" s="324" t="s">
        <v>2</v>
      </c>
      <c r="CN77" s="319" t="s">
        <v>2</v>
      </c>
      <c r="CO77" s="319" t="s">
        <v>2</v>
      </c>
    </row>
    <row r="78" spans="1:93" x14ac:dyDescent="0.25">
      <c r="A78" s="316">
        <v>16047</v>
      </c>
      <c r="B78" s="317" t="s">
        <v>1934</v>
      </c>
      <c r="C78" s="318"/>
      <c r="D78" s="293">
        <v>16</v>
      </c>
      <c r="E78" s="349">
        <v>0</v>
      </c>
      <c r="F78" s="320">
        <f>343*100/80</f>
        <v>428.75</v>
      </c>
      <c r="G78" s="300">
        <v>1792.175</v>
      </c>
      <c r="H78" s="321" t="s">
        <v>2</v>
      </c>
      <c r="I78" s="322">
        <f>7.8*100/80</f>
        <v>9.75</v>
      </c>
      <c r="J78" s="323">
        <f>13.4*100/80</f>
        <v>16.75</v>
      </c>
      <c r="K78" s="323">
        <f>47.8*100/80</f>
        <v>59.75</v>
      </c>
      <c r="L78" s="323" t="s">
        <v>2</v>
      </c>
      <c r="M78" s="324" t="s">
        <v>2</v>
      </c>
      <c r="N78" s="325" t="s">
        <v>2</v>
      </c>
      <c r="O78" s="326" t="s">
        <v>2</v>
      </c>
      <c r="P78" s="323" t="s">
        <v>2</v>
      </c>
      <c r="Q78" s="323" t="s">
        <v>2</v>
      </c>
      <c r="R78" s="315" t="s">
        <v>2</v>
      </c>
      <c r="S78" s="326" t="s">
        <v>2</v>
      </c>
      <c r="T78" s="326" t="s">
        <v>2</v>
      </c>
      <c r="U78" s="327" t="s">
        <v>2</v>
      </c>
      <c r="V78" s="327" t="s">
        <v>2</v>
      </c>
      <c r="W78" s="324" t="s">
        <v>2</v>
      </c>
      <c r="X78" s="328" t="s">
        <v>2</v>
      </c>
      <c r="Y78" s="327" t="s">
        <v>2</v>
      </c>
      <c r="Z78" s="327" t="s">
        <v>2</v>
      </c>
      <c r="AA78" s="327" t="s">
        <v>2</v>
      </c>
      <c r="AB78" s="327" t="s">
        <v>2</v>
      </c>
      <c r="AC78" s="327" t="s">
        <v>2</v>
      </c>
      <c r="AD78" s="326" t="s">
        <v>2</v>
      </c>
      <c r="AE78" s="326" t="s">
        <v>2</v>
      </c>
      <c r="AF78" s="323" t="s">
        <v>2</v>
      </c>
      <c r="AG78" s="324" t="s">
        <v>2</v>
      </c>
      <c r="AH78" s="320" t="s">
        <v>2</v>
      </c>
      <c r="AI78" s="320" t="s">
        <v>2</v>
      </c>
      <c r="AJ78" s="323" t="s">
        <v>2</v>
      </c>
      <c r="AK78" s="323" t="s">
        <v>2</v>
      </c>
      <c r="AL78" s="324" t="s">
        <v>2</v>
      </c>
      <c r="AM78" s="325" t="s">
        <v>2</v>
      </c>
      <c r="AN78" s="326" t="s">
        <v>2</v>
      </c>
      <c r="AO78" s="329" t="s">
        <v>2</v>
      </c>
      <c r="AP78" s="322" t="s">
        <v>2</v>
      </c>
      <c r="AQ78" s="327" t="s">
        <v>2</v>
      </c>
      <c r="AR78" s="327" t="s">
        <v>2</v>
      </c>
      <c r="AS78" s="327" t="s">
        <v>2</v>
      </c>
      <c r="AT78" s="327" t="s">
        <v>2</v>
      </c>
      <c r="AU78" s="327" t="s">
        <v>2</v>
      </c>
      <c r="AV78" s="330" t="s">
        <v>2</v>
      </c>
      <c r="AW78" s="328" t="s">
        <v>2</v>
      </c>
      <c r="AX78" s="327" t="s">
        <v>2</v>
      </c>
      <c r="AY78" s="327" t="s">
        <v>2</v>
      </c>
      <c r="AZ78" s="330" t="s">
        <v>2</v>
      </c>
      <c r="BA78" s="331" t="s">
        <v>2</v>
      </c>
      <c r="BB78" s="332" t="s">
        <v>2</v>
      </c>
      <c r="BC78" s="332" t="s">
        <v>2</v>
      </c>
      <c r="BD78" s="332" t="s">
        <v>2</v>
      </c>
      <c r="BE78" s="332" t="s">
        <v>2</v>
      </c>
      <c r="BF78" s="333" t="s">
        <v>2</v>
      </c>
      <c r="BG78" s="319" t="s">
        <v>2</v>
      </c>
      <c r="BH78" s="319" t="s">
        <v>2</v>
      </c>
      <c r="BI78" s="325" t="s">
        <v>2</v>
      </c>
      <c r="BJ78" s="326" t="s">
        <v>2</v>
      </c>
      <c r="BK78" s="326" t="s">
        <v>2</v>
      </c>
      <c r="BL78" s="326" t="s">
        <v>2</v>
      </c>
      <c r="BM78" s="326" t="s">
        <v>2</v>
      </c>
      <c r="BN78" s="326" t="s">
        <v>2</v>
      </c>
      <c r="BO78" s="326" t="s">
        <v>2</v>
      </c>
      <c r="BP78" s="326" t="s">
        <v>2</v>
      </c>
      <c r="BQ78" s="326" t="s">
        <v>2</v>
      </c>
      <c r="BR78" s="326" t="s">
        <v>2</v>
      </c>
      <c r="BS78" s="326" t="s">
        <v>2</v>
      </c>
      <c r="BT78" s="326" t="s">
        <v>2</v>
      </c>
      <c r="BU78" s="326" t="s">
        <v>2</v>
      </c>
      <c r="BV78" s="326" t="s">
        <v>2</v>
      </c>
      <c r="BW78" s="326" t="s">
        <v>2</v>
      </c>
      <c r="BX78" s="326" t="s">
        <v>2</v>
      </c>
      <c r="BY78" s="326" t="s">
        <v>2</v>
      </c>
      <c r="BZ78" s="329" t="s">
        <v>2</v>
      </c>
      <c r="CA78" s="328" t="s">
        <v>2</v>
      </c>
      <c r="CB78" s="323" t="s">
        <v>2</v>
      </c>
      <c r="CC78" s="323" t="s">
        <v>2</v>
      </c>
      <c r="CD78" s="323" t="s">
        <v>2</v>
      </c>
      <c r="CE78" s="323" t="s">
        <v>2</v>
      </c>
      <c r="CF78" s="323" t="s">
        <v>2</v>
      </c>
      <c r="CG78" s="324" t="s">
        <v>2</v>
      </c>
      <c r="CH78" s="326" t="s">
        <v>2</v>
      </c>
      <c r="CI78" s="329" t="s">
        <v>2</v>
      </c>
      <c r="CJ78" s="328" t="s">
        <v>2</v>
      </c>
      <c r="CK78" s="323" t="s">
        <v>2</v>
      </c>
      <c r="CL78" s="323" t="s">
        <v>2</v>
      </c>
      <c r="CM78" s="324" t="s">
        <v>2</v>
      </c>
      <c r="CN78" s="319" t="s">
        <v>2</v>
      </c>
      <c r="CO78" s="319" t="s">
        <v>2</v>
      </c>
    </row>
    <row r="79" spans="1:93" x14ac:dyDescent="0.25">
      <c r="A79" s="316" t="s">
        <v>1935</v>
      </c>
      <c r="B79" s="317" t="s">
        <v>1936</v>
      </c>
      <c r="C79" s="318"/>
      <c r="D79" s="293">
        <v>16</v>
      </c>
      <c r="E79" s="349">
        <v>0</v>
      </c>
      <c r="F79" s="320">
        <f>359*100/76</f>
        <v>472.36842105263156</v>
      </c>
      <c r="G79" s="300">
        <v>1974.4999999999998</v>
      </c>
      <c r="H79" s="321" t="s">
        <v>2</v>
      </c>
      <c r="I79" s="322">
        <f>7*100/76</f>
        <v>9.2105263157894743</v>
      </c>
      <c r="J79" s="323">
        <f>15.7*100/76</f>
        <v>20.657894736842106</v>
      </c>
      <c r="K79" s="323">
        <f>47.5*100/76</f>
        <v>62.5</v>
      </c>
      <c r="L79" s="323" t="s">
        <v>2</v>
      </c>
      <c r="M79" s="324" t="s">
        <v>2</v>
      </c>
      <c r="N79" s="325" t="s">
        <v>2</v>
      </c>
      <c r="O79" s="326" t="s">
        <v>2</v>
      </c>
      <c r="P79" s="323" t="s">
        <v>2</v>
      </c>
      <c r="Q79" s="323" t="s">
        <v>2</v>
      </c>
      <c r="R79" s="315" t="s">
        <v>2</v>
      </c>
      <c r="S79" s="326" t="s">
        <v>2</v>
      </c>
      <c r="T79" s="326" t="s">
        <v>2</v>
      </c>
      <c r="U79" s="327" t="s">
        <v>2</v>
      </c>
      <c r="V79" s="327" t="s">
        <v>2</v>
      </c>
      <c r="W79" s="324" t="s">
        <v>2</v>
      </c>
      <c r="X79" s="328" t="s">
        <v>2</v>
      </c>
      <c r="Y79" s="327" t="s">
        <v>2</v>
      </c>
      <c r="Z79" s="327" t="s">
        <v>2</v>
      </c>
      <c r="AA79" s="327" t="s">
        <v>2</v>
      </c>
      <c r="AB79" s="327" t="s">
        <v>2</v>
      </c>
      <c r="AC79" s="327" t="s">
        <v>2</v>
      </c>
      <c r="AD79" s="326" t="s">
        <v>2</v>
      </c>
      <c r="AE79" s="326" t="s">
        <v>2</v>
      </c>
      <c r="AF79" s="323" t="s">
        <v>2</v>
      </c>
      <c r="AG79" s="324" t="s">
        <v>2</v>
      </c>
      <c r="AH79" s="320" t="s">
        <v>2</v>
      </c>
      <c r="AI79" s="320" t="s">
        <v>2</v>
      </c>
      <c r="AJ79" s="323" t="s">
        <v>2</v>
      </c>
      <c r="AK79" s="323" t="s">
        <v>2</v>
      </c>
      <c r="AL79" s="324" t="s">
        <v>2</v>
      </c>
      <c r="AM79" s="325" t="s">
        <v>2</v>
      </c>
      <c r="AN79" s="326" t="s">
        <v>2</v>
      </c>
      <c r="AO79" s="329" t="s">
        <v>2</v>
      </c>
      <c r="AP79" s="322" t="s">
        <v>2</v>
      </c>
      <c r="AQ79" s="327" t="s">
        <v>2</v>
      </c>
      <c r="AR79" s="327" t="s">
        <v>2</v>
      </c>
      <c r="AS79" s="327" t="s">
        <v>2</v>
      </c>
      <c r="AT79" s="327" t="s">
        <v>2</v>
      </c>
      <c r="AU79" s="327" t="s">
        <v>2</v>
      </c>
      <c r="AV79" s="330" t="s">
        <v>2</v>
      </c>
      <c r="AW79" s="328" t="s">
        <v>2</v>
      </c>
      <c r="AX79" s="327" t="s">
        <v>2</v>
      </c>
      <c r="AY79" s="327" t="s">
        <v>2</v>
      </c>
      <c r="AZ79" s="330" t="s">
        <v>2</v>
      </c>
      <c r="BA79" s="331" t="s">
        <v>2</v>
      </c>
      <c r="BB79" s="332" t="s">
        <v>2</v>
      </c>
      <c r="BC79" s="332" t="s">
        <v>2</v>
      </c>
      <c r="BD79" s="332" t="s">
        <v>2</v>
      </c>
      <c r="BE79" s="332" t="s">
        <v>2</v>
      </c>
      <c r="BF79" s="333" t="s">
        <v>2</v>
      </c>
      <c r="BG79" s="319" t="s">
        <v>2</v>
      </c>
      <c r="BH79" s="319" t="s">
        <v>2</v>
      </c>
      <c r="BI79" s="325" t="s">
        <v>2</v>
      </c>
      <c r="BJ79" s="326" t="s">
        <v>2</v>
      </c>
      <c r="BK79" s="326" t="s">
        <v>2</v>
      </c>
      <c r="BL79" s="326" t="s">
        <v>2</v>
      </c>
      <c r="BM79" s="326" t="s">
        <v>2</v>
      </c>
      <c r="BN79" s="326" t="s">
        <v>2</v>
      </c>
      <c r="BO79" s="326" t="s">
        <v>2</v>
      </c>
      <c r="BP79" s="326" t="s">
        <v>2</v>
      </c>
      <c r="BQ79" s="326" t="s">
        <v>2</v>
      </c>
      <c r="BR79" s="326" t="s">
        <v>2</v>
      </c>
      <c r="BS79" s="326" t="s">
        <v>2</v>
      </c>
      <c r="BT79" s="326" t="s">
        <v>2</v>
      </c>
      <c r="BU79" s="326" t="s">
        <v>2</v>
      </c>
      <c r="BV79" s="326" t="s">
        <v>2</v>
      </c>
      <c r="BW79" s="326" t="s">
        <v>2</v>
      </c>
      <c r="BX79" s="326" t="s">
        <v>2</v>
      </c>
      <c r="BY79" s="326" t="s">
        <v>2</v>
      </c>
      <c r="BZ79" s="329" t="s">
        <v>2</v>
      </c>
      <c r="CA79" s="328" t="s">
        <v>2</v>
      </c>
      <c r="CB79" s="323" t="s">
        <v>2</v>
      </c>
      <c r="CC79" s="323" t="s">
        <v>2</v>
      </c>
      <c r="CD79" s="323" t="s">
        <v>2</v>
      </c>
      <c r="CE79" s="323" t="s">
        <v>2</v>
      </c>
      <c r="CF79" s="323" t="s">
        <v>2</v>
      </c>
      <c r="CG79" s="324" t="s">
        <v>2</v>
      </c>
      <c r="CH79" s="326" t="s">
        <v>2</v>
      </c>
      <c r="CI79" s="329" t="s">
        <v>2</v>
      </c>
      <c r="CJ79" s="328" t="s">
        <v>2</v>
      </c>
      <c r="CK79" s="323" t="s">
        <v>2</v>
      </c>
      <c r="CL79" s="323" t="s">
        <v>2</v>
      </c>
      <c r="CM79" s="324" t="s">
        <v>2</v>
      </c>
      <c r="CN79" s="319" t="s">
        <v>2</v>
      </c>
      <c r="CO79" s="319" t="s">
        <v>2</v>
      </c>
    </row>
    <row r="80" spans="1:93" x14ac:dyDescent="0.25">
      <c r="A80" s="316">
        <v>16049</v>
      </c>
      <c r="B80" s="317" t="s">
        <v>1937</v>
      </c>
      <c r="C80" s="318"/>
      <c r="D80" s="293">
        <v>16</v>
      </c>
      <c r="E80" s="349">
        <v>0</v>
      </c>
      <c r="F80" s="320">
        <f>524*100/128</f>
        <v>409.375</v>
      </c>
      <c r="G80" s="300">
        <v>1711.1874999999998</v>
      </c>
      <c r="H80" s="321" t="s">
        <v>2</v>
      </c>
      <c r="I80" s="322">
        <f>9.5*100/128</f>
        <v>7.421875</v>
      </c>
      <c r="J80" s="323">
        <f>17*100/128</f>
        <v>13.28125</v>
      </c>
      <c r="K80" s="323">
        <f>83.2*100/128</f>
        <v>65</v>
      </c>
      <c r="L80" s="323" t="s">
        <v>2</v>
      </c>
      <c r="M80" s="324" t="s">
        <v>2</v>
      </c>
      <c r="N80" s="325" t="s">
        <v>2</v>
      </c>
      <c r="O80" s="326" t="s">
        <v>2</v>
      </c>
      <c r="P80" s="323" t="s">
        <v>2</v>
      </c>
      <c r="Q80" s="323" t="s">
        <v>2</v>
      </c>
      <c r="R80" s="315" t="s">
        <v>2</v>
      </c>
      <c r="S80" s="326" t="s">
        <v>2</v>
      </c>
      <c r="T80" s="326" t="s">
        <v>2</v>
      </c>
      <c r="U80" s="327" t="s">
        <v>2</v>
      </c>
      <c r="V80" s="327" t="s">
        <v>2</v>
      </c>
      <c r="W80" s="324" t="s">
        <v>2</v>
      </c>
      <c r="X80" s="328" t="s">
        <v>2</v>
      </c>
      <c r="Y80" s="327" t="s">
        <v>2</v>
      </c>
      <c r="Z80" s="327" t="s">
        <v>2</v>
      </c>
      <c r="AA80" s="327" t="s">
        <v>2</v>
      </c>
      <c r="AB80" s="327" t="s">
        <v>2</v>
      </c>
      <c r="AC80" s="327" t="s">
        <v>2</v>
      </c>
      <c r="AD80" s="326" t="s">
        <v>2</v>
      </c>
      <c r="AE80" s="326" t="s">
        <v>2</v>
      </c>
      <c r="AF80" s="323" t="s">
        <v>2</v>
      </c>
      <c r="AG80" s="324" t="s">
        <v>2</v>
      </c>
      <c r="AH80" s="320" t="s">
        <v>2</v>
      </c>
      <c r="AI80" s="320" t="s">
        <v>2</v>
      </c>
      <c r="AJ80" s="323" t="s">
        <v>2</v>
      </c>
      <c r="AK80" s="323" t="s">
        <v>2</v>
      </c>
      <c r="AL80" s="324" t="s">
        <v>2</v>
      </c>
      <c r="AM80" s="325" t="s">
        <v>2</v>
      </c>
      <c r="AN80" s="326" t="s">
        <v>2</v>
      </c>
      <c r="AO80" s="329" t="s">
        <v>2</v>
      </c>
      <c r="AP80" s="322" t="s">
        <v>2</v>
      </c>
      <c r="AQ80" s="327" t="s">
        <v>2</v>
      </c>
      <c r="AR80" s="327" t="s">
        <v>2</v>
      </c>
      <c r="AS80" s="327" t="s">
        <v>2</v>
      </c>
      <c r="AT80" s="327" t="s">
        <v>2</v>
      </c>
      <c r="AU80" s="327" t="s">
        <v>2</v>
      </c>
      <c r="AV80" s="330" t="s">
        <v>2</v>
      </c>
      <c r="AW80" s="328" t="s">
        <v>2</v>
      </c>
      <c r="AX80" s="327" t="s">
        <v>2</v>
      </c>
      <c r="AY80" s="327" t="s">
        <v>2</v>
      </c>
      <c r="AZ80" s="330" t="s">
        <v>2</v>
      </c>
      <c r="BA80" s="331" t="s">
        <v>2</v>
      </c>
      <c r="BB80" s="332" t="s">
        <v>2</v>
      </c>
      <c r="BC80" s="332" t="s">
        <v>2</v>
      </c>
      <c r="BD80" s="332" t="s">
        <v>2</v>
      </c>
      <c r="BE80" s="332" t="s">
        <v>2</v>
      </c>
      <c r="BF80" s="333" t="s">
        <v>2</v>
      </c>
      <c r="BG80" s="319" t="s">
        <v>2</v>
      </c>
      <c r="BH80" s="319" t="s">
        <v>2</v>
      </c>
      <c r="BI80" s="325" t="s">
        <v>2</v>
      </c>
      <c r="BJ80" s="326" t="s">
        <v>2</v>
      </c>
      <c r="BK80" s="326" t="s">
        <v>2</v>
      </c>
      <c r="BL80" s="326" t="s">
        <v>2</v>
      </c>
      <c r="BM80" s="326" t="s">
        <v>2</v>
      </c>
      <c r="BN80" s="326" t="s">
        <v>2</v>
      </c>
      <c r="BO80" s="326" t="s">
        <v>2</v>
      </c>
      <c r="BP80" s="326" t="s">
        <v>2</v>
      </c>
      <c r="BQ80" s="326" t="s">
        <v>2</v>
      </c>
      <c r="BR80" s="326" t="s">
        <v>2</v>
      </c>
      <c r="BS80" s="326" t="s">
        <v>2</v>
      </c>
      <c r="BT80" s="326" t="s">
        <v>2</v>
      </c>
      <c r="BU80" s="326" t="s">
        <v>2</v>
      </c>
      <c r="BV80" s="326" t="s">
        <v>2</v>
      </c>
      <c r="BW80" s="326" t="s">
        <v>2</v>
      </c>
      <c r="BX80" s="326" t="s">
        <v>2</v>
      </c>
      <c r="BY80" s="326" t="s">
        <v>2</v>
      </c>
      <c r="BZ80" s="329" t="s">
        <v>2</v>
      </c>
      <c r="CA80" s="328" t="s">
        <v>2</v>
      </c>
      <c r="CB80" s="323" t="s">
        <v>2</v>
      </c>
      <c r="CC80" s="323" t="s">
        <v>2</v>
      </c>
      <c r="CD80" s="323" t="s">
        <v>2</v>
      </c>
      <c r="CE80" s="323" t="s">
        <v>2</v>
      </c>
      <c r="CF80" s="323" t="s">
        <v>2</v>
      </c>
      <c r="CG80" s="324" t="s">
        <v>2</v>
      </c>
      <c r="CH80" s="326" t="s">
        <v>2</v>
      </c>
      <c r="CI80" s="329" t="s">
        <v>2</v>
      </c>
      <c r="CJ80" s="328" t="s">
        <v>2</v>
      </c>
      <c r="CK80" s="323" t="s">
        <v>2</v>
      </c>
      <c r="CL80" s="323" t="s">
        <v>2</v>
      </c>
      <c r="CM80" s="324" t="s">
        <v>2</v>
      </c>
      <c r="CN80" s="319" t="s">
        <v>2</v>
      </c>
      <c r="CO80" s="319" t="s">
        <v>2</v>
      </c>
    </row>
    <row r="81" spans="1:93" x14ac:dyDescent="0.25">
      <c r="A81" s="316">
        <v>16050</v>
      </c>
      <c r="B81" s="317" t="s">
        <v>1938</v>
      </c>
      <c r="C81" s="318"/>
      <c r="D81" s="293">
        <v>16</v>
      </c>
      <c r="E81" s="349">
        <v>0</v>
      </c>
      <c r="F81" s="320">
        <f>524*100/127</f>
        <v>412.59842519685037</v>
      </c>
      <c r="G81" s="300">
        <v>1724.6614173228345</v>
      </c>
      <c r="H81" s="321" t="s">
        <v>2</v>
      </c>
      <c r="I81" s="322">
        <f>8.5*100/127</f>
        <v>6.6929133858267713</v>
      </c>
      <c r="J81" s="323">
        <f>17.3*100/127</f>
        <v>13.622047244094489</v>
      </c>
      <c r="K81" s="323">
        <f>82.7*100/127</f>
        <v>65.118110236220474</v>
      </c>
      <c r="L81" s="323" t="s">
        <v>2</v>
      </c>
      <c r="M81" s="324" t="s">
        <v>2</v>
      </c>
      <c r="N81" s="325" t="s">
        <v>2</v>
      </c>
      <c r="O81" s="326" t="s">
        <v>2</v>
      </c>
      <c r="P81" s="323" t="s">
        <v>2</v>
      </c>
      <c r="Q81" s="323" t="s">
        <v>2</v>
      </c>
      <c r="R81" s="315" t="s">
        <v>2</v>
      </c>
      <c r="S81" s="326" t="s">
        <v>2</v>
      </c>
      <c r="T81" s="326" t="s">
        <v>2</v>
      </c>
      <c r="U81" s="327" t="s">
        <v>2</v>
      </c>
      <c r="V81" s="327" t="s">
        <v>2</v>
      </c>
      <c r="W81" s="324" t="s">
        <v>2</v>
      </c>
      <c r="X81" s="328" t="s">
        <v>2</v>
      </c>
      <c r="Y81" s="327" t="s">
        <v>2</v>
      </c>
      <c r="Z81" s="327" t="s">
        <v>2</v>
      </c>
      <c r="AA81" s="327" t="s">
        <v>2</v>
      </c>
      <c r="AB81" s="327" t="s">
        <v>2</v>
      </c>
      <c r="AC81" s="327" t="s">
        <v>2</v>
      </c>
      <c r="AD81" s="326" t="s">
        <v>2</v>
      </c>
      <c r="AE81" s="326" t="s">
        <v>2</v>
      </c>
      <c r="AF81" s="323" t="s">
        <v>2</v>
      </c>
      <c r="AG81" s="324" t="s">
        <v>2</v>
      </c>
      <c r="AH81" s="320" t="s">
        <v>2</v>
      </c>
      <c r="AI81" s="320" t="s">
        <v>2</v>
      </c>
      <c r="AJ81" s="323" t="s">
        <v>2</v>
      </c>
      <c r="AK81" s="323" t="s">
        <v>2</v>
      </c>
      <c r="AL81" s="324" t="s">
        <v>2</v>
      </c>
      <c r="AM81" s="325" t="s">
        <v>2</v>
      </c>
      <c r="AN81" s="326" t="s">
        <v>2</v>
      </c>
      <c r="AO81" s="329" t="s">
        <v>2</v>
      </c>
      <c r="AP81" s="322" t="s">
        <v>2</v>
      </c>
      <c r="AQ81" s="327" t="s">
        <v>2</v>
      </c>
      <c r="AR81" s="327" t="s">
        <v>2</v>
      </c>
      <c r="AS81" s="327" t="s">
        <v>2</v>
      </c>
      <c r="AT81" s="327" t="s">
        <v>2</v>
      </c>
      <c r="AU81" s="327" t="s">
        <v>2</v>
      </c>
      <c r="AV81" s="330" t="s">
        <v>2</v>
      </c>
      <c r="AW81" s="328" t="s">
        <v>2</v>
      </c>
      <c r="AX81" s="327" t="s">
        <v>2</v>
      </c>
      <c r="AY81" s="327" t="s">
        <v>2</v>
      </c>
      <c r="AZ81" s="330" t="s">
        <v>2</v>
      </c>
      <c r="BA81" s="331" t="s">
        <v>2</v>
      </c>
      <c r="BB81" s="332" t="s">
        <v>2</v>
      </c>
      <c r="BC81" s="332" t="s">
        <v>2</v>
      </c>
      <c r="BD81" s="332" t="s">
        <v>2</v>
      </c>
      <c r="BE81" s="332" t="s">
        <v>2</v>
      </c>
      <c r="BF81" s="333" t="s">
        <v>2</v>
      </c>
      <c r="BG81" s="319" t="s">
        <v>2</v>
      </c>
      <c r="BH81" s="319" t="s">
        <v>2</v>
      </c>
      <c r="BI81" s="325" t="s">
        <v>2</v>
      </c>
      <c r="BJ81" s="326" t="s">
        <v>2</v>
      </c>
      <c r="BK81" s="326" t="s">
        <v>2</v>
      </c>
      <c r="BL81" s="326" t="s">
        <v>2</v>
      </c>
      <c r="BM81" s="326" t="s">
        <v>2</v>
      </c>
      <c r="BN81" s="326" t="s">
        <v>2</v>
      </c>
      <c r="BO81" s="326" t="s">
        <v>2</v>
      </c>
      <c r="BP81" s="326" t="s">
        <v>2</v>
      </c>
      <c r="BQ81" s="326" t="s">
        <v>2</v>
      </c>
      <c r="BR81" s="326" t="s">
        <v>2</v>
      </c>
      <c r="BS81" s="326" t="s">
        <v>2</v>
      </c>
      <c r="BT81" s="326" t="s">
        <v>2</v>
      </c>
      <c r="BU81" s="326" t="s">
        <v>2</v>
      </c>
      <c r="BV81" s="326" t="s">
        <v>2</v>
      </c>
      <c r="BW81" s="326" t="s">
        <v>2</v>
      </c>
      <c r="BX81" s="326" t="s">
        <v>2</v>
      </c>
      <c r="BY81" s="326" t="s">
        <v>2</v>
      </c>
      <c r="BZ81" s="329" t="s">
        <v>2</v>
      </c>
      <c r="CA81" s="328" t="s">
        <v>2</v>
      </c>
      <c r="CB81" s="323" t="s">
        <v>2</v>
      </c>
      <c r="CC81" s="323" t="s">
        <v>2</v>
      </c>
      <c r="CD81" s="323" t="s">
        <v>2</v>
      </c>
      <c r="CE81" s="323" t="s">
        <v>2</v>
      </c>
      <c r="CF81" s="323" t="s">
        <v>2</v>
      </c>
      <c r="CG81" s="324" t="s">
        <v>2</v>
      </c>
      <c r="CH81" s="326" t="s">
        <v>2</v>
      </c>
      <c r="CI81" s="329" t="s">
        <v>2</v>
      </c>
      <c r="CJ81" s="328" t="s">
        <v>2</v>
      </c>
      <c r="CK81" s="323" t="s">
        <v>2</v>
      </c>
      <c r="CL81" s="323" t="s">
        <v>2</v>
      </c>
      <c r="CM81" s="324" t="s">
        <v>2</v>
      </c>
      <c r="CN81" s="319" t="s">
        <v>2</v>
      </c>
      <c r="CO81" s="319" t="s">
        <v>2</v>
      </c>
    </row>
    <row r="82" spans="1:93" x14ac:dyDescent="0.25">
      <c r="A82" s="316">
        <v>16051</v>
      </c>
      <c r="B82" s="317" t="s">
        <v>1939</v>
      </c>
      <c r="C82" s="318"/>
      <c r="D82" s="293">
        <v>16</v>
      </c>
      <c r="E82" s="349">
        <v>0</v>
      </c>
      <c r="F82" s="320">
        <f>536*100/129</f>
        <v>415.50387596899225</v>
      </c>
      <c r="G82" s="300">
        <v>1736.8062015503874</v>
      </c>
      <c r="H82" s="321" t="s">
        <v>2</v>
      </c>
      <c r="I82" s="322">
        <f>10.1*100/129</f>
        <v>7.829457364341085</v>
      </c>
      <c r="J82" s="323">
        <f>19.1*100/129</f>
        <v>14.806201550387598</v>
      </c>
      <c r="K82" s="323">
        <f>80.8*100/129</f>
        <v>62.63565891472868</v>
      </c>
      <c r="L82" s="323" t="s">
        <v>2</v>
      </c>
      <c r="M82" s="324" t="s">
        <v>2</v>
      </c>
      <c r="N82" s="325" t="s">
        <v>2</v>
      </c>
      <c r="O82" s="326" t="s">
        <v>2</v>
      </c>
      <c r="P82" s="323" t="s">
        <v>2</v>
      </c>
      <c r="Q82" s="323" t="s">
        <v>2</v>
      </c>
      <c r="R82" s="315" t="s">
        <v>2</v>
      </c>
      <c r="S82" s="326" t="s">
        <v>2</v>
      </c>
      <c r="T82" s="326" t="s">
        <v>2</v>
      </c>
      <c r="U82" s="327" t="s">
        <v>2</v>
      </c>
      <c r="V82" s="327" t="s">
        <v>2</v>
      </c>
      <c r="W82" s="324" t="s">
        <v>2</v>
      </c>
      <c r="X82" s="328" t="s">
        <v>2</v>
      </c>
      <c r="Y82" s="327" t="s">
        <v>2</v>
      </c>
      <c r="Z82" s="327" t="s">
        <v>2</v>
      </c>
      <c r="AA82" s="327" t="s">
        <v>2</v>
      </c>
      <c r="AB82" s="327" t="s">
        <v>2</v>
      </c>
      <c r="AC82" s="327" t="s">
        <v>2</v>
      </c>
      <c r="AD82" s="326" t="s">
        <v>2</v>
      </c>
      <c r="AE82" s="326" t="s">
        <v>2</v>
      </c>
      <c r="AF82" s="323" t="s">
        <v>2</v>
      </c>
      <c r="AG82" s="324" t="s">
        <v>2</v>
      </c>
      <c r="AH82" s="320" t="s">
        <v>2</v>
      </c>
      <c r="AI82" s="320" t="s">
        <v>2</v>
      </c>
      <c r="AJ82" s="323" t="s">
        <v>2</v>
      </c>
      <c r="AK82" s="323" t="s">
        <v>2</v>
      </c>
      <c r="AL82" s="324" t="s">
        <v>2</v>
      </c>
      <c r="AM82" s="325" t="s">
        <v>2</v>
      </c>
      <c r="AN82" s="326" t="s">
        <v>2</v>
      </c>
      <c r="AO82" s="329" t="s">
        <v>2</v>
      </c>
      <c r="AP82" s="322" t="s">
        <v>2</v>
      </c>
      <c r="AQ82" s="327" t="s">
        <v>2</v>
      </c>
      <c r="AR82" s="327" t="s">
        <v>2</v>
      </c>
      <c r="AS82" s="327" t="s">
        <v>2</v>
      </c>
      <c r="AT82" s="327" t="s">
        <v>2</v>
      </c>
      <c r="AU82" s="327" t="s">
        <v>2</v>
      </c>
      <c r="AV82" s="330" t="s">
        <v>2</v>
      </c>
      <c r="AW82" s="328" t="s">
        <v>2</v>
      </c>
      <c r="AX82" s="327" t="s">
        <v>2</v>
      </c>
      <c r="AY82" s="327" t="s">
        <v>2</v>
      </c>
      <c r="AZ82" s="330" t="s">
        <v>2</v>
      </c>
      <c r="BA82" s="331" t="s">
        <v>2</v>
      </c>
      <c r="BB82" s="332" t="s">
        <v>2</v>
      </c>
      <c r="BC82" s="332" t="s">
        <v>2</v>
      </c>
      <c r="BD82" s="332" t="s">
        <v>2</v>
      </c>
      <c r="BE82" s="332" t="s">
        <v>2</v>
      </c>
      <c r="BF82" s="333" t="s">
        <v>2</v>
      </c>
      <c r="BG82" s="319" t="s">
        <v>2</v>
      </c>
      <c r="BH82" s="319" t="s">
        <v>2</v>
      </c>
      <c r="BI82" s="325" t="s">
        <v>2</v>
      </c>
      <c r="BJ82" s="326" t="s">
        <v>2</v>
      </c>
      <c r="BK82" s="326" t="s">
        <v>2</v>
      </c>
      <c r="BL82" s="326" t="s">
        <v>2</v>
      </c>
      <c r="BM82" s="326" t="s">
        <v>2</v>
      </c>
      <c r="BN82" s="326" t="s">
        <v>2</v>
      </c>
      <c r="BO82" s="326" t="s">
        <v>2</v>
      </c>
      <c r="BP82" s="326" t="s">
        <v>2</v>
      </c>
      <c r="BQ82" s="326" t="s">
        <v>2</v>
      </c>
      <c r="BR82" s="326" t="s">
        <v>2</v>
      </c>
      <c r="BS82" s="326" t="s">
        <v>2</v>
      </c>
      <c r="BT82" s="326" t="s">
        <v>2</v>
      </c>
      <c r="BU82" s="326" t="s">
        <v>2</v>
      </c>
      <c r="BV82" s="326" t="s">
        <v>2</v>
      </c>
      <c r="BW82" s="326" t="s">
        <v>2</v>
      </c>
      <c r="BX82" s="326" t="s">
        <v>2</v>
      </c>
      <c r="BY82" s="326" t="s">
        <v>2</v>
      </c>
      <c r="BZ82" s="329" t="s">
        <v>2</v>
      </c>
      <c r="CA82" s="328" t="s">
        <v>2</v>
      </c>
      <c r="CB82" s="323" t="s">
        <v>2</v>
      </c>
      <c r="CC82" s="323" t="s">
        <v>2</v>
      </c>
      <c r="CD82" s="323" t="s">
        <v>2</v>
      </c>
      <c r="CE82" s="323" t="s">
        <v>2</v>
      </c>
      <c r="CF82" s="323" t="s">
        <v>2</v>
      </c>
      <c r="CG82" s="324" t="s">
        <v>2</v>
      </c>
      <c r="CH82" s="326" t="s">
        <v>2</v>
      </c>
      <c r="CI82" s="329" t="s">
        <v>2</v>
      </c>
      <c r="CJ82" s="328" t="s">
        <v>2</v>
      </c>
      <c r="CK82" s="323" t="s">
        <v>2</v>
      </c>
      <c r="CL82" s="323" t="s">
        <v>2</v>
      </c>
      <c r="CM82" s="324" t="s">
        <v>2</v>
      </c>
      <c r="CN82" s="319" t="s">
        <v>2</v>
      </c>
      <c r="CO82" s="319" t="s">
        <v>2</v>
      </c>
    </row>
    <row r="83" spans="1:93" x14ac:dyDescent="0.25">
      <c r="A83" s="316">
        <v>16052</v>
      </c>
      <c r="B83" s="317" t="s">
        <v>1940</v>
      </c>
      <c r="C83" s="318"/>
      <c r="D83" s="293">
        <v>16</v>
      </c>
      <c r="E83" s="349">
        <v>0</v>
      </c>
      <c r="F83" s="320">
        <f>335*100/75</f>
        <v>446.66666666666669</v>
      </c>
      <c r="G83" s="300">
        <v>1867.0666666666666</v>
      </c>
      <c r="H83" s="321" t="s">
        <v>2</v>
      </c>
      <c r="I83" s="322">
        <f>8.6*100/75</f>
        <v>11.466666666666667</v>
      </c>
      <c r="J83" s="323">
        <f>12.6*100/75</f>
        <v>16.8</v>
      </c>
      <c r="K83" s="323">
        <f>46.7*100/75</f>
        <v>62.266666666666666</v>
      </c>
      <c r="L83" s="323" t="s">
        <v>2</v>
      </c>
      <c r="M83" s="324" t="s">
        <v>2</v>
      </c>
      <c r="N83" s="325" t="s">
        <v>2</v>
      </c>
      <c r="O83" s="326" t="s">
        <v>2</v>
      </c>
      <c r="P83" s="323" t="s">
        <v>2</v>
      </c>
      <c r="Q83" s="323" t="s">
        <v>2</v>
      </c>
      <c r="R83" s="315" t="s">
        <v>2</v>
      </c>
      <c r="S83" s="326" t="s">
        <v>2</v>
      </c>
      <c r="T83" s="326" t="s">
        <v>2</v>
      </c>
      <c r="U83" s="327" t="s">
        <v>2</v>
      </c>
      <c r="V83" s="327" t="s">
        <v>2</v>
      </c>
      <c r="W83" s="324" t="s">
        <v>2</v>
      </c>
      <c r="X83" s="328" t="s">
        <v>2</v>
      </c>
      <c r="Y83" s="327" t="s">
        <v>2</v>
      </c>
      <c r="Z83" s="327" t="s">
        <v>2</v>
      </c>
      <c r="AA83" s="327" t="s">
        <v>2</v>
      </c>
      <c r="AB83" s="327" t="s">
        <v>2</v>
      </c>
      <c r="AC83" s="327" t="s">
        <v>2</v>
      </c>
      <c r="AD83" s="326" t="s">
        <v>2</v>
      </c>
      <c r="AE83" s="326" t="s">
        <v>2</v>
      </c>
      <c r="AF83" s="323" t="s">
        <v>2</v>
      </c>
      <c r="AG83" s="324" t="s">
        <v>2</v>
      </c>
      <c r="AH83" s="320" t="s">
        <v>2</v>
      </c>
      <c r="AI83" s="320" t="s">
        <v>2</v>
      </c>
      <c r="AJ83" s="323" t="s">
        <v>2</v>
      </c>
      <c r="AK83" s="323" t="s">
        <v>2</v>
      </c>
      <c r="AL83" s="324" t="s">
        <v>2</v>
      </c>
      <c r="AM83" s="325" t="s">
        <v>2</v>
      </c>
      <c r="AN83" s="326" t="s">
        <v>2</v>
      </c>
      <c r="AO83" s="329" t="s">
        <v>2</v>
      </c>
      <c r="AP83" s="322" t="s">
        <v>2</v>
      </c>
      <c r="AQ83" s="327" t="s">
        <v>2</v>
      </c>
      <c r="AR83" s="327" t="s">
        <v>2</v>
      </c>
      <c r="AS83" s="327" t="s">
        <v>2</v>
      </c>
      <c r="AT83" s="327" t="s">
        <v>2</v>
      </c>
      <c r="AU83" s="327" t="s">
        <v>2</v>
      </c>
      <c r="AV83" s="330" t="s">
        <v>2</v>
      </c>
      <c r="AW83" s="328" t="s">
        <v>2</v>
      </c>
      <c r="AX83" s="327" t="s">
        <v>2</v>
      </c>
      <c r="AY83" s="327" t="s">
        <v>2</v>
      </c>
      <c r="AZ83" s="330" t="s">
        <v>2</v>
      </c>
      <c r="BA83" s="331" t="s">
        <v>2</v>
      </c>
      <c r="BB83" s="332" t="s">
        <v>2</v>
      </c>
      <c r="BC83" s="332" t="s">
        <v>2</v>
      </c>
      <c r="BD83" s="332" t="s">
        <v>2</v>
      </c>
      <c r="BE83" s="332" t="s">
        <v>2</v>
      </c>
      <c r="BF83" s="333" t="s">
        <v>2</v>
      </c>
      <c r="BG83" s="319" t="s">
        <v>2</v>
      </c>
      <c r="BH83" s="319" t="s">
        <v>2</v>
      </c>
      <c r="BI83" s="325" t="s">
        <v>2</v>
      </c>
      <c r="BJ83" s="326" t="s">
        <v>2</v>
      </c>
      <c r="BK83" s="326" t="s">
        <v>2</v>
      </c>
      <c r="BL83" s="326" t="s">
        <v>2</v>
      </c>
      <c r="BM83" s="326" t="s">
        <v>2</v>
      </c>
      <c r="BN83" s="326" t="s">
        <v>2</v>
      </c>
      <c r="BO83" s="326" t="s">
        <v>2</v>
      </c>
      <c r="BP83" s="326" t="s">
        <v>2</v>
      </c>
      <c r="BQ83" s="326" t="s">
        <v>2</v>
      </c>
      <c r="BR83" s="326" t="s">
        <v>2</v>
      </c>
      <c r="BS83" s="326" t="s">
        <v>2</v>
      </c>
      <c r="BT83" s="326" t="s">
        <v>2</v>
      </c>
      <c r="BU83" s="326" t="s">
        <v>2</v>
      </c>
      <c r="BV83" s="326" t="s">
        <v>2</v>
      </c>
      <c r="BW83" s="326" t="s">
        <v>2</v>
      </c>
      <c r="BX83" s="326" t="s">
        <v>2</v>
      </c>
      <c r="BY83" s="326" t="s">
        <v>2</v>
      </c>
      <c r="BZ83" s="329" t="s">
        <v>2</v>
      </c>
      <c r="CA83" s="328" t="s">
        <v>2</v>
      </c>
      <c r="CB83" s="323" t="s">
        <v>2</v>
      </c>
      <c r="CC83" s="323" t="s">
        <v>2</v>
      </c>
      <c r="CD83" s="323" t="s">
        <v>2</v>
      </c>
      <c r="CE83" s="323" t="s">
        <v>2</v>
      </c>
      <c r="CF83" s="323" t="s">
        <v>2</v>
      </c>
      <c r="CG83" s="324" t="s">
        <v>2</v>
      </c>
      <c r="CH83" s="326" t="s">
        <v>2</v>
      </c>
      <c r="CI83" s="329" t="s">
        <v>2</v>
      </c>
      <c r="CJ83" s="328" t="s">
        <v>2</v>
      </c>
      <c r="CK83" s="323" t="s">
        <v>2</v>
      </c>
      <c r="CL83" s="323" t="s">
        <v>2</v>
      </c>
      <c r="CM83" s="324" t="s">
        <v>2</v>
      </c>
      <c r="CN83" s="319" t="s">
        <v>2</v>
      </c>
      <c r="CO83" s="319" t="s">
        <v>2</v>
      </c>
    </row>
    <row r="84" spans="1:93" x14ac:dyDescent="0.25">
      <c r="A84" s="316">
        <v>16053</v>
      </c>
      <c r="B84" s="317" t="s">
        <v>1941</v>
      </c>
      <c r="C84" s="318"/>
      <c r="D84" s="293">
        <v>16</v>
      </c>
      <c r="E84" s="349">
        <v>0</v>
      </c>
      <c r="F84" s="320">
        <f>365*100/79</f>
        <v>462.02531645569621</v>
      </c>
      <c r="G84" s="300">
        <v>1931.2658227848101</v>
      </c>
      <c r="H84" s="321" t="s">
        <v>2</v>
      </c>
      <c r="I84" s="322">
        <f>7.1*100/79</f>
        <v>8.9873417721518987</v>
      </c>
      <c r="J84" s="323">
        <f>15.6*100/79</f>
        <v>19.746835443037973</v>
      </c>
      <c r="K84" s="323">
        <f>49.1*100/79</f>
        <v>62.151898734177216</v>
      </c>
      <c r="L84" s="323" t="s">
        <v>2</v>
      </c>
      <c r="M84" s="324" t="s">
        <v>2</v>
      </c>
      <c r="N84" s="325" t="s">
        <v>2</v>
      </c>
      <c r="O84" s="326" t="s">
        <v>2</v>
      </c>
      <c r="P84" s="323" t="s">
        <v>2</v>
      </c>
      <c r="Q84" s="323" t="s">
        <v>2</v>
      </c>
      <c r="R84" s="315" t="s">
        <v>2</v>
      </c>
      <c r="S84" s="326" t="s">
        <v>2</v>
      </c>
      <c r="T84" s="326" t="s">
        <v>2</v>
      </c>
      <c r="U84" s="327" t="s">
        <v>2</v>
      </c>
      <c r="V84" s="327" t="s">
        <v>2</v>
      </c>
      <c r="W84" s="324" t="s">
        <v>2</v>
      </c>
      <c r="X84" s="328" t="s">
        <v>2</v>
      </c>
      <c r="Y84" s="327" t="s">
        <v>2</v>
      </c>
      <c r="Z84" s="327" t="s">
        <v>2</v>
      </c>
      <c r="AA84" s="327" t="s">
        <v>2</v>
      </c>
      <c r="AB84" s="327" t="s">
        <v>2</v>
      </c>
      <c r="AC84" s="327" t="s">
        <v>2</v>
      </c>
      <c r="AD84" s="326" t="s">
        <v>2</v>
      </c>
      <c r="AE84" s="326" t="s">
        <v>2</v>
      </c>
      <c r="AF84" s="323" t="s">
        <v>2</v>
      </c>
      <c r="AG84" s="324" t="s">
        <v>2</v>
      </c>
      <c r="AH84" s="320" t="s">
        <v>2</v>
      </c>
      <c r="AI84" s="320" t="s">
        <v>2</v>
      </c>
      <c r="AJ84" s="323" t="s">
        <v>2</v>
      </c>
      <c r="AK84" s="323" t="s">
        <v>2</v>
      </c>
      <c r="AL84" s="324" t="s">
        <v>2</v>
      </c>
      <c r="AM84" s="325" t="s">
        <v>2</v>
      </c>
      <c r="AN84" s="326" t="s">
        <v>2</v>
      </c>
      <c r="AO84" s="329" t="s">
        <v>2</v>
      </c>
      <c r="AP84" s="322" t="s">
        <v>2</v>
      </c>
      <c r="AQ84" s="327" t="s">
        <v>2</v>
      </c>
      <c r="AR84" s="327" t="s">
        <v>2</v>
      </c>
      <c r="AS84" s="327" t="s">
        <v>2</v>
      </c>
      <c r="AT84" s="327" t="s">
        <v>2</v>
      </c>
      <c r="AU84" s="327" t="s">
        <v>2</v>
      </c>
      <c r="AV84" s="330" t="s">
        <v>2</v>
      </c>
      <c r="AW84" s="328" t="s">
        <v>2</v>
      </c>
      <c r="AX84" s="327" t="s">
        <v>2</v>
      </c>
      <c r="AY84" s="327" t="s">
        <v>2</v>
      </c>
      <c r="AZ84" s="330" t="s">
        <v>2</v>
      </c>
      <c r="BA84" s="331" t="s">
        <v>2</v>
      </c>
      <c r="BB84" s="332" t="s">
        <v>2</v>
      </c>
      <c r="BC84" s="332" t="s">
        <v>2</v>
      </c>
      <c r="BD84" s="332" t="s">
        <v>2</v>
      </c>
      <c r="BE84" s="332" t="s">
        <v>2</v>
      </c>
      <c r="BF84" s="333" t="s">
        <v>2</v>
      </c>
      <c r="BG84" s="319" t="s">
        <v>2</v>
      </c>
      <c r="BH84" s="319" t="s">
        <v>2</v>
      </c>
      <c r="BI84" s="325" t="s">
        <v>2</v>
      </c>
      <c r="BJ84" s="326" t="s">
        <v>2</v>
      </c>
      <c r="BK84" s="326" t="s">
        <v>2</v>
      </c>
      <c r="BL84" s="326" t="s">
        <v>2</v>
      </c>
      <c r="BM84" s="326" t="s">
        <v>2</v>
      </c>
      <c r="BN84" s="326" t="s">
        <v>2</v>
      </c>
      <c r="BO84" s="326" t="s">
        <v>2</v>
      </c>
      <c r="BP84" s="326" t="s">
        <v>2</v>
      </c>
      <c r="BQ84" s="326" t="s">
        <v>2</v>
      </c>
      <c r="BR84" s="326" t="s">
        <v>2</v>
      </c>
      <c r="BS84" s="326" t="s">
        <v>2</v>
      </c>
      <c r="BT84" s="326" t="s">
        <v>2</v>
      </c>
      <c r="BU84" s="326" t="s">
        <v>2</v>
      </c>
      <c r="BV84" s="326" t="s">
        <v>2</v>
      </c>
      <c r="BW84" s="326" t="s">
        <v>2</v>
      </c>
      <c r="BX84" s="326" t="s">
        <v>2</v>
      </c>
      <c r="BY84" s="326" t="s">
        <v>2</v>
      </c>
      <c r="BZ84" s="329" t="s">
        <v>2</v>
      </c>
      <c r="CA84" s="328" t="s">
        <v>2</v>
      </c>
      <c r="CB84" s="323" t="s">
        <v>2</v>
      </c>
      <c r="CC84" s="323" t="s">
        <v>2</v>
      </c>
      <c r="CD84" s="323" t="s">
        <v>2</v>
      </c>
      <c r="CE84" s="323" t="s">
        <v>2</v>
      </c>
      <c r="CF84" s="323" t="s">
        <v>2</v>
      </c>
      <c r="CG84" s="324" t="s">
        <v>2</v>
      </c>
      <c r="CH84" s="326" t="s">
        <v>2</v>
      </c>
      <c r="CI84" s="329" t="s">
        <v>2</v>
      </c>
      <c r="CJ84" s="328" t="s">
        <v>2</v>
      </c>
      <c r="CK84" s="323" t="s">
        <v>2</v>
      </c>
      <c r="CL84" s="323" t="s">
        <v>2</v>
      </c>
      <c r="CM84" s="324" t="s">
        <v>2</v>
      </c>
      <c r="CN84" s="319" t="s">
        <v>2</v>
      </c>
      <c r="CO84" s="319" t="s">
        <v>2</v>
      </c>
    </row>
    <row r="85" spans="1:93" x14ac:dyDescent="0.25">
      <c r="A85" s="316">
        <v>16054</v>
      </c>
      <c r="B85" s="317" t="s">
        <v>1942</v>
      </c>
      <c r="C85" s="318"/>
      <c r="D85" s="293">
        <v>16</v>
      </c>
      <c r="E85" s="349">
        <v>0</v>
      </c>
      <c r="F85" s="320">
        <f>343*100/76</f>
        <v>451.31578947368422</v>
      </c>
      <c r="G85" s="300">
        <v>1886.5</v>
      </c>
      <c r="H85" s="321" t="s">
        <v>2</v>
      </c>
      <c r="I85" s="322">
        <f>6.7*100/76</f>
        <v>8.8157894736842106</v>
      </c>
      <c r="J85" s="323">
        <f>15.2*100/76</f>
        <v>20</v>
      </c>
      <c r="K85" s="323">
        <f>44.8*100/76</f>
        <v>58.94736842105263</v>
      </c>
      <c r="L85" s="323" t="s">
        <v>2</v>
      </c>
      <c r="M85" s="324" t="s">
        <v>2</v>
      </c>
      <c r="N85" s="325" t="s">
        <v>2</v>
      </c>
      <c r="O85" s="326" t="s">
        <v>2</v>
      </c>
      <c r="P85" s="323" t="s">
        <v>2</v>
      </c>
      <c r="Q85" s="323" t="s">
        <v>2</v>
      </c>
      <c r="R85" s="315" t="s">
        <v>2</v>
      </c>
      <c r="S85" s="326" t="s">
        <v>2</v>
      </c>
      <c r="T85" s="326" t="s">
        <v>2</v>
      </c>
      <c r="U85" s="327" t="s">
        <v>2</v>
      </c>
      <c r="V85" s="327" t="s">
        <v>2</v>
      </c>
      <c r="W85" s="324" t="s">
        <v>2</v>
      </c>
      <c r="X85" s="328" t="s">
        <v>2</v>
      </c>
      <c r="Y85" s="327" t="s">
        <v>2</v>
      </c>
      <c r="Z85" s="327" t="s">
        <v>2</v>
      </c>
      <c r="AA85" s="327" t="s">
        <v>2</v>
      </c>
      <c r="AB85" s="327" t="s">
        <v>2</v>
      </c>
      <c r="AC85" s="327" t="s">
        <v>2</v>
      </c>
      <c r="AD85" s="326" t="s">
        <v>2</v>
      </c>
      <c r="AE85" s="326" t="s">
        <v>2</v>
      </c>
      <c r="AF85" s="323" t="s">
        <v>2</v>
      </c>
      <c r="AG85" s="324" t="s">
        <v>2</v>
      </c>
      <c r="AH85" s="320" t="s">
        <v>2</v>
      </c>
      <c r="AI85" s="320" t="s">
        <v>2</v>
      </c>
      <c r="AJ85" s="323" t="s">
        <v>2</v>
      </c>
      <c r="AK85" s="323" t="s">
        <v>2</v>
      </c>
      <c r="AL85" s="324" t="s">
        <v>2</v>
      </c>
      <c r="AM85" s="325" t="s">
        <v>2</v>
      </c>
      <c r="AN85" s="326" t="s">
        <v>2</v>
      </c>
      <c r="AO85" s="329" t="s">
        <v>2</v>
      </c>
      <c r="AP85" s="322" t="s">
        <v>2</v>
      </c>
      <c r="AQ85" s="327" t="s">
        <v>2</v>
      </c>
      <c r="AR85" s="327" t="s">
        <v>2</v>
      </c>
      <c r="AS85" s="327" t="s">
        <v>2</v>
      </c>
      <c r="AT85" s="327" t="s">
        <v>2</v>
      </c>
      <c r="AU85" s="327" t="s">
        <v>2</v>
      </c>
      <c r="AV85" s="330" t="s">
        <v>2</v>
      </c>
      <c r="AW85" s="328" t="s">
        <v>2</v>
      </c>
      <c r="AX85" s="327" t="s">
        <v>2</v>
      </c>
      <c r="AY85" s="327" t="s">
        <v>2</v>
      </c>
      <c r="AZ85" s="330" t="s">
        <v>2</v>
      </c>
      <c r="BA85" s="331" t="s">
        <v>2</v>
      </c>
      <c r="BB85" s="332" t="s">
        <v>2</v>
      </c>
      <c r="BC85" s="332" t="s">
        <v>2</v>
      </c>
      <c r="BD85" s="332" t="s">
        <v>2</v>
      </c>
      <c r="BE85" s="332" t="s">
        <v>2</v>
      </c>
      <c r="BF85" s="333" t="s">
        <v>2</v>
      </c>
      <c r="BG85" s="319" t="s">
        <v>2</v>
      </c>
      <c r="BH85" s="319" t="s">
        <v>2</v>
      </c>
      <c r="BI85" s="325" t="s">
        <v>2</v>
      </c>
      <c r="BJ85" s="326" t="s">
        <v>2</v>
      </c>
      <c r="BK85" s="326" t="s">
        <v>2</v>
      </c>
      <c r="BL85" s="326" t="s">
        <v>2</v>
      </c>
      <c r="BM85" s="326" t="s">
        <v>2</v>
      </c>
      <c r="BN85" s="326" t="s">
        <v>2</v>
      </c>
      <c r="BO85" s="326" t="s">
        <v>2</v>
      </c>
      <c r="BP85" s="326" t="s">
        <v>2</v>
      </c>
      <c r="BQ85" s="326" t="s">
        <v>2</v>
      </c>
      <c r="BR85" s="326" t="s">
        <v>2</v>
      </c>
      <c r="BS85" s="326" t="s">
        <v>2</v>
      </c>
      <c r="BT85" s="326" t="s">
        <v>2</v>
      </c>
      <c r="BU85" s="326" t="s">
        <v>2</v>
      </c>
      <c r="BV85" s="326" t="s">
        <v>2</v>
      </c>
      <c r="BW85" s="326" t="s">
        <v>2</v>
      </c>
      <c r="BX85" s="326" t="s">
        <v>2</v>
      </c>
      <c r="BY85" s="326" t="s">
        <v>2</v>
      </c>
      <c r="BZ85" s="329" t="s">
        <v>2</v>
      </c>
      <c r="CA85" s="328" t="s">
        <v>2</v>
      </c>
      <c r="CB85" s="323" t="s">
        <v>2</v>
      </c>
      <c r="CC85" s="323" t="s">
        <v>2</v>
      </c>
      <c r="CD85" s="323" t="s">
        <v>2</v>
      </c>
      <c r="CE85" s="323" t="s">
        <v>2</v>
      </c>
      <c r="CF85" s="323" t="s">
        <v>2</v>
      </c>
      <c r="CG85" s="324" t="s">
        <v>2</v>
      </c>
      <c r="CH85" s="326" t="s">
        <v>2</v>
      </c>
      <c r="CI85" s="329" t="s">
        <v>2</v>
      </c>
      <c r="CJ85" s="328" t="s">
        <v>2</v>
      </c>
      <c r="CK85" s="323" t="s">
        <v>2</v>
      </c>
      <c r="CL85" s="323" t="s">
        <v>2</v>
      </c>
      <c r="CM85" s="324" t="s">
        <v>2</v>
      </c>
      <c r="CN85" s="319" t="s">
        <v>2</v>
      </c>
      <c r="CO85" s="319" t="s">
        <v>2</v>
      </c>
    </row>
    <row r="86" spans="1:93" x14ac:dyDescent="0.25">
      <c r="A86" s="316">
        <v>16055</v>
      </c>
      <c r="B86" s="317" t="s">
        <v>1943</v>
      </c>
      <c r="C86" s="318"/>
      <c r="D86" s="293">
        <v>16</v>
      </c>
      <c r="E86" s="349">
        <v>0</v>
      </c>
      <c r="F86" s="320">
        <f>324*100/73</f>
        <v>443.83561643835617</v>
      </c>
      <c r="G86" s="300">
        <v>1855.2328767123286</v>
      </c>
      <c r="H86" s="321" t="s">
        <v>2</v>
      </c>
      <c r="I86" s="322">
        <f>6.4*100/73</f>
        <v>8.7671232876712324</v>
      </c>
      <c r="J86" s="323">
        <f>13.2*100/73</f>
        <v>18.082191780821919</v>
      </c>
      <c r="K86" s="323">
        <f>45*100/73</f>
        <v>61.643835616438359</v>
      </c>
      <c r="L86" s="323" t="s">
        <v>2</v>
      </c>
      <c r="M86" s="324" t="s">
        <v>2</v>
      </c>
      <c r="N86" s="325" t="s">
        <v>2</v>
      </c>
      <c r="O86" s="326" t="s">
        <v>2</v>
      </c>
      <c r="P86" s="323" t="s">
        <v>2</v>
      </c>
      <c r="Q86" s="323" t="s">
        <v>2</v>
      </c>
      <c r="R86" s="315" t="s">
        <v>2</v>
      </c>
      <c r="S86" s="326" t="s">
        <v>2</v>
      </c>
      <c r="T86" s="326" t="s">
        <v>2</v>
      </c>
      <c r="U86" s="327" t="s">
        <v>2</v>
      </c>
      <c r="V86" s="327" t="s">
        <v>2</v>
      </c>
      <c r="W86" s="324" t="s">
        <v>2</v>
      </c>
      <c r="X86" s="328" t="s">
        <v>2</v>
      </c>
      <c r="Y86" s="327" t="s">
        <v>2</v>
      </c>
      <c r="Z86" s="327" t="s">
        <v>2</v>
      </c>
      <c r="AA86" s="327" t="s">
        <v>2</v>
      </c>
      <c r="AB86" s="327" t="s">
        <v>2</v>
      </c>
      <c r="AC86" s="327" t="s">
        <v>2</v>
      </c>
      <c r="AD86" s="326" t="s">
        <v>2</v>
      </c>
      <c r="AE86" s="326" t="s">
        <v>2</v>
      </c>
      <c r="AF86" s="323" t="s">
        <v>2</v>
      </c>
      <c r="AG86" s="324" t="s">
        <v>2</v>
      </c>
      <c r="AH86" s="320" t="s">
        <v>2</v>
      </c>
      <c r="AI86" s="320" t="s">
        <v>2</v>
      </c>
      <c r="AJ86" s="323" t="s">
        <v>2</v>
      </c>
      <c r="AK86" s="323" t="s">
        <v>2</v>
      </c>
      <c r="AL86" s="324" t="s">
        <v>2</v>
      </c>
      <c r="AM86" s="325" t="s">
        <v>2</v>
      </c>
      <c r="AN86" s="326" t="s">
        <v>2</v>
      </c>
      <c r="AO86" s="329" t="s">
        <v>2</v>
      </c>
      <c r="AP86" s="322" t="s">
        <v>2</v>
      </c>
      <c r="AQ86" s="327" t="s">
        <v>2</v>
      </c>
      <c r="AR86" s="327" t="s">
        <v>2</v>
      </c>
      <c r="AS86" s="327" t="s">
        <v>2</v>
      </c>
      <c r="AT86" s="327" t="s">
        <v>2</v>
      </c>
      <c r="AU86" s="327" t="s">
        <v>2</v>
      </c>
      <c r="AV86" s="330" t="s">
        <v>2</v>
      </c>
      <c r="AW86" s="328" t="s">
        <v>2</v>
      </c>
      <c r="AX86" s="327" t="s">
        <v>2</v>
      </c>
      <c r="AY86" s="327" t="s">
        <v>2</v>
      </c>
      <c r="AZ86" s="330" t="s">
        <v>2</v>
      </c>
      <c r="BA86" s="331" t="s">
        <v>2</v>
      </c>
      <c r="BB86" s="332" t="s">
        <v>2</v>
      </c>
      <c r="BC86" s="332" t="s">
        <v>2</v>
      </c>
      <c r="BD86" s="332" t="s">
        <v>2</v>
      </c>
      <c r="BE86" s="332" t="s">
        <v>2</v>
      </c>
      <c r="BF86" s="333" t="s">
        <v>2</v>
      </c>
      <c r="BG86" s="319" t="s">
        <v>2</v>
      </c>
      <c r="BH86" s="319" t="s">
        <v>2</v>
      </c>
      <c r="BI86" s="325" t="s">
        <v>2</v>
      </c>
      <c r="BJ86" s="326" t="s">
        <v>2</v>
      </c>
      <c r="BK86" s="326" t="s">
        <v>2</v>
      </c>
      <c r="BL86" s="326" t="s">
        <v>2</v>
      </c>
      <c r="BM86" s="326" t="s">
        <v>2</v>
      </c>
      <c r="BN86" s="326" t="s">
        <v>2</v>
      </c>
      <c r="BO86" s="326" t="s">
        <v>2</v>
      </c>
      <c r="BP86" s="326" t="s">
        <v>2</v>
      </c>
      <c r="BQ86" s="326" t="s">
        <v>2</v>
      </c>
      <c r="BR86" s="326" t="s">
        <v>2</v>
      </c>
      <c r="BS86" s="326" t="s">
        <v>2</v>
      </c>
      <c r="BT86" s="326" t="s">
        <v>2</v>
      </c>
      <c r="BU86" s="326" t="s">
        <v>2</v>
      </c>
      <c r="BV86" s="326" t="s">
        <v>2</v>
      </c>
      <c r="BW86" s="326" t="s">
        <v>2</v>
      </c>
      <c r="BX86" s="326" t="s">
        <v>2</v>
      </c>
      <c r="BY86" s="326" t="s">
        <v>2</v>
      </c>
      <c r="BZ86" s="329" t="s">
        <v>2</v>
      </c>
      <c r="CA86" s="328" t="s">
        <v>2</v>
      </c>
      <c r="CB86" s="323" t="s">
        <v>2</v>
      </c>
      <c r="CC86" s="323" t="s">
        <v>2</v>
      </c>
      <c r="CD86" s="323" t="s">
        <v>2</v>
      </c>
      <c r="CE86" s="323" t="s">
        <v>2</v>
      </c>
      <c r="CF86" s="323" t="s">
        <v>2</v>
      </c>
      <c r="CG86" s="324" t="s">
        <v>2</v>
      </c>
      <c r="CH86" s="326" t="s">
        <v>2</v>
      </c>
      <c r="CI86" s="329" t="s">
        <v>2</v>
      </c>
      <c r="CJ86" s="328" t="s">
        <v>2</v>
      </c>
      <c r="CK86" s="323" t="s">
        <v>2</v>
      </c>
      <c r="CL86" s="323" t="s">
        <v>2</v>
      </c>
      <c r="CM86" s="324" t="s">
        <v>2</v>
      </c>
      <c r="CN86" s="319" t="s">
        <v>2</v>
      </c>
      <c r="CO86" s="319" t="s">
        <v>2</v>
      </c>
    </row>
    <row r="87" spans="1:93" x14ac:dyDescent="0.25">
      <c r="A87" s="316">
        <v>16056</v>
      </c>
      <c r="B87" s="317" t="s">
        <v>1944</v>
      </c>
      <c r="C87" s="318"/>
      <c r="D87" s="293">
        <v>16</v>
      </c>
      <c r="E87" s="349">
        <v>0</v>
      </c>
      <c r="F87" s="320">
        <f>372*100/82</f>
        <v>453.65853658536588</v>
      </c>
      <c r="G87" s="300">
        <v>1896.2926829268292</v>
      </c>
      <c r="H87" s="321" t="s">
        <v>2</v>
      </c>
      <c r="I87" s="322">
        <f>7.4*100/82</f>
        <v>9.0243902439024382</v>
      </c>
      <c r="J87" s="323">
        <f>16.2*100/82</f>
        <v>19.756097560975611</v>
      </c>
      <c r="K87" s="323">
        <f>49.2*100/82</f>
        <v>60</v>
      </c>
      <c r="L87" s="323" t="s">
        <v>2</v>
      </c>
      <c r="M87" s="324" t="s">
        <v>2</v>
      </c>
      <c r="N87" s="325" t="s">
        <v>2</v>
      </c>
      <c r="O87" s="326" t="s">
        <v>2</v>
      </c>
      <c r="P87" s="323" t="s">
        <v>2</v>
      </c>
      <c r="Q87" s="323" t="s">
        <v>2</v>
      </c>
      <c r="R87" s="315" t="s">
        <v>2</v>
      </c>
      <c r="S87" s="326" t="s">
        <v>2</v>
      </c>
      <c r="T87" s="326" t="s">
        <v>2</v>
      </c>
      <c r="U87" s="327" t="s">
        <v>2</v>
      </c>
      <c r="V87" s="327" t="s">
        <v>2</v>
      </c>
      <c r="W87" s="324" t="s">
        <v>2</v>
      </c>
      <c r="X87" s="328" t="s">
        <v>2</v>
      </c>
      <c r="Y87" s="327" t="s">
        <v>2</v>
      </c>
      <c r="Z87" s="327" t="s">
        <v>2</v>
      </c>
      <c r="AA87" s="327" t="s">
        <v>2</v>
      </c>
      <c r="AB87" s="327" t="s">
        <v>2</v>
      </c>
      <c r="AC87" s="327" t="s">
        <v>2</v>
      </c>
      <c r="AD87" s="326" t="s">
        <v>2</v>
      </c>
      <c r="AE87" s="326" t="s">
        <v>2</v>
      </c>
      <c r="AF87" s="323" t="s">
        <v>2</v>
      </c>
      <c r="AG87" s="324" t="s">
        <v>2</v>
      </c>
      <c r="AH87" s="320" t="s">
        <v>2</v>
      </c>
      <c r="AI87" s="320" t="s">
        <v>2</v>
      </c>
      <c r="AJ87" s="323" t="s">
        <v>2</v>
      </c>
      <c r="AK87" s="323" t="s">
        <v>2</v>
      </c>
      <c r="AL87" s="324" t="s">
        <v>2</v>
      </c>
      <c r="AM87" s="325" t="s">
        <v>2</v>
      </c>
      <c r="AN87" s="326" t="s">
        <v>2</v>
      </c>
      <c r="AO87" s="329" t="s">
        <v>2</v>
      </c>
      <c r="AP87" s="322" t="s">
        <v>2</v>
      </c>
      <c r="AQ87" s="327" t="s">
        <v>2</v>
      </c>
      <c r="AR87" s="327" t="s">
        <v>2</v>
      </c>
      <c r="AS87" s="327" t="s">
        <v>2</v>
      </c>
      <c r="AT87" s="327" t="s">
        <v>2</v>
      </c>
      <c r="AU87" s="327" t="s">
        <v>2</v>
      </c>
      <c r="AV87" s="330" t="s">
        <v>2</v>
      </c>
      <c r="AW87" s="328" t="s">
        <v>2</v>
      </c>
      <c r="AX87" s="327" t="s">
        <v>2</v>
      </c>
      <c r="AY87" s="327" t="s">
        <v>2</v>
      </c>
      <c r="AZ87" s="330" t="s">
        <v>2</v>
      </c>
      <c r="BA87" s="331" t="s">
        <v>2</v>
      </c>
      <c r="BB87" s="332" t="s">
        <v>2</v>
      </c>
      <c r="BC87" s="332" t="s">
        <v>2</v>
      </c>
      <c r="BD87" s="332" t="s">
        <v>2</v>
      </c>
      <c r="BE87" s="332" t="s">
        <v>2</v>
      </c>
      <c r="BF87" s="333" t="s">
        <v>2</v>
      </c>
      <c r="BG87" s="319" t="s">
        <v>2</v>
      </c>
      <c r="BH87" s="319" t="s">
        <v>2</v>
      </c>
      <c r="BI87" s="325" t="s">
        <v>2</v>
      </c>
      <c r="BJ87" s="326" t="s">
        <v>2</v>
      </c>
      <c r="BK87" s="326" t="s">
        <v>2</v>
      </c>
      <c r="BL87" s="326" t="s">
        <v>2</v>
      </c>
      <c r="BM87" s="326" t="s">
        <v>2</v>
      </c>
      <c r="BN87" s="326" t="s">
        <v>2</v>
      </c>
      <c r="BO87" s="326" t="s">
        <v>2</v>
      </c>
      <c r="BP87" s="326" t="s">
        <v>2</v>
      </c>
      <c r="BQ87" s="326" t="s">
        <v>2</v>
      </c>
      <c r="BR87" s="326" t="s">
        <v>2</v>
      </c>
      <c r="BS87" s="326" t="s">
        <v>2</v>
      </c>
      <c r="BT87" s="326" t="s">
        <v>2</v>
      </c>
      <c r="BU87" s="326" t="s">
        <v>2</v>
      </c>
      <c r="BV87" s="326" t="s">
        <v>2</v>
      </c>
      <c r="BW87" s="326" t="s">
        <v>2</v>
      </c>
      <c r="BX87" s="326" t="s">
        <v>2</v>
      </c>
      <c r="BY87" s="326" t="s">
        <v>2</v>
      </c>
      <c r="BZ87" s="329" t="s">
        <v>2</v>
      </c>
      <c r="CA87" s="328" t="s">
        <v>2</v>
      </c>
      <c r="CB87" s="323" t="s">
        <v>2</v>
      </c>
      <c r="CC87" s="323" t="s">
        <v>2</v>
      </c>
      <c r="CD87" s="323" t="s">
        <v>2</v>
      </c>
      <c r="CE87" s="323" t="s">
        <v>2</v>
      </c>
      <c r="CF87" s="323" t="s">
        <v>2</v>
      </c>
      <c r="CG87" s="324" t="s">
        <v>2</v>
      </c>
      <c r="CH87" s="326" t="s">
        <v>2</v>
      </c>
      <c r="CI87" s="329" t="s">
        <v>2</v>
      </c>
      <c r="CJ87" s="328" t="s">
        <v>2</v>
      </c>
      <c r="CK87" s="323" t="s">
        <v>2</v>
      </c>
      <c r="CL87" s="323" t="s">
        <v>2</v>
      </c>
      <c r="CM87" s="324" t="s">
        <v>2</v>
      </c>
      <c r="CN87" s="319" t="s">
        <v>2</v>
      </c>
      <c r="CO87" s="319" t="s">
        <v>2</v>
      </c>
    </row>
    <row r="88" spans="1:93" x14ac:dyDescent="0.25">
      <c r="A88" s="316">
        <v>16057</v>
      </c>
      <c r="B88" s="317" t="s">
        <v>1945</v>
      </c>
      <c r="C88" s="318"/>
      <c r="D88" s="293">
        <v>16</v>
      </c>
      <c r="E88" s="349">
        <v>0</v>
      </c>
      <c r="F88" s="320">
        <f>290*100/65</f>
        <v>446.15384615384613</v>
      </c>
      <c r="G88" s="300">
        <v>1864.9230769230767</v>
      </c>
      <c r="H88" s="321" t="s">
        <v>2</v>
      </c>
      <c r="I88" s="322">
        <f>5.9*100/65</f>
        <v>9.0769230769230766</v>
      </c>
      <c r="J88" s="323">
        <f>11.8*100/65</f>
        <v>18.153846153846153</v>
      </c>
      <c r="K88" s="323">
        <f>40.1*100/65</f>
        <v>61.692307692307693</v>
      </c>
      <c r="L88" s="323" t="s">
        <v>2</v>
      </c>
      <c r="M88" s="324" t="s">
        <v>2</v>
      </c>
      <c r="N88" s="325" t="s">
        <v>2</v>
      </c>
      <c r="O88" s="326" t="s">
        <v>2</v>
      </c>
      <c r="P88" s="323" t="s">
        <v>2</v>
      </c>
      <c r="Q88" s="323" t="s">
        <v>2</v>
      </c>
      <c r="R88" s="315" t="s">
        <v>2</v>
      </c>
      <c r="S88" s="326" t="s">
        <v>2</v>
      </c>
      <c r="T88" s="326" t="s">
        <v>2</v>
      </c>
      <c r="U88" s="327" t="s">
        <v>2</v>
      </c>
      <c r="V88" s="327" t="s">
        <v>2</v>
      </c>
      <c r="W88" s="324" t="s">
        <v>2</v>
      </c>
      <c r="X88" s="328" t="s">
        <v>2</v>
      </c>
      <c r="Y88" s="327" t="s">
        <v>2</v>
      </c>
      <c r="Z88" s="327" t="s">
        <v>2</v>
      </c>
      <c r="AA88" s="327" t="s">
        <v>2</v>
      </c>
      <c r="AB88" s="327" t="s">
        <v>2</v>
      </c>
      <c r="AC88" s="327" t="s">
        <v>2</v>
      </c>
      <c r="AD88" s="326" t="s">
        <v>2</v>
      </c>
      <c r="AE88" s="326" t="s">
        <v>2</v>
      </c>
      <c r="AF88" s="323" t="s">
        <v>2</v>
      </c>
      <c r="AG88" s="324" t="s">
        <v>2</v>
      </c>
      <c r="AH88" s="320" t="s">
        <v>2</v>
      </c>
      <c r="AI88" s="320" t="s">
        <v>2</v>
      </c>
      <c r="AJ88" s="323" t="s">
        <v>2</v>
      </c>
      <c r="AK88" s="323" t="s">
        <v>2</v>
      </c>
      <c r="AL88" s="324" t="s">
        <v>2</v>
      </c>
      <c r="AM88" s="325" t="s">
        <v>2</v>
      </c>
      <c r="AN88" s="326" t="s">
        <v>2</v>
      </c>
      <c r="AO88" s="329" t="s">
        <v>2</v>
      </c>
      <c r="AP88" s="322" t="s">
        <v>2</v>
      </c>
      <c r="AQ88" s="327" t="s">
        <v>2</v>
      </c>
      <c r="AR88" s="327" t="s">
        <v>2</v>
      </c>
      <c r="AS88" s="327" t="s">
        <v>2</v>
      </c>
      <c r="AT88" s="327" t="s">
        <v>2</v>
      </c>
      <c r="AU88" s="327" t="s">
        <v>2</v>
      </c>
      <c r="AV88" s="330" t="s">
        <v>2</v>
      </c>
      <c r="AW88" s="328" t="s">
        <v>2</v>
      </c>
      <c r="AX88" s="327" t="s">
        <v>2</v>
      </c>
      <c r="AY88" s="327" t="s">
        <v>2</v>
      </c>
      <c r="AZ88" s="330" t="s">
        <v>2</v>
      </c>
      <c r="BA88" s="331" t="s">
        <v>2</v>
      </c>
      <c r="BB88" s="332" t="s">
        <v>2</v>
      </c>
      <c r="BC88" s="332" t="s">
        <v>2</v>
      </c>
      <c r="BD88" s="332" t="s">
        <v>2</v>
      </c>
      <c r="BE88" s="332" t="s">
        <v>2</v>
      </c>
      <c r="BF88" s="333" t="s">
        <v>2</v>
      </c>
      <c r="BG88" s="319" t="s">
        <v>2</v>
      </c>
      <c r="BH88" s="319" t="s">
        <v>2</v>
      </c>
      <c r="BI88" s="325" t="s">
        <v>2</v>
      </c>
      <c r="BJ88" s="326" t="s">
        <v>2</v>
      </c>
      <c r="BK88" s="326" t="s">
        <v>2</v>
      </c>
      <c r="BL88" s="326" t="s">
        <v>2</v>
      </c>
      <c r="BM88" s="326" t="s">
        <v>2</v>
      </c>
      <c r="BN88" s="326" t="s">
        <v>2</v>
      </c>
      <c r="BO88" s="326" t="s">
        <v>2</v>
      </c>
      <c r="BP88" s="326" t="s">
        <v>2</v>
      </c>
      <c r="BQ88" s="326" t="s">
        <v>2</v>
      </c>
      <c r="BR88" s="326" t="s">
        <v>2</v>
      </c>
      <c r="BS88" s="326" t="s">
        <v>2</v>
      </c>
      <c r="BT88" s="326" t="s">
        <v>2</v>
      </c>
      <c r="BU88" s="326" t="s">
        <v>2</v>
      </c>
      <c r="BV88" s="326" t="s">
        <v>2</v>
      </c>
      <c r="BW88" s="326" t="s">
        <v>2</v>
      </c>
      <c r="BX88" s="326" t="s">
        <v>2</v>
      </c>
      <c r="BY88" s="326" t="s">
        <v>2</v>
      </c>
      <c r="BZ88" s="329" t="s">
        <v>2</v>
      </c>
      <c r="CA88" s="328" t="s">
        <v>2</v>
      </c>
      <c r="CB88" s="323" t="s">
        <v>2</v>
      </c>
      <c r="CC88" s="323" t="s">
        <v>2</v>
      </c>
      <c r="CD88" s="323" t="s">
        <v>2</v>
      </c>
      <c r="CE88" s="323" t="s">
        <v>2</v>
      </c>
      <c r="CF88" s="323" t="s">
        <v>2</v>
      </c>
      <c r="CG88" s="324" t="s">
        <v>2</v>
      </c>
      <c r="CH88" s="326" t="s">
        <v>2</v>
      </c>
      <c r="CI88" s="329" t="s">
        <v>2</v>
      </c>
      <c r="CJ88" s="328" t="s">
        <v>2</v>
      </c>
      <c r="CK88" s="323" t="s">
        <v>2</v>
      </c>
      <c r="CL88" s="323" t="s">
        <v>2</v>
      </c>
      <c r="CM88" s="324" t="s">
        <v>2</v>
      </c>
      <c r="CN88" s="319" t="s">
        <v>2</v>
      </c>
      <c r="CO88" s="319" t="s">
        <v>2</v>
      </c>
    </row>
    <row r="89" spans="1:93" x14ac:dyDescent="0.25">
      <c r="A89" s="316">
        <v>16058</v>
      </c>
      <c r="B89" s="317" t="s">
        <v>1946</v>
      </c>
      <c r="C89" s="318"/>
      <c r="D89" s="293">
        <v>16</v>
      </c>
      <c r="E89" s="349">
        <v>0</v>
      </c>
      <c r="F89" s="320">
        <f>295*100/63</f>
        <v>468.25396825396825</v>
      </c>
      <c r="G89" s="300">
        <v>1957.3015873015872</v>
      </c>
      <c r="H89" s="321" t="s">
        <v>2</v>
      </c>
      <c r="I89" s="322">
        <f>6.1*100/63</f>
        <v>9.6825396825396819</v>
      </c>
      <c r="J89" s="323">
        <f>12.2*100/63</f>
        <v>19.365079365079364</v>
      </c>
      <c r="K89" s="323">
        <f>40.3*100/63</f>
        <v>63.968253968253961</v>
      </c>
      <c r="L89" s="323" t="s">
        <v>2</v>
      </c>
      <c r="M89" s="324" t="s">
        <v>2</v>
      </c>
      <c r="N89" s="325" t="s">
        <v>2</v>
      </c>
      <c r="O89" s="326" t="s">
        <v>2</v>
      </c>
      <c r="P89" s="323" t="s">
        <v>2</v>
      </c>
      <c r="Q89" s="323" t="s">
        <v>2</v>
      </c>
      <c r="R89" s="315" t="s">
        <v>2</v>
      </c>
      <c r="S89" s="326" t="s">
        <v>2</v>
      </c>
      <c r="T89" s="326" t="s">
        <v>2</v>
      </c>
      <c r="U89" s="327" t="s">
        <v>2</v>
      </c>
      <c r="V89" s="327" t="s">
        <v>2</v>
      </c>
      <c r="W89" s="324" t="s">
        <v>2</v>
      </c>
      <c r="X89" s="328" t="s">
        <v>2</v>
      </c>
      <c r="Y89" s="327" t="s">
        <v>2</v>
      </c>
      <c r="Z89" s="327" t="s">
        <v>2</v>
      </c>
      <c r="AA89" s="327" t="s">
        <v>2</v>
      </c>
      <c r="AB89" s="327" t="s">
        <v>2</v>
      </c>
      <c r="AC89" s="327" t="s">
        <v>2</v>
      </c>
      <c r="AD89" s="326" t="s">
        <v>2</v>
      </c>
      <c r="AE89" s="326" t="s">
        <v>2</v>
      </c>
      <c r="AF89" s="323" t="s">
        <v>2</v>
      </c>
      <c r="AG89" s="324" t="s">
        <v>2</v>
      </c>
      <c r="AH89" s="320" t="s">
        <v>2</v>
      </c>
      <c r="AI89" s="320" t="s">
        <v>2</v>
      </c>
      <c r="AJ89" s="323" t="s">
        <v>2</v>
      </c>
      <c r="AK89" s="323" t="s">
        <v>2</v>
      </c>
      <c r="AL89" s="324" t="s">
        <v>2</v>
      </c>
      <c r="AM89" s="325" t="s">
        <v>2</v>
      </c>
      <c r="AN89" s="326" t="s">
        <v>2</v>
      </c>
      <c r="AO89" s="329" t="s">
        <v>2</v>
      </c>
      <c r="AP89" s="322" t="s">
        <v>2</v>
      </c>
      <c r="AQ89" s="327" t="s">
        <v>2</v>
      </c>
      <c r="AR89" s="327" t="s">
        <v>2</v>
      </c>
      <c r="AS89" s="327" t="s">
        <v>2</v>
      </c>
      <c r="AT89" s="327" t="s">
        <v>2</v>
      </c>
      <c r="AU89" s="327" t="s">
        <v>2</v>
      </c>
      <c r="AV89" s="330" t="s">
        <v>2</v>
      </c>
      <c r="AW89" s="328" t="s">
        <v>2</v>
      </c>
      <c r="AX89" s="327" t="s">
        <v>2</v>
      </c>
      <c r="AY89" s="327" t="s">
        <v>2</v>
      </c>
      <c r="AZ89" s="330" t="s">
        <v>2</v>
      </c>
      <c r="BA89" s="331" t="s">
        <v>2</v>
      </c>
      <c r="BB89" s="332" t="s">
        <v>2</v>
      </c>
      <c r="BC89" s="332" t="s">
        <v>2</v>
      </c>
      <c r="BD89" s="332" t="s">
        <v>2</v>
      </c>
      <c r="BE89" s="332" t="s">
        <v>2</v>
      </c>
      <c r="BF89" s="333" t="s">
        <v>2</v>
      </c>
      <c r="BG89" s="319" t="s">
        <v>2</v>
      </c>
      <c r="BH89" s="319" t="s">
        <v>2</v>
      </c>
      <c r="BI89" s="325" t="s">
        <v>2</v>
      </c>
      <c r="BJ89" s="326" t="s">
        <v>2</v>
      </c>
      <c r="BK89" s="326" t="s">
        <v>2</v>
      </c>
      <c r="BL89" s="326" t="s">
        <v>2</v>
      </c>
      <c r="BM89" s="326" t="s">
        <v>2</v>
      </c>
      <c r="BN89" s="326" t="s">
        <v>2</v>
      </c>
      <c r="BO89" s="326" t="s">
        <v>2</v>
      </c>
      <c r="BP89" s="326" t="s">
        <v>2</v>
      </c>
      <c r="BQ89" s="326" t="s">
        <v>2</v>
      </c>
      <c r="BR89" s="326" t="s">
        <v>2</v>
      </c>
      <c r="BS89" s="326" t="s">
        <v>2</v>
      </c>
      <c r="BT89" s="326" t="s">
        <v>2</v>
      </c>
      <c r="BU89" s="326" t="s">
        <v>2</v>
      </c>
      <c r="BV89" s="326" t="s">
        <v>2</v>
      </c>
      <c r="BW89" s="326" t="s">
        <v>2</v>
      </c>
      <c r="BX89" s="326" t="s">
        <v>2</v>
      </c>
      <c r="BY89" s="326" t="s">
        <v>2</v>
      </c>
      <c r="BZ89" s="329" t="s">
        <v>2</v>
      </c>
      <c r="CA89" s="328" t="s">
        <v>2</v>
      </c>
      <c r="CB89" s="323" t="s">
        <v>2</v>
      </c>
      <c r="CC89" s="323" t="s">
        <v>2</v>
      </c>
      <c r="CD89" s="323" t="s">
        <v>2</v>
      </c>
      <c r="CE89" s="323" t="s">
        <v>2</v>
      </c>
      <c r="CF89" s="323" t="s">
        <v>2</v>
      </c>
      <c r="CG89" s="324" t="s">
        <v>2</v>
      </c>
      <c r="CH89" s="326" t="s">
        <v>2</v>
      </c>
      <c r="CI89" s="329" t="s">
        <v>2</v>
      </c>
      <c r="CJ89" s="328" t="s">
        <v>2</v>
      </c>
      <c r="CK89" s="323" t="s">
        <v>2</v>
      </c>
      <c r="CL89" s="323" t="s">
        <v>2</v>
      </c>
      <c r="CM89" s="324" t="s">
        <v>2</v>
      </c>
      <c r="CN89" s="319" t="s">
        <v>2</v>
      </c>
      <c r="CO89" s="319" t="s">
        <v>2</v>
      </c>
    </row>
    <row r="90" spans="1:93" x14ac:dyDescent="0.25">
      <c r="A90" s="316">
        <v>16059</v>
      </c>
      <c r="B90" s="317" t="s">
        <v>1947</v>
      </c>
      <c r="C90" s="318"/>
      <c r="D90" s="293">
        <v>16</v>
      </c>
      <c r="E90" s="349">
        <v>0</v>
      </c>
      <c r="F90" s="320">
        <f>295*100/63</f>
        <v>468.25396825396825</v>
      </c>
      <c r="G90" s="300">
        <v>1957.3015873015872</v>
      </c>
      <c r="H90" s="321" t="s">
        <v>2</v>
      </c>
      <c r="I90" s="322">
        <f>6.1*100/63</f>
        <v>9.6825396825396819</v>
      </c>
      <c r="J90" s="323">
        <f>12.2*100/63</f>
        <v>19.365079365079364</v>
      </c>
      <c r="K90" s="323">
        <f>40.3*100/63</f>
        <v>63.968253968253961</v>
      </c>
      <c r="L90" s="323" t="s">
        <v>2</v>
      </c>
      <c r="M90" s="324" t="s">
        <v>2</v>
      </c>
      <c r="N90" s="325" t="s">
        <v>2</v>
      </c>
      <c r="O90" s="326" t="s">
        <v>2</v>
      </c>
      <c r="P90" s="323" t="s">
        <v>2</v>
      </c>
      <c r="Q90" s="323" t="s">
        <v>2</v>
      </c>
      <c r="R90" s="315" t="s">
        <v>2</v>
      </c>
      <c r="S90" s="326" t="s">
        <v>2</v>
      </c>
      <c r="T90" s="326" t="s">
        <v>2</v>
      </c>
      <c r="U90" s="327" t="s">
        <v>2</v>
      </c>
      <c r="V90" s="327" t="s">
        <v>2</v>
      </c>
      <c r="W90" s="324" t="s">
        <v>2</v>
      </c>
      <c r="X90" s="328" t="s">
        <v>2</v>
      </c>
      <c r="Y90" s="327" t="s">
        <v>2</v>
      </c>
      <c r="Z90" s="327" t="s">
        <v>2</v>
      </c>
      <c r="AA90" s="327" t="s">
        <v>2</v>
      </c>
      <c r="AB90" s="327" t="s">
        <v>2</v>
      </c>
      <c r="AC90" s="327" t="s">
        <v>2</v>
      </c>
      <c r="AD90" s="326" t="s">
        <v>2</v>
      </c>
      <c r="AE90" s="326" t="s">
        <v>2</v>
      </c>
      <c r="AF90" s="323" t="s">
        <v>2</v>
      </c>
      <c r="AG90" s="324" t="s">
        <v>2</v>
      </c>
      <c r="AH90" s="320" t="s">
        <v>2</v>
      </c>
      <c r="AI90" s="320" t="s">
        <v>2</v>
      </c>
      <c r="AJ90" s="323" t="s">
        <v>2</v>
      </c>
      <c r="AK90" s="323" t="s">
        <v>2</v>
      </c>
      <c r="AL90" s="324" t="s">
        <v>2</v>
      </c>
      <c r="AM90" s="325" t="s">
        <v>2</v>
      </c>
      <c r="AN90" s="326" t="s">
        <v>2</v>
      </c>
      <c r="AO90" s="329" t="s">
        <v>2</v>
      </c>
      <c r="AP90" s="322" t="s">
        <v>2</v>
      </c>
      <c r="AQ90" s="327" t="s">
        <v>2</v>
      </c>
      <c r="AR90" s="327" t="s">
        <v>2</v>
      </c>
      <c r="AS90" s="327" t="s">
        <v>2</v>
      </c>
      <c r="AT90" s="327" t="s">
        <v>2</v>
      </c>
      <c r="AU90" s="327" t="s">
        <v>2</v>
      </c>
      <c r="AV90" s="330" t="s">
        <v>2</v>
      </c>
      <c r="AW90" s="328" t="s">
        <v>2</v>
      </c>
      <c r="AX90" s="327" t="s">
        <v>2</v>
      </c>
      <c r="AY90" s="327" t="s">
        <v>2</v>
      </c>
      <c r="AZ90" s="330" t="s">
        <v>2</v>
      </c>
      <c r="BA90" s="331" t="s">
        <v>2</v>
      </c>
      <c r="BB90" s="332" t="s">
        <v>2</v>
      </c>
      <c r="BC90" s="332" t="s">
        <v>2</v>
      </c>
      <c r="BD90" s="332" t="s">
        <v>2</v>
      </c>
      <c r="BE90" s="332" t="s">
        <v>2</v>
      </c>
      <c r="BF90" s="333" t="s">
        <v>2</v>
      </c>
      <c r="BG90" s="319" t="s">
        <v>2</v>
      </c>
      <c r="BH90" s="319" t="s">
        <v>2</v>
      </c>
      <c r="BI90" s="325" t="s">
        <v>2</v>
      </c>
      <c r="BJ90" s="326" t="s">
        <v>2</v>
      </c>
      <c r="BK90" s="326" t="s">
        <v>2</v>
      </c>
      <c r="BL90" s="326" t="s">
        <v>2</v>
      </c>
      <c r="BM90" s="326" t="s">
        <v>2</v>
      </c>
      <c r="BN90" s="326" t="s">
        <v>2</v>
      </c>
      <c r="BO90" s="326" t="s">
        <v>2</v>
      </c>
      <c r="BP90" s="326" t="s">
        <v>2</v>
      </c>
      <c r="BQ90" s="326" t="s">
        <v>2</v>
      </c>
      <c r="BR90" s="326" t="s">
        <v>2</v>
      </c>
      <c r="BS90" s="326" t="s">
        <v>2</v>
      </c>
      <c r="BT90" s="326" t="s">
        <v>2</v>
      </c>
      <c r="BU90" s="326" t="s">
        <v>2</v>
      </c>
      <c r="BV90" s="326" t="s">
        <v>2</v>
      </c>
      <c r="BW90" s="326" t="s">
        <v>2</v>
      </c>
      <c r="BX90" s="326" t="s">
        <v>2</v>
      </c>
      <c r="BY90" s="326" t="s">
        <v>2</v>
      </c>
      <c r="BZ90" s="329" t="s">
        <v>2</v>
      </c>
      <c r="CA90" s="328" t="s">
        <v>2</v>
      </c>
      <c r="CB90" s="323" t="s">
        <v>2</v>
      </c>
      <c r="CC90" s="323" t="s">
        <v>2</v>
      </c>
      <c r="CD90" s="323" t="s">
        <v>2</v>
      </c>
      <c r="CE90" s="323" t="s">
        <v>2</v>
      </c>
      <c r="CF90" s="323" t="s">
        <v>2</v>
      </c>
      <c r="CG90" s="324" t="s">
        <v>2</v>
      </c>
      <c r="CH90" s="326" t="s">
        <v>2</v>
      </c>
      <c r="CI90" s="329" t="s">
        <v>2</v>
      </c>
      <c r="CJ90" s="328" t="s">
        <v>2</v>
      </c>
      <c r="CK90" s="323" t="s">
        <v>2</v>
      </c>
      <c r="CL90" s="323" t="s">
        <v>2</v>
      </c>
      <c r="CM90" s="324" t="s">
        <v>2</v>
      </c>
      <c r="CN90" s="319" t="s">
        <v>2</v>
      </c>
      <c r="CO90" s="319" t="s">
        <v>2</v>
      </c>
    </row>
    <row r="91" spans="1:93" x14ac:dyDescent="0.25">
      <c r="A91" s="316">
        <v>16060</v>
      </c>
      <c r="B91" s="317" t="s">
        <v>1948</v>
      </c>
      <c r="C91" s="318"/>
      <c r="D91" s="293">
        <v>16</v>
      </c>
      <c r="E91" s="349">
        <v>0</v>
      </c>
      <c r="F91" s="320">
        <f>295*100/63</f>
        <v>468.25396825396825</v>
      </c>
      <c r="G91" s="300">
        <v>1957.3015873015872</v>
      </c>
      <c r="H91" s="321" t="s">
        <v>2</v>
      </c>
      <c r="I91" s="322">
        <f>6.1*100/63</f>
        <v>9.6825396825396819</v>
      </c>
      <c r="J91" s="323">
        <f>12.2*100/63</f>
        <v>19.365079365079364</v>
      </c>
      <c r="K91" s="323">
        <f>40.3*100/63</f>
        <v>63.968253968253961</v>
      </c>
      <c r="L91" s="323" t="s">
        <v>2</v>
      </c>
      <c r="M91" s="324" t="s">
        <v>2</v>
      </c>
      <c r="N91" s="325" t="s">
        <v>2</v>
      </c>
      <c r="O91" s="326" t="s">
        <v>2</v>
      </c>
      <c r="P91" s="323" t="s">
        <v>2</v>
      </c>
      <c r="Q91" s="323" t="s">
        <v>2</v>
      </c>
      <c r="R91" s="315" t="s">
        <v>2</v>
      </c>
      <c r="S91" s="326" t="s">
        <v>2</v>
      </c>
      <c r="T91" s="326" t="s">
        <v>2</v>
      </c>
      <c r="U91" s="327" t="s">
        <v>2</v>
      </c>
      <c r="V91" s="327" t="s">
        <v>2</v>
      </c>
      <c r="W91" s="324" t="s">
        <v>2</v>
      </c>
      <c r="X91" s="328" t="s">
        <v>2</v>
      </c>
      <c r="Y91" s="327" t="s">
        <v>2</v>
      </c>
      <c r="Z91" s="327" t="s">
        <v>2</v>
      </c>
      <c r="AA91" s="327" t="s">
        <v>2</v>
      </c>
      <c r="AB91" s="327" t="s">
        <v>2</v>
      </c>
      <c r="AC91" s="327" t="s">
        <v>2</v>
      </c>
      <c r="AD91" s="326" t="s">
        <v>2</v>
      </c>
      <c r="AE91" s="326" t="s">
        <v>2</v>
      </c>
      <c r="AF91" s="323" t="s">
        <v>2</v>
      </c>
      <c r="AG91" s="324" t="s">
        <v>2</v>
      </c>
      <c r="AH91" s="320" t="s">
        <v>2</v>
      </c>
      <c r="AI91" s="320" t="s">
        <v>2</v>
      </c>
      <c r="AJ91" s="323" t="s">
        <v>2</v>
      </c>
      <c r="AK91" s="323" t="s">
        <v>2</v>
      </c>
      <c r="AL91" s="324" t="s">
        <v>2</v>
      </c>
      <c r="AM91" s="325" t="s">
        <v>2</v>
      </c>
      <c r="AN91" s="326" t="s">
        <v>2</v>
      </c>
      <c r="AO91" s="329" t="s">
        <v>2</v>
      </c>
      <c r="AP91" s="322" t="s">
        <v>2</v>
      </c>
      <c r="AQ91" s="327" t="s">
        <v>2</v>
      </c>
      <c r="AR91" s="327" t="s">
        <v>2</v>
      </c>
      <c r="AS91" s="327" t="s">
        <v>2</v>
      </c>
      <c r="AT91" s="327" t="s">
        <v>2</v>
      </c>
      <c r="AU91" s="327" t="s">
        <v>2</v>
      </c>
      <c r="AV91" s="330" t="s">
        <v>2</v>
      </c>
      <c r="AW91" s="328" t="s">
        <v>2</v>
      </c>
      <c r="AX91" s="327" t="s">
        <v>2</v>
      </c>
      <c r="AY91" s="327" t="s">
        <v>2</v>
      </c>
      <c r="AZ91" s="330" t="s">
        <v>2</v>
      </c>
      <c r="BA91" s="331" t="s">
        <v>2</v>
      </c>
      <c r="BB91" s="332" t="s">
        <v>2</v>
      </c>
      <c r="BC91" s="332" t="s">
        <v>2</v>
      </c>
      <c r="BD91" s="332" t="s">
        <v>2</v>
      </c>
      <c r="BE91" s="332" t="s">
        <v>2</v>
      </c>
      <c r="BF91" s="333" t="s">
        <v>2</v>
      </c>
      <c r="BG91" s="319" t="s">
        <v>2</v>
      </c>
      <c r="BH91" s="319" t="s">
        <v>2</v>
      </c>
      <c r="BI91" s="325" t="s">
        <v>2</v>
      </c>
      <c r="BJ91" s="326" t="s">
        <v>2</v>
      </c>
      <c r="BK91" s="326" t="s">
        <v>2</v>
      </c>
      <c r="BL91" s="326" t="s">
        <v>2</v>
      </c>
      <c r="BM91" s="326" t="s">
        <v>2</v>
      </c>
      <c r="BN91" s="326" t="s">
        <v>2</v>
      </c>
      <c r="BO91" s="326" t="s">
        <v>2</v>
      </c>
      <c r="BP91" s="326" t="s">
        <v>2</v>
      </c>
      <c r="BQ91" s="326" t="s">
        <v>2</v>
      </c>
      <c r="BR91" s="326" t="s">
        <v>2</v>
      </c>
      <c r="BS91" s="326" t="s">
        <v>2</v>
      </c>
      <c r="BT91" s="326" t="s">
        <v>2</v>
      </c>
      <c r="BU91" s="326" t="s">
        <v>2</v>
      </c>
      <c r="BV91" s="326" t="s">
        <v>2</v>
      </c>
      <c r="BW91" s="326" t="s">
        <v>2</v>
      </c>
      <c r="BX91" s="326" t="s">
        <v>2</v>
      </c>
      <c r="BY91" s="326" t="s">
        <v>2</v>
      </c>
      <c r="BZ91" s="329" t="s">
        <v>2</v>
      </c>
      <c r="CA91" s="328" t="s">
        <v>2</v>
      </c>
      <c r="CB91" s="323" t="s">
        <v>2</v>
      </c>
      <c r="CC91" s="323" t="s">
        <v>2</v>
      </c>
      <c r="CD91" s="323" t="s">
        <v>2</v>
      </c>
      <c r="CE91" s="323" t="s">
        <v>2</v>
      </c>
      <c r="CF91" s="323" t="s">
        <v>2</v>
      </c>
      <c r="CG91" s="324" t="s">
        <v>2</v>
      </c>
      <c r="CH91" s="326" t="s">
        <v>2</v>
      </c>
      <c r="CI91" s="329" t="s">
        <v>2</v>
      </c>
      <c r="CJ91" s="328" t="s">
        <v>2</v>
      </c>
      <c r="CK91" s="323" t="s">
        <v>2</v>
      </c>
      <c r="CL91" s="323" t="s">
        <v>2</v>
      </c>
      <c r="CM91" s="324" t="s">
        <v>2</v>
      </c>
      <c r="CN91" s="319" t="s">
        <v>2</v>
      </c>
      <c r="CO91" s="319" t="s">
        <v>2</v>
      </c>
    </row>
    <row r="92" spans="1:93" x14ac:dyDescent="0.25">
      <c r="A92" s="316">
        <v>16061</v>
      </c>
      <c r="B92" s="317" t="s">
        <v>1949</v>
      </c>
      <c r="C92" s="318"/>
      <c r="D92" s="293">
        <v>16</v>
      </c>
      <c r="E92" s="349">
        <v>0</v>
      </c>
      <c r="F92" s="320">
        <f>293.3*100/65</f>
        <v>451.23076923076923</v>
      </c>
      <c r="G92" s="300">
        <v>1886.1446153846152</v>
      </c>
      <c r="H92" s="321" t="s">
        <v>2</v>
      </c>
      <c r="I92" s="322">
        <f>5.6*100/65</f>
        <v>8.615384615384615</v>
      </c>
      <c r="J92" s="323">
        <f>12.1*100/65</f>
        <v>18.615384615384617</v>
      </c>
      <c r="K92" s="323">
        <f>45*100/65</f>
        <v>69.230769230769226</v>
      </c>
      <c r="L92" s="323" t="s">
        <v>2</v>
      </c>
      <c r="M92" s="324" t="s">
        <v>2</v>
      </c>
      <c r="N92" s="325" t="s">
        <v>2</v>
      </c>
      <c r="O92" s="326" t="s">
        <v>2</v>
      </c>
      <c r="P92" s="323" t="s">
        <v>2</v>
      </c>
      <c r="Q92" s="323" t="s">
        <v>2</v>
      </c>
      <c r="R92" s="315">
        <f>980*100/65</f>
        <v>1507.6923076923076</v>
      </c>
      <c r="S92" s="326" t="s">
        <v>2</v>
      </c>
      <c r="T92" s="326" t="s">
        <v>2</v>
      </c>
      <c r="U92" s="327" t="s">
        <v>2</v>
      </c>
      <c r="V92" s="327" t="s">
        <v>2</v>
      </c>
      <c r="W92" s="324" t="s">
        <v>2</v>
      </c>
      <c r="X92" s="328" t="s">
        <v>2</v>
      </c>
      <c r="Y92" s="327" t="s">
        <v>2</v>
      </c>
      <c r="Z92" s="327" t="s">
        <v>2</v>
      </c>
      <c r="AA92" s="327" t="s">
        <v>2</v>
      </c>
      <c r="AB92" s="327" t="s">
        <v>2</v>
      </c>
      <c r="AC92" s="327" t="s">
        <v>2</v>
      </c>
      <c r="AD92" s="326" t="s">
        <v>2</v>
      </c>
      <c r="AE92" s="326" t="s">
        <v>2</v>
      </c>
      <c r="AF92" s="323" t="s">
        <v>2</v>
      </c>
      <c r="AG92" s="324" t="s">
        <v>2</v>
      </c>
      <c r="AH92" s="320" t="s">
        <v>2</v>
      </c>
      <c r="AI92" s="320" t="s">
        <v>2</v>
      </c>
      <c r="AJ92" s="323" t="s">
        <v>2</v>
      </c>
      <c r="AK92" s="323" t="s">
        <v>2</v>
      </c>
      <c r="AL92" s="324" t="s">
        <v>2</v>
      </c>
      <c r="AM92" s="325" t="s">
        <v>2</v>
      </c>
      <c r="AN92" s="326" t="s">
        <v>2</v>
      </c>
      <c r="AO92" s="329" t="s">
        <v>2</v>
      </c>
      <c r="AP92" s="322" t="s">
        <v>2</v>
      </c>
      <c r="AQ92" s="327" t="s">
        <v>2</v>
      </c>
      <c r="AR92" s="327" t="s">
        <v>2</v>
      </c>
      <c r="AS92" s="327" t="s">
        <v>2</v>
      </c>
      <c r="AT92" s="327" t="s">
        <v>2</v>
      </c>
      <c r="AU92" s="327" t="s">
        <v>2</v>
      </c>
      <c r="AV92" s="330" t="s">
        <v>2</v>
      </c>
      <c r="AW92" s="328" t="s">
        <v>2</v>
      </c>
      <c r="AX92" s="327" t="s">
        <v>2</v>
      </c>
      <c r="AY92" s="327" t="s">
        <v>2</v>
      </c>
      <c r="AZ92" s="330" t="s">
        <v>2</v>
      </c>
      <c r="BA92" s="331" t="s">
        <v>2</v>
      </c>
      <c r="BB92" s="332" t="s">
        <v>2</v>
      </c>
      <c r="BC92" s="332" t="s">
        <v>2</v>
      </c>
      <c r="BD92" s="332" t="s">
        <v>2</v>
      </c>
      <c r="BE92" s="332" t="s">
        <v>2</v>
      </c>
      <c r="BF92" s="333" t="s">
        <v>2</v>
      </c>
      <c r="BG92" s="319" t="s">
        <v>2</v>
      </c>
      <c r="BH92" s="319" t="s">
        <v>2</v>
      </c>
      <c r="BI92" s="325" t="s">
        <v>2</v>
      </c>
      <c r="BJ92" s="326" t="s">
        <v>2</v>
      </c>
      <c r="BK92" s="326" t="s">
        <v>2</v>
      </c>
      <c r="BL92" s="326" t="s">
        <v>2</v>
      </c>
      <c r="BM92" s="326" t="s">
        <v>2</v>
      </c>
      <c r="BN92" s="326" t="s">
        <v>2</v>
      </c>
      <c r="BO92" s="326" t="s">
        <v>2</v>
      </c>
      <c r="BP92" s="326" t="s">
        <v>2</v>
      </c>
      <c r="BQ92" s="326" t="s">
        <v>2</v>
      </c>
      <c r="BR92" s="326" t="s">
        <v>2</v>
      </c>
      <c r="BS92" s="326" t="s">
        <v>2</v>
      </c>
      <c r="BT92" s="326" t="s">
        <v>2</v>
      </c>
      <c r="BU92" s="326" t="s">
        <v>2</v>
      </c>
      <c r="BV92" s="326" t="s">
        <v>2</v>
      </c>
      <c r="BW92" s="326" t="s">
        <v>2</v>
      </c>
      <c r="BX92" s="326" t="s">
        <v>2</v>
      </c>
      <c r="BY92" s="326" t="s">
        <v>2</v>
      </c>
      <c r="BZ92" s="329" t="s">
        <v>2</v>
      </c>
      <c r="CA92" s="328" t="s">
        <v>2</v>
      </c>
      <c r="CB92" s="323" t="s">
        <v>2</v>
      </c>
      <c r="CC92" s="323" t="s">
        <v>2</v>
      </c>
      <c r="CD92" s="323" t="s">
        <v>2</v>
      </c>
      <c r="CE92" s="323" t="s">
        <v>2</v>
      </c>
      <c r="CF92" s="323" t="s">
        <v>2</v>
      </c>
      <c r="CG92" s="324" t="s">
        <v>2</v>
      </c>
      <c r="CH92" s="326" t="s">
        <v>2</v>
      </c>
      <c r="CI92" s="329" t="s">
        <v>2</v>
      </c>
      <c r="CJ92" s="328" t="s">
        <v>2</v>
      </c>
      <c r="CK92" s="323" t="s">
        <v>2</v>
      </c>
      <c r="CL92" s="323" t="s">
        <v>2</v>
      </c>
      <c r="CM92" s="324" t="s">
        <v>2</v>
      </c>
      <c r="CN92" s="319" t="s">
        <v>2</v>
      </c>
      <c r="CO92" s="319" t="s">
        <v>2</v>
      </c>
    </row>
    <row r="93" spans="1:93" x14ac:dyDescent="0.25">
      <c r="A93" s="316">
        <v>16062</v>
      </c>
      <c r="B93" s="317" t="s">
        <v>1950</v>
      </c>
      <c r="C93" s="318"/>
      <c r="D93" s="293">
        <v>16</v>
      </c>
      <c r="E93" s="349">
        <v>0</v>
      </c>
      <c r="F93" s="320">
        <f>284*100/63</f>
        <v>450.79365079365078</v>
      </c>
      <c r="G93" s="300">
        <v>1884.3174603174602</v>
      </c>
      <c r="H93" s="321" t="s">
        <v>2</v>
      </c>
      <c r="I93" s="322">
        <f>6.2*100/63</f>
        <v>9.8412698412698418</v>
      </c>
      <c r="J93" s="323">
        <f>10.2*100/63</f>
        <v>16.19047619047619</v>
      </c>
      <c r="K93" s="323">
        <f>41.8*100/63</f>
        <v>66.349206349206355</v>
      </c>
      <c r="L93" s="323" t="s">
        <v>2</v>
      </c>
      <c r="M93" s="324" t="s">
        <v>2</v>
      </c>
      <c r="N93" s="325" t="s">
        <v>2</v>
      </c>
      <c r="O93" s="326" t="s">
        <v>2</v>
      </c>
      <c r="P93" s="323" t="s">
        <v>2</v>
      </c>
      <c r="Q93" s="323" t="s">
        <v>2</v>
      </c>
      <c r="R93" s="315" t="s">
        <v>2</v>
      </c>
      <c r="S93" s="326" t="s">
        <v>2</v>
      </c>
      <c r="T93" s="326" t="s">
        <v>2</v>
      </c>
      <c r="U93" s="327" t="s">
        <v>2</v>
      </c>
      <c r="V93" s="327" t="s">
        <v>2</v>
      </c>
      <c r="W93" s="324" t="s">
        <v>2</v>
      </c>
      <c r="X93" s="328" t="s">
        <v>2</v>
      </c>
      <c r="Y93" s="327" t="s">
        <v>2</v>
      </c>
      <c r="Z93" s="327" t="s">
        <v>2</v>
      </c>
      <c r="AA93" s="327" t="s">
        <v>2</v>
      </c>
      <c r="AB93" s="327" t="s">
        <v>2</v>
      </c>
      <c r="AC93" s="327" t="s">
        <v>2</v>
      </c>
      <c r="AD93" s="326" t="s">
        <v>2</v>
      </c>
      <c r="AE93" s="326" t="s">
        <v>2</v>
      </c>
      <c r="AF93" s="323" t="s">
        <v>2</v>
      </c>
      <c r="AG93" s="324" t="s">
        <v>2</v>
      </c>
      <c r="AH93" s="320" t="s">
        <v>2</v>
      </c>
      <c r="AI93" s="320" t="s">
        <v>2</v>
      </c>
      <c r="AJ93" s="323" t="s">
        <v>2</v>
      </c>
      <c r="AK93" s="323" t="s">
        <v>2</v>
      </c>
      <c r="AL93" s="324" t="s">
        <v>2</v>
      </c>
      <c r="AM93" s="325" t="s">
        <v>2</v>
      </c>
      <c r="AN93" s="326" t="s">
        <v>2</v>
      </c>
      <c r="AO93" s="329" t="s">
        <v>2</v>
      </c>
      <c r="AP93" s="322" t="s">
        <v>2</v>
      </c>
      <c r="AQ93" s="327" t="s">
        <v>2</v>
      </c>
      <c r="AR93" s="327" t="s">
        <v>2</v>
      </c>
      <c r="AS93" s="327" t="s">
        <v>2</v>
      </c>
      <c r="AT93" s="327" t="s">
        <v>2</v>
      </c>
      <c r="AU93" s="327" t="s">
        <v>2</v>
      </c>
      <c r="AV93" s="330" t="s">
        <v>2</v>
      </c>
      <c r="AW93" s="328" t="s">
        <v>2</v>
      </c>
      <c r="AX93" s="327" t="s">
        <v>2</v>
      </c>
      <c r="AY93" s="327" t="s">
        <v>2</v>
      </c>
      <c r="AZ93" s="330" t="s">
        <v>2</v>
      </c>
      <c r="BA93" s="331" t="s">
        <v>2</v>
      </c>
      <c r="BB93" s="332" t="s">
        <v>2</v>
      </c>
      <c r="BC93" s="332" t="s">
        <v>2</v>
      </c>
      <c r="BD93" s="332" t="s">
        <v>2</v>
      </c>
      <c r="BE93" s="332" t="s">
        <v>2</v>
      </c>
      <c r="BF93" s="333" t="s">
        <v>2</v>
      </c>
      <c r="BG93" s="319" t="s">
        <v>2</v>
      </c>
      <c r="BH93" s="319" t="s">
        <v>2</v>
      </c>
      <c r="BI93" s="325" t="s">
        <v>2</v>
      </c>
      <c r="BJ93" s="326" t="s">
        <v>2</v>
      </c>
      <c r="BK93" s="326" t="s">
        <v>2</v>
      </c>
      <c r="BL93" s="326" t="s">
        <v>2</v>
      </c>
      <c r="BM93" s="326" t="s">
        <v>2</v>
      </c>
      <c r="BN93" s="326" t="s">
        <v>2</v>
      </c>
      <c r="BO93" s="326" t="s">
        <v>2</v>
      </c>
      <c r="BP93" s="326" t="s">
        <v>2</v>
      </c>
      <c r="BQ93" s="326" t="s">
        <v>2</v>
      </c>
      <c r="BR93" s="326" t="s">
        <v>2</v>
      </c>
      <c r="BS93" s="326" t="s">
        <v>2</v>
      </c>
      <c r="BT93" s="326" t="s">
        <v>2</v>
      </c>
      <c r="BU93" s="326" t="s">
        <v>2</v>
      </c>
      <c r="BV93" s="326" t="s">
        <v>2</v>
      </c>
      <c r="BW93" s="326" t="s">
        <v>2</v>
      </c>
      <c r="BX93" s="326" t="s">
        <v>2</v>
      </c>
      <c r="BY93" s="326" t="s">
        <v>2</v>
      </c>
      <c r="BZ93" s="329" t="s">
        <v>2</v>
      </c>
      <c r="CA93" s="328" t="s">
        <v>2</v>
      </c>
      <c r="CB93" s="323" t="s">
        <v>2</v>
      </c>
      <c r="CC93" s="323" t="s">
        <v>2</v>
      </c>
      <c r="CD93" s="323" t="s">
        <v>2</v>
      </c>
      <c r="CE93" s="323" t="s">
        <v>2</v>
      </c>
      <c r="CF93" s="323" t="s">
        <v>2</v>
      </c>
      <c r="CG93" s="324" t="s">
        <v>2</v>
      </c>
      <c r="CH93" s="326" t="s">
        <v>2</v>
      </c>
      <c r="CI93" s="329" t="s">
        <v>2</v>
      </c>
      <c r="CJ93" s="328" t="s">
        <v>2</v>
      </c>
      <c r="CK93" s="323" t="s">
        <v>2</v>
      </c>
      <c r="CL93" s="323" t="s">
        <v>2</v>
      </c>
      <c r="CM93" s="324" t="s">
        <v>2</v>
      </c>
      <c r="CN93" s="319" t="s">
        <v>2</v>
      </c>
      <c r="CO93" s="319" t="s">
        <v>2</v>
      </c>
    </row>
    <row r="94" spans="1:93" x14ac:dyDescent="0.25">
      <c r="A94" s="316">
        <v>16063</v>
      </c>
      <c r="B94" s="317" t="s">
        <v>1951</v>
      </c>
      <c r="C94" s="318"/>
      <c r="D94" s="293">
        <v>16</v>
      </c>
      <c r="E94" s="349">
        <v>0</v>
      </c>
      <c r="F94" s="320">
        <f>(264.2+490)/2*100/120</f>
        <v>314.25</v>
      </c>
      <c r="G94" s="300">
        <v>1313.5649999999998</v>
      </c>
      <c r="H94" s="321" t="s">
        <v>2</v>
      </c>
      <c r="I94" s="322">
        <f>(6.4+11.8)/2*100/120</f>
        <v>7.5833333333333339</v>
      </c>
      <c r="J94" s="323">
        <f>(10.6+19.7)/2*100/120</f>
        <v>12.624999999999998</v>
      </c>
      <c r="K94" s="323">
        <f>(35.8+66.4)/2*100/120</f>
        <v>42.583333333333336</v>
      </c>
      <c r="L94" s="323" t="s">
        <v>2</v>
      </c>
      <c r="M94" s="324" t="s">
        <v>2</v>
      </c>
      <c r="N94" s="325" t="s">
        <v>2</v>
      </c>
      <c r="O94" s="326" t="s">
        <v>2</v>
      </c>
      <c r="P94" s="323" t="s">
        <v>2</v>
      </c>
      <c r="Q94" s="323" t="s">
        <v>2</v>
      </c>
      <c r="R94" s="315" t="s">
        <v>2</v>
      </c>
      <c r="S94" s="326" t="s">
        <v>2</v>
      </c>
      <c r="T94" s="326" t="s">
        <v>2</v>
      </c>
      <c r="U94" s="327" t="s">
        <v>2</v>
      </c>
      <c r="V94" s="327" t="s">
        <v>2</v>
      </c>
      <c r="W94" s="324" t="s">
        <v>2</v>
      </c>
      <c r="X94" s="328" t="s">
        <v>2</v>
      </c>
      <c r="Y94" s="327" t="s">
        <v>2</v>
      </c>
      <c r="Z94" s="327" t="s">
        <v>2</v>
      </c>
      <c r="AA94" s="327" t="s">
        <v>2</v>
      </c>
      <c r="AB94" s="327" t="s">
        <v>2</v>
      </c>
      <c r="AC94" s="327" t="s">
        <v>2</v>
      </c>
      <c r="AD94" s="326" t="s">
        <v>2</v>
      </c>
      <c r="AE94" s="326" t="s">
        <v>2</v>
      </c>
      <c r="AF94" s="323" t="s">
        <v>2</v>
      </c>
      <c r="AG94" s="324" t="s">
        <v>2</v>
      </c>
      <c r="AH94" s="320" t="s">
        <v>2</v>
      </c>
      <c r="AI94" s="320" t="s">
        <v>2</v>
      </c>
      <c r="AJ94" s="323" t="s">
        <v>2</v>
      </c>
      <c r="AK94" s="323" t="s">
        <v>2</v>
      </c>
      <c r="AL94" s="324" t="s">
        <v>2</v>
      </c>
      <c r="AM94" s="325" t="s">
        <v>2</v>
      </c>
      <c r="AN94" s="326" t="s">
        <v>2</v>
      </c>
      <c r="AO94" s="329" t="s">
        <v>2</v>
      </c>
      <c r="AP94" s="322" t="s">
        <v>2</v>
      </c>
      <c r="AQ94" s="327" t="s">
        <v>2</v>
      </c>
      <c r="AR94" s="327" t="s">
        <v>2</v>
      </c>
      <c r="AS94" s="327" t="s">
        <v>2</v>
      </c>
      <c r="AT94" s="327" t="s">
        <v>2</v>
      </c>
      <c r="AU94" s="327" t="s">
        <v>2</v>
      </c>
      <c r="AV94" s="330" t="s">
        <v>2</v>
      </c>
      <c r="AW94" s="328" t="s">
        <v>2</v>
      </c>
      <c r="AX94" s="327" t="s">
        <v>2</v>
      </c>
      <c r="AY94" s="327" t="s">
        <v>2</v>
      </c>
      <c r="AZ94" s="330" t="s">
        <v>2</v>
      </c>
      <c r="BA94" s="331" t="s">
        <v>2</v>
      </c>
      <c r="BB94" s="332" t="s">
        <v>2</v>
      </c>
      <c r="BC94" s="332" t="s">
        <v>2</v>
      </c>
      <c r="BD94" s="332" t="s">
        <v>2</v>
      </c>
      <c r="BE94" s="332" t="s">
        <v>2</v>
      </c>
      <c r="BF94" s="333" t="s">
        <v>2</v>
      </c>
      <c r="BG94" s="319" t="s">
        <v>2</v>
      </c>
      <c r="BH94" s="319" t="s">
        <v>2</v>
      </c>
      <c r="BI94" s="325" t="s">
        <v>2</v>
      </c>
      <c r="BJ94" s="326" t="s">
        <v>2</v>
      </c>
      <c r="BK94" s="326" t="s">
        <v>2</v>
      </c>
      <c r="BL94" s="326" t="s">
        <v>2</v>
      </c>
      <c r="BM94" s="326" t="s">
        <v>2</v>
      </c>
      <c r="BN94" s="326" t="s">
        <v>2</v>
      </c>
      <c r="BO94" s="326" t="s">
        <v>2</v>
      </c>
      <c r="BP94" s="326" t="s">
        <v>2</v>
      </c>
      <c r="BQ94" s="326" t="s">
        <v>2</v>
      </c>
      <c r="BR94" s="326" t="s">
        <v>2</v>
      </c>
      <c r="BS94" s="326" t="s">
        <v>2</v>
      </c>
      <c r="BT94" s="326" t="s">
        <v>2</v>
      </c>
      <c r="BU94" s="326" t="s">
        <v>2</v>
      </c>
      <c r="BV94" s="326" t="s">
        <v>2</v>
      </c>
      <c r="BW94" s="326" t="s">
        <v>2</v>
      </c>
      <c r="BX94" s="326" t="s">
        <v>2</v>
      </c>
      <c r="BY94" s="326" t="s">
        <v>2</v>
      </c>
      <c r="BZ94" s="329" t="s">
        <v>2</v>
      </c>
      <c r="CA94" s="328" t="s">
        <v>2</v>
      </c>
      <c r="CB94" s="323" t="s">
        <v>2</v>
      </c>
      <c r="CC94" s="323" t="s">
        <v>2</v>
      </c>
      <c r="CD94" s="323" t="s">
        <v>2</v>
      </c>
      <c r="CE94" s="323" t="s">
        <v>2</v>
      </c>
      <c r="CF94" s="323" t="s">
        <v>2</v>
      </c>
      <c r="CG94" s="324" t="s">
        <v>2</v>
      </c>
      <c r="CH94" s="326" t="s">
        <v>2</v>
      </c>
      <c r="CI94" s="329" t="s">
        <v>2</v>
      </c>
      <c r="CJ94" s="328" t="s">
        <v>2</v>
      </c>
      <c r="CK94" s="323" t="s">
        <v>2</v>
      </c>
      <c r="CL94" s="323" t="s">
        <v>2</v>
      </c>
      <c r="CM94" s="324" t="s">
        <v>2</v>
      </c>
      <c r="CN94" s="319" t="s">
        <v>2</v>
      </c>
      <c r="CO94" s="319" t="s">
        <v>2</v>
      </c>
    </row>
    <row r="95" spans="1:93" x14ac:dyDescent="0.25">
      <c r="A95" s="316">
        <v>16064</v>
      </c>
      <c r="B95" s="317" t="s">
        <v>1952</v>
      </c>
      <c r="C95" s="318"/>
      <c r="D95" s="293">
        <v>16</v>
      </c>
      <c r="E95" s="349">
        <v>0</v>
      </c>
      <c r="F95" s="320">
        <f>(293.9+509.6)/2*100/120</f>
        <v>334.79166666666669</v>
      </c>
      <c r="G95" s="300">
        <v>1399.4291666666666</v>
      </c>
      <c r="H95" s="321" t="s">
        <v>2</v>
      </c>
      <c r="I95" s="322">
        <f>(7+13)/2*100/120</f>
        <v>8.3333333333333339</v>
      </c>
      <c r="J95" s="323">
        <f>(10.3+19.2)/2*100/120</f>
        <v>12.291666666666666</v>
      </c>
      <c r="K95" s="323">
        <f>(38.3+71.2)/2*100/120</f>
        <v>45.625</v>
      </c>
      <c r="L95" s="323" t="s">
        <v>2</v>
      </c>
      <c r="M95" s="324" t="s">
        <v>2</v>
      </c>
      <c r="N95" s="325" t="s">
        <v>2</v>
      </c>
      <c r="O95" s="326" t="s">
        <v>2</v>
      </c>
      <c r="P95" s="323" t="s">
        <v>2</v>
      </c>
      <c r="Q95" s="323" t="s">
        <v>2</v>
      </c>
      <c r="R95" s="315" t="s">
        <v>2</v>
      </c>
      <c r="S95" s="326" t="s">
        <v>2</v>
      </c>
      <c r="T95" s="326" t="s">
        <v>2</v>
      </c>
      <c r="U95" s="327" t="s">
        <v>2</v>
      </c>
      <c r="V95" s="327" t="s">
        <v>2</v>
      </c>
      <c r="W95" s="324" t="s">
        <v>2</v>
      </c>
      <c r="X95" s="328" t="s">
        <v>2</v>
      </c>
      <c r="Y95" s="327" t="s">
        <v>2</v>
      </c>
      <c r="Z95" s="327" t="s">
        <v>2</v>
      </c>
      <c r="AA95" s="327" t="s">
        <v>2</v>
      </c>
      <c r="AB95" s="327" t="s">
        <v>2</v>
      </c>
      <c r="AC95" s="327" t="s">
        <v>2</v>
      </c>
      <c r="AD95" s="326" t="s">
        <v>2</v>
      </c>
      <c r="AE95" s="326" t="s">
        <v>2</v>
      </c>
      <c r="AF95" s="323" t="s">
        <v>2</v>
      </c>
      <c r="AG95" s="324" t="s">
        <v>2</v>
      </c>
      <c r="AH95" s="320" t="s">
        <v>2</v>
      </c>
      <c r="AI95" s="320" t="s">
        <v>2</v>
      </c>
      <c r="AJ95" s="323" t="s">
        <v>2</v>
      </c>
      <c r="AK95" s="323" t="s">
        <v>2</v>
      </c>
      <c r="AL95" s="324" t="s">
        <v>2</v>
      </c>
      <c r="AM95" s="325" t="s">
        <v>2</v>
      </c>
      <c r="AN95" s="326" t="s">
        <v>2</v>
      </c>
      <c r="AO95" s="329" t="s">
        <v>2</v>
      </c>
      <c r="AP95" s="322" t="s">
        <v>2</v>
      </c>
      <c r="AQ95" s="327" t="s">
        <v>2</v>
      </c>
      <c r="AR95" s="327" t="s">
        <v>2</v>
      </c>
      <c r="AS95" s="327" t="s">
        <v>2</v>
      </c>
      <c r="AT95" s="327" t="s">
        <v>2</v>
      </c>
      <c r="AU95" s="327" t="s">
        <v>2</v>
      </c>
      <c r="AV95" s="330" t="s">
        <v>2</v>
      </c>
      <c r="AW95" s="328" t="s">
        <v>2</v>
      </c>
      <c r="AX95" s="327" t="s">
        <v>2</v>
      </c>
      <c r="AY95" s="327" t="s">
        <v>2</v>
      </c>
      <c r="AZ95" s="330" t="s">
        <v>2</v>
      </c>
      <c r="BA95" s="331" t="s">
        <v>2</v>
      </c>
      <c r="BB95" s="332" t="s">
        <v>2</v>
      </c>
      <c r="BC95" s="332" t="s">
        <v>2</v>
      </c>
      <c r="BD95" s="332" t="s">
        <v>2</v>
      </c>
      <c r="BE95" s="332" t="s">
        <v>2</v>
      </c>
      <c r="BF95" s="333" t="s">
        <v>2</v>
      </c>
      <c r="BG95" s="319" t="s">
        <v>2</v>
      </c>
      <c r="BH95" s="319" t="s">
        <v>2</v>
      </c>
      <c r="BI95" s="325" t="s">
        <v>2</v>
      </c>
      <c r="BJ95" s="326" t="s">
        <v>2</v>
      </c>
      <c r="BK95" s="326" t="s">
        <v>2</v>
      </c>
      <c r="BL95" s="326" t="s">
        <v>2</v>
      </c>
      <c r="BM95" s="326" t="s">
        <v>2</v>
      </c>
      <c r="BN95" s="326" t="s">
        <v>2</v>
      </c>
      <c r="BO95" s="326" t="s">
        <v>2</v>
      </c>
      <c r="BP95" s="326" t="s">
        <v>2</v>
      </c>
      <c r="BQ95" s="326" t="s">
        <v>2</v>
      </c>
      <c r="BR95" s="326" t="s">
        <v>2</v>
      </c>
      <c r="BS95" s="326" t="s">
        <v>2</v>
      </c>
      <c r="BT95" s="326" t="s">
        <v>2</v>
      </c>
      <c r="BU95" s="326" t="s">
        <v>2</v>
      </c>
      <c r="BV95" s="326" t="s">
        <v>2</v>
      </c>
      <c r="BW95" s="326" t="s">
        <v>2</v>
      </c>
      <c r="BX95" s="326" t="s">
        <v>2</v>
      </c>
      <c r="BY95" s="326" t="s">
        <v>2</v>
      </c>
      <c r="BZ95" s="329" t="s">
        <v>2</v>
      </c>
      <c r="CA95" s="328" t="s">
        <v>2</v>
      </c>
      <c r="CB95" s="323" t="s">
        <v>2</v>
      </c>
      <c r="CC95" s="323" t="s">
        <v>2</v>
      </c>
      <c r="CD95" s="323" t="s">
        <v>2</v>
      </c>
      <c r="CE95" s="323" t="s">
        <v>2</v>
      </c>
      <c r="CF95" s="323" t="s">
        <v>2</v>
      </c>
      <c r="CG95" s="324" t="s">
        <v>2</v>
      </c>
      <c r="CH95" s="326" t="s">
        <v>2</v>
      </c>
      <c r="CI95" s="329" t="s">
        <v>2</v>
      </c>
      <c r="CJ95" s="328" t="s">
        <v>2</v>
      </c>
      <c r="CK95" s="323" t="s">
        <v>2</v>
      </c>
      <c r="CL95" s="323" t="s">
        <v>2</v>
      </c>
      <c r="CM95" s="324" t="s">
        <v>2</v>
      </c>
      <c r="CN95" s="319" t="s">
        <v>2</v>
      </c>
      <c r="CO95" s="319" t="s">
        <v>2</v>
      </c>
    </row>
    <row r="96" spans="1:93" x14ac:dyDescent="0.25">
      <c r="A96" s="316">
        <v>16065</v>
      </c>
      <c r="B96" s="317" t="s">
        <v>1953</v>
      </c>
      <c r="C96" s="318"/>
      <c r="D96" s="293">
        <v>16</v>
      </c>
      <c r="E96" s="349">
        <v>0</v>
      </c>
      <c r="F96" s="320">
        <f>(277+462)/2*100/75</f>
        <v>492.66666666666669</v>
      </c>
      <c r="G96" s="300">
        <v>2059.3466666666668</v>
      </c>
      <c r="H96" s="321" t="s">
        <v>2</v>
      </c>
      <c r="I96" s="322">
        <f>(4.5+7.5)/2*100/75</f>
        <v>8</v>
      </c>
      <c r="J96" s="323">
        <f>(12.3+20.5)/2*100/75</f>
        <v>21.866666666666664</v>
      </c>
      <c r="K96" s="323">
        <f>(37.1+61.9)/2*100/75</f>
        <v>66</v>
      </c>
      <c r="L96" s="323" t="s">
        <v>2</v>
      </c>
      <c r="M96" s="324" t="s">
        <v>2</v>
      </c>
      <c r="N96" s="325" t="s">
        <v>2</v>
      </c>
      <c r="O96" s="326" t="s">
        <v>2</v>
      </c>
      <c r="P96" s="323" t="s">
        <v>2</v>
      </c>
      <c r="Q96" s="323" t="s">
        <v>2</v>
      </c>
      <c r="R96" s="315" t="s">
        <v>2</v>
      </c>
      <c r="S96" s="326" t="s">
        <v>2</v>
      </c>
      <c r="T96" s="326" t="s">
        <v>2</v>
      </c>
      <c r="U96" s="327" t="s">
        <v>2</v>
      </c>
      <c r="V96" s="327" t="s">
        <v>2</v>
      </c>
      <c r="W96" s="324" t="s">
        <v>2</v>
      </c>
      <c r="X96" s="328" t="s">
        <v>2</v>
      </c>
      <c r="Y96" s="327" t="s">
        <v>2</v>
      </c>
      <c r="Z96" s="327" t="s">
        <v>2</v>
      </c>
      <c r="AA96" s="327" t="s">
        <v>2</v>
      </c>
      <c r="AB96" s="327" t="s">
        <v>2</v>
      </c>
      <c r="AC96" s="327" t="s">
        <v>2</v>
      </c>
      <c r="AD96" s="326" t="s">
        <v>2</v>
      </c>
      <c r="AE96" s="326" t="s">
        <v>2</v>
      </c>
      <c r="AF96" s="323" t="s">
        <v>2</v>
      </c>
      <c r="AG96" s="324" t="s">
        <v>2</v>
      </c>
      <c r="AH96" s="320" t="s">
        <v>2</v>
      </c>
      <c r="AI96" s="320" t="s">
        <v>2</v>
      </c>
      <c r="AJ96" s="323" t="s">
        <v>2</v>
      </c>
      <c r="AK96" s="323" t="s">
        <v>2</v>
      </c>
      <c r="AL96" s="324" t="s">
        <v>2</v>
      </c>
      <c r="AM96" s="325" t="s">
        <v>2</v>
      </c>
      <c r="AN96" s="326" t="s">
        <v>2</v>
      </c>
      <c r="AO96" s="329" t="s">
        <v>2</v>
      </c>
      <c r="AP96" s="322" t="s">
        <v>2</v>
      </c>
      <c r="AQ96" s="327" t="s">
        <v>2</v>
      </c>
      <c r="AR96" s="327" t="s">
        <v>2</v>
      </c>
      <c r="AS96" s="327" t="s">
        <v>2</v>
      </c>
      <c r="AT96" s="327" t="s">
        <v>2</v>
      </c>
      <c r="AU96" s="327" t="s">
        <v>2</v>
      </c>
      <c r="AV96" s="330" t="s">
        <v>2</v>
      </c>
      <c r="AW96" s="328" t="s">
        <v>2</v>
      </c>
      <c r="AX96" s="327" t="s">
        <v>2</v>
      </c>
      <c r="AY96" s="327" t="s">
        <v>2</v>
      </c>
      <c r="AZ96" s="330" t="s">
        <v>2</v>
      </c>
      <c r="BA96" s="331" t="s">
        <v>2</v>
      </c>
      <c r="BB96" s="332" t="s">
        <v>2</v>
      </c>
      <c r="BC96" s="332" t="s">
        <v>2</v>
      </c>
      <c r="BD96" s="332" t="s">
        <v>2</v>
      </c>
      <c r="BE96" s="332" t="s">
        <v>2</v>
      </c>
      <c r="BF96" s="333" t="s">
        <v>2</v>
      </c>
      <c r="BG96" s="319" t="s">
        <v>2</v>
      </c>
      <c r="BH96" s="319" t="s">
        <v>2</v>
      </c>
      <c r="BI96" s="325" t="s">
        <v>2</v>
      </c>
      <c r="BJ96" s="326" t="s">
        <v>2</v>
      </c>
      <c r="BK96" s="326" t="s">
        <v>2</v>
      </c>
      <c r="BL96" s="326" t="s">
        <v>2</v>
      </c>
      <c r="BM96" s="326" t="s">
        <v>2</v>
      </c>
      <c r="BN96" s="326" t="s">
        <v>2</v>
      </c>
      <c r="BO96" s="326" t="s">
        <v>2</v>
      </c>
      <c r="BP96" s="326" t="s">
        <v>2</v>
      </c>
      <c r="BQ96" s="326" t="s">
        <v>2</v>
      </c>
      <c r="BR96" s="326" t="s">
        <v>2</v>
      </c>
      <c r="BS96" s="326" t="s">
        <v>2</v>
      </c>
      <c r="BT96" s="326" t="s">
        <v>2</v>
      </c>
      <c r="BU96" s="326" t="s">
        <v>2</v>
      </c>
      <c r="BV96" s="326" t="s">
        <v>2</v>
      </c>
      <c r="BW96" s="326" t="s">
        <v>2</v>
      </c>
      <c r="BX96" s="326" t="s">
        <v>2</v>
      </c>
      <c r="BY96" s="326" t="s">
        <v>2</v>
      </c>
      <c r="BZ96" s="329" t="s">
        <v>2</v>
      </c>
      <c r="CA96" s="328" t="s">
        <v>2</v>
      </c>
      <c r="CB96" s="323" t="s">
        <v>2</v>
      </c>
      <c r="CC96" s="323" t="s">
        <v>2</v>
      </c>
      <c r="CD96" s="323" t="s">
        <v>2</v>
      </c>
      <c r="CE96" s="323" t="s">
        <v>2</v>
      </c>
      <c r="CF96" s="323" t="s">
        <v>2</v>
      </c>
      <c r="CG96" s="324" t="s">
        <v>2</v>
      </c>
      <c r="CH96" s="326" t="s">
        <v>2</v>
      </c>
      <c r="CI96" s="329" t="s">
        <v>2</v>
      </c>
      <c r="CJ96" s="328" t="s">
        <v>2</v>
      </c>
      <c r="CK96" s="323" t="s">
        <v>2</v>
      </c>
      <c r="CL96" s="323" t="s">
        <v>2</v>
      </c>
      <c r="CM96" s="324" t="s">
        <v>2</v>
      </c>
      <c r="CN96" s="319" t="s">
        <v>2</v>
      </c>
      <c r="CO96" s="319" t="s">
        <v>2</v>
      </c>
    </row>
    <row r="97" spans="1:93" x14ac:dyDescent="0.25">
      <c r="A97" s="316">
        <v>16066</v>
      </c>
      <c r="B97" s="317" t="s">
        <v>1954</v>
      </c>
      <c r="C97" s="318"/>
      <c r="D97" s="293">
        <v>16</v>
      </c>
      <c r="E97" s="349">
        <v>0</v>
      </c>
      <c r="F97" s="320">
        <f>(258.8+480.6)/2*100/75</f>
        <v>492.93333333333345</v>
      </c>
      <c r="G97" s="300">
        <v>2060.4613333333336</v>
      </c>
      <c r="H97" s="321" t="s">
        <v>2</v>
      </c>
      <c r="I97" s="322">
        <f>(4.7+8.75)/2*100/75</f>
        <v>8.9666666666666668</v>
      </c>
      <c r="J97" s="323">
        <f>(10.8+20)/2*100/75</f>
        <v>20.533333333333335</v>
      </c>
      <c r="K97" s="323">
        <f>(35.7+66.4)/2*100/75</f>
        <v>68.066666666666663</v>
      </c>
      <c r="L97" s="323" t="s">
        <v>2</v>
      </c>
      <c r="M97" s="324" t="s">
        <v>2</v>
      </c>
      <c r="N97" s="325" t="s">
        <v>2</v>
      </c>
      <c r="O97" s="326" t="s">
        <v>2</v>
      </c>
      <c r="P97" s="323" t="s">
        <v>2</v>
      </c>
      <c r="Q97" s="323" t="s">
        <v>2</v>
      </c>
      <c r="R97" s="315" t="s">
        <v>2</v>
      </c>
      <c r="S97" s="326" t="s">
        <v>2</v>
      </c>
      <c r="T97" s="326" t="s">
        <v>2</v>
      </c>
      <c r="U97" s="327" t="s">
        <v>2</v>
      </c>
      <c r="V97" s="327" t="s">
        <v>2</v>
      </c>
      <c r="W97" s="324" t="s">
        <v>2</v>
      </c>
      <c r="X97" s="328" t="s">
        <v>2</v>
      </c>
      <c r="Y97" s="327" t="s">
        <v>2</v>
      </c>
      <c r="Z97" s="327" t="s">
        <v>2</v>
      </c>
      <c r="AA97" s="327" t="s">
        <v>2</v>
      </c>
      <c r="AB97" s="327" t="s">
        <v>2</v>
      </c>
      <c r="AC97" s="327" t="s">
        <v>2</v>
      </c>
      <c r="AD97" s="326" t="s">
        <v>2</v>
      </c>
      <c r="AE97" s="326" t="s">
        <v>2</v>
      </c>
      <c r="AF97" s="323" t="s">
        <v>2</v>
      </c>
      <c r="AG97" s="324" t="s">
        <v>2</v>
      </c>
      <c r="AH97" s="320" t="s">
        <v>2</v>
      </c>
      <c r="AI97" s="320" t="s">
        <v>2</v>
      </c>
      <c r="AJ97" s="323" t="s">
        <v>2</v>
      </c>
      <c r="AK97" s="323" t="s">
        <v>2</v>
      </c>
      <c r="AL97" s="324" t="s">
        <v>2</v>
      </c>
      <c r="AM97" s="325" t="s">
        <v>2</v>
      </c>
      <c r="AN97" s="326" t="s">
        <v>2</v>
      </c>
      <c r="AO97" s="329" t="s">
        <v>2</v>
      </c>
      <c r="AP97" s="322" t="s">
        <v>2</v>
      </c>
      <c r="AQ97" s="327" t="s">
        <v>2</v>
      </c>
      <c r="AR97" s="327" t="s">
        <v>2</v>
      </c>
      <c r="AS97" s="327" t="s">
        <v>2</v>
      </c>
      <c r="AT97" s="327" t="s">
        <v>2</v>
      </c>
      <c r="AU97" s="327" t="s">
        <v>2</v>
      </c>
      <c r="AV97" s="330" t="s">
        <v>2</v>
      </c>
      <c r="AW97" s="328" t="s">
        <v>2</v>
      </c>
      <c r="AX97" s="327" t="s">
        <v>2</v>
      </c>
      <c r="AY97" s="327" t="s">
        <v>2</v>
      </c>
      <c r="AZ97" s="330" t="s">
        <v>2</v>
      </c>
      <c r="BA97" s="331" t="s">
        <v>2</v>
      </c>
      <c r="BB97" s="332" t="s">
        <v>2</v>
      </c>
      <c r="BC97" s="332" t="s">
        <v>2</v>
      </c>
      <c r="BD97" s="332" t="s">
        <v>2</v>
      </c>
      <c r="BE97" s="332" t="s">
        <v>2</v>
      </c>
      <c r="BF97" s="333" t="s">
        <v>2</v>
      </c>
      <c r="BG97" s="319" t="s">
        <v>2</v>
      </c>
      <c r="BH97" s="319" t="s">
        <v>2</v>
      </c>
      <c r="BI97" s="325" t="s">
        <v>2</v>
      </c>
      <c r="BJ97" s="326" t="s">
        <v>2</v>
      </c>
      <c r="BK97" s="326" t="s">
        <v>2</v>
      </c>
      <c r="BL97" s="326" t="s">
        <v>2</v>
      </c>
      <c r="BM97" s="326" t="s">
        <v>2</v>
      </c>
      <c r="BN97" s="326" t="s">
        <v>2</v>
      </c>
      <c r="BO97" s="326" t="s">
        <v>2</v>
      </c>
      <c r="BP97" s="326" t="s">
        <v>2</v>
      </c>
      <c r="BQ97" s="326" t="s">
        <v>2</v>
      </c>
      <c r="BR97" s="326" t="s">
        <v>2</v>
      </c>
      <c r="BS97" s="326" t="s">
        <v>2</v>
      </c>
      <c r="BT97" s="326" t="s">
        <v>2</v>
      </c>
      <c r="BU97" s="326" t="s">
        <v>2</v>
      </c>
      <c r="BV97" s="326" t="s">
        <v>2</v>
      </c>
      <c r="BW97" s="326" t="s">
        <v>2</v>
      </c>
      <c r="BX97" s="326" t="s">
        <v>2</v>
      </c>
      <c r="BY97" s="326" t="s">
        <v>2</v>
      </c>
      <c r="BZ97" s="329" t="s">
        <v>2</v>
      </c>
      <c r="CA97" s="328" t="s">
        <v>2</v>
      </c>
      <c r="CB97" s="323" t="s">
        <v>2</v>
      </c>
      <c r="CC97" s="323" t="s">
        <v>2</v>
      </c>
      <c r="CD97" s="323" t="s">
        <v>2</v>
      </c>
      <c r="CE97" s="323" t="s">
        <v>2</v>
      </c>
      <c r="CF97" s="323" t="s">
        <v>2</v>
      </c>
      <c r="CG97" s="324" t="s">
        <v>2</v>
      </c>
      <c r="CH97" s="326" t="s">
        <v>2</v>
      </c>
      <c r="CI97" s="329" t="s">
        <v>2</v>
      </c>
      <c r="CJ97" s="328" t="s">
        <v>2</v>
      </c>
      <c r="CK97" s="323" t="s">
        <v>2</v>
      </c>
      <c r="CL97" s="323" t="s">
        <v>2</v>
      </c>
      <c r="CM97" s="324" t="s">
        <v>2</v>
      </c>
      <c r="CN97" s="319" t="s">
        <v>2</v>
      </c>
      <c r="CO97" s="319" t="s">
        <v>2</v>
      </c>
    </row>
    <row r="98" spans="1:93" x14ac:dyDescent="0.25">
      <c r="A98" s="316">
        <v>16067</v>
      </c>
      <c r="B98" s="317" t="s">
        <v>1955</v>
      </c>
      <c r="C98" s="318"/>
      <c r="D98" s="293">
        <v>16</v>
      </c>
      <c r="E98" s="349">
        <v>0</v>
      </c>
      <c r="F98" s="320">
        <f>372.4*100/78</f>
        <v>477.43589743589746</v>
      </c>
      <c r="G98" s="300">
        <v>1995.6820512820511</v>
      </c>
      <c r="H98" s="321" t="s">
        <v>2</v>
      </c>
      <c r="I98" s="322">
        <f>7.6*100/78</f>
        <v>9.7435897435897427</v>
      </c>
      <c r="J98" s="323">
        <f>18*100/78</f>
        <v>23.076923076923077</v>
      </c>
      <c r="K98" s="323">
        <f>45*100/78</f>
        <v>57.692307692307693</v>
      </c>
      <c r="L98" s="323" t="s">
        <v>2</v>
      </c>
      <c r="M98" s="324" t="s">
        <v>2</v>
      </c>
      <c r="N98" s="325" t="s">
        <v>2</v>
      </c>
      <c r="O98" s="326" t="s">
        <v>2</v>
      </c>
      <c r="P98" s="323" t="s">
        <v>2</v>
      </c>
      <c r="Q98" s="323" t="s">
        <v>2</v>
      </c>
      <c r="R98" s="315" t="s">
        <v>2</v>
      </c>
      <c r="S98" s="326" t="s">
        <v>2</v>
      </c>
      <c r="T98" s="326" t="s">
        <v>2</v>
      </c>
      <c r="U98" s="327" t="s">
        <v>2</v>
      </c>
      <c r="V98" s="327" t="s">
        <v>2</v>
      </c>
      <c r="W98" s="324" t="s">
        <v>2</v>
      </c>
      <c r="X98" s="328" t="s">
        <v>2</v>
      </c>
      <c r="Y98" s="327" t="s">
        <v>2</v>
      </c>
      <c r="Z98" s="327" t="s">
        <v>2</v>
      </c>
      <c r="AA98" s="327" t="s">
        <v>2</v>
      </c>
      <c r="AB98" s="327" t="s">
        <v>2</v>
      </c>
      <c r="AC98" s="327" t="s">
        <v>2</v>
      </c>
      <c r="AD98" s="326" t="s">
        <v>2</v>
      </c>
      <c r="AE98" s="326" t="s">
        <v>2</v>
      </c>
      <c r="AF98" s="323" t="s">
        <v>2</v>
      </c>
      <c r="AG98" s="324" t="s">
        <v>2</v>
      </c>
      <c r="AH98" s="320" t="s">
        <v>2</v>
      </c>
      <c r="AI98" s="320" t="s">
        <v>2</v>
      </c>
      <c r="AJ98" s="323" t="s">
        <v>2</v>
      </c>
      <c r="AK98" s="323" t="s">
        <v>2</v>
      </c>
      <c r="AL98" s="324" t="s">
        <v>2</v>
      </c>
      <c r="AM98" s="325" t="s">
        <v>2</v>
      </c>
      <c r="AN98" s="326" t="s">
        <v>2</v>
      </c>
      <c r="AO98" s="329" t="s">
        <v>2</v>
      </c>
      <c r="AP98" s="322" t="s">
        <v>2</v>
      </c>
      <c r="AQ98" s="327" t="s">
        <v>2</v>
      </c>
      <c r="AR98" s="327" t="s">
        <v>2</v>
      </c>
      <c r="AS98" s="327" t="s">
        <v>2</v>
      </c>
      <c r="AT98" s="327" t="s">
        <v>2</v>
      </c>
      <c r="AU98" s="327" t="s">
        <v>2</v>
      </c>
      <c r="AV98" s="330" t="s">
        <v>2</v>
      </c>
      <c r="AW98" s="328" t="s">
        <v>2</v>
      </c>
      <c r="AX98" s="327" t="s">
        <v>2</v>
      </c>
      <c r="AY98" s="327" t="s">
        <v>2</v>
      </c>
      <c r="AZ98" s="330" t="s">
        <v>2</v>
      </c>
      <c r="BA98" s="331" t="s">
        <v>2</v>
      </c>
      <c r="BB98" s="332" t="s">
        <v>2</v>
      </c>
      <c r="BC98" s="332" t="s">
        <v>2</v>
      </c>
      <c r="BD98" s="332" t="s">
        <v>2</v>
      </c>
      <c r="BE98" s="332" t="s">
        <v>2</v>
      </c>
      <c r="BF98" s="333" t="s">
        <v>2</v>
      </c>
      <c r="BG98" s="319" t="s">
        <v>2</v>
      </c>
      <c r="BH98" s="319" t="s">
        <v>2</v>
      </c>
      <c r="BI98" s="325" t="s">
        <v>2</v>
      </c>
      <c r="BJ98" s="326" t="s">
        <v>2</v>
      </c>
      <c r="BK98" s="326" t="s">
        <v>2</v>
      </c>
      <c r="BL98" s="326" t="s">
        <v>2</v>
      </c>
      <c r="BM98" s="326" t="s">
        <v>2</v>
      </c>
      <c r="BN98" s="326" t="s">
        <v>2</v>
      </c>
      <c r="BO98" s="326" t="s">
        <v>2</v>
      </c>
      <c r="BP98" s="326" t="s">
        <v>2</v>
      </c>
      <c r="BQ98" s="326" t="s">
        <v>2</v>
      </c>
      <c r="BR98" s="326" t="s">
        <v>2</v>
      </c>
      <c r="BS98" s="326" t="s">
        <v>2</v>
      </c>
      <c r="BT98" s="326" t="s">
        <v>2</v>
      </c>
      <c r="BU98" s="326" t="s">
        <v>2</v>
      </c>
      <c r="BV98" s="326" t="s">
        <v>2</v>
      </c>
      <c r="BW98" s="326" t="s">
        <v>2</v>
      </c>
      <c r="BX98" s="326" t="s">
        <v>2</v>
      </c>
      <c r="BY98" s="326" t="s">
        <v>2</v>
      </c>
      <c r="BZ98" s="329" t="s">
        <v>2</v>
      </c>
      <c r="CA98" s="328" t="s">
        <v>2</v>
      </c>
      <c r="CB98" s="323" t="s">
        <v>2</v>
      </c>
      <c r="CC98" s="323" t="s">
        <v>2</v>
      </c>
      <c r="CD98" s="323" t="s">
        <v>2</v>
      </c>
      <c r="CE98" s="323" t="s">
        <v>2</v>
      </c>
      <c r="CF98" s="323" t="s">
        <v>2</v>
      </c>
      <c r="CG98" s="324" t="s">
        <v>2</v>
      </c>
      <c r="CH98" s="326" t="s">
        <v>2</v>
      </c>
      <c r="CI98" s="329" t="s">
        <v>2</v>
      </c>
      <c r="CJ98" s="328" t="s">
        <v>2</v>
      </c>
      <c r="CK98" s="323" t="s">
        <v>2</v>
      </c>
      <c r="CL98" s="323" t="s">
        <v>2</v>
      </c>
      <c r="CM98" s="324" t="s">
        <v>2</v>
      </c>
      <c r="CN98" s="319" t="s">
        <v>2</v>
      </c>
      <c r="CO98" s="319" t="s">
        <v>2</v>
      </c>
    </row>
    <row r="99" spans="1:93" x14ac:dyDescent="0.25">
      <c r="A99" s="316">
        <v>16068</v>
      </c>
      <c r="B99" s="317" t="s">
        <v>1956</v>
      </c>
      <c r="C99" s="318"/>
      <c r="D99" s="293">
        <v>16</v>
      </c>
      <c r="E99" s="349">
        <v>0</v>
      </c>
      <c r="F99" s="320">
        <f>346.4*100/80</f>
        <v>433</v>
      </c>
      <c r="G99" s="300">
        <v>1809.9399999999998</v>
      </c>
      <c r="H99" s="321" t="s">
        <v>2</v>
      </c>
      <c r="I99" s="322">
        <f>7*100/80</f>
        <v>8.75</v>
      </c>
      <c r="J99" s="323">
        <f>14.4*100/80</f>
        <v>18</v>
      </c>
      <c r="K99" s="323">
        <f>47.2*100/80</f>
        <v>59</v>
      </c>
      <c r="L99" s="323" t="s">
        <v>2</v>
      </c>
      <c r="M99" s="324" t="s">
        <v>2</v>
      </c>
      <c r="N99" s="325" t="s">
        <v>2</v>
      </c>
      <c r="O99" s="326" t="s">
        <v>2</v>
      </c>
      <c r="P99" s="323" t="s">
        <v>2</v>
      </c>
      <c r="Q99" s="323" t="s">
        <v>2</v>
      </c>
      <c r="R99" s="315" t="s">
        <v>2</v>
      </c>
      <c r="S99" s="326" t="s">
        <v>2</v>
      </c>
      <c r="T99" s="326" t="s">
        <v>2</v>
      </c>
      <c r="U99" s="327" t="s">
        <v>2</v>
      </c>
      <c r="V99" s="327" t="s">
        <v>2</v>
      </c>
      <c r="W99" s="324" t="s">
        <v>2</v>
      </c>
      <c r="X99" s="328" t="s">
        <v>2</v>
      </c>
      <c r="Y99" s="327" t="s">
        <v>2</v>
      </c>
      <c r="Z99" s="327" t="s">
        <v>2</v>
      </c>
      <c r="AA99" s="327" t="s">
        <v>2</v>
      </c>
      <c r="AB99" s="327" t="s">
        <v>2</v>
      </c>
      <c r="AC99" s="327" t="s">
        <v>2</v>
      </c>
      <c r="AD99" s="326" t="s">
        <v>2</v>
      </c>
      <c r="AE99" s="326" t="s">
        <v>2</v>
      </c>
      <c r="AF99" s="323" t="s">
        <v>2</v>
      </c>
      <c r="AG99" s="324" t="s">
        <v>2</v>
      </c>
      <c r="AH99" s="320" t="s">
        <v>2</v>
      </c>
      <c r="AI99" s="320" t="s">
        <v>2</v>
      </c>
      <c r="AJ99" s="323" t="s">
        <v>2</v>
      </c>
      <c r="AK99" s="323" t="s">
        <v>2</v>
      </c>
      <c r="AL99" s="324" t="s">
        <v>2</v>
      </c>
      <c r="AM99" s="325" t="s">
        <v>2</v>
      </c>
      <c r="AN99" s="326" t="s">
        <v>2</v>
      </c>
      <c r="AO99" s="329" t="s">
        <v>2</v>
      </c>
      <c r="AP99" s="322" t="s">
        <v>2</v>
      </c>
      <c r="AQ99" s="327" t="s">
        <v>2</v>
      </c>
      <c r="AR99" s="327" t="s">
        <v>2</v>
      </c>
      <c r="AS99" s="327" t="s">
        <v>2</v>
      </c>
      <c r="AT99" s="327" t="s">
        <v>2</v>
      </c>
      <c r="AU99" s="327" t="s">
        <v>2</v>
      </c>
      <c r="AV99" s="330" t="s">
        <v>2</v>
      </c>
      <c r="AW99" s="328" t="s">
        <v>2</v>
      </c>
      <c r="AX99" s="327" t="s">
        <v>2</v>
      </c>
      <c r="AY99" s="327" t="s">
        <v>2</v>
      </c>
      <c r="AZ99" s="330" t="s">
        <v>2</v>
      </c>
      <c r="BA99" s="331" t="s">
        <v>2</v>
      </c>
      <c r="BB99" s="332" t="s">
        <v>2</v>
      </c>
      <c r="BC99" s="332" t="s">
        <v>2</v>
      </c>
      <c r="BD99" s="332" t="s">
        <v>2</v>
      </c>
      <c r="BE99" s="332" t="s">
        <v>2</v>
      </c>
      <c r="BF99" s="333" t="s">
        <v>2</v>
      </c>
      <c r="BG99" s="319" t="s">
        <v>2</v>
      </c>
      <c r="BH99" s="319" t="s">
        <v>2</v>
      </c>
      <c r="BI99" s="325" t="s">
        <v>2</v>
      </c>
      <c r="BJ99" s="326" t="s">
        <v>2</v>
      </c>
      <c r="BK99" s="326" t="s">
        <v>2</v>
      </c>
      <c r="BL99" s="326" t="s">
        <v>2</v>
      </c>
      <c r="BM99" s="326" t="s">
        <v>2</v>
      </c>
      <c r="BN99" s="326" t="s">
        <v>2</v>
      </c>
      <c r="BO99" s="326" t="s">
        <v>2</v>
      </c>
      <c r="BP99" s="326" t="s">
        <v>2</v>
      </c>
      <c r="BQ99" s="326" t="s">
        <v>2</v>
      </c>
      <c r="BR99" s="326" t="s">
        <v>2</v>
      </c>
      <c r="BS99" s="326" t="s">
        <v>2</v>
      </c>
      <c r="BT99" s="326" t="s">
        <v>2</v>
      </c>
      <c r="BU99" s="326" t="s">
        <v>2</v>
      </c>
      <c r="BV99" s="326" t="s">
        <v>2</v>
      </c>
      <c r="BW99" s="326" t="s">
        <v>2</v>
      </c>
      <c r="BX99" s="326" t="s">
        <v>2</v>
      </c>
      <c r="BY99" s="326" t="s">
        <v>2</v>
      </c>
      <c r="BZ99" s="329" t="s">
        <v>2</v>
      </c>
      <c r="CA99" s="328" t="s">
        <v>2</v>
      </c>
      <c r="CB99" s="323" t="s">
        <v>2</v>
      </c>
      <c r="CC99" s="323" t="s">
        <v>2</v>
      </c>
      <c r="CD99" s="323" t="s">
        <v>2</v>
      </c>
      <c r="CE99" s="323" t="s">
        <v>2</v>
      </c>
      <c r="CF99" s="323" t="s">
        <v>2</v>
      </c>
      <c r="CG99" s="324" t="s">
        <v>2</v>
      </c>
      <c r="CH99" s="326" t="s">
        <v>2</v>
      </c>
      <c r="CI99" s="329" t="s">
        <v>2</v>
      </c>
      <c r="CJ99" s="328" t="s">
        <v>2</v>
      </c>
      <c r="CK99" s="323" t="s">
        <v>2</v>
      </c>
      <c r="CL99" s="323" t="s">
        <v>2</v>
      </c>
      <c r="CM99" s="324" t="s">
        <v>2</v>
      </c>
      <c r="CN99" s="319" t="s">
        <v>2</v>
      </c>
      <c r="CO99" s="319" t="s">
        <v>2</v>
      </c>
    </row>
    <row r="100" spans="1:93" x14ac:dyDescent="0.25">
      <c r="A100" s="316">
        <v>16069</v>
      </c>
      <c r="B100" s="317" t="s">
        <v>1957</v>
      </c>
      <c r="C100" s="318"/>
      <c r="D100" s="293">
        <v>16</v>
      </c>
      <c r="E100" s="349">
        <v>0</v>
      </c>
      <c r="F100" s="320">
        <f>367.2*100/80</f>
        <v>459</v>
      </c>
      <c r="G100" s="300">
        <v>1918.62</v>
      </c>
      <c r="H100" s="321" t="s">
        <v>2</v>
      </c>
      <c r="I100" s="322">
        <f>7.6*100/80</f>
        <v>9.5</v>
      </c>
      <c r="J100" s="323">
        <f>16*100/80</f>
        <v>20</v>
      </c>
      <c r="K100" s="323">
        <f>48.2*100/80</f>
        <v>60.25</v>
      </c>
      <c r="L100" s="323" t="s">
        <v>2</v>
      </c>
      <c r="M100" s="324" t="s">
        <v>2</v>
      </c>
      <c r="N100" s="325" t="s">
        <v>2</v>
      </c>
      <c r="O100" s="326" t="s">
        <v>2</v>
      </c>
      <c r="P100" s="323" t="s">
        <v>2</v>
      </c>
      <c r="Q100" s="323" t="s">
        <v>2</v>
      </c>
      <c r="R100" s="315" t="s">
        <v>2</v>
      </c>
      <c r="S100" s="326" t="s">
        <v>2</v>
      </c>
      <c r="T100" s="326" t="s">
        <v>2</v>
      </c>
      <c r="U100" s="327" t="s">
        <v>2</v>
      </c>
      <c r="V100" s="327" t="s">
        <v>2</v>
      </c>
      <c r="W100" s="324" t="s">
        <v>2</v>
      </c>
      <c r="X100" s="328" t="s">
        <v>2</v>
      </c>
      <c r="Y100" s="327" t="s">
        <v>2</v>
      </c>
      <c r="Z100" s="327" t="s">
        <v>2</v>
      </c>
      <c r="AA100" s="327" t="s">
        <v>2</v>
      </c>
      <c r="AB100" s="327" t="s">
        <v>2</v>
      </c>
      <c r="AC100" s="327" t="s">
        <v>2</v>
      </c>
      <c r="AD100" s="326" t="s">
        <v>2</v>
      </c>
      <c r="AE100" s="326" t="s">
        <v>2</v>
      </c>
      <c r="AF100" s="323" t="s">
        <v>2</v>
      </c>
      <c r="AG100" s="324" t="s">
        <v>2</v>
      </c>
      <c r="AH100" s="320" t="s">
        <v>2</v>
      </c>
      <c r="AI100" s="320" t="s">
        <v>2</v>
      </c>
      <c r="AJ100" s="323" t="s">
        <v>2</v>
      </c>
      <c r="AK100" s="323" t="s">
        <v>2</v>
      </c>
      <c r="AL100" s="324" t="s">
        <v>2</v>
      </c>
      <c r="AM100" s="325" t="s">
        <v>2</v>
      </c>
      <c r="AN100" s="326" t="s">
        <v>2</v>
      </c>
      <c r="AO100" s="329" t="s">
        <v>2</v>
      </c>
      <c r="AP100" s="322" t="s">
        <v>2</v>
      </c>
      <c r="AQ100" s="327" t="s">
        <v>2</v>
      </c>
      <c r="AR100" s="327" t="s">
        <v>2</v>
      </c>
      <c r="AS100" s="327" t="s">
        <v>2</v>
      </c>
      <c r="AT100" s="327" t="s">
        <v>2</v>
      </c>
      <c r="AU100" s="327" t="s">
        <v>2</v>
      </c>
      <c r="AV100" s="330" t="s">
        <v>2</v>
      </c>
      <c r="AW100" s="328" t="s">
        <v>2</v>
      </c>
      <c r="AX100" s="327" t="s">
        <v>2</v>
      </c>
      <c r="AY100" s="327" t="s">
        <v>2</v>
      </c>
      <c r="AZ100" s="330" t="s">
        <v>2</v>
      </c>
      <c r="BA100" s="331" t="s">
        <v>2</v>
      </c>
      <c r="BB100" s="332" t="s">
        <v>2</v>
      </c>
      <c r="BC100" s="332" t="s">
        <v>2</v>
      </c>
      <c r="BD100" s="332" t="s">
        <v>2</v>
      </c>
      <c r="BE100" s="332" t="s">
        <v>2</v>
      </c>
      <c r="BF100" s="333" t="s">
        <v>2</v>
      </c>
      <c r="BG100" s="319" t="s">
        <v>2</v>
      </c>
      <c r="BH100" s="319" t="s">
        <v>2</v>
      </c>
      <c r="BI100" s="325" t="s">
        <v>2</v>
      </c>
      <c r="BJ100" s="326" t="s">
        <v>2</v>
      </c>
      <c r="BK100" s="326" t="s">
        <v>2</v>
      </c>
      <c r="BL100" s="326" t="s">
        <v>2</v>
      </c>
      <c r="BM100" s="326" t="s">
        <v>2</v>
      </c>
      <c r="BN100" s="326" t="s">
        <v>2</v>
      </c>
      <c r="BO100" s="326" t="s">
        <v>2</v>
      </c>
      <c r="BP100" s="326" t="s">
        <v>2</v>
      </c>
      <c r="BQ100" s="326" t="s">
        <v>2</v>
      </c>
      <c r="BR100" s="326" t="s">
        <v>2</v>
      </c>
      <c r="BS100" s="326" t="s">
        <v>2</v>
      </c>
      <c r="BT100" s="326" t="s">
        <v>2</v>
      </c>
      <c r="BU100" s="326" t="s">
        <v>2</v>
      </c>
      <c r="BV100" s="326" t="s">
        <v>2</v>
      </c>
      <c r="BW100" s="326" t="s">
        <v>2</v>
      </c>
      <c r="BX100" s="326" t="s">
        <v>2</v>
      </c>
      <c r="BY100" s="326" t="s">
        <v>2</v>
      </c>
      <c r="BZ100" s="329" t="s">
        <v>2</v>
      </c>
      <c r="CA100" s="328" t="s">
        <v>2</v>
      </c>
      <c r="CB100" s="323" t="s">
        <v>2</v>
      </c>
      <c r="CC100" s="323" t="s">
        <v>2</v>
      </c>
      <c r="CD100" s="323" t="s">
        <v>2</v>
      </c>
      <c r="CE100" s="323" t="s">
        <v>2</v>
      </c>
      <c r="CF100" s="323" t="s">
        <v>2</v>
      </c>
      <c r="CG100" s="324" t="s">
        <v>2</v>
      </c>
      <c r="CH100" s="326" t="s">
        <v>2</v>
      </c>
      <c r="CI100" s="329" t="s">
        <v>2</v>
      </c>
      <c r="CJ100" s="328" t="s">
        <v>2</v>
      </c>
      <c r="CK100" s="323" t="s">
        <v>2</v>
      </c>
      <c r="CL100" s="323" t="s">
        <v>2</v>
      </c>
      <c r="CM100" s="324" t="s">
        <v>2</v>
      </c>
      <c r="CN100" s="319" t="s">
        <v>2</v>
      </c>
      <c r="CO100" s="319" t="s">
        <v>2</v>
      </c>
    </row>
    <row r="101" spans="1:93" x14ac:dyDescent="0.25">
      <c r="A101" s="316">
        <v>16070</v>
      </c>
      <c r="B101" s="317" t="s">
        <v>1958</v>
      </c>
      <c r="C101" s="318"/>
      <c r="D101" s="293">
        <v>16</v>
      </c>
      <c r="E101" s="349">
        <v>0</v>
      </c>
      <c r="F101" s="320">
        <f>(210+321)/2*100/60</f>
        <v>442.5</v>
      </c>
      <c r="G101" s="300">
        <v>1849.6499999999999</v>
      </c>
      <c r="H101" s="321" t="s">
        <v>2</v>
      </c>
      <c r="I101" s="322">
        <f>(4.1+7.3)/2*100/60</f>
        <v>9.4999999999999982</v>
      </c>
      <c r="J101" s="323">
        <f>(8+12.1)/2*100/60</f>
        <v>16.750000000000004</v>
      </c>
      <c r="K101" s="323">
        <f>(30.4+45.6)/2*100/60</f>
        <v>63.333333333333336</v>
      </c>
      <c r="L101" s="323" t="s">
        <v>2</v>
      </c>
      <c r="M101" s="324" t="s">
        <v>2</v>
      </c>
      <c r="N101" s="325" t="s">
        <v>2</v>
      </c>
      <c r="O101" s="326" t="s">
        <v>2</v>
      </c>
      <c r="P101" s="323" t="s">
        <v>2</v>
      </c>
      <c r="Q101" s="323" t="s">
        <v>2</v>
      </c>
      <c r="R101" s="315" t="s">
        <v>2</v>
      </c>
      <c r="S101" s="326" t="s">
        <v>2</v>
      </c>
      <c r="T101" s="326" t="s">
        <v>2</v>
      </c>
      <c r="U101" s="327" t="s">
        <v>2</v>
      </c>
      <c r="V101" s="327" t="s">
        <v>2</v>
      </c>
      <c r="W101" s="324" t="s">
        <v>2</v>
      </c>
      <c r="X101" s="328" t="s">
        <v>2</v>
      </c>
      <c r="Y101" s="327" t="s">
        <v>2</v>
      </c>
      <c r="Z101" s="327" t="s">
        <v>2</v>
      </c>
      <c r="AA101" s="327" t="s">
        <v>2</v>
      </c>
      <c r="AB101" s="327" t="s">
        <v>2</v>
      </c>
      <c r="AC101" s="327" t="s">
        <v>2</v>
      </c>
      <c r="AD101" s="326" t="s">
        <v>2</v>
      </c>
      <c r="AE101" s="326" t="s">
        <v>2</v>
      </c>
      <c r="AF101" s="323" t="s">
        <v>2</v>
      </c>
      <c r="AG101" s="324" t="s">
        <v>2</v>
      </c>
      <c r="AH101" s="320" t="s">
        <v>2</v>
      </c>
      <c r="AI101" s="320" t="s">
        <v>2</v>
      </c>
      <c r="AJ101" s="323" t="s">
        <v>2</v>
      </c>
      <c r="AK101" s="323" t="s">
        <v>2</v>
      </c>
      <c r="AL101" s="324" t="s">
        <v>2</v>
      </c>
      <c r="AM101" s="325" t="s">
        <v>2</v>
      </c>
      <c r="AN101" s="326" t="s">
        <v>2</v>
      </c>
      <c r="AO101" s="329" t="s">
        <v>2</v>
      </c>
      <c r="AP101" s="322" t="s">
        <v>2</v>
      </c>
      <c r="AQ101" s="327" t="s">
        <v>2</v>
      </c>
      <c r="AR101" s="327" t="s">
        <v>2</v>
      </c>
      <c r="AS101" s="327" t="s">
        <v>2</v>
      </c>
      <c r="AT101" s="327" t="s">
        <v>2</v>
      </c>
      <c r="AU101" s="327" t="s">
        <v>2</v>
      </c>
      <c r="AV101" s="330" t="s">
        <v>2</v>
      </c>
      <c r="AW101" s="328" t="s">
        <v>2</v>
      </c>
      <c r="AX101" s="327" t="s">
        <v>2</v>
      </c>
      <c r="AY101" s="327" t="s">
        <v>2</v>
      </c>
      <c r="AZ101" s="330" t="s">
        <v>2</v>
      </c>
      <c r="BA101" s="331" t="s">
        <v>2</v>
      </c>
      <c r="BB101" s="332" t="s">
        <v>2</v>
      </c>
      <c r="BC101" s="332" t="s">
        <v>2</v>
      </c>
      <c r="BD101" s="332" t="s">
        <v>2</v>
      </c>
      <c r="BE101" s="332" t="s">
        <v>2</v>
      </c>
      <c r="BF101" s="333" t="s">
        <v>2</v>
      </c>
      <c r="BG101" s="319" t="s">
        <v>2</v>
      </c>
      <c r="BH101" s="319" t="s">
        <v>2</v>
      </c>
      <c r="BI101" s="325" t="s">
        <v>2</v>
      </c>
      <c r="BJ101" s="326" t="s">
        <v>2</v>
      </c>
      <c r="BK101" s="326" t="s">
        <v>2</v>
      </c>
      <c r="BL101" s="326" t="s">
        <v>2</v>
      </c>
      <c r="BM101" s="326" t="s">
        <v>2</v>
      </c>
      <c r="BN101" s="326" t="s">
        <v>2</v>
      </c>
      <c r="BO101" s="326" t="s">
        <v>2</v>
      </c>
      <c r="BP101" s="326" t="s">
        <v>2</v>
      </c>
      <c r="BQ101" s="326" t="s">
        <v>2</v>
      </c>
      <c r="BR101" s="326" t="s">
        <v>2</v>
      </c>
      <c r="BS101" s="326" t="s">
        <v>2</v>
      </c>
      <c r="BT101" s="326" t="s">
        <v>2</v>
      </c>
      <c r="BU101" s="326" t="s">
        <v>2</v>
      </c>
      <c r="BV101" s="326" t="s">
        <v>2</v>
      </c>
      <c r="BW101" s="326" t="s">
        <v>2</v>
      </c>
      <c r="BX101" s="326" t="s">
        <v>2</v>
      </c>
      <c r="BY101" s="326" t="s">
        <v>2</v>
      </c>
      <c r="BZ101" s="329" t="s">
        <v>2</v>
      </c>
      <c r="CA101" s="328" t="s">
        <v>2</v>
      </c>
      <c r="CB101" s="323" t="s">
        <v>2</v>
      </c>
      <c r="CC101" s="323" t="s">
        <v>2</v>
      </c>
      <c r="CD101" s="323" t="s">
        <v>2</v>
      </c>
      <c r="CE101" s="323" t="s">
        <v>2</v>
      </c>
      <c r="CF101" s="323" t="s">
        <v>2</v>
      </c>
      <c r="CG101" s="324" t="s">
        <v>2</v>
      </c>
      <c r="CH101" s="326" t="s">
        <v>2</v>
      </c>
      <c r="CI101" s="329" t="s">
        <v>2</v>
      </c>
      <c r="CJ101" s="328" t="s">
        <v>2</v>
      </c>
      <c r="CK101" s="323" t="s">
        <v>2</v>
      </c>
      <c r="CL101" s="323" t="s">
        <v>2</v>
      </c>
      <c r="CM101" s="324" t="s">
        <v>2</v>
      </c>
      <c r="CN101" s="319" t="s">
        <v>2</v>
      </c>
      <c r="CO101" s="319" t="s">
        <v>2</v>
      </c>
    </row>
    <row r="102" spans="1:93" x14ac:dyDescent="0.25">
      <c r="A102" s="316">
        <v>16071</v>
      </c>
      <c r="B102" s="317" t="s">
        <v>1959</v>
      </c>
      <c r="C102" s="318"/>
      <c r="D102" s="293">
        <v>16</v>
      </c>
      <c r="E102" s="349">
        <v>0</v>
      </c>
      <c r="F102" s="320">
        <f>(223+340)/2*100/60</f>
        <v>469.16666666666669</v>
      </c>
      <c r="G102" s="300">
        <v>1961.1166666666666</v>
      </c>
      <c r="H102" s="321" t="s">
        <v>2</v>
      </c>
      <c r="I102" s="322">
        <f>(3.4+6.3)/2*100/60</f>
        <v>8.0833333333333321</v>
      </c>
      <c r="J102" s="323">
        <f>(9.3+14)/2*100/60</f>
        <v>19.416666666666668</v>
      </c>
      <c r="K102" s="323">
        <f>(31.5+47.2)/2*100/60</f>
        <v>65.583333333333329</v>
      </c>
      <c r="L102" s="323" t="s">
        <v>2</v>
      </c>
      <c r="M102" s="324" t="s">
        <v>2</v>
      </c>
      <c r="N102" s="325" t="s">
        <v>2</v>
      </c>
      <c r="O102" s="326" t="s">
        <v>2</v>
      </c>
      <c r="P102" s="323" t="s">
        <v>2</v>
      </c>
      <c r="Q102" s="323" t="s">
        <v>2</v>
      </c>
      <c r="R102" s="315" t="s">
        <v>2</v>
      </c>
      <c r="S102" s="326" t="s">
        <v>2</v>
      </c>
      <c r="T102" s="326" t="s">
        <v>2</v>
      </c>
      <c r="U102" s="327" t="s">
        <v>2</v>
      </c>
      <c r="V102" s="327" t="s">
        <v>2</v>
      </c>
      <c r="W102" s="324" t="s">
        <v>2</v>
      </c>
      <c r="X102" s="328" t="s">
        <v>2</v>
      </c>
      <c r="Y102" s="327" t="s">
        <v>2</v>
      </c>
      <c r="Z102" s="327" t="s">
        <v>2</v>
      </c>
      <c r="AA102" s="327" t="s">
        <v>2</v>
      </c>
      <c r="AB102" s="327" t="s">
        <v>2</v>
      </c>
      <c r="AC102" s="327" t="s">
        <v>2</v>
      </c>
      <c r="AD102" s="326" t="s">
        <v>2</v>
      </c>
      <c r="AE102" s="326" t="s">
        <v>2</v>
      </c>
      <c r="AF102" s="323" t="s">
        <v>2</v>
      </c>
      <c r="AG102" s="324" t="s">
        <v>2</v>
      </c>
      <c r="AH102" s="320" t="s">
        <v>2</v>
      </c>
      <c r="AI102" s="320" t="s">
        <v>2</v>
      </c>
      <c r="AJ102" s="323" t="s">
        <v>2</v>
      </c>
      <c r="AK102" s="323" t="s">
        <v>2</v>
      </c>
      <c r="AL102" s="324" t="s">
        <v>2</v>
      </c>
      <c r="AM102" s="325" t="s">
        <v>2</v>
      </c>
      <c r="AN102" s="326" t="s">
        <v>2</v>
      </c>
      <c r="AO102" s="329" t="s">
        <v>2</v>
      </c>
      <c r="AP102" s="322" t="s">
        <v>2</v>
      </c>
      <c r="AQ102" s="327" t="s">
        <v>2</v>
      </c>
      <c r="AR102" s="327" t="s">
        <v>2</v>
      </c>
      <c r="AS102" s="327" t="s">
        <v>2</v>
      </c>
      <c r="AT102" s="327" t="s">
        <v>2</v>
      </c>
      <c r="AU102" s="327" t="s">
        <v>2</v>
      </c>
      <c r="AV102" s="330" t="s">
        <v>2</v>
      </c>
      <c r="AW102" s="328" t="s">
        <v>2</v>
      </c>
      <c r="AX102" s="327" t="s">
        <v>2</v>
      </c>
      <c r="AY102" s="327" t="s">
        <v>2</v>
      </c>
      <c r="AZ102" s="330" t="s">
        <v>2</v>
      </c>
      <c r="BA102" s="331" t="s">
        <v>2</v>
      </c>
      <c r="BB102" s="332" t="s">
        <v>2</v>
      </c>
      <c r="BC102" s="332" t="s">
        <v>2</v>
      </c>
      <c r="BD102" s="332" t="s">
        <v>2</v>
      </c>
      <c r="BE102" s="332" t="s">
        <v>2</v>
      </c>
      <c r="BF102" s="333" t="s">
        <v>2</v>
      </c>
      <c r="BG102" s="319" t="s">
        <v>2</v>
      </c>
      <c r="BH102" s="319" t="s">
        <v>2</v>
      </c>
      <c r="BI102" s="325" t="s">
        <v>2</v>
      </c>
      <c r="BJ102" s="326" t="s">
        <v>2</v>
      </c>
      <c r="BK102" s="326" t="s">
        <v>2</v>
      </c>
      <c r="BL102" s="326" t="s">
        <v>2</v>
      </c>
      <c r="BM102" s="326" t="s">
        <v>2</v>
      </c>
      <c r="BN102" s="326" t="s">
        <v>2</v>
      </c>
      <c r="BO102" s="326" t="s">
        <v>2</v>
      </c>
      <c r="BP102" s="326" t="s">
        <v>2</v>
      </c>
      <c r="BQ102" s="326" t="s">
        <v>2</v>
      </c>
      <c r="BR102" s="326" t="s">
        <v>2</v>
      </c>
      <c r="BS102" s="326" t="s">
        <v>2</v>
      </c>
      <c r="BT102" s="326" t="s">
        <v>2</v>
      </c>
      <c r="BU102" s="326" t="s">
        <v>2</v>
      </c>
      <c r="BV102" s="326" t="s">
        <v>2</v>
      </c>
      <c r="BW102" s="326" t="s">
        <v>2</v>
      </c>
      <c r="BX102" s="326" t="s">
        <v>2</v>
      </c>
      <c r="BY102" s="326" t="s">
        <v>2</v>
      </c>
      <c r="BZ102" s="329" t="s">
        <v>2</v>
      </c>
      <c r="CA102" s="328" t="s">
        <v>2</v>
      </c>
      <c r="CB102" s="323" t="s">
        <v>2</v>
      </c>
      <c r="CC102" s="323" t="s">
        <v>2</v>
      </c>
      <c r="CD102" s="323" t="s">
        <v>2</v>
      </c>
      <c r="CE102" s="323" t="s">
        <v>2</v>
      </c>
      <c r="CF102" s="323" t="s">
        <v>2</v>
      </c>
      <c r="CG102" s="324" t="s">
        <v>2</v>
      </c>
      <c r="CH102" s="326" t="s">
        <v>2</v>
      </c>
      <c r="CI102" s="329" t="s">
        <v>2</v>
      </c>
      <c r="CJ102" s="328" t="s">
        <v>2</v>
      </c>
      <c r="CK102" s="323" t="s">
        <v>2</v>
      </c>
      <c r="CL102" s="323" t="s">
        <v>2</v>
      </c>
      <c r="CM102" s="324" t="s">
        <v>2</v>
      </c>
      <c r="CN102" s="319" t="s">
        <v>2</v>
      </c>
      <c r="CO102" s="319" t="s">
        <v>2</v>
      </c>
    </row>
    <row r="103" spans="1:93" x14ac:dyDescent="0.25">
      <c r="A103" s="316">
        <v>16072</v>
      </c>
      <c r="B103" s="317" t="s">
        <v>1960</v>
      </c>
      <c r="C103" s="318"/>
      <c r="D103" s="293">
        <v>16</v>
      </c>
      <c r="E103" s="349">
        <v>0</v>
      </c>
      <c r="F103" s="320">
        <f>(223+338)/2*100/60</f>
        <v>467.5</v>
      </c>
      <c r="G103" s="300">
        <v>1954.1499999999999</v>
      </c>
      <c r="H103" s="321" t="s">
        <v>2</v>
      </c>
      <c r="I103" s="322">
        <f>(3.5+6.3)/2*100/60</f>
        <v>8.1666666666666679</v>
      </c>
      <c r="J103" s="323">
        <f>(9.1+13.6)/2*100/60</f>
        <v>18.916666666666668</v>
      </c>
      <c r="K103" s="323">
        <f>(31.7+47.5)/2*100/60</f>
        <v>66</v>
      </c>
      <c r="L103" s="323" t="s">
        <v>2</v>
      </c>
      <c r="M103" s="324" t="s">
        <v>2</v>
      </c>
      <c r="N103" s="325" t="s">
        <v>2</v>
      </c>
      <c r="O103" s="326" t="s">
        <v>2</v>
      </c>
      <c r="P103" s="323" t="s">
        <v>2</v>
      </c>
      <c r="Q103" s="323" t="s">
        <v>2</v>
      </c>
      <c r="R103" s="315" t="s">
        <v>2</v>
      </c>
      <c r="S103" s="326" t="s">
        <v>2</v>
      </c>
      <c r="T103" s="326" t="s">
        <v>2</v>
      </c>
      <c r="U103" s="327" t="s">
        <v>2</v>
      </c>
      <c r="V103" s="327" t="s">
        <v>2</v>
      </c>
      <c r="W103" s="324" t="s">
        <v>2</v>
      </c>
      <c r="X103" s="328" t="s">
        <v>2</v>
      </c>
      <c r="Y103" s="327" t="s">
        <v>2</v>
      </c>
      <c r="Z103" s="327" t="s">
        <v>2</v>
      </c>
      <c r="AA103" s="327" t="s">
        <v>2</v>
      </c>
      <c r="AB103" s="327" t="s">
        <v>2</v>
      </c>
      <c r="AC103" s="327" t="s">
        <v>2</v>
      </c>
      <c r="AD103" s="326" t="s">
        <v>2</v>
      </c>
      <c r="AE103" s="326" t="s">
        <v>2</v>
      </c>
      <c r="AF103" s="323" t="s">
        <v>2</v>
      </c>
      <c r="AG103" s="324" t="s">
        <v>2</v>
      </c>
      <c r="AH103" s="320" t="s">
        <v>2</v>
      </c>
      <c r="AI103" s="320" t="s">
        <v>2</v>
      </c>
      <c r="AJ103" s="323" t="s">
        <v>2</v>
      </c>
      <c r="AK103" s="323" t="s">
        <v>2</v>
      </c>
      <c r="AL103" s="324" t="s">
        <v>2</v>
      </c>
      <c r="AM103" s="325" t="s">
        <v>2</v>
      </c>
      <c r="AN103" s="326" t="s">
        <v>2</v>
      </c>
      <c r="AO103" s="329" t="s">
        <v>2</v>
      </c>
      <c r="AP103" s="322" t="s">
        <v>2</v>
      </c>
      <c r="AQ103" s="327" t="s">
        <v>2</v>
      </c>
      <c r="AR103" s="327" t="s">
        <v>2</v>
      </c>
      <c r="AS103" s="327" t="s">
        <v>2</v>
      </c>
      <c r="AT103" s="327" t="s">
        <v>2</v>
      </c>
      <c r="AU103" s="327" t="s">
        <v>2</v>
      </c>
      <c r="AV103" s="330" t="s">
        <v>2</v>
      </c>
      <c r="AW103" s="328" t="s">
        <v>2</v>
      </c>
      <c r="AX103" s="327" t="s">
        <v>2</v>
      </c>
      <c r="AY103" s="327" t="s">
        <v>2</v>
      </c>
      <c r="AZ103" s="330" t="s">
        <v>2</v>
      </c>
      <c r="BA103" s="331" t="s">
        <v>2</v>
      </c>
      <c r="BB103" s="332" t="s">
        <v>2</v>
      </c>
      <c r="BC103" s="332" t="s">
        <v>2</v>
      </c>
      <c r="BD103" s="332" t="s">
        <v>2</v>
      </c>
      <c r="BE103" s="332" t="s">
        <v>2</v>
      </c>
      <c r="BF103" s="333" t="s">
        <v>2</v>
      </c>
      <c r="BG103" s="319" t="s">
        <v>2</v>
      </c>
      <c r="BH103" s="319" t="s">
        <v>2</v>
      </c>
      <c r="BI103" s="325" t="s">
        <v>2</v>
      </c>
      <c r="BJ103" s="326" t="s">
        <v>2</v>
      </c>
      <c r="BK103" s="326" t="s">
        <v>2</v>
      </c>
      <c r="BL103" s="326" t="s">
        <v>2</v>
      </c>
      <c r="BM103" s="326" t="s">
        <v>2</v>
      </c>
      <c r="BN103" s="326" t="s">
        <v>2</v>
      </c>
      <c r="BO103" s="326" t="s">
        <v>2</v>
      </c>
      <c r="BP103" s="326" t="s">
        <v>2</v>
      </c>
      <c r="BQ103" s="326" t="s">
        <v>2</v>
      </c>
      <c r="BR103" s="326" t="s">
        <v>2</v>
      </c>
      <c r="BS103" s="326" t="s">
        <v>2</v>
      </c>
      <c r="BT103" s="326" t="s">
        <v>2</v>
      </c>
      <c r="BU103" s="326" t="s">
        <v>2</v>
      </c>
      <c r="BV103" s="326" t="s">
        <v>2</v>
      </c>
      <c r="BW103" s="326" t="s">
        <v>2</v>
      </c>
      <c r="BX103" s="326" t="s">
        <v>2</v>
      </c>
      <c r="BY103" s="326" t="s">
        <v>2</v>
      </c>
      <c r="BZ103" s="329" t="s">
        <v>2</v>
      </c>
      <c r="CA103" s="328" t="s">
        <v>2</v>
      </c>
      <c r="CB103" s="323" t="s">
        <v>2</v>
      </c>
      <c r="CC103" s="323" t="s">
        <v>2</v>
      </c>
      <c r="CD103" s="323" t="s">
        <v>2</v>
      </c>
      <c r="CE103" s="323" t="s">
        <v>2</v>
      </c>
      <c r="CF103" s="323" t="s">
        <v>2</v>
      </c>
      <c r="CG103" s="324" t="s">
        <v>2</v>
      </c>
      <c r="CH103" s="326" t="s">
        <v>2</v>
      </c>
      <c r="CI103" s="329" t="s">
        <v>2</v>
      </c>
      <c r="CJ103" s="328" t="s">
        <v>2</v>
      </c>
      <c r="CK103" s="323" t="s">
        <v>2</v>
      </c>
      <c r="CL103" s="323" t="s">
        <v>2</v>
      </c>
      <c r="CM103" s="324" t="s">
        <v>2</v>
      </c>
      <c r="CN103" s="319" t="s">
        <v>2</v>
      </c>
      <c r="CO103" s="319" t="s">
        <v>2</v>
      </c>
    </row>
    <row r="104" spans="1:93" x14ac:dyDescent="0.25">
      <c r="A104" s="316">
        <v>16073</v>
      </c>
      <c r="B104" s="317" t="s">
        <v>1961</v>
      </c>
      <c r="C104" s="318"/>
      <c r="D104" s="293">
        <v>16</v>
      </c>
      <c r="E104" s="349">
        <v>0</v>
      </c>
      <c r="F104" s="320">
        <f>315.1*100/68</f>
        <v>463.38235294117652</v>
      </c>
      <c r="G104" s="300">
        <v>1936.9382352941177</v>
      </c>
      <c r="H104" s="321" t="s">
        <v>2</v>
      </c>
      <c r="I104" s="322">
        <f>6.2*100/68</f>
        <v>9.117647058823529</v>
      </c>
      <c r="J104" s="323">
        <f>13.9*100/68</f>
        <v>20.441176470588236</v>
      </c>
      <c r="K104" s="323">
        <f>41.3*100/68</f>
        <v>60.735294117647058</v>
      </c>
      <c r="L104" s="323" t="s">
        <v>2</v>
      </c>
      <c r="M104" s="324" t="s">
        <v>2</v>
      </c>
      <c r="N104" s="325" t="s">
        <v>2</v>
      </c>
      <c r="O104" s="326" t="s">
        <v>2</v>
      </c>
      <c r="P104" s="323" t="s">
        <v>2</v>
      </c>
      <c r="Q104" s="323" t="s">
        <v>2</v>
      </c>
      <c r="R104" s="315" t="s">
        <v>2</v>
      </c>
      <c r="S104" s="326" t="s">
        <v>2</v>
      </c>
      <c r="T104" s="326" t="s">
        <v>2</v>
      </c>
      <c r="U104" s="327" t="s">
        <v>2</v>
      </c>
      <c r="V104" s="327" t="s">
        <v>2</v>
      </c>
      <c r="W104" s="324" t="s">
        <v>2</v>
      </c>
      <c r="X104" s="328" t="s">
        <v>2</v>
      </c>
      <c r="Y104" s="327" t="s">
        <v>2</v>
      </c>
      <c r="Z104" s="327" t="s">
        <v>2</v>
      </c>
      <c r="AA104" s="327" t="s">
        <v>2</v>
      </c>
      <c r="AB104" s="327" t="s">
        <v>2</v>
      </c>
      <c r="AC104" s="327" t="s">
        <v>2</v>
      </c>
      <c r="AD104" s="326" t="s">
        <v>2</v>
      </c>
      <c r="AE104" s="326" t="s">
        <v>2</v>
      </c>
      <c r="AF104" s="323" t="s">
        <v>2</v>
      </c>
      <c r="AG104" s="324" t="s">
        <v>2</v>
      </c>
      <c r="AH104" s="320" t="s">
        <v>2</v>
      </c>
      <c r="AI104" s="320" t="s">
        <v>2</v>
      </c>
      <c r="AJ104" s="323" t="s">
        <v>2</v>
      </c>
      <c r="AK104" s="323" t="s">
        <v>2</v>
      </c>
      <c r="AL104" s="324" t="s">
        <v>2</v>
      </c>
      <c r="AM104" s="325" t="s">
        <v>2</v>
      </c>
      <c r="AN104" s="326" t="s">
        <v>2</v>
      </c>
      <c r="AO104" s="329" t="s">
        <v>2</v>
      </c>
      <c r="AP104" s="322" t="s">
        <v>2</v>
      </c>
      <c r="AQ104" s="327" t="s">
        <v>2</v>
      </c>
      <c r="AR104" s="327" t="s">
        <v>2</v>
      </c>
      <c r="AS104" s="327" t="s">
        <v>2</v>
      </c>
      <c r="AT104" s="327" t="s">
        <v>2</v>
      </c>
      <c r="AU104" s="327" t="s">
        <v>2</v>
      </c>
      <c r="AV104" s="330" t="s">
        <v>2</v>
      </c>
      <c r="AW104" s="328" t="s">
        <v>2</v>
      </c>
      <c r="AX104" s="327" t="s">
        <v>2</v>
      </c>
      <c r="AY104" s="327" t="s">
        <v>2</v>
      </c>
      <c r="AZ104" s="330" t="s">
        <v>2</v>
      </c>
      <c r="BA104" s="331" t="s">
        <v>2</v>
      </c>
      <c r="BB104" s="332" t="s">
        <v>2</v>
      </c>
      <c r="BC104" s="332" t="s">
        <v>2</v>
      </c>
      <c r="BD104" s="332" t="s">
        <v>2</v>
      </c>
      <c r="BE104" s="332" t="s">
        <v>2</v>
      </c>
      <c r="BF104" s="333" t="s">
        <v>2</v>
      </c>
      <c r="BG104" s="319" t="s">
        <v>2</v>
      </c>
      <c r="BH104" s="319" t="s">
        <v>2</v>
      </c>
      <c r="BI104" s="325" t="s">
        <v>2</v>
      </c>
      <c r="BJ104" s="326" t="s">
        <v>2</v>
      </c>
      <c r="BK104" s="326" t="s">
        <v>2</v>
      </c>
      <c r="BL104" s="326" t="s">
        <v>2</v>
      </c>
      <c r="BM104" s="326" t="s">
        <v>2</v>
      </c>
      <c r="BN104" s="326" t="s">
        <v>2</v>
      </c>
      <c r="BO104" s="326" t="s">
        <v>2</v>
      </c>
      <c r="BP104" s="326" t="s">
        <v>2</v>
      </c>
      <c r="BQ104" s="326" t="s">
        <v>2</v>
      </c>
      <c r="BR104" s="326" t="s">
        <v>2</v>
      </c>
      <c r="BS104" s="326" t="s">
        <v>2</v>
      </c>
      <c r="BT104" s="326" t="s">
        <v>2</v>
      </c>
      <c r="BU104" s="326" t="s">
        <v>2</v>
      </c>
      <c r="BV104" s="326" t="s">
        <v>2</v>
      </c>
      <c r="BW104" s="326" t="s">
        <v>2</v>
      </c>
      <c r="BX104" s="326" t="s">
        <v>2</v>
      </c>
      <c r="BY104" s="326" t="s">
        <v>2</v>
      </c>
      <c r="BZ104" s="329" t="s">
        <v>2</v>
      </c>
      <c r="CA104" s="328" t="s">
        <v>2</v>
      </c>
      <c r="CB104" s="323" t="s">
        <v>2</v>
      </c>
      <c r="CC104" s="323" t="s">
        <v>2</v>
      </c>
      <c r="CD104" s="323" t="s">
        <v>2</v>
      </c>
      <c r="CE104" s="323" t="s">
        <v>2</v>
      </c>
      <c r="CF104" s="323" t="s">
        <v>2</v>
      </c>
      <c r="CG104" s="324" t="s">
        <v>2</v>
      </c>
      <c r="CH104" s="326" t="s">
        <v>2</v>
      </c>
      <c r="CI104" s="329" t="s">
        <v>2</v>
      </c>
      <c r="CJ104" s="328" t="s">
        <v>2</v>
      </c>
      <c r="CK104" s="323" t="s">
        <v>2</v>
      </c>
      <c r="CL104" s="323" t="s">
        <v>2</v>
      </c>
      <c r="CM104" s="324" t="s">
        <v>2</v>
      </c>
      <c r="CN104" s="319" t="s">
        <v>2</v>
      </c>
      <c r="CO104" s="319" t="s">
        <v>2</v>
      </c>
    </row>
    <row r="105" spans="1:93" x14ac:dyDescent="0.25">
      <c r="A105" s="316">
        <v>16074</v>
      </c>
      <c r="B105" s="317" t="s">
        <v>1962</v>
      </c>
      <c r="C105" s="318"/>
      <c r="D105" s="293">
        <v>16</v>
      </c>
      <c r="E105" s="349">
        <v>0</v>
      </c>
      <c r="F105" s="320">
        <f>425.8*100/113</f>
        <v>376.81415929203541</v>
      </c>
      <c r="G105" s="300">
        <v>1575.083185840708</v>
      </c>
      <c r="H105" s="321" t="s">
        <v>2</v>
      </c>
      <c r="I105" s="322">
        <f>12.4*100/113</f>
        <v>10.973451327433628</v>
      </c>
      <c r="J105" s="323">
        <f>25*100/113</f>
        <v>22.123893805309734</v>
      </c>
      <c r="K105" s="323">
        <f>37.8*100/113</f>
        <v>33.451327433628315</v>
      </c>
      <c r="L105" s="323" t="s">
        <v>2</v>
      </c>
      <c r="M105" s="324" t="s">
        <v>2</v>
      </c>
      <c r="N105" s="325" t="s">
        <v>2</v>
      </c>
      <c r="O105" s="326" t="s">
        <v>2</v>
      </c>
      <c r="P105" s="323" t="s">
        <v>2</v>
      </c>
      <c r="Q105" s="323" t="s">
        <v>2</v>
      </c>
      <c r="R105" s="315" t="s">
        <v>2</v>
      </c>
      <c r="S105" s="326" t="s">
        <v>2</v>
      </c>
      <c r="T105" s="326" t="s">
        <v>2</v>
      </c>
      <c r="U105" s="327" t="s">
        <v>2</v>
      </c>
      <c r="V105" s="327" t="s">
        <v>2</v>
      </c>
      <c r="W105" s="324" t="s">
        <v>2</v>
      </c>
      <c r="X105" s="328" t="s">
        <v>2</v>
      </c>
      <c r="Y105" s="327" t="s">
        <v>2</v>
      </c>
      <c r="Z105" s="327" t="s">
        <v>2</v>
      </c>
      <c r="AA105" s="327" t="s">
        <v>2</v>
      </c>
      <c r="AB105" s="327" t="s">
        <v>2</v>
      </c>
      <c r="AC105" s="327" t="s">
        <v>2</v>
      </c>
      <c r="AD105" s="326" t="s">
        <v>2</v>
      </c>
      <c r="AE105" s="326" t="s">
        <v>2</v>
      </c>
      <c r="AF105" s="323" t="s">
        <v>2</v>
      </c>
      <c r="AG105" s="324" t="s">
        <v>2</v>
      </c>
      <c r="AH105" s="320" t="s">
        <v>2</v>
      </c>
      <c r="AI105" s="320" t="s">
        <v>2</v>
      </c>
      <c r="AJ105" s="323" t="s">
        <v>2</v>
      </c>
      <c r="AK105" s="323" t="s">
        <v>2</v>
      </c>
      <c r="AL105" s="324" t="s">
        <v>2</v>
      </c>
      <c r="AM105" s="325" t="s">
        <v>2</v>
      </c>
      <c r="AN105" s="326" t="s">
        <v>2</v>
      </c>
      <c r="AO105" s="329" t="s">
        <v>2</v>
      </c>
      <c r="AP105" s="322" t="s">
        <v>2</v>
      </c>
      <c r="AQ105" s="327" t="s">
        <v>2</v>
      </c>
      <c r="AR105" s="327" t="s">
        <v>2</v>
      </c>
      <c r="AS105" s="327" t="s">
        <v>2</v>
      </c>
      <c r="AT105" s="327" t="s">
        <v>2</v>
      </c>
      <c r="AU105" s="327" t="s">
        <v>2</v>
      </c>
      <c r="AV105" s="330" t="s">
        <v>2</v>
      </c>
      <c r="AW105" s="328" t="s">
        <v>2</v>
      </c>
      <c r="AX105" s="327" t="s">
        <v>2</v>
      </c>
      <c r="AY105" s="327" t="s">
        <v>2</v>
      </c>
      <c r="AZ105" s="330" t="s">
        <v>2</v>
      </c>
      <c r="BA105" s="331" t="s">
        <v>2</v>
      </c>
      <c r="BB105" s="332" t="s">
        <v>2</v>
      </c>
      <c r="BC105" s="332" t="s">
        <v>2</v>
      </c>
      <c r="BD105" s="332" t="s">
        <v>2</v>
      </c>
      <c r="BE105" s="332" t="s">
        <v>2</v>
      </c>
      <c r="BF105" s="333" t="s">
        <v>2</v>
      </c>
      <c r="BG105" s="319" t="s">
        <v>2</v>
      </c>
      <c r="BH105" s="319" t="s">
        <v>2</v>
      </c>
      <c r="BI105" s="325" t="s">
        <v>2</v>
      </c>
      <c r="BJ105" s="326" t="s">
        <v>2</v>
      </c>
      <c r="BK105" s="326" t="s">
        <v>2</v>
      </c>
      <c r="BL105" s="326" t="s">
        <v>2</v>
      </c>
      <c r="BM105" s="326" t="s">
        <v>2</v>
      </c>
      <c r="BN105" s="326" t="s">
        <v>2</v>
      </c>
      <c r="BO105" s="326" t="s">
        <v>2</v>
      </c>
      <c r="BP105" s="326" t="s">
        <v>2</v>
      </c>
      <c r="BQ105" s="326" t="s">
        <v>2</v>
      </c>
      <c r="BR105" s="326" t="s">
        <v>2</v>
      </c>
      <c r="BS105" s="326" t="s">
        <v>2</v>
      </c>
      <c r="BT105" s="326" t="s">
        <v>2</v>
      </c>
      <c r="BU105" s="326" t="s">
        <v>2</v>
      </c>
      <c r="BV105" s="326" t="s">
        <v>2</v>
      </c>
      <c r="BW105" s="326" t="s">
        <v>2</v>
      </c>
      <c r="BX105" s="326" t="s">
        <v>2</v>
      </c>
      <c r="BY105" s="326" t="s">
        <v>2</v>
      </c>
      <c r="BZ105" s="329" t="s">
        <v>2</v>
      </c>
      <c r="CA105" s="328" t="s">
        <v>2</v>
      </c>
      <c r="CB105" s="323" t="s">
        <v>2</v>
      </c>
      <c r="CC105" s="323" t="s">
        <v>2</v>
      </c>
      <c r="CD105" s="323" t="s">
        <v>2</v>
      </c>
      <c r="CE105" s="323" t="s">
        <v>2</v>
      </c>
      <c r="CF105" s="323" t="s">
        <v>2</v>
      </c>
      <c r="CG105" s="324" t="s">
        <v>2</v>
      </c>
      <c r="CH105" s="326" t="s">
        <v>2</v>
      </c>
      <c r="CI105" s="329" t="s">
        <v>2</v>
      </c>
      <c r="CJ105" s="328" t="s">
        <v>2</v>
      </c>
      <c r="CK105" s="323" t="s">
        <v>2</v>
      </c>
      <c r="CL105" s="323" t="s">
        <v>2</v>
      </c>
      <c r="CM105" s="324" t="s">
        <v>2</v>
      </c>
      <c r="CN105" s="319" t="s">
        <v>2</v>
      </c>
      <c r="CO105" s="319" t="s">
        <v>2</v>
      </c>
    </row>
    <row r="106" spans="1:93" x14ac:dyDescent="0.25">
      <c r="A106" s="316">
        <v>16075</v>
      </c>
      <c r="B106" s="317" t="s">
        <v>1963</v>
      </c>
      <c r="C106" s="318"/>
      <c r="D106" s="293">
        <v>16</v>
      </c>
      <c r="E106" s="349">
        <v>0</v>
      </c>
      <c r="F106" s="320">
        <f>275*100/84</f>
        <v>327.38095238095241</v>
      </c>
      <c r="G106" s="300">
        <v>1368.452380952381</v>
      </c>
      <c r="H106" s="321" t="s">
        <v>2</v>
      </c>
      <c r="I106" s="322">
        <f>8.5*100/84</f>
        <v>10.119047619047619</v>
      </c>
      <c r="J106" s="323">
        <f>1.8*100/84</f>
        <v>2.1428571428571428</v>
      </c>
      <c r="K106" s="323">
        <f>56.3*100/84</f>
        <v>67.023809523809518</v>
      </c>
      <c r="L106" s="323" t="s">
        <v>2</v>
      </c>
      <c r="M106" s="324" t="s">
        <v>2</v>
      </c>
      <c r="N106" s="325" t="s">
        <v>2</v>
      </c>
      <c r="O106" s="326" t="s">
        <v>2</v>
      </c>
      <c r="P106" s="323" t="s">
        <v>2</v>
      </c>
      <c r="Q106" s="323" t="s">
        <v>2</v>
      </c>
      <c r="R106" s="315" t="s">
        <v>2</v>
      </c>
      <c r="S106" s="326" t="s">
        <v>2</v>
      </c>
      <c r="T106" s="326" t="s">
        <v>2</v>
      </c>
      <c r="U106" s="327" t="s">
        <v>2</v>
      </c>
      <c r="V106" s="327" t="s">
        <v>2</v>
      </c>
      <c r="W106" s="324" t="s">
        <v>2</v>
      </c>
      <c r="X106" s="328" t="s">
        <v>2</v>
      </c>
      <c r="Y106" s="327" t="s">
        <v>2</v>
      </c>
      <c r="Z106" s="327" t="s">
        <v>2</v>
      </c>
      <c r="AA106" s="327" t="s">
        <v>2</v>
      </c>
      <c r="AB106" s="327" t="s">
        <v>2</v>
      </c>
      <c r="AC106" s="327" t="s">
        <v>2</v>
      </c>
      <c r="AD106" s="326" t="s">
        <v>2</v>
      </c>
      <c r="AE106" s="326" t="s">
        <v>2</v>
      </c>
      <c r="AF106" s="323" t="s">
        <v>2</v>
      </c>
      <c r="AG106" s="324" t="s">
        <v>2</v>
      </c>
      <c r="AH106" s="320" t="s">
        <v>2</v>
      </c>
      <c r="AI106" s="320" t="s">
        <v>2</v>
      </c>
      <c r="AJ106" s="323" t="s">
        <v>2</v>
      </c>
      <c r="AK106" s="323" t="s">
        <v>2</v>
      </c>
      <c r="AL106" s="324" t="s">
        <v>2</v>
      </c>
      <c r="AM106" s="325" t="s">
        <v>2</v>
      </c>
      <c r="AN106" s="326" t="s">
        <v>2</v>
      </c>
      <c r="AO106" s="329" t="s">
        <v>2</v>
      </c>
      <c r="AP106" s="322" t="s">
        <v>2</v>
      </c>
      <c r="AQ106" s="327" t="s">
        <v>2</v>
      </c>
      <c r="AR106" s="327" t="s">
        <v>2</v>
      </c>
      <c r="AS106" s="327" t="s">
        <v>2</v>
      </c>
      <c r="AT106" s="327" t="s">
        <v>2</v>
      </c>
      <c r="AU106" s="327" t="s">
        <v>2</v>
      </c>
      <c r="AV106" s="330" t="s">
        <v>2</v>
      </c>
      <c r="AW106" s="328" t="s">
        <v>2</v>
      </c>
      <c r="AX106" s="327" t="s">
        <v>2</v>
      </c>
      <c r="AY106" s="327" t="s">
        <v>2</v>
      </c>
      <c r="AZ106" s="330" t="s">
        <v>2</v>
      </c>
      <c r="BA106" s="331" t="s">
        <v>2</v>
      </c>
      <c r="BB106" s="332" t="s">
        <v>2</v>
      </c>
      <c r="BC106" s="332" t="s">
        <v>2</v>
      </c>
      <c r="BD106" s="332" t="s">
        <v>2</v>
      </c>
      <c r="BE106" s="332" t="s">
        <v>2</v>
      </c>
      <c r="BF106" s="333" t="s">
        <v>2</v>
      </c>
      <c r="BG106" s="319" t="s">
        <v>2</v>
      </c>
      <c r="BH106" s="319" t="s">
        <v>2</v>
      </c>
      <c r="BI106" s="325" t="s">
        <v>2</v>
      </c>
      <c r="BJ106" s="326" t="s">
        <v>2</v>
      </c>
      <c r="BK106" s="326" t="s">
        <v>2</v>
      </c>
      <c r="BL106" s="326" t="s">
        <v>2</v>
      </c>
      <c r="BM106" s="326" t="s">
        <v>2</v>
      </c>
      <c r="BN106" s="326" t="s">
        <v>2</v>
      </c>
      <c r="BO106" s="326" t="s">
        <v>2</v>
      </c>
      <c r="BP106" s="326" t="s">
        <v>2</v>
      </c>
      <c r="BQ106" s="326" t="s">
        <v>2</v>
      </c>
      <c r="BR106" s="326" t="s">
        <v>2</v>
      </c>
      <c r="BS106" s="326" t="s">
        <v>2</v>
      </c>
      <c r="BT106" s="326" t="s">
        <v>2</v>
      </c>
      <c r="BU106" s="326" t="s">
        <v>2</v>
      </c>
      <c r="BV106" s="326" t="s">
        <v>2</v>
      </c>
      <c r="BW106" s="326" t="s">
        <v>2</v>
      </c>
      <c r="BX106" s="326" t="s">
        <v>2</v>
      </c>
      <c r="BY106" s="326" t="s">
        <v>2</v>
      </c>
      <c r="BZ106" s="329" t="s">
        <v>2</v>
      </c>
      <c r="CA106" s="328" t="s">
        <v>2</v>
      </c>
      <c r="CB106" s="323" t="s">
        <v>2</v>
      </c>
      <c r="CC106" s="323" t="s">
        <v>2</v>
      </c>
      <c r="CD106" s="323" t="s">
        <v>2</v>
      </c>
      <c r="CE106" s="323" t="s">
        <v>2</v>
      </c>
      <c r="CF106" s="323" t="s">
        <v>2</v>
      </c>
      <c r="CG106" s="324" t="s">
        <v>2</v>
      </c>
      <c r="CH106" s="326" t="s">
        <v>2</v>
      </c>
      <c r="CI106" s="329" t="s">
        <v>2</v>
      </c>
      <c r="CJ106" s="328" t="s">
        <v>2</v>
      </c>
      <c r="CK106" s="323" t="s">
        <v>2</v>
      </c>
      <c r="CL106" s="323" t="s">
        <v>2</v>
      </c>
      <c r="CM106" s="324" t="s">
        <v>2</v>
      </c>
      <c r="CN106" s="319" t="s">
        <v>2</v>
      </c>
      <c r="CO106" s="319" t="s">
        <v>2</v>
      </c>
    </row>
    <row r="107" spans="1:93" x14ac:dyDescent="0.25">
      <c r="A107" s="316">
        <v>16076</v>
      </c>
      <c r="B107" s="317" t="s">
        <v>1964</v>
      </c>
      <c r="C107" s="318"/>
      <c r="D107" s="293">
        <v>16</v>
      </c>
      <c r="E107" s="349">
        <v>0</v>
      </c>
      <c r="F107" s="320">
        <f>305*100/80</f>
        <v>381.25</v>
      </c>
      <c r="G107" s="300">
        <v>1593.625</v>
      </c>
      <c r="H107" s="321" t="s">
        <v>2</v>
      </c>
      <c r="I107" s="322">
        <f>8.7*100/80</f>
        <v>10.874999999999998</v>
      </c>
      <c r="J107" s="323">
        <f>6.5*100/80</f>
        <v>8.125</v>
      </c>
      <c r="K107" s="323">
        <f>52.8*100/80</f>
        <v>66</v>
      </c>
      <c r="L107" s="323" t="s">
        <v>2</v>
      </c>
      <c r="M107" s="324" t="s">
        <v>2</v>
      </c>
      <c r="N107" s="325" t="s">
        <v>2</v>
      </c>
      <c r="O107" s="326" t="s">
        <v>2</v>
      </c>
      <c r="P107" s="323" t="s">
        <v>2</v>
      </c>
      <c r="Q107" s="323" t="s">
        <v>2</v>
      </c>
      <c r="R107" s="315" t="s">
        <v>2</v>
      </c>
      <c r="S107" s="326" t="s">
        <v>2</v>
      </c>
      <c r="T107" s="326" t="s">
        <v>2</v>
      </c>
      <c r="U107" s="327" t="s">
        <v>2</v>
      </c>
      <c r="V107" s="327" t="s">
        <v>2</v>
      </c>
      <c r="W107" s="324" t="s">
        <v>2</v>
      </c>
      <c r="X107" s="328" t="s">
        <v>2</v>
      </c>
      <c r="Y107" s="327" t="s">
        <v>2</v>
      </c>
      <c r="Z107" s="327" t="s">
        <v>2</v>
      </c>
      <c r="AA107" s="327" t="s">
        <v>2</v>
      </c>
      <c r="AB107" s="327" t="s">
        <v>2</v>
      </c>
      <c r="AC107" s="327" t="s">
        <v>2</v>
      </c>
      <c r="AD107" s="326" t="s">
        <v>2</v>
      </c>
      <c r="AE107" s="326" t="s">
        <v>2</v>
      </c>
      <c r="AF107" s="323" t="s">
        <v>2</v>
      </c>
      <c r="AG107" s="324" t="s">
        <v>2</v>
      </c>
      <c r="AH107" s="320" t="s">
        <v>2</v>
      </c>
      <c r="AI107" s="320" t="s">
        <v>2</v>
      </c>
      <c r="AJ107" s="323" t="s">
        <v>2</v>
      </c>
      <c r="AK107" s="323" t="s">
        <v>2</v>
      </c>
      <c r="AL107" s="324" t="s">
        <v>2</v>
      </c>
      <c r="AM107" s="325" t="s">
        <v>2</v>
      </c>
      <c r="AN107" s="326" t="s">
        <v>2</v>
      </c>
      <c r="AO107" s="329" t="s">
        <v>2</v>
      </c>
      <c r="AP107" s="322" t="s">
        <v>2</v>
      </c>
      <c r="AQ107" s="327" t="s">
        <v>2</v>
      </c>
      <c r="AR107" s="327" t="s">
        <v>2</v>
      </c>
      <c r="AS107" s="327" t="s">
        <v>2</v>
      </c>
      <c r="AT107" s="327" t="s">
        <v>2</v>
      </c>
      <c r="AU107" s="327" t="s">
        <v>2</v>
      </c>
      <c r="AV107" s="330" t="s">
        <v>2</v>
      </c>
      <c r="AW107" s="328" t="s">
        <v>2</v>
      </c>
      <c r="AX107" s="327" t="s">
        <v>2</v>
      </c>
      <c r="AY107" s="327" t="s">
        <v>2</v>
      </c>
      <c r="AZ107" s="330" t="s">
        <v>2</v>
      </c>
      <c r="BA107" s="331" t="s">
        <v>2</v>
      </c>
      <c r="BB107" s="332" t="s">
        <v>2</v>
      </c>
      <c r="BC107" s="332" t="s">
        <v>2</v>
      </c>
      <c r="BD107" s="332" t="s">
        <v>2</v>
      </c>
      <c r="BE107" s="332" t="s">
        <v>2</v>
      </c>
      <c r="BF107" s="333" t="s">
        <v>2</v>
      </c>
      <c r="BG107" s="319" t="s">
        <v>2</v>
      </c>
      <c r="BH107" s="319" t="s">
        <v>2</v>
      </c>
      <c r="BI107" s="325" t="s">
        <v>2</v>
      </c>
      <c r="BJ107" s="326" t="s">
        <v>2</v>
      </c>
      <c r="BK107" s="326" t="s">
        <v>2</v>
      </c>
      <c r="BL107" s="326" t="s">
        <v>2</v>
      </c>
      <c r="BM107" s="326" t="s">
        <v>2</v>
      </c>
      <c r="BN107" s="326" t="s">
        <v>2</v>
      </c>
      <c r="BO107" s="326" t="s">
        <v>2</v>
      </c>
      <c r="BP107" s="326" t="s">
        <v>2</v>
      </c>
      <c r="BQ107" s="326" t="s">
        <v>2</v>
      </c>
      <c r="BR107" s="326" t="s">
        <v>2</v>
      </c>
      <c r="BS107" s="326" t="s">
        <v>2</v>
      </c>
      <c r="BT107" s="326" t="s">
        <v>2</v>
      </c>
      <c r="BU107" s="326" t="s">
        <v>2</v>
      </c>
      <c r="BV107" s="326" t="s">
        <v>2</v>
      </c>
      <c r="BW107" s="326" t="s">
        <v>2</v>
      </c>
      <c r="BX107" s="326" t="s">
        <v>2</v>
      </c>
      <c r="BY107" s="326" t="s">
        <v>2</v>
      </c>
      <c r="BZ107" s="329" t="s">
        <v>2</v>
      </c>
      <c r="CA107" s="328" t="s">
        <v>2</v>
      </c>
      <c r="CB107" s="323" t="s">
        <v>2</v>
      </c>
      <c r="CC107" s="323" t="s">
        <v>2</v>
      </c>
      <c r="CD107" s="323" t="s">
        <v>2</v>
      </c>
      <c r="CE107" s="323" t="s">
        <v>2</v>
      </c>
      <c r="CF107" s="323" t="s">
        <v>2</v>
      </c>
      <c r="CG107" s="324" t="s">
        <v>2</v>
      </c>
      <c r="CH107" s="326" t="s">
        <v>2</v>
      </c>
      <c r="CI107" s="329" t="s">
        <v>2</v>
      </c>
      <c r="CJ107" s="328" t="s">
        <v>2</v>
      </c>
      <c r="CK107" s="323" t="s">
        <v>2</v>
      </c>
      <c r="CL107" s="323" t="s">
        <v>2</v>
      </c>
      <c r="CM107" s="324" t="s">
        <v>2</v>
      </c>
      <c r="CN107" s="319" t="s">
        <v>2</v>
      </c>
      <c r="CO107" s="319" t="s">
        <v>2</v>
      </c>
    </row>
    <row r="108" spans="1:93" x14ac:dyDescent="0.25">
      <c r="A108" s="316">
        <v>16077</v>
      </c>
      <c r="B108" s="317" t="s">
        <v>1965</v>
      </c>
      <c r="C108" s="318"/>
      <c r="D108" s="293">
        <v>16</v>
      </c>
      <c r="E108" s="349">
        <v>0</v>
      </c>
      <c r="F108" s="320">
        <f>304*100/79</f>
        <v>384.81012658227849</v>
      </c>
      <c r="G108" s="300">
        <v>1608.506329113924</v>
      </c>
      <c r="H108" s="321" t="s">
        <v>2</v>
      </c>
      <c r="I108" s="322">
        <f>8.1*100/79</f>
        <v>10.253164556962025</v>
      </c>
      <c r="J108" s="323">
        <f>6.9*100/79</f>
        <v>8.7341772151898738</v>
      </c>
      <c r="K108" s="323">
        <f>52.4*100/79</f>
        <v>66.329113924050631</v>
      </c>
      <c r="L108" s="323" t="s">
        <v>2</v>
      </c>
      <c r="M108" s="324" t="s">
        <v>2</v>
      </c>
      <c r="N108" s="325" t="s">
        <v>2</v>
      </c>
      <c r="O108" s="326" t="s">
        <v>2</v>
      </c>
      <c r="P108" s="323" t="s">
        <v>2</v>
      </c>
      <c r="Q108" s="323" t="s">
        <v>2</v>
      </c>
      <c r="R108" s="315" t="s">
        <v>2</v>
      </c>
      <c r="S108" s="326" t="s">
        <v>2</v>
      </c>
      <c r="T108" s="326" t="s">
        <v>2</v>
      </c>
      <c r="U108" s="327" t="s">
        <v>2</v>
      </c>
      <c r="V108" s="327" t="s">
        <v>2</v>
      </c>
      <c r="W108" s="324" t="s">
        <v>2</v>
      </c>
      <c r="X108" s="328" t="s">
        <v>2</v>
      </c>
      <c r="Y108" s="327" t="s">
        <v>2</v>
      </c>
      <c r="Z108" s="327" t="s">
        <v>2</v>
      </c>
      <c r="AA108" s="327" t="s">
        <v>2</v>
      </c>
      <c r="AB108" s="327" t="s">
        <v>2</v>
      </c>
      <c r="AC108" s="327" t="s">
        <v>2</v>
      </c>
      <c r="AD108" s="326" t="s">
        <v>2</v>
      </c>
      <c r="AE108" s="326" t="s">
        <v>2</v>
      </c>
      <c r="AF108" s="323" t="s">
        <v>2</v>
      </c>
      <c r="AG108" s="324" t="s">
        <v>2</v>
      </c>
      <c r="AH108" s="320" t="s">
        <v>2</v>
      </c>
      <c r="AI108" s="320" t="s">
        <v>2</v>
      </c>
      <c r="AJ108" s="323" t="s">
        <v>2</v>
      </c>
      <c r="AK108" s="323" t="s">
        <v>2</v>
      </c>
      <c r="AL108" s="324" t="s">
        <v>2</v>
      </c>
      <c r="AM108" s="325" t="s">
        <v>2</v>
      </c>
      <c r="AN108" s="326" t="s">
        <v>2</v>
      </c>
      <c r="AO108" s="329" t="s">
        <v>2</v>
      </c>
      <c r="AP108" s="322" t="s">
        <v>2</v>
      </c>
      <c r="AQ108" s="327" t="s">
        <v>2</v>
      </c>
      <c r="AR108" s="327" t="s">
        <v>2</v>
      </c>
      <c r="AS108" s="327" t="s">
        <v>2</v>
      </c>
      <c r="AT108" s="327" t="s">
        <v>2</v>
      </c>
      <c r="AU108" s="327" t="s">
        <v>2</v>
      </c>
      <c r="AV108" s="330" t="s">
        <v>2</v>
      </c>
      <c r="AW108" s="328" t="s">
        <v>2</v>
      </c>
      <c r="AX108" s="327" t="s">
        <v>2</v>
      </c>
      <c r="AY108" s="327" t="s">
        <v>2</v>
      </c>
      <c r="AZ108" s="330" t="s">
        <v>2</v>
      </c>
      <c r="BA108" s="331" t="s">
        <v>2</v>
      </c>
      <c r="BB108" s="332" t="s">
        <v>2</v>
      </c>
      <c r="BC108" s="332" t="s">
        <v>2</v>
      </c>
      <c r="BD108" s="332" t="s">
        <v>2</v>
      </c>
      <c r="BE108" s="332" t="s">
        <v>2</v>
      </c>
      <c r="BF108" s="333" t="s">
        <v>2</v>
      </c>
      <c r="BG108" s="319" t="s">
        <v>2</v>
      </c>
      <c r="BH108" s="319" t="s">
        <v>2</v>
      </c>
      <c r="BI108" s="325" t="s">
        <v>2</v>
      </c>
      <c r="BJ108" s="326" t="s">
        <v>2</v>
      </c>
      <c r="BK108" s="326" t="s">
        <v>2</v>
      </c>
      <c r="BL108" s="326" t="s">
        <v>2</v>
      </c>
      <c r="BM108" s="326" t="s">
        <v>2</v>
      </c>
      <c r="BN108" s="326" t="s">
        <v>2</v>
      </c>
      <c r="BO108" s="326" t="s">
        <v>2</v>
      </c>
      <c r="BP108" s="326" t="s">
        <v>2</v>
      </c>
      <c r="BQ108" s="326" t="s">
        <v>2</v>
      </c>
      <c r="BR108" s="326" t="s">
        <v>2</v>
      </c>
      <c r="BS108" s="326" t="s">
        <v>2</v>
      </c>
      <c r="BT108" s="326" t="s">
        <v>2</v>
      </c>
      <c r="BU108" s="326" t="s">
        <v>2</v>
      </c>
      <c r="BV108" s="326" t="s">
        <v>2</v>
      </c>
      <c r="BW108" s="326" t="s">
        <v>2</v>
      </c>
      <c r="BX108" s="326" t="s">
        <v>2</v>
      </c>
      <c r="BY108" s="326" t="s">
        <v>2</v>
      </c>
      <c r="BZ108" s="329" t="s">
        <v>2</v>
      </c>
      <c r="CA108" s="328" t="s">
        <v>2</v>
      </c>
      <c r="CB108" s="323" t="s">
        <v>2</v>
      </c>
      <c r="CC108" s="323" t="s">
        <v>2</v>
      </c>
      <c r="CD108" s="323" t="s">
        <v>2</v>
      </c>
      <c r="CE108" s="323" t="s">
        <v>2</v>
      </c>
      <c r="CF108" s="323" t="s">
        <v>2</v>
      </c>
      <c r="CG108" s="324" t="s">
        <v>2</v>
      </c>
      <c r="CH108" s="326" t="s">
        <v>2</v>
      </c>
      <c r="CI108" s="329" t="s">
        <v>2</v>
      </c>
      <c r="CJ108" s="328" t="s">
        <v>2</v>
      </c>
      <c r="CK108" s="323" t="s">
        <v>2</v>
      </c>
      <c r="CL108" s="323" t="s">
        <v>2</v>
      </c>
      <c r="CM108" s="324" t="s">
        <v>2</v>
      </c>
      <c r="CN108" s="319" t="s">
        <v>2</v>
      </c>
      <c r="CO108" s="319" t="s">
        <v>2</v>
      </c>
    </row>
    <row r="109" spans="1:93" x14ac:dyDescent="0.25">
      <c r="A109" s="316">
        <v>16078</v>
      </c>
      <c r="B109" s="317" t="s">
        <v>1966</v>
      </c>
      <c r="C109" s="318"/>
      <c r="D109" s="293">
        <v>16</v>
      </c>
      <c r="E109" s="349">
        <v>0</v>
      </c>
      <c r="F109" s="320">
        <f>312*100/80</f>
        <v>390</v>
      </c>
      <c r="G109" s="300">
        <v>1630.1999999999998</v>
      </c>
      <c r="H109" s="321" t="s">
        <v>2</v>
      </c>
      <c r="I109" s="322">
        <f>8.1*100/80</f>
        <v>10.125</v>
      </c>
      <c r="J109" s="323">
        <f>7.8*100/80</f>
        <v>9.75</v>
      </c>
      <c r="K109" s="323">
        <f>52.3*100/80</f>
        <v>65.375</v>
      </c>
      <c r="L109" s="323" t="s">
        <v>2</v>
      </c>
      <c r="M109" s="324" t="s">
        <v>2</v>
      </c>
      <c r="N109" s="325" t="s">
        <v>2</v>
      </c>
      <c r="O109" s="326" t="s">
        <v>2</v>
      </c>
      <c r="P109" s="323" t="s">
        <v>2</v>
      </c>
      <c r="Q109" s="323" t="s">
        <v>2</v>
      </c>
      <c r="R109" s="315" t="s">
        <v>2</v>
      </c>
      <c r="S109" s="326" t="s">
        <v>2</v>
      </c>
      <c r="T109" s="326" t="s">
        <v>2</v>
      </c>
      <c r="U109" s="327" t="s">
        <v>2</v>
      </c>
      <c r="V109" s="327" t="s">
        <v>2</v>
      </c>
      <c r="W109" s="324" t="s">
        <v>2</v>
      </c>
      <c r="X109" s="328" t="s">
        <v>2</v>
      </c>
      <c r="Y109" s="327" t="s">
        <v>2</v>
      </c>
      <c r="Z109" s="327" t="s">
        <v>2</v>
      </c>
      <c r="AA109" s="327" t="s">
        <v>2</v>
      </c>
      <c r="AB109" s="327" t="s">
        <v>2</v>
      </c>
      <c r="AC109" s="327" t="s">
        <v>2</v>
      </c>
      <c r="AD109" s="326" t="s">
        <v>2</v>
      </c>
      <c r="AE109" s="326" t="s">
        <v>2</v>
      </c>
      <c r="AF109" s="323" t="s">
        <v>2</v>
      </c>
      <c r="AG109" s="324" t="s">
        <v>2</v>
      </c>
      <c r="AH109" s="320" t="s">
        <v>2</v>
      </c>
      <c r="AI109" s="320" t="s">
        <v>2</v>
      </c>
      <c r="AJ109" s="323" t="s">
        <v>2</v>
      </c>
      <c r="AK109" s="323" t="s">
        <v>2</v>
      </c>
      <c r="AL109" s="324" t="s">
        <v>2</v>
      </c>
      <c r="AM109" s="325" t="s">
        <v>2</v>
      </c>
      <c r="AN109" s="326" t="s">
        <v>2</v>
      </c>
      <c r="AO109" s="329" t="s">
        <v>2</v>
      </c>
      <c r="AP109" s="322" t="s">
        <v>2</v>
      </c>
      <c r="AQ109" s="327" t="s">
        <v>2</v>
      </c>
      <c r="AR109" s="327" t="s">
        <v>2</v>
      </c>
      <c r="AS109" s="327" t="s">
        <v>2</v>
      </c>
      <c r="AT109" s="327" t="s">
        <v>2</v>
      </c>
      <c r="AU109" s="327" t="s">
        <v>2</v>
      </c>
      <c r="AV109" s="330" t="s">
        <v>2</v>
      </c>
      <c r="AW109" s="328" t="s">
        <v>2</v>
      </c>
      <c r="AX109" s="327" t="s">
        <v>2</v>
      </c>
      <c r="AY109" s="327" t="s">
        <v>2</v>
      </c>
      <c r="AZ109" s="330" t="s">
        <v>2</v>
      </c>
      <c r="BA109" s="331" t="s">
        <v>2</v>
      </c>
      <c r="BB109" s="332" t="s">
        <v>2</v>
      </c>
      <c r="BC109" s="332" t="s">
        <v>2</v>
      </c>
      <c r="BD109" s="332" t="s">
        <v>2</v>
      </c>
      <c r="BE109" s="332" t="s">
        <v>2</v>
      </c>
      <c r="BF109" s="333" t="s">
        <v>2</v>
      </c>
      <c r="BG109" s="319" t="s">
        <v>2</v>
      </c>
      <c r="BH109" s="319" t="s">
        <v>2</v>
      </c>
      <c r="BI109" s="325" t="s">
        <v>2</v>
      </c>
      <c r="BJ109" s="326" t="s">
        <v>2</v>
      </c>
      <c r="BK109" s="326" t="s">
        <v>2</v>
      </c>
      <c r="BL109" s="326" t="s">
        <v>2</v>
      </c>
      <c r="BM109" s="326" t="s">
        <v>2</v>
      </c>
      <c r="BN109" s="326" t="s">
        <v>2</v>
      </c>
      <c r="BO109" s="326" t="s">
        <v>2</v>
      </c>
      <c r="BP109" s="326" t="s">
        <v>2</v>
      </c>
      <c r="BQ109" s="326" t="s">
        <v>2</v>
      </c>
      <c r="BR109" s="326" t="s">
        <v>2</v>
      </c>
      <c r="BS109" s="326" t="s">
        <v>2</v>
      </c>
      <c r="BT109" s="326" t="s">
        <v>2</v>
      </c>
      <c r="BU109" s="326" t="s">
        <v>2</v>
      </c>
      <c r="BV109" s="326" t="s">
        <v>2</v>
      </c>
      <c r="BW109" s="326" t="s">
        <v>2</v>
      </c>
      <c r="BX109" s="326" t="s">
        <v>2</v>
      </c>
      <c r="BY109" s="326" t="s">
        <v>2</v>
      </c>
      <c r="BZ109" s="329" t="s">
        <v>2</v>
      </c>
      <c r="CA109" s="328" t="s">
        <v>2</v>
      </c>
      <c r="CB109" s="323" t="s">
        <v>2</v>
      </c>
      <c r="CC109" s="323" t="s">
        <v>2</v>
      </c>
      <c r="CD109" s="323" t="s">
        <v>2</v>
      </c>
      <c r="CE109" s="323" t="s">
        <v>2</v>
      </c>
      <c r="CF109" s="323" t="s">
        <v>2</v>
      </c>
      <c r="CG109" s="324" t="s">
        <v>2</v>
      </c>
      <c r="CH109" s="326" t="s">
        <v>2</v>
      </c>
      <c r="CI109" s="329" t="s">
        <v>2</v>
      </c>
      <c r="CJ109" s="328" t="s">
        <v>2</v>
      </c>
      <c r="CK109" s="323" t="s">
        <v>2</v>
      </c>
      <c r="CL109" s="323" t="s">
        <v>2</v>
      </c>
      <c r="CM109" s="324" t="s">
        <v>2</v>
      </c>
      <c r="CN109" s="319" t="s">
        <v>2</v>
      </c>
      <c r="CO109" s="319" t="s">
        <v>2</v>
      </c>
    </row>
    <row r="110" spans="1:93" x14ac:dyDescent="0.25">
      <c r="A110" s="316">
        <v>16079</v>
      </c>
      <c r="B110" s="317" t="s">
        <v>1967</v>
      </c>
      <c r="C110" s="318"/>
      <c r="D110" s="293">
        <v>16</v>
      </c>
      <c r="E110" s="349">
        <v>0</v>
      </c>
      <c r="F110" s="320">
        <f>321*100/75</f>
        <v>428</v>
      </c>
      <c r="G110" s="300">
        <v>1789.04</v>
      </c>
      <c r="H110" s="321" t="s">
        <v>2</v>
      </c>
      <c r="I110" s="322">
        <f>5.4*100/75</f>
        <v>7.2</v>
      </c>
      <c r="J110" s="323">
        <f>13.7*100/75</f>
        <v>18.266666666666666</v>
      </c>
      <c r="K110" s="323">
        <f>43.9*100/75</f>
        <v>58.533333333333331</v>
      </c>
      <c r="L110" s="323" t="s">
        <v>2</v>
      </c>
      <c r="M110" s="324" t="s">
        <v>2</v>
      </c>
      <c r="N110" s="325" t="s">
        <v>2</v>
      </c>
      <c r="O110" s="326" t="s">
        <v>2</v>
      </c>
      <c r="P110" s="323" t="s">
        <v>2</v>
      </c>
      <c r="Q110" s="323" t="s">
        <v>2</v>
      </c>
      <c r="R110" s="315" t="s">
        <v>2</v>
      </c>
      <c r="S110" s="326" t="s">
        <v>2</v>
      </c>
      <c r="T110" s="326" t="s">
        <v>2</v>
      </c>
      <c r="U110" s="327" t="s">
        <v>2</v>
      </c>
      <c r="V110" s="327" t="s">
        <v>2</v>
      </c>
      <c r="W110" s="324" t="s">
        <v>2</v>
      </c>
      <c r="X110" s="328" t="s">
        <v>2</v>
      </c>
      <c r="Y110" s="327" t="s">
        <v>2</v>
      </c>
      <c r="Z110" s="327" t="s">
        <v>2</v>
      </c>
      <c r="AA110" s="327" t="s">
        <v>2</v>
      </c>
      <c r="AB110" s="327" t="s">
        <v>2</v>
      </c>
      <c r="AC110" s="327" t="s">
        <v>2</v>
      </c>
      <c r="AD110" s="326" t="s">
        <v>2</v>
      </c>
      <c r="AE110" s="326" t="s">
        <v>2</v>
      </c>
      <c r="AF110" s="323" t="s">
        <v>2</v>
      </c>
      <c r="AG110" s="324" t="s">
        <v>2</v>
      </c>
      <c r="AH110" s="320" t="s">
        <v>2</v>
      </c>
      <c r="AI110" s="320" t="s">
        <v>2</v>
      </c>
      <c r="AJ110" s="323" t="s">
        <v>2</v>
      </c>
      <c r="AK110" s="323" t="s">
        <v>2</v>
      </c>
      <c r="AL110" s="324" t="s">
        <v>2</v>
      </c>
      <c r="AM110" s="325" t="s">
        <v>2</v>
      </c>
      <c r="AN110" s="326" t="s">
        <v>2</v>
      </c>
      <c r="AO110" s="329" t="s">
        <v>2</v>
      </c>
      <c r="AP110" s="322" t="s">
        <v>2</v>
      </c>
      <c r="AQ110" s="327" t="s">
        <v>2</v>
      </c>
      <c r="AR110" s="327" t="s">
        <v>2</v>
      </c>
      <c r="AS110" s="327" t="s">
        <v>2</v>
      </c>
      <c r="AT110" s="327" t="s">
        <v>2</v>
      </c>
      <c r="AU110" s="327" t="s">
        <v>2</v>
      </c>
      <c r="AV110" s="330" t="s">
        <v>2</v>
      </c>
      <c r="AW110" s="328" t="s">
        <v>2</v>
      </c>
      <c r="AX110" s="327" t="s">
        <v>2</v>
      </c>
      <c r="AY110" s="327" t="s">
        <v>2</v>
      </c>
      <c r="AZ110" s="330" t="s">
        <v>2</v>
      </c>
      <c r="BA110" s="331" t="s">
        <v>2</v>
      </c>
      <c r="BB110" s="332" t="s">
        <v>2</v>
      </c>
      <c r="BC110" s="332" t="s">
        <v>2</v>
      </c>
      <c r="BD110" s="332" t="s">
        <v>2</v>
      </c>
      <c r="BE110" s="332" t="s">
        <v>2</v>
      </c>
      <c r="BF110" s="333" t="s">
        <v>2</v>
      </c>
      <c r="BG110" s="319" t="s">
        <v>2</v>
      </c>
      <c r="BH110" s="319" t="s">
        <v>2</v>
      </c>
      <c r="BI110" s="325" t="s">
        <v>2</v>
      </c>
      <c r="BJ110" s="326" t="s">
        <v>2</v>
      </c>
      <c r="BK110" s="326" t="s">
        <v>2</v>
      </c>
      <c r="BL110" s="326" t="s">
        <v>2</v>
      </c>
      <c r="BM110" s="326" t="s">
        <v>2</v>
      </c>
      <c r="BN110" s="326" t="s">
        <v>2</v>
      </c>
      <c r="BO110" s="326" t="s">
        <v>2</v>
      </c>
      <c r="BP110" s="326" t="s">
        <v>2</v>
      </c>
      <c r="BQ110" s="326" t="s">
        <v>2</v>
      </c>
      <c r="BR110" s="326" t="s">
        <v>2</v>
      </c>
      <c r="BS110" s="326" t="s">
        <v>2</v>
      </c>
      <c r="BT110" s="326" t="s">
        <v>2</v>
      </c>
      <c r="BU110" s="326" t="s">
        <v>2</v>
      </c>
      <c r="BV110" s="326" t="s">
        <v>2</v>
      </c>
      <c r="BW110" s="326" t="s">
        <v>2</v>
      </c>
      <c r="BX110" s="326" t="s">
        <v>2</v>
      </c>
      <c r="BY110" s="326" t="s">
        <v>2</v>
      </c>
      <c r="BZ110" s="329" t="s">
        <v>2</v>
      </c>
      <c r="CA110" s="328" t="s">
        <v>2</v>
      </c>
      <c r="CB110" s="323" t="s">
        <v>2</v>
      </c>
      <c r="CC110" s="323" t="s">
        <v>2</v>
      </c>
      <c r="CD110" s="323" t="s">
        <v>2</v>
      </c>
      <c r="CE110" s="323" t="s">
        <v>2</v>
      </c>
      <c r="CF110" s="323" t="s">
        <v>2</v>
      </c>
      <c r="CG110" s="324" t="s">
        <v>2</v>
      </c>
      <c r="CH110" s="326" t="s">
        <v>2</v>
      </c>
      <c r="CI110" s="329" t="s">
        <v>2</v>
      </c>
      <c r="CJ110" s="328" t="s">
        <v>2</v>
      </c>
      <c r="CK110" s="323" t="s">
        <v>2</v>
      </c>
      <c r="CL110" s="323" t="s">
        <v>2</v>
      </c>
      <c r="CM110" s="324" t="s">
        <v>2</v>
      </c>
      <c r="CN110" s="319" t="s">
        <v>2</v>
      </c>
      <c r="CO110" s="319" t="s">
        <v>2</v>
      </c>
    </row>
    <row r="111" spans="1:93" x14ac:dyDescent="0.25">
      <c r="A111" s="316">
        <v>16080</v>
      </c>
      <c r="B111" s="317" t="s">
        <v>1968</v>
      </c>
      <c r="C111" s="318"/>
      <c r="D111" s="293">
        <v>16</v>
      </c>
      <c r="E111" s="349">
        <v>0</v>
      </c>
      <c r="F111" s="320">
        <f>326*100/75</f>
        <v>434.66666666666669</v>
      </c>
      <c r="G111" s="300">
        <v>1816.9066666666665</v>
      </c>
      <c r="H111" s="321" t="s">
        <v>2</v>
      </c>
      <c r="I111" s="322">
        <f>5.5*100/75</f>
        <v>7.333333333333333</v>
      </c>
      <c r="J111" s="323">
        <f>14.4*100/75</f>
        <v>19.2</v>
      </c>
      <c r="K111" s="323">
        <f>43.7*100/75</f>
        <v>58.266666666666666</v>
      </c>
      <c r="L111" s="323" t="s">
        <v>2</v>
      </c>
      <c r="M111" s="324" t="s">
        <v>2</v>
      </c>
      <c r="N111" s="325" t="s">
        <v>2</v>
      </c>
      <c r="O111" s="326" t="s">
        <v>2</v>
      </c>
      <c r="P111" s="323" t="s">
        <v>2</v>
      </c>
      <c r="Q111" s="323" t="s">
        <v>2</v>
      </c>
      <c r="R111" s="315" t="s">
        <v>2</v>
      </c>
      <c r="S111" s="326" t="s">
        <v>2</v>
      </c>
      <c r="T111" s="326" t="s">
        <v>2</v>
      </c>
      <c r="U111" s="327" t="s">
        <v>2</v>
      </c>
      <c r="V111" s="327" t="s">
        <v>2</v>
      </c>
      <c r="W111" s="324" t="s">
        <v>2</v>
      </c>
      <c r="X111" s="328" t="s">
        <v>2</v>
      </c>
      <c r="Y111" s="327" t="s">
        <v>2</v>
      </c>
      <c r="Z111" s="327" t="s">
        <v>2</v>
      </c>
      <c r="AA111" s="327" t="s">
        <v>2</v>
      </c>
      <c r="AB111" s="327" t="s">
        <v>2</v>
      </c>
      <c r="AC111" s="327" t="s">
        <v>2</v>
      </c>
      <c r="AD111" s="326" t="s">
        <v>2</v>
      </c>
      <c r="AE111" s="326" t="s">
        <v>2</v>
      </c>
      <c r="AF111" s="323" t="s">
        <v>2</v>
      </c>
      <c r="AG111" s="324" t="s">
        <v>2</v>
      </c>
      <c r="AH111" s="320" t="s">
        <v>2</v>
      </c>
      <c r="AI111" s="320" t="s">
        <v>2</v>
      </c>
      <c r="AJ111" s="323" t="s">
        <v>2</v>
      </c>
      <c r="AK111" s="323" t="s">
        <v>2</v>
      </c>
      <c r="AL111" s="324" t="s">
        <v>2</v>
      </c>
      <c r="AM111" s="325" t="s">
        <v>2</v>
      </c>
      <c r="AN111" s="326" t="s">
        <v>2</v>
      </c>
      <c r="AO111" s="329" t="s">
        <v>2</v>
      </c>
      <c r="AP111" s="322" t="s">
        <v>2</v>
      </c>
      <c r="AQ111" s="327" t="s">
        <v>2</v>
      </c>
      <c r="AR111" s="327" t="s">
        <v>2</v>
      </c>
      <c r="AS111" s="327" t="s">
        <v>2</v>
      </c>
      <c r="AT111" s="327" t="s">
        <v>2</v>
      </c>
      <c r="AU111" s="327" t="s">
        <v>2</v>
      </c>
      <c r="AV111" s="330" t="s">
        <v>2</v>
      </c>
      <c r="AW111" s="328" t="s">
        <v>2</v>
      </c>
      <c r="AX111" s="327" t="s">
        <v>2</v>
      </c>
      <c r="AY111" s="327" t="s">
        <v>2</v>
      </c>
      <c r="AZ111" s="330" t="s">
        <v>2</v>
      </c>
      <c r="BA111" s="331" t="s">
        <v>2</v>
      </c>
      <c r="BB111" s="332" t="s">
        <v>2</v>
      </c>
      <c r="BC111" s="332" t="s">
        <v>2</v>
      </c>
      <c r="BD111" s="332" t="s">
        <v>2</v>
      </c>
      <c r="BE111" s="332" t="s">
        <v>2</v>
      </c>
      <c r="BF111" s="333" t="s">
        <v>2</v>
      </c>
      <c r="BG111" s="319" t="s">
        <v>2</v>
      </c>
      <c r="BH111" s="319" t="s">
        <v>2</v>
      </c>
      <c r="BI111" s="325" t="s">
        <v>2</v>
      </c>
      <c r="BJ111" s="326" t="s">
        <v>2</v>
      </c>
      <c r="BK111" s="326" t="s">
        <v>2</v>
      </c>
      <c r="BL111" s="326" t="s">
        <v>2</v>
      </c>
      <c r="BM111" s="326" t="s">
        <v>2</v>
      </c>
      <c r="BN111" s="326" t="s">
        <v>2</v>
      </c>
      <c r="BO111" s="326" t="s">
        <v>2</v>
      </c>
      <c r="BP111" s="326" t="s">
        <v>2</v>
      </c>
      <c r="BQ111" s="326" t="s">
        <v>2</v>
      </c>
      <c r="BR111" s="326" t="s">
        <v>2</v>
      </c>
      <c r="BS111" s="326" t="s">
        <v>2</v>
      </c>
      <c r="BT111" s="326" t="s">
        <v>2</v>
      </c>
      <c r="BU111" s="326" t="s">
        <v>2</v>
      </c>
      <c r="BV111" s="326" t="s">
        <v>2</v>
      </c>
      <c r="BW111" s="326" t="s">
        <v>2</v>
      </c>
      <c r="BX111" s="326" t="s">
        <v>2</v>
      </c>
      <c r="BY111" s="326" t="s">
        <v>2</v>
      </c>
      <c r="BZ111" s="329" t="s">
        <v>2</v>
      </c>
      <c r="CA111" s="328" t="s">
        <v>2</v>
      </c>
      <c r="CB111" s="323" t="s">
        <v>2</v>
      </c>
      <c r="CC111" s="323" t="s">
        <v>2</v>
      </c>
      <c r="CD111" s="323" t="s">
        <v>2</v>
      </c>
      <c r="CE111" s="323" t="s">
        <v>2</v>
      </c>
      <c r="CF111" s="323" t="s">
        <v>2</v>
      </c>
      <c r="CG111" s="324" t="s">
        <v>2</v>
      </c>
      <c r="CH111" s="326" t="s">
        <v>2</v>
      </c>
      <c r="CI111" s="329" t="s">
        <v>2</v>
      </c>
      <c r="CJ111" s="328" t="s">
        <v>2</v>
      </c>
      <c r="CK111" s="323" t="s">
        <v>2</v>
      </c>
      <c r="CL111" s="323" t="s">
        <v>2</v>
      </c>
      <c r="CM111" s="324" t="s">
        <v>2</v>
      </c>
      <c r="CN111" s="319" t="s">
        <v>2</v>
      </c>
      <c r="CO111" s="319" t="s">
        <v>2</v>
      </c>
    </row>
    <row r="112" spans="1:93" x14ac:dyDescent="0.25">
      <c r="A112" s="316">
        <v>16081</v>
      </c>
      <c r="B112" s="317" t="s">
        <v>1969</v>
      </c>
      <c r="C112" s="318"/>
      <c r="D112" s="293">
        <v>16</v>
      </c>
      <c r="E112" s="349">
        <v>0</v>
      </c>
      <c r="F112" s="320">
        <f>402*100/85</f>
        <v>472.94117647058823</v>
      </c>
      <c r="G112" s="300">
        <v>1976.8941176470587</v>
      </c>
      <c r="H112" s="321" t="s">
        <v>2</v>
      </c>
      <c r="I112" s="322">
        <f>8.1*100/85</f>
        <v>9.5294117647058822</v>
      </c>
      <c r="J112" s="323">
        <f>18.9*100/85</f>
        <v>22.235294117647054</v>
      </c>
      <c r="K112" s="323">
        <f>49.9*100/85</f>
        <v>58.705882352941174</v>
      </c>
      <c r="L112" s="323" t="s">
        <v>2</v>
      </c>
      <c r="M112" s="324" t="s">
        <v>2</v>
      </c>
      <c r="N112" s="325" t="s">
        <v>2</v>
      </c>
      <c r="O112" s="326" t="s">
        <v>2</v>
      </c>
      <c r="P112" s="323" t="s">
        <v>2</v>
      </c>
      <c r="Q112" s="323" t="s">
        <v>2</v>
      </c>
      <c r="R112" s="315" t="s">
        <v>2</v>
      </c>
      <c r="S112" s="326" t="s">
        <v>2</v>
      </c>
      <c r="T112" s="326" t="s">
        <v>2</v>
      </c>
      <c r="U112" s="327" t="s">
        <v>2</v>
      </c>
      <c r="V112" s="327" t="s">
        <v>2</v>
      </c>
      <c r="W112" s="324" t="s">
        <v>2</v>
      </c>
      <c r="X112" s="328" t="s">
        <v>2</v>
      </c>
      <c r="Y112" s="327" t="s">
        <v>2</v>
      </c>
      <c r="Z112" s="327" t="s">
        <v>2</v>
      </c>
      <c r="AA112" s="327" t="s">
        <v>2</v>
      </c>
      <c r="AB112" s="327" t="s">
        <v>2</v>
      </c>
      <c r="AC112" s="327" t="s">
        <v>2</v>
      </c>
      <c r="AD112" s="326" t="s">
        <v>2</v>
      </c>
      <c r="AE112" s="326" t="s">
        <v>2</v>
      </c>
      <c r="AF112" s="323" t="s">
        <v>2</v>
      </c>
      <c r="AG112" s="324" t="s">
        <v>2</v>
      </c>
      <c r="AH112" s="320" t="s">
        <v>2</v>
      </c>
      <c r="AI112" s="320" t="s">
        <v>2</v>
      </c>
      <c r="AJ112" s="323" t="s">
        <v>2</v>
      </c>
      <c r="AK112" s="323" t="s">
        <v>2</v>
      </c>
      <c r="AL112" s="324" t="s">
        <v>2</v>
      </c>
      <c r="AM112" s="325" t="s">
        <v>2</v>
      </c>
      <c r="AN112" s="326" t="s">
        <v>2</v>
      </c>
      <c r="AO112" s="329" t="s">
        <v>2</v>
      </c>
      <c r="AP112" s="322" t="s">
        <v>2</v>
      </c>
      <c r="AQ112" s="327" t="s">
        <v>2</v>
      </c>
      <c r="AR112" s="327" t="s">
        <v>2</v>
      </c>
      <c r="AS112" s="327" t="s">
        <v>2</v>
      </c>
      <c r="AT112" s="327" t="s">
        <v>2</v>
      </c>
      <c r="AU112" s="327" t="s">
        <v>2</v>
      </c>
      <c r="AV112" s="330" t="s">
        <v>2</v>
      </c>
      <c r="AW112" s="328" t="s">
        <v>2</v>
      </c>
      <c r="AX112" s="327" t="s">
        <v>2</v>
      </c>
      <c r="AY112" s="327" t="s">
        <v>2</v>
      </c>
      <c r="AZ112" s="330" t="s">
        <v>2</v>
      </c>
      <c r="BA112" s="331" t="s">
        <v>2</v>
      </c>
      <c r="BB112" s="332" t="s">
        <v>2</v>
      </c>
      <c r="BC112" s="332" t="s">
        <v>2</v>
      </c>
      <c r="BD112" s="332" t="s">
        <v>2</v>
      </c>
      <c r="BE112" s="332" t="s">
        <v>2</v>
      </c>
      <c r="BF112" s="333" t="s">
        <v>2</v>
      </c>
      <c r="BG112" s="319" t="s">
        <v>2</v>
      </c>
      <c r="BH112" s="319" t="s">
        <v>2</v>
      </c>
      <c r="BI112" s="325" t="s">
        <v>2</v>
      </c>
      <c r="BJ112" s="326" t="s">
        <v>2</v>
      </c>
      <c r="BK112" s="326" t="s">
        <v>2</v>
      </c>
      <c r="BL112" s="326" t="s">
        <v>2</v>
      </c>
      <c r="BM112" s="326" t="s">
        <v>2</v>
      </c>
      <c r="BN112" s="326" t="s">
        <v>2</v>
      </c>
      <c r="BO112" s="326" t="s">
        <v>2</v>
      </c>
      <c r="BP112" s="326" t="s">
        <v>2</v>
      </c>
      <c r="BQ112" s="326" t="s">
        <v>2</v>
      </c>
      <c r="BR112" s="326" t="s">
        <v>2</v>
      </c>
      <c r="BS112" s="326" t="s">
        <v>2</v>
      </c>
      <c r="BT112" s="326" t="s">
        <v>2</v>
      </c>
      <c r="BU112" s="326" t="s">
        <v>2</v>
      </c>
      <c r="BV112" s="326" t="s">
        <v>2</v>
      </c>
      <c r="BW112" s="326" t="s">
        <v>2</v>
      </c>
      <c r="BX112" s="326" t="s">
        <v>2</v>
      </c>
      <c r="BY112" s="326" t="s">
        <v>2</v>
      </c>
      <c r="BZ112" s="329" t="s">
        <v>2</v>
      </c>
      <c r="CA112" s="328" t="s">
        <v>2</v>
      </c>
      <c r="CB112" s="323" t="s">
        <v>2</v>
      </c>
      <c r="CC112" s="323" t="s">
        <v>2</v>
      </c>
      <c r="CD112" s="323" t="s">
        <v>2</v>
      </c>
      <c r="CE112" s="323" t="s">
        <v>2</v>
      </c>
      <c r="CF112" s="323" t="s">
        <v>2</v>
      </c>
      <c r="CG112" s="324" t="s">
        <v>2</v>
      </c>
      <c r="CH112" s="326" t="s">
        <v>2</v>
      </c>
      <c r="CI112" s="329" t="s">
        <v>2</v>
      </c>
      <c r="CJ112" s="328" t="s">
        <v>2</v>
      </c>
      <c r="CK112" s="323" t="s">
        <v>2</v>
      </c>
      <c r="CL112" s="323" t="s">
        <v>2</v>
      </c>
      <c r="CM112" s="324" t="s">
        <v>2</v>
      </c>
      <c r="CN112" s="319" t="s">
        <v>2</v>
      </c>
      <c r="CO112" s="319" t="s">
        <v>2</v>
      </c>
    </row>
    <row r="113" spans="1:93" x14ac:dyDescent="0.25">
      <c r="A113" s="316">
        <v>16082</v>
      </c>
      <c r="B113" s="317" t="s">
        <v>1970</v>
      </c>
      <c r="C113" s="318"/>
      <c r="D113" s="293">
        <v>16</v>
      </c>
      <c r="E113" s="349">
        <v>0</v>
      </c>
      <c r="F113" s="320">
        <f>398*100/85</f>
        <v>468.23529411764707</v>
      </c>
      <c r="G113" s="300">
        <v>1957.2235294117647</v>
      </c>
      <c r="H113" s="321" t="s">
        <v>2</v>
      </c>
      <c r="I113" s="322">
        <f>8.1*100/85</f>
        <v>9.5294117647058822</v>
      </c>
      <c r="J113" s="323">
        <f>18.1*100/85</f>
        <v>21.294117647058826</v>
      </c>
      <c r="K113" s="323">
        <f>50.7*100/85</f>
        <v>59.647058823529413</v>
      </c>
      <c r="L113" s="323" t="s">
        <v>2</v>
      </c>
      <c r="M113" s="324" t="s">
        <v>2</v>
      </c>
      <c r="N113" s="325" t="s">
        <v>2</v>
      </c>
      <c r="O113" s="326" t="s">
        <v>2</v>
      </c>
      <c r="P113" s="323" t="s">
        <v>2</v>
      </c>
      <c r="Q113" s="323" t="s">
        <v>2</v>
      </c>
      <c r="R113" s="315" t="s">
        <v>2</v>
      </c>
      <c r="S113" s="326" t="s">
        <v>2</v>
      </c>
      <c r="T113" s="326" t="s">
        <v>2</v>
      </c>
      <c r="U113" s="327" t="s">
        <v>2</v>
      </c>
      <c r="V113" s="327" t="s">
        <v>2</v>
      </c>
      <c r="W113" s="324" t="s">
        <v>2</v>
      </c>
      <c r="X113" s="328" t="s">
        <v>2</v>
      </c>
      <c r="Y113" s="327" t="s">
        <v>2</v>
      </c>
      <c r="Z113" s="327" t="s">
        <v>2</v>
      </c>
      <c r="AA113" s="327" t="s">
        <v>2</v>
      </c>
      <c r="AB113" s="327" t="s">
        <v>2</v>
      </c>
      <c r="AC113" s="327" t="s">
        <v>2</v>
      </c>
      <c r="AD113" s="326" t="s">
        <v>2</v>
      </c>
      <c r="AE113" s="326" t="s">
        <v>2</v>
      </c>
      <c r="AF113" s="323" t="s">
        <v>2</v>
      </c>
      <c r="AG113" s="324" t="s">
        <v>2</v>
      </c>
      <c r="AH113" s="320" t="s">
        <v>2</v>
      </c>
      <c r="AI113" s="320" t="s">
        <v>2</v>
      </c>
      <c r="AJ113" s="323" t="s">
        <v>2</v>
      </c>
      <c r="AK113" s="323" t="s">
        <v>2</v>
      </c>
      <c r="AL113" s="324" t="s">
        <v>2</v>
      </c>
      <c r="AM113" s="325" t="s">
        <v>2</v>
      </c>
      <c r="AN113" s="326" t="s">
        <v>2</v>
      </c>
      <c r="AO113" s="329" t="s">
        <v>2</v>
      </c>
      <c r="AP113" s="322" t="s">
        <v>2</v>
      </c>
      <c r="AQ113" s="327" t="s">
        <v>2</v>
      </c>
      <c r="AR113" s="327" t="s">
        <v>2</v>
      </c>
      <c r="AS113" s="327" t="s">
        <v>2</v>
      </c>
      <c r="AT113" s="327" t="s">
        <v>2</v>
      </c>
      <c r="AU113" s="327" t="s">
        <v>2</v>
      </c>
      <c r="AV113" s="330" t="s">
        <v>2</v>
      </c>
      <c r="AW113" s="328" t="s">
        <v>2</v>
      </c>
      <c r="AX113" s="327" t="s">
        <v>2</v>
      </c>
      <c r="AY113" s="327" t="s">
        <v>2</v>
      </c>
      <c r="AZ113" s="330" t="s">
        <v>2</v>
      </c>
      <c r="BA113" s="331" t="s">
        <v>2</v>
      </c>
      <c r="BB113" s="332" t="s">
        <v>2</v>
      </c>
      <c r="BC113" s="332" t="s">
        <v>2</v>
      </c>
      <c r="BD113" s="332" t="s">
        <v>2</v>
      </c>
      <c r="BE113" s="332" t="s">
        <v>2</v>
      </c>
      <c r="BF113" s="333" t="s">
        <v>2</v>
      </c>
      <c r="BG113" s="319" t="s">
        <v>2</v>
      </c>
      <c r="BH113" s="319" t="s">
        <v>2</v>
      </c>
      <c r="BI113" s="325" t="s">
        <v>2</v>
      </c>
      <c r="BJ113" s="326" t="s">
        <v>2</v>
      </c>
      <c r="BK113" s="326" t="s">
        <v>2</v>
      </c>
      <c r="BL113" s="326" t="s">
        <v>2</v>
      </c>
      <c r="BM113" s="326" t="s">
        <v>2</v>
      </c>
      <c r="BN113" s="326" t="s">
        <v>2</v>
      </c>
      <c r="BO113" s="326" t="s">
        <v>2</v>
      </c>
      <c r="BP113" s="326" t="s">
        <v>2</v>
      </c>
      <c r="BQ113" s="326" t="s">
        <v>2</v>
      </c>
      <c r="BR113" s="326" t="s">
        <v>2</v>
      </c>
      <c r="BS113" s="326" t="s">
        <v>2</v>
      </c>
      <c r="BT113" s="326" t="s">
        <v>2</v>
      </c>
      <c r="BU113" s="326" t="s">
        <v>2</v>
      </c>
      <c r="BV113" s="326" t="s">
        <v>2</v>
      </c>
      <c r="BW113" s="326" t="s">
        <v>2</v>
      </c>
      <c r="BX113" s="326" t="s">
        <v>2</v>
      </c>
      <c r="BY113" s="326" t="s">
        <v>2</v>
      </c>
      <c r="BZ113" s="329" t="s">
        <v>2</v>
      </c>
      <c r="CA113" s="328" t="s">
        <v>2</v>
      </c>
      <c r="CB113" s="323" t="s">
        <v>2</v>
      </c>
      <c r="CC113" s="323" t="s">
        <v>2</v>
      </c>
      <c r="CD113" s="323" t="s">
        <v>2</v>
      </c>
      <c r="CE113" s="323" t="s">
        <v>2</v>
      </c>
      <c r="CF113" s="323" t="s">
        <v>2</v>
      </c>
      <c r="CG113" s="324" t="s">
        <v>2</v>
      </c>
      <c r="CH113" s="326" t="s">
        <v>2</v>
      </c>
      <c r="CI113" s="329" t="s">
        <v>2</v>
      </c>
      <c r="CJ113" s="328" t="s">
        <v>2</v>
      </c>
      <c r="CK113" s="323" t="s">
        <v>2</v>
      </c>
      <c r="CL113" s="323" t="s">
        <v>2</v>
      </c>
      <c r="CM113" s="324" t="s">
        <v>2</v>
      </c>
      <c r="CN113" s="319" t="s">
        <v>2</v>
      </c>
      <c r="CO113" s="319" t="s">
        <v>2</v>
      </c>
    </row>
    <row r="114" spans="1:93" x14ac:dyDescent="0.25">
      <c r="A114" s="316">
        <v>16083</v>
      </c>
      <c r="B114" s="317" t="s">
        <v>1971</v>
      </c>
      <c r="C114" s="318"/>
      <c r="D114" s="293">
        <v>16</v>
      </c>
      <c r="E114" s="349">
        <v>0</v>
      </c>
      <c r="F114" s="320">
        <f>395*100/85</f>
        <v>464.70588235294116</v>
      </c>
      <c r="G114" s="300">
        <v>1942.4705882352939</v>
      </c>
      <c r="H114" s="321" t="s">
        <v>2</v>
      </c>
      <c r="I114" s="322">
        <f>8.1*100/85</f>
        <v>9.5294117647058822</v>
      </c>
      <c r="J114" s="323">
        <f>17.8*100/85</f>
        <v>20.941176470588236</v>
      </c>
      <c r="K114" s="323">
        <f>50.7*100/85</f>
        <v>59.647058823529413</v>
      </c>
      <c r="L114" s="323" t="s">
        <v>2</v>
      </c>
      <c r="M114" s="324" t="s">
        <v>2</v>
      </c>
      <c r="N114" s="325" t="s">
        <v>2</v>
      </c>
      <c r="O114" s="326" t="s">
        <v>2</v>
      </c>
      <c r="P114" s="323" t="s">
        <v>2</v>
      </c>
      <c r="Q114" s="323" t="s">
        <v>2</v>
      </c>
      <c r="R114" s="315" t="s">
        <v>2</v>
      </c>
      <c r="S114" s="326" t="s">
        <v>2</v>
      </c>
      <c r="T114" s="326" t="s">
        <v>2</v>
      </c>
      <c r="U114" s="327" t="s">
        <v>2</v>
      </c>
      <c r="V114" s="327" t="s">
        <v>2</v>
      </c>
      <c r="W114" s="324" t="s">
        <v>2</v>
      </c>
      <c r="X114" s="328" t="s">
        <v>2</v>
      </c>
      <c r="Y114" s="327" t="s">
        <v>2</v>
      </c>
      <c r="Z114" s="327" t="s">
        <v>2</v>
      </c>
      <c r="AA114" s="327" t="s">
        <v>2</v>
      </c>
      <c r="AB114" s="327" t="s">
        <v>2</v>
      </c>
      <c r="AC114" s="327" t="s">
        <v>2</v>
      </c>
      <c r="AD114" s="326" t="s">
        <v>2</v>
      </c>
      <c r="AE114" s="326" t="s">
        <v>2</v>
      </c>
      <c r="AF114" s="323" t="s">
        <v>2</v>
      </c>
      <c r="AG114" s="324" t="s">
        <v>2</v>
      </c>
      <c r="AH114" s="320" t="s">
        <v>2</v>
      </c>
      <c r="AI114" s="320" t="s">
        <v>2</v>
      </c>
      <c r="AJ114" s="323" t="s">
        <v>2</v>
      </c>
      <c r="AK114" s="323" t="s">
        <v>2</v>
      </c>
      <c r="AL114" s="324" t="s">
        <v>2</v>
      </c>
      <c r="AM114" s="325" t="s">
        <v>2</v>
      </c>
      <c r="AN114" s="326" t="s">
        <v>2</v>
      </c>
      <c r="AO114" s="329" t="s">
        <v>2</v>
      </c>
      <c r="AP114" s="322" t="s">
        <v>2</v>
      </c>
      <c r="AQ114" s="327" t="s">
        <v>2</v>
      </c>
      <c r="AR114" s="327" t="s">
        <v>2</v>
      </c>
      <c r="AS114" s="327" t="s">
        <v>2</v>
      </c>
      <c r="AT114" s="327" t="s">
        <v>2</v>
      </c>
      <c r="AU114" s="327" t="s">
        <v>2</v>
      </c>
      <c r="AV114" s="330" t="s">
        <v>2</v>
      </c>
      <c r="AW114" s="328" t="s">
        <v>2</v>
      </c>
      <c r="AX114" s="327" t="s">
        <v>2</v>
      </c>
      <c r="AY114" s="327" t="s">
        <v>2</v>
      </c>
      <c r="AZ114" s="330" t="s">
        <v>2</v>
      </c>
      <c r="BA114" s="331" t="s">
        <v>2</v>
      </c>
      <c r="BB114" s="332" t="s">
        <v>2</v>
      </c>
      <c r="BC114" s="332" t="s">
        <v>2</v>
      </c>
      <c r="BD114" s="332" t="s">
        <v>2</v>
      </c>
      <c r="BE114" s="332" t="s">
        <v>2</v>
      </c>
      <c r="BF114" s="333" t="s">
        <v>2</v>
      </c>
      <c r="BG114" s="319" t="s">
        <v>2</v>
      </c>
      <c r="BH114" s="319" t="s">
        <v>2</v>
      </c>
      <c r="BI114" s="325" t="s">
        <v>2</v>
      </c>
      <c r="BJ114" s="326" t="s">
        <v>2</v>
      </c>
      <c r="BK114" s="326" t="s">
        <v>2</v>
      </c>
      <c r="BL114" s="326" t="s">
        <v>2</v>
      </c>
      <c r="BM114" s="326" t="s">
        <v>2</v>
      </c>
      <c r="BN114" s="326" t="s">
        <v>2</v>
      </c>
      <c r="BO114" s="326" t="s">
        <v>2</v>
      </c>
      <c r="BP114" s="326" t="s">
        <v>2</v>
      </c>
      <c r="BQ114" s="326" t="s">
        <v>2</v>
      </c>
      <c r="BR114" s="326" t="s">
        <v>2</v>
      </c>
      <c r="BS114" s="326" t="s">
        <v>2</v>
      </c>
      <c r="BT114" s="326" t="s">
        <v>2</v>
      </c>
      <c r="BU114" s="326" t="s">
        <v>2</v>
      </c>
      <c r="BV114" s="326" t="s">
        <v>2</v>
      </c>
      <c r="BW114" s="326" t="s">
        <v>2</v>
      </c>
      <c r="BX114" s="326" t="s">
        <v>2</v>
      </c>
      <c r="BY114" s="326" t="s">
        <v>2</v>
      </c>
      <c r="BZ114" s="329" t="s">
        <v>2</v>
      </c>
      <c r="CA114" s="328" t="s">
        <v>2</v>
      </c>
      <c r="CB114" s="323" t="s">
        <v>2</v>
      </c>
      <c r="CC114" s="323" t="s">
        <v>2</v>
      </c>
      <c r="CD114" s="323" t="s">
        <v>2</v>
      </c>
      <c r="CE114" s="323" t="s">
        <v>2</v>
      </c>
      <c r="CF114" s="323" t="s">
        <v>2</v>
      </c>
      <c r="CG114" s="324" t="s">
        <v>2</v>
      </c>
      <c r="CH114" s="326" t="s">
        <v>2</v>
      </c>
      <c r="CI114" s="329" t="s">
        <v>2</v>
      </c>
      <c r="CJ114" s="328" t="s">
        <v>2</v>
      </c>
      <c r="CK114" s="323" t="s">
        <v>2</v>
      </c>
      <c r="CL114" s="323" t="s">
        <v>2</v>
      </c>
      <c r="CM114" s="324" t="s">
        <v>2</v>
      </c>
      <c r="CN114" s="319" t="s">
        <v>2</v>
      </c>
      <c r="CO114" s="319" t="s">
        <v>2</v>
      </c>
    </row>
    <row r="115" spans="1:93" x14ac:dyDescent="0.25">
      <c r="A115" s="316">
        <v>16084</v>
      </c>
      <c r="B115" s="317" t="s">
        <v>1972</v>
      </c>
      <c r="C115" s="318"/>
      <c r="D115" s="293">
        <v>16</v>
      </c>
      <c r="E115" s="349">
        <v>0</v>
      </c>
      <c r="F115" s="320">
        <f>449.7*100/105</f>
        <v>428.28571428571428</v>
      </c>
      <c r="G115" s="300">
        <v>1790.2342857142855</v>
      </c>
      <c r="H115" s="321" t="s">
        <v>2</v>
      </c>
      <c r="I115" s="322">
        <f>8.5*100/105</f>
        <v>8.0952380952380949</v>
      </c>
      <c r="J115" s="323">
        <f>18.1*100/105</f>
        <v>17.238095238095241</v>
      </c>
      <c r="K115" s="323">
        <f>63.2*100/105</f>
        <v>60.19047619047619</v>
      </c>
      <c r="L115" s="323" t="s">
        <v>2</v>
      </c>
      <c r="M115" s="324" t="s">
        <v>2</v>
      </c>
      <c r="N115" s="325" t="s">
        <v>2</v>
      </c>
      <c r="O115" s="326" t="s">
        <v>2</v>
      </c>
      <c r="P115" s="323" t="s">
        <v>2</v>
      </c>
      <c r="Q115" s="323" t="s">
        <v>2</v>
      </c>
      <c r="R115" s="315" t="s">
        <v>2</v>
      </c>
      <c r="S115" s="326" t="s">
        <v>2</v>
      </c>
      <c r="T115" s="326" t="s">
        <v>2</v>
      </c>
      <c r="U115" s="327" t="s">
        <v>2</v>
      </c>
      <c r="V115" s="327" t="s">
        <v>2</v>
      </c>
      <c r="W115" s="324" t="s">
        <v>2</v>
      </c>
      <c r="X115" s="328" t="s">
        <v>2</v>
      </c>
      <c r="Y115" s="327" t="s">
        <v>2</v>
      </c>
      <c r="Z115" s="327" t="s">
        <v>2</v>
      </c>
      <c r="AA115" s="327" t="s">
        <v>2</v>
      </c>
      <c r="AB115" s="327" t="s">
        <v>2</v>
      </c>
      <c r="AC115" s="327" t="s">
        <v>2</v>
      </c>
      <c r="AD115" s="326" t="s">
        <v>2</v>
      </c>
      <c r="AE115" s="326" t="s">
        <v>2</v>
      </c>
      <c r="AF115" s="323" t="s">
        <v>2</v>
      </c>
      <c r="AG115" s="324" t="s">
        <v>2</v>
      </c>
      <c r="AH115" s="320" t="s">
        <v>2</v>
      </c>
      <c r="AI115" s="320" t="s">
        <v>2</v>
      </c>
      <c r="AJ115" s="323" t="s">
        <v>2</v>
      </c>
      <c r="AK115" s="323" t="s">
        <v>2</v>
      </c>
      <c r="AL115" s="324" t="s">
        <v>2</v>
      </c>
      <c r="AM115" s="325" t="s">
        <v>2</v>
      </c>
      <c r="AN115" s="326" t="s">
        <v>2</v>
      </c>
      <c r="AO115" s="329" t="s">
        <v>2</v>
      </c>
      <c r="AP115" s="322" t="s">
        <v>2</v>
      </c>
      <c r="AQ115" s="327" t="s">
        <v>2</v>
      </c>
      <c r="AR115" s="327" t="s">
        <v>2</v>
      </c>
      <c r="AS115" s="327" t="s">
        <v>2</v>
      </c>
      <c r="AT115" s="327" t="s">
        <v>2</v>
      </c>
      <c r="AU115" s="327" t="s">
        <v>2</v>
      </c>
      <c r="AV115" s="330" t="s">
        <v>2</v>
      </c>
      <c r="AW115" s="328" t="s">
        <v>2</v>
      </c>
      <c r="AX115" s="327" t="s">
        <v>2</v>
      </c>
      <c r="AY115" s="327" t="s">
        <v>2</v>
      </c>
      <c r="AZ115" s="330" t="s">
        <v>2</v>
      </c>
      <c r="BA115" s="331" t="s">
        <v>2</v>
      </c>
      <c r="BB115" s="332" t="s">
        <v>2</v>
      </c>
      <c r="BC115" s="332" t="s">
        <v>2</v>
      </c>
      <c r="BD115" s="332" t="s">
        <v>2</v>
      </c>
      <c r="BE115" s="332" t="s">
        <v>2</v>
      </c>
      <c r="BF115" s="333" t="s">
        <v>2</v>
      </c>
      <c r="BG115" s="319" t="s">
        <v>2</v>
      </c>
      <c r="BH115" s="319" t="s">
        <v>2</v>
      </c>
      <c r="BI115" s="325" t="s">
        <v>2</v>
      </c>
      <c r="BJ115" s="326" t="s">
        <v>2</v>
      </c>
      <c r="BK115" s="326" t="s">
        <v>2</v>
      </c>
      <c r="BL115" s="326" t="s">
        <v>2</v>
      </c>
      <c r="BM115" s="326" t="s">
        <v>2</v>
      </c>
      <c r="BN115" s="326" t="s">
        <v>2</v>
      </c>
      <c r="BO115" s="326" t="s">
        <v>2</v>
      </c>
      <c r="BP115" s="326" t="s">
        <v>2</v>
      </c>
      <c r="BQ115" s="326" t="s">
        <v>2</v>
      </c>
      <c r="BR115" s="326" t="s">
        <v>2</v>
      </c>
      <c r="BS115" s="326" t="s">
        <v>2</v>
      </c>
      <c r="BT115" s="326" t="s">
        <v>2</v>
      </c>
      <c r="BU115" s="326" t="s">
        <v>2</v>
      </c>
      <c r="BV115" s="326" t="s">
        <v>2</v>
      </c>
      <c r="BW115" s="326" t="s">
        <v>2</v>
      </c>
      <c r="BX115" s="326" t="s">
        <v>2</v>
      </c>
      <c r="BY115" s="326" t="s">
        <v>2</v>
      </c>
      <c r="BZ115" s="329" t="s">
        <v>2</v>
      </c>
      <c r="CA115" s="328" t="s">
        <v>2</v>
      </c>
      <c r="CB115" s="323" t="s">
        <v>2</v>
      </c>
      <c r="CC115" s="323" t="s">
        <v>2</v>
      </c>
      <c r="CD115" s="323" t="s">
        <v>2</v>
      </c>
      <c r="CE115" s="323" t="s">
        <v>2</v>
      </c>
      <c r="CF115" s="323" t="s">
        <v>2</v>
      </c>
      <c r="CG115" s="324" t="s">
        <v>2</v>
      </c>
      <c r="CH115" s="326" t="s">
        <v>2</v>
      </c>
      <c r="CI115" s="329" t="s">
        <v>2</v>
      </c>
      <c r="CJ115" s="328" t="s">
        <v>2</v>
      </c>
      <c r="CK115" s="323" t="s">
        <v>2</v>
      </c>
      <c r="CL115" s="323" t="s">
        <v>2</v>
      </c>
      <c r="CM115" s="324" t="s">
        <v>2</v>
      </c>
      <c r="CN115" s="319" t="s">
        <v>2</v>
      </c>
      <c r="CO115" s="319" t="s">
        <v>2</v>
      </c>
    </row>
    <row r="116" spans="1:93" x14ac:dyDescent="0.25">
      <c r="A116" s="316">
        <v>16085</v>
      </c>
      <c r="B116" s="317" t="s">
        <v>1973</v>
      </c>
      <c r="C116" s="318"/>
      <c r="D116" s="293">
        <v>16</v>
      </c>
      <c r="E116" s="349">
        <v>0</v>
      </c>
      <c r="F116" s="320">
        <f>271.6*100/70</f>
        <v>388.00000000000006</v>
      </c>
      <c r="G116" s="300">
        <v>1621.8400000000001</v>
      </c>
      <c r="H116" s="321" t="s">
        <v>2</v>
      </c>
      <c r="I116" s="322">
        <f>5.65*100/70</f>
        <v>8.0714285714285712</v>
      </c>
      <c r="J116" s="323">
        <f>9.24*100/70</f>
        <v>13.2</v>
      </c>
      <c r="K116" s="323">
        <f>41.37*100/70</f>
        <v>59.1</v>
      </c>
      <c r="L116" s="323" t="s">
        <v>2</v>
      </c>
      <c r="M116" s="324" t="s">
        <v>2</v>
      </c>
      <c r="N116" s="325" t="s">
        <v>2</v>
      </c>
      <c r="O116" s="326" t="s">
        <v>2</v>
      </c>
      <c r="P116" s="323" t="s">
        <v>2</v>
      </c>
      <c r="Q116" s="323" t="s">
        <v>2</v>
      </c>
      <c r="R116" s="315" t="s">
        <v>2</v>
      </c>
      <c r="S116" s="326" t="s">
        <v>2</v>
      </c>
      <c r="T116" s="326" t="s">
        <v>2</v>
      </c>
      <c r="U116" s="327" t="s">
        <v>2</v>
      </c>
      <c r="V116" s="327" t="s">
        <v>2</v>
      </c>
      <c r="W116" s="324" t="s">
        <v>2</v>
      </c>
      <c r="X116" s="328" t="s">
        <v>2</v>
      </c>
      <c r="Y116" s="327" t="s">
        <v>2</v>
      </c>
      <c r="Z116" s="327" t="s">
        <v>2</v>
      </c>
      <c r="AA116" s="327" t="s">
        <v>2</v>
      </c>
      <c r="AB116" s="327" t="s">
        <v>2</v>
      </c>
      <c r="AC116" s="327" t="s">
        <v>2</v>
      </c>
      <c r="AD116" s="326" t="s">
        <v>2</v>
      </c>
      <c r="AE116" s="326" t="s">
        <v>2</v>
      </c>
      <c r="AF116" s="323" t="s">
        <v>2</v>
      </c>
      <c r="AG116" s="324" t="s">
        <v>2</v>
      </c>
      <c r="AH116" s="320" t="s">
        <v>2</v>
      </c>
      <c r="AI116" s="320" t="s">
        <v>2</v>
      </c>
      <c r="AJ116" s="323" t="s">
        <v>2</v>
      </c>
      <c r="AK116" s="323" t="s">
        <v>2</v>
      </c>
      <c r="AL116" s="324" t="s">
        <v>2</v>
      </c>
      <c r="AM116" s="325" t="s">
        <v>2</v>
      </c>
      <c r="AN116" s="326" t="s">
        <v>2</v>
      </c>
      <c r="AO116" s="329" t="s">
        <v>2</v>
      </c>
      <c r="AP116" s="322" t="s">
        <v>2</v>
      </c>
      <c r="AQ116" s="327" t="s">
        <v>2</v>
      </c>
      <c r="AR116" s="327" t="s">
        <v>2</v>
      </c>
      <c r="AS116" s="327" t="s">
        <v>2</v>
      </c>
      <c r="AT116" s="327" t="s">
        <v>2</v>
      </c>
      <c r="AU116" s="327" t="s">
        <v>2</v>
      </c>
      <c r="AV116" s="330" t="s">
        <v>2</v>
      </c>
      <c r="AW116" s="328" t="s">
        <v>2</v>
      </c>
      <c r="AX116" s="327" t="s">
        <v>2</v>
      </c>
      <c r="AY116" s="327" t="s">
        <v>2</v>
      </c>
      <c r="AZ116" s="330" t="s">
        <v>2</v>
      </c>
      <c r="BA116" s="331" t="s">
        <v>2</v>
      </c>
      <c r="BB116" s="332" t="s">
        <v>2</v>
      </c>
      <c r="BC116" s="332" t="s">
        <v>2</v>
      </c>
      <c r="BD116" s="332" t="s">
        <v>2</v>
      </c>
      <c r="BE116" s="332" t="s">
        <v>2</v>
      </c>
      <c r="BF116" s="333" t="s">
        <v>2</v>
      </c>
      <c r="BG116" s="319" t="s">
        <v>2</v>
      </c>
      <c r="BH116" s="319" t="s">
        <v>2</v>
      </c>
      <c r="BI116" s="325" t="s">
        <v>2</v>
      </c>
      <c r="BJ116" s="326" t="s">
        <v>2</v>
      </c>
      <c r="BK116" s="326" t="s">
        <v>2</v>
      </c>
      <c r="BL116" s="326" t="s">
        <v>2</v>
      </c>
      <c r="BM116" s="326" t="s">
        <v>2</v>
      </c>
      <c r="BN116" s="326" t="s">
        <v>2</v>
      </c>
      <c r="BO116" s="326" t="s">
        <v>2</v>
      </c>
      <c r="BP116" s="326" t="s">
        <v>2</v>
      </c>
      <c r="BQ116" s="326" t="s">
        <v>2</v>
      </c>
      <c r="BR116" s="326" t="s">
        <v>2</v>
      </c>
      <c r="BS116" s="326" t="s">
        <v>2</v>
      </c>
      <c r="BT116" s="326" t="s">
        <v>2</v>
      </c>
      <c r="BU116" s="326" t="s">
        <v>2</v>
      </c>
      <c r="BV116" s="326" t="s">
        <v>2</v>
      </c>
      <c r="BW116" s="326" t="s">
        <v>2</v>
      </c>
      <c r="BX116" s="326" t="s">
        <v>2</v>
      </c>
      <c r="BY116" s="326" t="s">
        <v>2</v>
      </c>
      <c r="BZ116" s="329" t="s">
        <v>2</v>
      </c>
      <c r="CA116" s="328" t="s">
        <v>2</v>
      </c>
      <c r="CB116" s="323" t="s">
        <v>2</v>
      </c>
      <c r="CC116" s="323" t="s">
        <v>2</v>
      </c>
      <c r="CD116" s="323" t="s">
        <v>2</v>
      </c>
      <c r="CE116" s="323" t="s">
        <v>2</v>
      </c>
      <c r="CF116" s="323" t="s">
        <v>2</v>
      </c>
      <c r="CG116" s="324" t="s">
        <v>2</v>
      </c>
      <c r="CH116" s="326" t="s">
        <v>2</v>
      </c>
      <c r="CI116" s="329" t="s">
        <v>2</v>
      </c>
      <c r="CJ116" s="328" t="s">
        <v>2</v>
      </c>
      <c r="CK116" s="323" t="s">
        <v>2</v>
      </c>
      <c r="CL116" s="323" t="s">
        <v>2</v>
      </c>
      <c r="CM116" s="324" t="s">
        <v>2</v>
      </c>
      <c r="CN116" s="319" t="s">
        <v>2</v>
      </c>
      <c r="CO116" s="319" t="s">
        <v>2</v>
      </c>
    </row>
    <row r="117" spans="1:93" x14ac:dyDescent="0.25">
      <c r="A117" s="316">
        <v>16086</v>
      </c>
      <c r="B117" s="317" t="s">
        <v>1974</v>
      </c>
      <c r="C117" s="318"/>
      <c r="D117" s="293">
        <v>16</v>
      </c>
      <c r="E117" s="349">
        <v>0</v>
      </c>
      <c r="F117" s="320">
        <f>334*100/74</f>
        <v>451.35135135135135</v>
      </c>
      <c r="G117" s="300">
        <v>1886.6486486486485</v>
      </c>
      <c r="H117" s="321" t="s">
        <v>2</v>
      </c>
      <c r="I117" s="322">
        <f>7.3*100/74</f>
        <v>9.8648648648648649</v>
      </c>
      <c r="J117" s="323">
        <f>12.7*100/74</f>
        <v>17.162162162162161</v>
      </c>
      <c r="K117" s="323">
        <f>47.7*100/74</f>
        <v>64.459459459459453</v>
      </c>
      <c r="L117" s="323" t="s">
        <v>2</v>
      </c>
      <c r="M117" s="324" t="s">
        <v>2</v>
      </c>
      <c r="N117" s="325" t="s">
        <v>2</v>
      </c>
      <c r="O117" s="326" t="s">
        <v>2</v>
      </c>
      <c r="P117" s="323" t="s">
        <v>2</v>
      </c>
      <c r="Q117" s="323" t="s">
        <v>2</v>
      </c>
      <c r="R117" s="315" t="s">
        <v>2</v>
      </c>
      <c r="S117" s="326" t="s">
        <v>2</v>
      </c>
      <c r="T117" s="326" t="s">
        <v>2</v>
      </c>
      <c r="U117" s="327" t="s">
        <v>2</v>
      </c>
      <c r="V117" s="327" t="s">
        <v>2</v>
      </c>
      <c r="W117" s="324" t="s">
        <v>2</v>
      </c>
      <c r="X117" s="328" t="s">
        <v>2</v>
      </c>
      <c r="Y117" s="327" t="s">
        <v>2</v>
      </c>
      <c r="Z117" s="327" t="s">
        <v>2</v>
      </c>
      <c r="AA117" s="327" t="s">
        <v>2</v>
      </c>
      <c r="AB117" s="327" t="s">
        <v>2</v>
      </c>
      <c r="AC117" s="327" t="s">
        <v>2</v>
      </c>
      <c r="AD117" s="326" t="s">
        <v>2</v>
      </c>
      <c r="AE117" s="326" t="s">
        <v>2</v>
      </c>
      <c r="AF117" s="323" t="s">
        <v>2</v>
      </c>
      <c r="AG117" s="324" t="s">
        <v>2</v>
      </c>
      <c r="AH117" s="320" t="s">
        <v>2</v>
      </c>
      <c r="AI117" s="320" t="s">
        <v>2</v>
      </c>
      <c r="AJ117" s="323" t="s">
        <v>2</v>
      </c>
      <c r="AK117" s="323" t="s">
        <v>2</v>
      </c>
      <c r="AL117" s="324" t="s">
        <v>2</v>
      </c>
      <c r="AM117" s="325" t="s">
        <v>2</v>
      </c>
      <c r="AN117" s="326" t="s">
        <v>2</v>
      </c>
      <c r="AO117" s="329" t="s">
        <v>2</v>
      </c>
      <c r="AP117" s="322" t="s">
        <v>2</v>
      </c>
      <c r="AQ117" s="327" t="s">
        <v>2</v>
      </c>
      <c r="AR117" s="327" t="s">
        <v>2</v>
      </c>
      <c r="AS117" s="327" t="s">
        <v>2</v>
      </c>
      <c r="AT117" s="327" t="s">
        <v>2</v>
      </c>
      <c r="AU117" s="327" t="s">
        <v>2</v>
      </c>
      <c r="AV117" s="330" t="s">
        <v>2</v>
      </c>
      <c r="AW117" s="328" t="s">
        <v>2</v>
      </c>
      <c r="AX117" s="327" t="s">
        <v>2</v>
      </c>
      <c r="AY117" s="327" t="s">
        <v>2</v>
      </c>
      <c r="AZ117" s="330" t="s">
        <v>2</v>
      </c>
      <c r="BA117" s="331" t="s">
        <v>2</v>
      </c>
      <c r="BB117" s="332" t="s">
        <v>2</v>
      </c>
      <c r="BC117" s="332" t="s">
        <v>2</v>
      </c>
      <c r="BD117" s="332" t="s">
        <v>2</v>
      </c>
      <c r="BE117" s="332" t="s">
        <v>2</v>
      </c>
      <c r="BF117" s="333" t="s">
        <v>2</v>
      </c>
      <c r="BG117" s="319" t="s">
        <v>2</v>
      </c>
      <c r="BH117" s="319" t="s">
        <v>2</v>
      </c>
      <c r="BI117" s="325" t="s">
        <v>2</v>
      </c>
      <c r="BJ117" s="326" t="s">
        <v>2</v>
      </c>
      <c r="BK117" s="326" t="s">
        <v>2</v>
      </c>
      <c r="BL117" s="326" t="s">
        <v>2</v>
      </c>
      <c r="BM117" s="326" t="s">
        <v>2</v>
      </c>
      <c r="BN117" s="326" t="s">
        <v>2</v>
      </c>
      <c r="BO117" s="326" t="s">
        <v>2</v>
      </c>
      <c r="BP117" s="326" t="s">
        <v>2</v>
      </c>
      <c r="BQ117" s="326" t="s">
        <v>2</v>
      </c>
      <c r="BR117" s="326" t="s">
        <v>2</v>
      </c>
      <c r="BS117" s="326" t="s">
        <v>2</v>
      </c>
      <c r="BT117" s="326" t="s">
        <v>2</v>
      </c>
      <c r="BU117" s="326" t="s">
        <v>2</v>
      </c>
      <c r="BV117" s="326" t="s">
        <v>2</v>
      </c>
      <c r="BW117" s="326" t="s">
        <v>2</v>
      </c>
      <c r="BX117" s="326" t="s">
        <v>2</v>
      </c>
      <c r="BY117" s="326" t="s">
        <v>2</v>
      </c>
      <c r="BZ117" s="329" t="s">
        <v>2</v>
      </c>
      <c r="CA117" s="328" t="s">
        <v>2</v>
      </c>
      <c r="CB117" s="323" t="s">
        <v>2</v>
      </c>
      <c r="CC117" s="323" t="s">
        <v>2</v>
      </c>
      <c r="CD117" s="323" t="s">
        <v>2</v>
      </c>
      <c r="CE117" s="323" t="s">
        <v>2</v>
      </c>
      <c r="CF117" s="323" t="s">
        <v>2</v>
      </c>
      <c r="CG117" s="324" t="s">
        <v>2</v>
      </c>
      <c r="CH117" s="326" t="s">
        <v>2</v>
      </c>
      <c r="CI117" s="329" t="s">
        <v>2</v>
      </c>
      <c r="CJ117" s="328" t="s">
        <v>2</v>
      </c>
      <c r="CK117" s="323" t="s">
        <v>2</v>
      </c>
      <c r="CL117" s="323" t="s">
        <v>2</v>
      </c>
      <c r="CM117" s="324" t="s">
        <v>2</v>
      </c>
      <c r="CN117" s="319" t="s">
        <v>2</v>
      </c>
      <c r="CO117" s="319" t="s">
        <v>2</v>
      </c>
    </row>
    <row r="118" spans="1:93" x14ac:dyDescent="0.25">
      <c r="A118" s="316">
        <v>16087</v>
      </c>
      <c r="B118" s="317" t="s">
        <v>1975</v>
      </c>
      <c r="C118" s="318"/>
      <c r="D118" s="293">
        <v>16</v>
      </c>
      <c r="E118" s="349">
        <v>0</v>
      </c>
      <c r="F118" s="320">
        <f>292*100/62</f>
        <v>470.96774193548384</v>
      </c>
      <c r="G118" s="300">
        <v>1968.6451612903222</v>
      </c>
      <c r="H118" s="321" t="s">
        <v>2</v>
      </c>
      <c r="I118" s="322">
        <f>5.9*100/62</f>
        <v>9.5161290322580641</v>
      </c>
      <c r="J118" s="323">
        <f>11.8*100/62</f>
        <v>19.032258064516128</v>
      </c>
      <c r="K118" s="323">
        <f>40.4*100/62</f>
        <v>65.161290322580641</v>
      </c>
      <c r="L118" s="323" t="s">
        <v>2</v>
      </c>
      <c r="M118" s="324" t="s">
        <v>2</v>
      </c>
      <c r="N118" s="325" t="s">
        <v>2</v>
      </c>
      <c r="O118" s="326" t="s">
        <v>2</v>
      </c>
      <c r="P118" s="323" t="s">
        <v>2</v>
      </c>
      <c r="Q118" s="323" t="s">
        <v>2</v>
      </c>
      <c r="R118" s="315" t="s">
        <v>2</v>
      </c>
      <c r="S118" s="326" t="s">
        <v>2</v>
      </c>
      <c r="T118" s="326" t="s">
        <v>2</v>
      </c>
      <c r="U118" s="327" t="s">
        <v>2</v>
      </c>
      <c r="V118" s="327" t="s">
        <v>2</v>
      </c>
      <c r="W118" s="324" t="s">
        <v>2</v>
      </c>
      <c r="X118" s="328" t="s">
        <v>2</v>
      </c>
      <c r="Y118" s="327" t="s">
        <v>2</v>
      </c>
      <c r="Z118" s="327" t="s">
        <v>2</v>
      </c>
      <c r="AA118" s="327" t="s">
        <v>2</v>
      </c>
      <c r="AB118" s="327" t="s">
        <v>2</v>
      </c>
      <c r="AC118" s="327" t="s">
        <v>2</v>
      </c>
      <c r="AD118" s="326" t="s">
        <v>2</v>
      </c>
      <c r="AE118" s="326" t="s">
        <v>2</v>
      </c>
      <c r="AF118" s="323" t="s">
        <v>2</v>
      </c>
      <c r="AG118" s="324" t="s">
        <v>2</v>
      </c>
      <c r="AH118" s="320" t="s">
        <v>2</v>
      </c>
      <c r="AI118" s="320" t="s">
        <v>2</v>
      </c>
      <c r="AJ118" s="323" t="s">
        <v>2</v>
      </c>
      <c r="AK118" s="323" t="s">
        <v>2</v>
      </c>
      <c r="AL118" s="324" t="s">
        <v>2</v>
      </c>
      <c r="AM118" s="325" t="s">
        <v>2</v>
      </c>
      <c r="AN118" s="326" t="s">
        <v>2</v>
      </c>
      <c r="AO118" s="329" t="s">
        <v>2</v>
      </c>
      <c r="AP118" s="322" t="s">
        <v>2</v>
      </c>
      <c r="AQ118" s="327" t="s">
        <v>2</v>
      </c>
      <c r="AR118" s="327" t="s">
        <v>2</v>
      </c>
      <c r="AS118" s="327" t="s">
        <v>2</v>
      </c>
      <c r="AT118" s="327" t="s">
        <v>2</v>
      </c>
      <c r="AU118" s="327" t="s">
        <v>2</v>
      </c>
      <c r="AV118" s="330" t="s">
        <v>2</v>
      </c>
      <c r="AW118" s="328" t="s">
        <v>2</v>
      </c>
      <c r="AX118" s="327" t="s">
        <v>2</v>
      </c>
      <c r="AY118" s="327" t="s">
        <v>2</v>
      </c>
      <c r="AZ118" s="330" t="s">
        <v>2</v>
      </c>
      <c r="BA118" s="331" t="s">
        <v>2</v>
      </c>
      <c r="BB118" s="332" t="s">
        <v>2</v>
      </c>
      <c r="BC118" s="332" t="s">
        <v>2</v>
      </c>
      <c r="BD118" s="332" t="s">
        <v>2</v>
      </c>
      <c r="BE118" s="332" t="s">
        <v>2</v>
      </c>
      <c r="BF118" s="333" t="s">
        <v>2</v>
      </c>
      <c r="BG118" s="319" t="s">
        <v>2</v>
      </c>
      <c r="BH118" s="319" t="s">
        <v>2</v>
      </c>
      <c r="BI118" s="325" t="s">
        <v>2</v>
      </c>
      <c r="BJ118" s="326" t="s">
        <v>2</v>
      </c>
      <c r="BK118" s="326" t="s">
        <v>2</v>
      </c>
      <c r="BL118" s="326" t="s">
        <v>2</v>
      </c>
      <c r="BM118" s="326" t="s">
        <v>2</v>
      </c>
      <c r="BN118" s="326" t="s">
        <v>2</v>
      </c>
      <c r="BO118" s="326" t="s">
        <v>2</v>
      </c>
      <c r="BP118" s="326" t="s">
        <v>2</v>
      </c>
      <c r="BQ118" s="326" t="s">
        <v>2</v>
      </c>
      <c r="BR118" s="326" t="s">
        <v>2</v>
      </c>
      <c r="BS118" s="326" t="s">
        <v>2</v>
      </c>
      <c r="BT118" s="326" t="s">
        <v>2</v>
      </c>
      <c r="BU118" s="326" t="s">
        <v>2</v>
      </c>
      <c r="BV118" s="326" t="s">
        <v>2</v>
      </c>
      <c r="BW118" s="326" t="s">
        <v>2</v>
      </c>
      <c r="BX118" s="326" t="s">
        <v>2</v>
      </c>
      <c r="BY118" s="326" t="s">
        <v>2</v>
      </c>
      <c r="BZ118" s="329" t="s">
        <v>2</v>
      </c>
      <c r="CA118" s="328" t="s">
        <v>2</v>
      </c>
      <c r="CB118" s="323" t="s">
        <v>2</v>
      </c>
      <c r="CC118" s="323" t="s">
        <v>2</v>
      </c>
      <c r="CD118" s="323" t="s">
        <v>2</v>
      </c>
      <c r="CE118" s="323" t="s">
        <v>2</v>
      </c>
      <c r="CF118" s="323" t="s">
        <v>2</v>
      </c>
      <c r="CG118" s="324" t="s">
        <v>2</v>
      </c>
      <c r="CH118" s="326" t="s">
        <v>2</v>
      </c>
      <c r="CI118" s="329" t="s">
        <v>2</v>
      </c>
      <c r="CJ118" s="328" t="s">
        <v>2</v>
      </c>
      <c r="CK118" s="323" t="s">
        <v>2</v>
      </c>
      <c r="CL118" s="323" t="s">
        <v>2</v>
      </c>
      <c r="CM118" s="324" t="s">
        <v>2</v>
      </c>
      <c r="CN118" s="319" t="s">
        <v>2</v>
      </c>
      <c r="CO118" s="319" t="s">
        <v>2</v>
      </c>
    </row>
    <row r="119" spans="1:93" x14ac:dyDescent="0.25">
      <c r="A119" s="316">
        <v>16088</v>
      </c>
      <c r="B119" s="317" t="s">
        <v>1976</v>
      </c>
      <c r="C119" s="318"/>
      <c r="D119" s="293">
        <v>16</v>
      </c>
      <c r="E119" s="349">
        <v>0</v>
      </c>
      <c r="F119" s="320">
        <f>(234+429)/2*100/65</f>
        <v>510</v>
      </c>
      <c r="G119" s="300">
        <v>2131.7999999999997</v>
      </c>
      <c r="H119" s="321" t="s">
        <v>2</v>
      </c>
      <c r="I119" s="322">
        <f>(4.1+7.4)/2*100/65</f>
        <v>8.8461538461538467</v>
      </c>
      <c r="J119" s="323">
        <f>(10.3+18.7)/2*100/65</f>
        <v>22.307692307692307</v>
      </c>
      <c r="K119" s="323">
        <f>(31.2+57.8)/2*100/65</f>
        <v>68.461538461538467</v>
      </c>
      <c r="L119" s="323" t="s">
        <v>2</v>
      </c>
      <c r="M119" s="324" t="s">
        <v>2</v>
      </c>
      <c r="N119" s="325" t="s">
        <v>2</v>
      </c>
      <c r="O119" s="326" t="s">
        <v>2</v>
      </c>
      <c r="P119" s="323" t="s">
        <v>2</v>
      </c>
      <c r="Q119" s="323" t="s">
        <v>2</v>
      </c>
      <c r="R119" s="315" t="s">
        <v>2</v>
      </c>
      <c r="S119" s="326" t="s">
        <v>2</v>
      </c>
      <c r="T119" s="326" t="s">
        <v>2</v>
      </c>
      <c r="U119" s="327" t="s">
        <v>2</v>
      </c>
      <c r="V119" s="327" t="s">
        <v>2</v>
      </c>
      <c r="W119" s="324" t="s">
        <v>2</v>
      </c>
      <c r="X119" s="328" t="s">
        <v>2</v>
      </c>
      <c r="Y119" s="327" t="s">
        <v>2</v>
      </c>
      <c r="Z119" s="327" t="s">
        <v>2</v>
      </c>
      <c r="AA119" s="327" t="s">
        <v>2</v>
      </c>
      <c r="AB119" s="327" t="s">
        <v>2</v>
      </c>
      <c r="AC119" s="327" t="s">
        <v>2</v>
      </c>
      <c r="AD119" s="326" t="s">
        <v>2</v>
      </c>
      <c r="AE119" s="326" t="s">
        <v>2</v>
      </c>
      <c r="AF119" s="323" t="s">
        <v>2</v>
      </c>
      <c r="AG119" s="324" t="s">
        <v>2</v>
      </c>
      <c r="AH119" s="320" t="s">
        <v>2</v>
      </c>
      <c r="AI119" s="320" t="s">
        <v>2</v>
      </c>
      <c r="AJ119" s="323" t="s">
        <v>2</v>
      </c>
      <c r="AK119" s="323" t="s">
        <v>2</v>
      </c>
      <c r="AL119" s="324" t="s">
        <v>2</v>
      </c>
      <c r="AM119" s="325" t="s">
        <v>2</v>
      </c>
      <c r="AN119" s="326" t="s">
        <v>2</v>
      </c>
      <c r="AO119" s="329" t="s">
        <v>2</v>
      </c>
      <c r="AP119" s="322" t="s">
        <v>2</v>
      </c>
      <c r="AQ119" s="327" t="s">
        <v>2</v>
      </c>
      <c r="AR119" s="327" t="s">
        <v>2</v>
      </c>
      <c r="AS119" s="327" t="s">
        <v>2</v>
      </c>
      <c r="AT119" s="327" t="s">
        <v>2</v>
      </c>
      <c r="AU119" s="327" t="s">
        <v>2</v>
      </c>
      <c r="AV119" s="330" t="s">
        <v>2</v>
      </c>
      <c r="AW119" s="328" t="s">
        <v>2</v>
      </c>
      <c r="AX119" s="327" t="s">
        <v>2</v>
      </c>
      <c r="AY119" s="327" t="s">
        <v>2</v>
      </c>
      <c r="AZ119" s="330" t="s">
        <v>2</v>
      </c>
      <c r="BA119" s="331" t="s">
        <v>2</v>
      </c>
      <c r="BB119" s="332" t="s">
        <v>2</v>
      </c>
      <c r="BC119" s="332" t="s">
        <v>2</v>
      </c>
      <c r="BD119" s="332" t="s">
        <v>2</v>
      </c>
      <c r="BE119" s="332" t="s">
        <v>2</v>
      </c>
      <c r="BF119" s="333" t="s">
        <v>2</v>
      </c>
      <c r="BG119" s="319" t="s">
        <v>2</v>
      </c>
      <c r="BH119" s="319" t="s">
        <v>2</v>
      </c>
      <c r="BI119" s="325" t="s">
        <v>2</v>
      </c>
      <c r="BJ119" s="326" t="s">
        <v>2</v>
      </c>
      <c r="BK119" s="326" t="s">
        <v>2</v>
      </c>
      <c r="BL119" s="326" t="s">
        <v>2</v>
      </c>
      <c r="BM119" s="326" t="s">
        <v>2</v>
      </c>
      <c r="BN119" s="326" t="s">
        <v>2</v>
      </c>
      <c r="BO119" s="326" t="s">
        <v>2</v>
      </c>
      <c r="BP119" s="326" t="s">
        <v>2</v>
      </c>
      <c r="BQ119" s="326" t="s">
        <v>2</v>
      </c>
      <c r="BR119" s="326" t="s">
        <v>2</v>
      </c>
      <c r="BS119" s="326" t="s">
        <v>2</v>
      </c>
      <c r="BT119" s="326" t="s">
        <v>2</v>
      </c>
      <c r="BU119" s="326" t="s">
        <v>2</v>
      </c>
      <c r="BV119" s="326" t="s">
        <v>2</v>
      </c>
      <c r="BW119" s="326" t="s">
        <v>2</v>
      </c>
      <c r="BX119" s="326" t="s">
        <v>2</v>
      </c>
      <c r="BY119" s="326" t="s">
        <v>2</v>
      </c>
      <c r="BZ119" s="329" t="s">
        <v>2</v>
      </c>
      <c r="CA119" s="328" t="s">
        <v>2</v>
      </c>
      <c r="CB119" s="323" t="s">
        <v>2</v>
      </c>
      <c r="CC119" s="323" t="s">
        <v>2</v>
      </c>
      <c r="CD119" s="323" t="s">
        <v>2</v>
      </c>
      <c r="CE119" s="323" t="s">
        <v>2</v>
      </c>
      <c r="CF119" s="323" t="s">
        <v>2</v>
      </c>
      <c r="CG119" s="324" t="s">
        <v>2</v>
      </c>
      <c r="CH119" s="326" t="s">
        <v>2</v>
      </c>
      <c r="CI119" s="329" t="s">
        <v>2</v>
      </c>
      <c r="CJ119" s="328" t="s">
        <v>2</v>
      </c>
      <c r="CK119" s="323" t="s">
        <v>2</v>
      </c>
      <c r="CL119" s="323" t="s">
        <v>2</v>
      </c>
      <c r="CM119" s="324" t="s">
        <v>2</v>
      </c>
      <c r="CN119" s="319" t="s">
        <v>2</v>
      </c>
      <c r="CO119" s="319" t="s">
        <v>2</v>
      </c>
    </row>
    <row r="120" spans="1:93" x14ac:dyDescent="0.25">
      <c r="A120" s="316">
        <v>16089</v>
      </c>
      <c r="B120" s="317" t="s">
        <v>1977</v>
      </c>
      <c r="C120" s="318"/>
      <c r="D120" s="293">
        <v>16</v>
      </c>
      <c r="E120" s="349">
        <v>0</v>
      </c>
      <c r="F120" s="320">
        <f>(216.2+397.6)/2*100/65</f>
        <v>472.15384615384608</v>
      </c>
      <c r="G120" s="300">
        <v>1973.6030769230765</v>
      </c>
      <c r="H120" s="321" t="s">
        <v>2</v>
      </c>
      <c r="I120" s="322">
        <f>(3.9+7.1)/2*100/65</f>
        <v>8.4615384615384617</v>
      </c>
      <c r="J120" s="323">
        <f>(9.4+17.2)/2*100/65</f>
        <v>20.46153846153846</v>
      </c>
      <c r="K120" s="323">
        <f>(29+53.6)/2*100/65</f>
        <v>63.53846153846154</v>
      </c>
      <c r="L120" s="323" t="s">
        <v>2</v>
      </c>
      <c r="M120" s="324" t="s">
        <v>2</v>
      </c>
      <c r="N120" s="325" t="s">
        <v>2</v>
      </c>
      <c r="O120" s="326" t="s">
        <v>2</v>
      </c>
      <c r="P120" s="323" t="s">
        <v>2</v>
      </c>
      <c r="Q120" s="323" t="s">
        <v>2</v>
      </c>
      <c r="R120" s="315" t="s">
        <v>2</v>
      </c>
      <c r="S120" s="326" t="s">
        <v>2</v>
      </c>
      <c r="T120" s="326" t="s">
        <v>2</v>
      </c>
      <c r="U120" s="327" t="s">
        <v>2</v>
      </c>
      <c r="V120" s="327" t="s">
        <v>2</v>
      </c>
      <c r="W120" s="324" t="s">
        <v>2</v>
      </c>
      <c r="X120" s="328" t="s">
        <v>2</v>
      </c>
      <c r="Y120" s="327" t="s">
        <v>2</v>
      </c>
      <c r="Z120" s="327" t="s">
        <v>2</v>
      </c>
      <c r="AA120" s="327" t="s">
        <v>2</v>
      </c>
      <c r="AB120" s="327" t="s">
        <v>2</v>
      </c>
      <c r="AC120" s="327" t="s">
        <v>2</v>
      </c>
      <c r="AD120" s="326" t="s">
        <v>2</v>
      </c>
      <c r="AE120" s="326" t="s">
        <v>2</v>
      </c>
      <c r="AF120" s="323" t="s">
        <v>2</v>
      </c>
      <c r="AG120" s="324" t="s">
        <v>2</v>
      </c>
      <c r="AH120" s="320" t="s">
        <v>2</v>
      </c>
      <c r="AI120" s="320" t="s">
        <v>2</v>
      </c>
      <c r="AJ120" s="323" t="s">
        <v>2</v>
      </c>
      <c r="AK120" s="323" t="s">
        <v>2</v>
      </c>
      <c r="AL120" s="324" t="s">
        <v>2</v>
      </c>
      <c r="AM120" s="325" t="s">
        <v>2</v>
      </c>
      <c r="AN120" s="326" t="s">
        <v>2</v>
      </c>
      <c r="AO120" s="329" t="s">
        <v>2</v>
      </c>
      <c r="AP120" s="322" t="s">
        <v>2</v>
      </c>
      <c r="AQ120" s="327" t="s">
        <v>2</v>
      </c>
      <c r="AR120" s="327" t="s">
        <v>2</v>
      </c>
      <c r="AS120" s="327" t="s">
        <v>2</v>
      </c>
      <c r="AT120" s="327" t="s">
        <v>2</v>
      </c>
      <c r="AU120" s="327" t="s">
        <v>2</v>
      </c>
      <c r="AV120" s="330" t="s">
        <v>2</v>
      </c>
      <c r="AW120" s="328" t="s">
        <v>2</v>
      </c>
      <c r="AX120" s="327" t="s">
        <v>2</v>
      </c>
      <c r="AY120" s="327" t="s">
        <v>2</v>
      </c>
      <c r="AZ120" s="330" t="s">
        <v>2</v>
      </c>
      <c r="BA120" s="331" t="s">
        <v>2</v>
      </c>
      <c r="BB120" s="332" t="s">
        <v>2</v>
      </c>
      <c r="BC120" s="332" t="s">
        <v>2</v>
      </c>
      <c r="BD120" s="332" t="s">
        <v>2</v>
      </c>
      <c r="BE120" s="332" t="s">
        <v>2</v>
      </c>
      <c r="BF120" s="333" t="s">
        <v>2</v>
      </c>
      <c r="BG120" s="319" t="s">
        <v>2</v>
      </c>
      <c r="BH120" s="319" t="s">
        <v>2</v>
      </c>
      <c r="BI120" s="325" t="s">
        <v>2</v>
      </c>
      <c r="BJ120" s="326" t="s">
        <v>2</v>
      </c>
      <c r="BK120" s="326" t="s">
        <v>2</v>
      </c>
      <c r="BL120" s="326" t="s">
        <v>2</v>
      </c>
      <c r="BM120" s="326" t="s">
        <v>2</v>
      </c>
      <c r="BN120" s="326" t="s">
        <v>2</v>
      </c>
      <c r="BO120" s="326" t="s">
        <v>2</v>
      </c>
      <c r="BP120" s="326" t="s">
        <v>2</v>
      </c>
      <c r="BQ120" s="326" t="s">
        <v>2</v>
      </c>
      <c r="BR120" s="326" t="s">
        <v>2</v>
      </c>
      <c r="BS120" s="326" t="s">
        <v>2</v>
      </c>
      <c r="BT120" s="326" t="s">
        <v>2</v>
      </c>
      <c r="BU120" s="326" t="s">
        <v>2</v>
      </c>
      <c r="BV120" s="326" t="s">
        <v>2</v>
      </c>
      <c r="BW120" s="326" t="s">
        <v>2</v>
      </c>
      <c r="BX120" s="326" t="s">
        <v>2</v>
      </c>
      <c r="BY120" s="326" t="s">
        <v>2</v>
      </c>
      <c r="BZ120" s="329" t="s">
        <v>2</v>
      </c>
      <c r="CA120" s="328" t="s">
        <v>2</v>
      </c>
      <c r="CB120" s="323" t="s">
        <v>2</v>
      </c>
      <c r="CC120" s="323" t="s">
        <v>2</v>
      </c>
      <c r="CD120" s="323" t="s">
        <v>2</v>
      </c>
      <c r="CE120" s="323" t="s">
        <v>2</v>
      </c>
      <c r="CF120" s="323" t="s">
        <v>2</v>
      </c>
      <c r="CG120" s="324" t="s">
        <v>2</v>
      </c>
      <c r="CH120" s="326" t="s">
        <v>2</v>
      </c>
      <c r="CI120" s="329" t="s">
        <v>2</v>
      </c>
      <c r="CJ120" s="328" t="s">
        <v>2</v>
      </c>
      <c r="CK120" s="323" t="s">
        <v>2</v>
      </c>
      <c r="CL120" s="323" t="s">
        <v>2</v>
      </c>
      <c r="CM120" s="324" t="s">
        <v>2</v>
      </c>
      <c r="CN120" s="319" t="s">
        <v>2</v>
      </c>
      <c r="CO120" s="319" t="s">
        <v>2</v>
      </c>
    </row>
    <row r="121" spans="1:93" x14ac:dyDescent="0.25">
      <c r="A121" s="316">
        <v>16090</v>
      </c>
      <c r="B121" s="317" t="s">
        <v>1978</v>
      </c>
      <c r="C121" s="318"/>
      <c r="D121" s="293">
        <v>16</v>
      </c>
      <c r="E121" s="349">
        <v>0</v>
      </c>
      <c r="F121" s="320">
        <f>100*215/68</f>
        <v>316.1764705882353</v>
      </c>
      <c r="G121" s="300">
        <v>1321.6176470588234</v>
      </c>
      <c r="H121" s="321" t="s">
        <v>2</v>
      </c>
      <c r="I121" s="322">
        <f>4.51*100/68</f>
        <v>6.632352941176471</v>
      </c>
      <c r="J121" s="323">
        <f>2.36*100/68</f>
        <v>3.4705882352941178</v>
      </c>
      <c r="K121" s="323">
        <f>44*100/68</f>
        <v>64.705882352941174</v>
      </c>
      <c r="L121" s="323" t="s">
        <v>2</v>
      </c>
      <c r="M121" s="324" t="s">
        <v>2</v>
      </c>
      <c r="N121" s="325" t="s">
        <v>2</v>
      </c>
      <c r="O121" s="326" t="s">
        <v>2</v>
      </c>
      <c r="P121" s="323" t="s">
        <v>2</v>
      </c>
      <c r="Q121" s="323" t="s">
        <v>2</v>
      </c>
      <c r="R121" s="315" t="s">
        <v>2</v>
      </c>
      <c r="S121" s="326" t="s">
        <v>2</v>
      </c>
      <c r="T121" s="326" t="s">
        <v>2</v>
      </c>
      <c r="U121" s="327" t="s">
        <v>2</v>
      </c>
      <c r="V121" s="327" t="s">
        <v>2</v>
      </c>
      <c r="W121" s="324" t="s">
        <v>2</v>
      </c>
      <c r="X121" s="328" t="s">
        <v>2</v>
      </c>
      <c r="Y121" s="327" t="s">
        <v>2</v>
      </c>
      <c r="Z121" s="327" t="s">
        <v>2</v>
      </c>
      <c r="AA121" s="327" t="s">
        <v>2</v>
      </c>
      <c r="AB121" s="327" t="s">
        <v>2</v>
      </c>
      <c r="AC121" s="327" t="s">
        <v>2</v>
      </c>
      <c r="AD121" s="326" t="s">
        <v>2</v>
      </c>
      <c r="AE121" s="326" t="s">
        <v>2</v>
      </c>
      <c r="AF121" s="323" t="s">
        <v>2</v>
      </c>
      <c r="AG121" s="324" t="s">
        <v>2</v>
      </c>
      <c r="AH121" s="320" t="s">
        <v>2</v>
      </c>
      <c r="AI121" s="320" t="s">
        <v>2</v>
      </c>
      <c r="AJ121" s="323" t="s">
        <v>2</v>
      </c>
      <c r="AK121" s="323" t="s">
        <v>2</v>
      </c>
      <c r="AL121" s="324" t="s">
        <v>2</v>
      </c>
      <c r="AM121" s="325" t="s">
        <v>2</v>
      </c>
      <c r="AN121" s="326" t="s">
        <v>2</v>
      </c>
      <c r="AO121" s="329" t="s">
        <v>2</v>
      </c>
      <c r="AP121" s="322" t="s">
        <v>2</v>
      </c>
      <c r="AQ121" s="327" t="s">
        <v>2</v>
      </c>
      <c r="AR121" s="327" t="s">
        <v>2</v>
      </c>
      <c r="AS121" s="327" t="s">
        <v>2</v>
      </c>
      <c r="AT121" s="327" t="s">
        <v>2</v>
      </c>
      <c r="AU121" s="327" t="s">
        <v>2</v>
      </c>
      <c r="AV121" s="330" t="s">
        <v>2</v>
      </c>
      <c r="AW121" s="328" t="s">
        <v>2</v>
      </c>
      <c r="AX121" s="327" t="s">
        <v>2</v>
      </c>
      <c r="AY121" s="327" t="s">
        <v>2</v>
      </c>
      <c r="AZ121" s="330" t="s">
        <v>2</v>
      </c>
      <c r="BA121" s="331" t="s">
        <v>2</v>
      </c>
      <c r="BB121" s="332" t="s">
        <v>2</v>
      </c>
      <c r="BC121" s="332" t="s">
        <v>2</v>
      </c>
      <c r="BD121" s="332" t="s">
        <v>2</v>
      </c>
      <c r="BE121" s="332" t="s">
        <v>2</v>
      </c>
      <c r="BF121" s="333" t="s">
        <v>2</v>
      </c>
      <c r="BG121" s="319" t="s">
        <v>2</v>
      </c>
      <c r="BH121" s="319" t="s">
        <v>2</v>
      </c>
      <c r="BI121" s="325" t="s">
        <v>2</v>
      </c>
      <c r="BJ121" s="326" t="s">
        <v>2</v>
      </c>
      <c r="BK121" s="326" t="s">
        <v>2</v>
      </c>
      <c r="BL121" s="326" t="s">
        <v>2</v>
      </c>
      <c r="BM121" s="326" t="s">
        <v>2</v>
      </c>
      <c r="BN121" s="326" t="s">
        <v>2</v>
      </c>
      <c r="BO121" s="326" t="s">
        <v>2</v>
      </c>
      <c r="BP121" s="326" t="s">
        <v>2</v>
      </c>
      <c r="BQ121" s="326" t="s">
        <v>2</v>
      </c>
      <c r="BR121" s="326" t="s">
        <v>2</v>
      </c>
      <c r="BS121" s="326" t="s">
        <v>2</v>
      </c>
      <c r="BT121" s="326" t="s">
        <v>2</v>
      </c>
      <c r="BU121" s="326" t="s">
        <v>2</v>
      </c>
      <c r="BV121" s="326" t="s">
        <v>2</v>
      </c>
      <c r="BW121" s="326" t="s">
        <v>2</v>
      </c>
      <c r="BX121" s="326" t="s">
        <v>2</v>
      </c>
      <c r="BY121" s="326" t="s">
        <v>2</v>
      </c>
      <c r="BZ121" s="329" t="s">
        <v>2</v>
      </c>
      <c r="CA121" s="328" t="s">
        <v>2</v>
      </c>
      <c r="CB121" s="323" t="s">
        <v>2</v>
      </c>
      <c r="CC121" s="323" t="s">
        <v>2</v>
      </c>
      <c r="CD121" s="323" t="s">
        <v>2</v>
      </c>
      <c r="CE121" s="323" t="s">
        <v>2</v>
      </c>
      <c r="CF121" s="323" t="s">
        <v>2</v>
      </c>
      <c r="CG121" s="324" t="s">
        <v>2</v>
      </c>
      <c r="CH121" s="326" t="s">
        <v>2</v>
      </c>
      <c r="CI121" s="329" t="s">
        <v>2</v>
      </c>
      <c r="CJ121" s="328" t="s">
        <v>2</v>
      </c>
      <c r="CK121" s="323" t="s">
        <v>2</v>
      </c>
      <c r="CL121" s="323" t="s">
        <v>2</v>
      </c>
      <c r="CM121" s="324" t="s">
        <v>2</v>
      </c>
      <c r="CN121" s="319" t="s">
        <v>2</v>
      </c>
      <c r="CO121" s="319" t="s">
        <v>2</v>
      </c>
    </row>
    <row r="122" spans="1:93" x14ac:dyDescent="0.25">
      <c r="A122" s="316">
        <v>16091</v>
      </c>
      <c r="B122" s="317" t="s">
        <v>1979</v>
      </c>
      <c r="C122" s="318"/>
      <c r="D122" s="293">
        <v>16</v>
      </c>
      <c r="E122" s="349">
        <v>0</v>
      </c>
      <c r="F122" s="320">
        <f>250*100/65</f>
        <v>384.61538461538464</v>
      </c>
      <c r="G122" s="300">
        <v>1607.6923076923076</v>
      </c>
      <c r="H122" s="321" t="s">
        <v>2</v>
      </c>
      <c r="I122" s="322">
        <f>4.4*100/65</f>
        <v>6.7692307692307701</v>
      </c>
      <c r="J122" s="323">
        <f>6.5*100/65</f>
        <v>10</v>
      </c>
      <c r="K122" s="323">
        <f>43.4*100/65</f>
        <v>66.769230769230774</v>
      </c>
      <c r="L122" s="323" t="s">
        <v>2</v>
      </c>
      <c r="M122" s="324" t="s">
        <v>2</v>
      </c>
      <c r="N122" s="325" t="s">
        <v>2</v>
      </c>
      <c r="O122" s="326" t="s">
        <v>2</v>
      </c>
      <c r="P122" s="323" t="s">
        <v>2</v>
      </c>
      <c r="Q122" s="323" t="s">
        <v>2</v>
      </c>
      <c r="R122" s="315" t="s">
        <v>2</v>
      </c>
      <c r="S122" s="326" t="s">
        <v>2</v>
      </c>
      <c r="T122" s="326" t="s">
        <v>2</v>
      </c>
      <c r="U122" s="327" t="s">
        <v>2</v>
      </c>
      <c r="V122" s="327" t="s">
        <v>2</v>
      </c>
      <c r="W122" s="324" t="s">
        <v>2</v>
      </c>
      <c r="X122" s="328" t="s">
        <v>2</v>
      </c>
      <c r="Y122" s="327" t="s">
        <v>2</v>
      </c>
      <c r="Z122" s="327" t="s">
        <v>2</v>
      </c>
      <c r="AA122" s="327" t="s">
        <v>2</v>
      </c>
      <c r="AB122" s="327" t="s">
        <v>2</v>
      </c>
      <c r="AC122" s="327" t="s">
        <v>2</v>
      </c>
      <c r="AD122" s="326" t="s">
        <v>2</v>
      </c>
      <c r="AE122" s="326" t="s">
        <v>2</v>
      </c>
      <c r="AF122" s="323" t="s">
        <v>2</v>
      </c>
      <c r="AG122" s="324" t="s">
        <v>2</v>
      </c>
      <c r="AH122" s="320" t="s">
        <v>2</v>
      </c>
      <c r="AI122" s="320" t="s">
        <v>2</v>
      </c>
      <c r="AJ122" s="323" t="s">
        <v>2</v>
      </c>
      <c r="AK122" s="323" t="s">
        <v>2</v>
      </c>
      <c r="AL122" s="324" t="s">
        <v>2</v>
      </c>
      <c r="AM122" s="325" t="s">
        <v>2</v>
      </c>
      <c r="AN122" s="326" t="s">
        <v>2</v>
      </c>
      <c r="AO122" s="329" t="s">
        <v>2</v>
      </c>
      <c r="AP122" s="322" t="s">
        <v>2</v>
      </c>
      <c r="AQ122" s="327" t="s">
        <v>2</v>
      </c>
      <c r="AR122" s="327" t="s">
        <v>2</v>
      </c>
      <c r="AS122" s="327" t="s">
        <v>2</v>
      </c>
      <c r="AT122" s="327" t="s">
        <v>2</v>
      </c>
      <c r="AU122" s="327" t="s">
        <v>2</v>
      </c>
      <c r="AV122" s="330" t="s">
        <v>2</v>
      </c>
      <c r="AW122" s="328" t="s">
        <v>2</v>
      </c>
      <c r="AX122" s="327" t="s">
        <v>2</v>
      </c>
      <c r="AY122" s="327" t="s">
        <v>2</v>
      </c>
      <c r="AZ122" s="330" t="s">
        <v>2</v>
      </c>
      <c r="BA122" s="331" t="s">
        <v>2</v>
      </c>
      <c r="BB122" s="332" t="s">
        <v>2</v>
      </c>
      <c r="BC122" s="332" t="s">
        <v>2</v>
      </c>
      <c r="BD122" s="332" t="s">
        <v>2</v>
      </c>
      <c r="BE122" s="332" t="s">
        <v>2</v>
      </c>
      <c r="BF122" s="333" t="s">
        <v>2</v>
      </c>
      <c r="BG122" s="319" t="s">
        <v>2</v>
      </c>
      <c r="BH122" s="319" t="s">
        <v>2</v>
      </c>
      <c r="BI122" s="325" t="s">
        <v>2</v>
      </c>
      <c r="BJ122" s="326" t="s">
        <v>2</v>
      </c>
      <c r="BK122" s="326" t="s">
        <v>2</v>
      </c>
      <c r="BL122" s="326" t="s">
        <v>2</v>
      </c>
      <c r="BM122" s="326" t="s">
        <v>2</v>
      </c>
      <c r="BN122" s="326" t="s">
        <v>2</v>
      </c>
      <c r="BO122" s="326" t="s">
        <v>2</v>
      </c>
      <c r="BP122" s="326" t="s">
        <v>2</v>
      </c>
      <c r="BQ122" s="326" t="s">
        <v>2</v>
      </c>
      <c r="BR122" s="326" t="s">
        <v>2</v>
      </c>
      <c r="BS122" s="326" t="s">
        <v>2</v>
      </c>
      <c r="BT122" s="326" t="s">
        <v>2</v>
      </c>
      <c r="BU122" s="326" t="s">
        <v>2</v>
      </c>
      <c r="BV122" s="326" t="s">
        <v>2</v>
      </c>
      <c r="BW122" s="326" t="s">
        <v>2</v>
      </c>
      <c r="BX122" s="326" t="s">
        <v>2</v>
      </c>
      <c r="BY122" s="326" t="s">
        <v>2</v>
      </c>
      <c r="BZ122" s="329" t="s">
        <v>2</v>
      </c>
      <c r="CA122" s="328" t="s">
        <v>2</v>
      </c>
      <c r="CB122" s="323" t="s">
        <v>2</v>
      </c>
      <c r="CC122" s="323" t="s">
        <v>2</v>
      </c>
      <c r="CD122" s="323" t="s">
        <v>2</v>
      </c>
      <c r="CE122" s="323" t="s">
        <v>2</v>
      </c>
      <c r="CF122" s="323" t="s">
        <v>2</v>
      </c>
      <c r="CG122" s="324" t="s">
        <v>2</v>
      </c>
      <c r="CH122" s="326" t="s">
        <v>2</v>
      </c>
      <c r="CI122" s="329" t="s">
        <v>2</v>
      </c>
      <c r="CJ122" s="328" t="s">
        <v>2</v>
      </c>
      <c r="CK122" s="323" t="s">
        <v>2</v>
      </c>
      <c r="CL122" s="323" t="s">
        <v>2</v>
      </c>
      <c r="CM122" s="324" t="s">
        <v>2</v>
      </c>
      <c r="CN122" s="319" t="s">
        <v>2</v>
      </c>
      <c r="CO122" s="319" t="s">
        <v>2</v>
      </c>
    </row>
    <row r="123" spans="1:93" x14ac:dyDescent="0.25">
      <c r="A123" s="316">
        <v>16092</v>
      </c>
      <c r="B123" s="317" t="s">
        <v>1980</v>
      </c>
      <c r="C123" s="318"/>
      <c r="D123" s="293">
        <v>16</v>
      </c>
      <c r="E123" s="349">
        <v>0</v>
      </c>
      <c r="F123" s="320">
        <f>238*100/65</f>
        <v>366.15384615384613</v>
      </c>
      <c r="G123" s="300">
        <v>1530.5230769230768</v>
      </c>
      <c r="H123" s="321" t="s">
        <v>2</v>
      </c>
      <c r="I123" s="322">
        <f>4.6*100/65</f>
        <v>7.0769230769230758</v>
      </c>
      <c r="J123" s="323">
        <f>5.2*100/65</f>
        <v>8</v>
      </c>
      <c r="K123" s="323">
        <f>43.1*100/65</f>
        <v>66.307692307692307</v>
      </c>
      <c r="L123" s="323" t="s">
        <v>2</v>
      </c>
      <c r="M123" s="324" t="s">
        <v>2</v>
      </c>
      <c r="N123" s="325" t="s">
        <v>2</v>
      </c>
      <c r="O123" s="326" t="s">
        <v>2</v>
      </c>
      <c r="P123" s="323" t="s">
        <v>2</v>
      </c>
      <c r="Q123" s="323" t="s">
        <v>2</v>
      </c>
      <c r="R123" s="315" t="s">
        <v>2</v>
      </c>
      <c r="S123" s="326" t="s">
        <v>2</v>
      </c>
      <c r="T123" s="326" t="s">
        <v>2</v>
      </c>
      <c r="U123" s="327" t="s">
        <v>2</v>
      </c>
      <c r="V123" s="327" t="s">
        <v>2</v>
      </c>
      <c r="W123" s="324" t="s">
        <v>2</v>
      </c>
      <c r="X123" s="328" t="s">
        <v>2</v>
      </c>
      <c r="Y123" s="327" t="s">
        <v>2</v>
      </c>
      <c r="Z123" s="327" t="s">
        <v>2</v>
      </c>
      <c r="AA123" s="327" t="s">
        <v>2</v>
      </c>
      <c r="AB123" s="327" t="s">
        <v>2</v>
      </c>
      <c r="AC123" s="327" t="s">
        <v>2</v>
      </c>
      <c r="AD123" s="326" t="s">
        <v>2</v>
      </c>
      <c r="AE123" s="326" t="s">
        <v>2</v>
      </c>
      <c r="AF123" s="323" t="s">
        <v>2</v>
      </c>
      <c r="AG123" s="324" t="s">
        <v>2</v>
      </c>
      <c r="AH123" s="320" t="s">
        <v>2</v>
      </c>
      <c r="AI123" s="320" t="s">
        <v>2</v>
      </c>
      <c r="AJ123" s="323" t="s">
        <v>2</v>
      </c>
      <c r="AK123" s="323" t="s">
        <v>2</v>
      </c>
      <c r="AL123" s="324" t="s">
        <v>2</v>
      </c>
      <c r="AM123" s="325" t="s">
        <v>2</v>
      </c>
      <c r="AN123" s="326" t="s">
        <v>2</v>
      </c>
      <c r="AO123" s="329" t="s">
        <v>2</v>
      </c>
      <c r="AP123" s="322" t="s">
        <v>2</v>
      </c>
      <c r="AQ123" s="327" t="s">
        <v>2</v>
      </c>
      <c r="AR123" s="327" t="s">
        <v>2</v>
      </c>
      <c r="AS123" s="327" t="s">
        <v>2</v>
      </c>
      <c r="AT123" s="327" t="s">
        <v>2</v>
      </c>
      <c r="AU123" s="327" t="s">
        <v>2</v>
      </c>
      <c r="AV123" s="330" t="s">
        <v>2</v>
      </c>
      <c r="AW123" s="328" t="s">
        <v>2</v>
      </c>
      <c r="AX123" s="327" t="s">
        <v>2</v>
      </c>
      <c r="AY123" s="327" t="s">
        <v>2</v>
      </c>
      <c r="AZ123" s="330" t="s">
        <v>2</v>
      </c>
      <c r="BA123" s="331" t="s">
        <v>2</v>
      </c>
      <c r="BB123" s="332" t="s">
        <v>2</v>
      </c>
      <c r="BC123" s="332" t="s">
        <v>2</v>
      </c>
      <c r="BD123" s="332" t="s">
        <v>2</v>
      </c>
      <c r="BE123" s="332" t="s">
        <v>2</v>
      </c>
      <c r="BF123" s="333" t="s">
        <v>2</v>
      </c>
      <c r="BG123" s="319" t="s">
        <v>2</v>
      </c>
      <c r="BH123" s="319" t="s">
        <v>2</v>
      </c>
      <c r="BI123" s="325" t="s">
        <v>2</v>
      </c>
      <c r="BJ123" s="326" t="s">
        <v>2</v>
      </c>
      <c r="BK123" s="326" t="s">
        <v>2</v>
      </c>
      <c r="BL123" s="326" t="s">
        <v>2</v>
      </c>
      <c r="BM123" s="326" t="s">
        <v>2</v>
      </c>
      <c r="BN123" s="326" t="s">
        <v>2</v>
      </c>
      <c r="BO123" s="326" t="s">
        <v>2</v>
      </c>
      <c r="BP123" s="326" t="s">
        <v>2</v>
      </c>
      <c r="BQ123" s="326" t="s">
        <v>2</v>
      </c>
      <c r="BR123" s="326" t="s">
        <v>2</v>
      </c>
      <c r="BS123" s="326" t="s">
        <v>2</v>
      </c>
      <c r="BT123" s="326" t="s">
        <v>2</v>
      </c>
      <c r="BU123" s="326" t="s">
        <v>2</v>
      </c>
      <c r="BV123" s="326" t="s">
        <v>2</v>
      </c>
      <c r="BW123" s="326" t="s">
        <v>2</v>
      </c>
      <c r="BX123" s="326" t="s">
        <v>2</v>
      </c>
      <c r="BY123" s="326" t="s">
        <v>2</v>
      </c>
      <c r="BZ123" s="329" t="s">
        <v>2</v>
      </c>
      <c r="CA123" s="328" t="s">
        <v>2</v>
      </c>
      <c r="CB123" s="323" t="s">
        <v>2</v>
      </c>
      <c r="CC123" s="323" t="s">
        <v>2</v>
      </c>
      <c r="CD123" s="323" t="s">
        <v>2</v>
      </c>
      <c r="CE123" s="323" t="s">
        <v>2</v>
      </c>
      <c r="CF123" s="323" t="s">
        <v>2</v>
      </c>
      <c r="CG123" s="324" t="s">
        <v>2</v>
      </c>
      <c r="CH123" s="326" t="s">
        <v>2</v>
      </c>
      <c r="CI123" s="329" t="s">
        <v>2</v>
      </c>
      <c r="CJ123" s="328" t="s">
        <v>2</v>
      </c>
      <c r="CK123" s="323" t="s">
        <v>2</v>
      </c>
      <c r="CL123" s="323" t="s">
        <v>2</v>
      </c>
      <c r="CM123" s="324" t="s">
        <v>2</v>
      </c>
      <c r="CN123" s="319" t="s">
        <v>2</v>
      </c>
      <c r="CO123" s="319" t="s">
        <v>2</v>
      </c>
    </row>
    <row r="124" spans="1:93" x14ac:dyDescent="0.25">
      <c r="A124" s="316">
        <v>16093</v>
      </c>
      <c r="B124" s="317" t="s">
        <v>1981</v>
      </c>
      <c r="C124" s="318"/>
      <c r="D124" s="293">
        <v>16</v>
      </c>
      <c r="E124" s="349">
        <v>0</v>
      </c>
      <c r="F124" s="320">
        <f>245*100/65</f>
        <v>376.92307692307691</v>
      </c>
      <c r="G124" s="300">
        <v>1575.5384615384614</v>
      </c>
      <c r="H124" s="321" t="s">
        <v>2</v>
      </c>
      <c r="I124" s="322">
        <f>4.6*100/65</f>
        <v>7.0769230769230758</v>
      </c>
      <c r="J124" s="323">
        <f>6*100/65</f>
        <v>9.2307692307692299</v>
      </c>
      <c r="K124" s="323">
        <f>43.2*100/65</f>
        <v>66.461538461538467</v>
      </c>
      <c r="L124" s="323" t="s">
        <v>2</v>
      </c>
      <c r="M124" s="324" t="s">
        <v>2</v>
      </c>
      <c r="N124" s="325" t="s">
        <v>2</v>
      </c>
      <c r="O124" s="326" t="s">
        <v>2</v>
      </c>
      <c r="P124" s="323" t="s">
        <v>2</v>
      </c>
      <c r="Q124" s="323" t="s">
        <v>2</v>
      </c>
      <c r="R124" s="315" t="s">
        <v>2</v>
      </c>
      <c r="S124" s="326" t="s">
        <v>2</v>
      </c>
      <c r="T124" s="326" t="s">
        <v>2</v>
      </c>
      <c r="U124" s="327" t="s">
        <v>2</v>
      </c>
      <c r="V124" s="327" t="s">
        <v>2</v>
      </c>
      <c r="W124" s="324" t="s">
        <v>2</v>
      </c>
      <c r="X124" s="328" t="s">
        <v>2</v>
      </c>
      <c r="Y124" s="327" t="s">
        <v>2</v>
      </c>
      <c r="Z124" s="327" t="s">
        <v>2</v>
      </c>
      <c r="AA124" s="327" t="s">
        <v>2</v>
      </c>
      <c r="AB124" s="327" t="s">
        <v>2</v>
      </c>
      <c r="AC124" s="327" t="s">
        <v>2</v>
      </c>
      <c r="AD124" s="326" t="s">
        <v>2</v>
      </c>
      <c r="AE124" s="326" t="s">
        <v>2</v>
      </c>
      <c r="AF124" s="323" t="s">
        <v>2</v>
      </c>
      <c r="AG124" s="324" t="s">
        <v>2</v>
      </c>
      <c r="AH124" s="320" t="s">
        <v>2</v>
      </c>
      <c r="AI124" s="320" t="s">
        <v>2</v>
      </c>
      <c r="AJ124" s="323" t="s">
        <v>2</v>
      </c>
      <c r="AK124" s="323" t="s">
        <v>2</v>
      </c>
      <c r="AL124" s="324" t="s">
        <v>2</v>
      </c>
      <c r="AM124" s="325" t="s">
        <v>2</v>
      </c>
      <c r="AN124" s="326" t="s">
        <v>2</v>
      </c>
      <c r="AO124" s="329" t="s">
        <v>2</v>
      </c>
      <c r="AP124" s="322" t="s">
        <v>2</v>
      </c>
      <c r="AQ124" s="327" t="s">
        <v>2</v>
      </c>
      <c r="AR124" s="327" t="s">
        <v>2</v>
      </c>
      <c r="AS124" s="327" t="s">
        <v>2</v>
      </c>
      <c r="AT124" s="327" t="s">
        <v>2</v>
      </c>
      <c r="AU124" s="327" t="s">
        <v>2</v>
      </c>
      <c r="AV124" s="330" t="s">
        <v>2</v>
      </c>
      <c r="AW124" s="328" t="s">
        <v>2</v>
      </c>
      <c r="AX124" s="327" t="s">
        <v>2</v>
      </c>
      <c r="AY124" s="327" t="s">
        <v>2</v>
      </c>
      <c r="AZ124" s="330" t="s">
        <v>2</v>
      </c>
      <c r="BA124" s="331" t="s">
        <v>2</v>
      </c>
      <c r="BB124" s="332" t="s">
        <v>2</v>
      </c>
      <c r="BC124" s="332" t="s">
        <v>2</v>
      </c>
      <c r="BD124" s="332" t="s">
        <v>2</v>
      </c>
      <c r="BE124" s="332" t="s">
        <v>2</v>
      </c>
      <c r="BF124" s="333" t="s">
        <v>2</v>
      </c>
      <c r="BG124" s="319" t="s">
        <v>2</v>
      </c>
      <c r="BH124" s="319" t="s">
        <v>2</v>
      </c>
      <c r="BI124" s="325" t="s">
        <v>2</v>
      </c>
      <c r="BJ124" s="326" t="s">
        <v>2</v>
      </c>
      <c r="BK124" s="326" t="s">
        <v>2</v>
      </c>
      <c r="BL124" s="326" t="s">
        <v>2</v>
      </c>
      <c r="BM124" s="326" t="s">
        <v>2</v>
      </c>
      <c r="BN124" s="326" t="s">
        <v>2</v>
      </c>
      <c r="BO124" s="326" t="s">
        <v>2</v>
      </c>
      <c r="BP124" s="326" t="s">
        <v>2</v>
      </c>
      <c r="BQ124" s="326" t="s">
        <v>2</v>
      </c>
      <c r="BR124" s="326" t="s">
        <v>2</v>
      </c>
      <c r="BS124" s="326" t="s">
        <v>2</v>
      </c>
      <c r="BT124" s="326" t="s">
        <v>2</v>
      </c>
      <c r="BU124" s="326" t="s">
        <v>2</v>
      </c>
      <c r="BV124" s="326" t="s">
        <v>2</v>
      </c>
      <c r="BW124" s="326" t="s">
        <v>2</v>
      </c>
      <c r="BX124" s="326" t="s">
        <v>2</v>
      </c>
      <c r="BY124" s="326" t="s">
        <v>2</v>
      </c>
      <c r="BZ124" s="329" t="s">
        <v>2</v>
      </c>
      <c r="CA124" s="328" t="s">
        <v>2</v>
      </c>
      <c r="CB124" s="323" t="s">
        <v>2</v>
      </c>
      <c r="CC124" s="323" t="s">
        <v>2</v>
      </c>
      <c r="CD124" s="323" t="s">
        <v>2</v>
      </c>
      <c r="CE124" s="323" t="s">
        <v>2</v>
      </c>
      <c r="CF124" s="323" t="s">
        <v>2</v>
      </c>
      <c r="CG124" s="324" t="s">
        <v>2</v>
      </c>
      <c r="CH124" s="326" t="s">
        <v>2</v>
      </c>
      <c r="CI124" s="329" t="s">
        <v>2</v>
      </c>
      <c r="CJ124" s="328" t="s">
        <v>2</v>
      </c>
      <c r="CK124" s="323" t="s">
        <v>2</v>
      </c>
      <c r="CL124" s="323" t="s">
        <v>2</v>
      </c>
      <c r="CM124" s="324" t="s">
        <v>2</v>
      </c>
      <c r="CN124" s="319" t="s">
        <v>2</v>
      </c>
      <c r="CO124" s="319" t="s">
        <v>2</v>
      </c>
    </row>
    <row r="125" spans="1:93" x14ac:dyDescent="0.25">
      <c r="A125" s="316">
        <v>16094</v>
      </c>
      <c r="B125" s="317" t="s">
        <v>1982</v>
      </c>
      <c r="C125" s="318"/>
      <c r="D125" s="293">
        <v>16</v>
      </c>
      <c r="E125" s="349">
        <v>0</v>
      </c>
      <c r="F125" s="320">
        <f>244*100/64</f>
        <v>381.25</v>
      </c>
      <c r="G125" s="300">
        <v>1593.625</v>
      </c>
      <c r="H125" s="321" t="s">
        <v>2</v>
      </c>
      <c r="I125" s="322">
        <f>5.1*100/64</f>
        <v>7.9687499999999991</v>
      </c>
      <c r="J125" s="323">
        <f>2.8*100/64</f>
        <v>4.375</v>
      </c>
      <c r="K125" s="323">
        <f>44.9*100/64</f>
        <v>70.15625</v>
      </c>
      <c r="L125" s="323" t="s">
        <v>2</v>
      </c>
      <c r="M125" s="324" t="s">
        <v>2</v>
      </c>
      <c r="N125" s="325" t="s">
        <v>2</v>
      </c>
      <c r="O125" s="326" t="s">
        <v>2</v>
      </c>
      <c r="P125" s="323" t="s">
        <v>2</v>
      </c>
      <c r="Q125" s="323" t="s">
        <v>2</v>
      </c>
      <c r="R125" s="315" t="s">
        <v>2</v>
      </c>
      <c r="S125" s="326" t="s">
        <v>2</v>
      </c>
      <c r="T125" s="326" t="s">
        <v>2</v>
      </c>
      <c r="U125" s="327" t="s">
        <v>2</v>
      </c>
      <c r="V125" s="327" t="s">
        <v>2</v>
      </c>
      <c r="W125" s="324" t="s">
        <v>2</v>
      </c>
      <c r="X125" s="328" t="s">
        <v>2</v>
      </c>
      <c r="Y125" s="327" t="s">
        <v>2</v>
      </c>
      <c r="Z125" s="327" t="s">
        <v>2</v>
      </c>
      <c r="AA125" s="327" t="s">
        <v>2</v>
      </c>
      <c r="AB125" s="327" t="s">
        <v>2</v>
      </c>
      <c r="AC125" s="327" t="s">
        <v>2</v>
      </c>
      <c r="AD125" s="326" t="s">
        <v>2</v>
      </c>
      <c r="AE125" s="326" t="s">
        <v>2</v>
      </c>
      <c r="AF125" s="323" t="s">
        <v>2</v>
      </c>
      <c r="AG125" s="324" t="s">
        <v>2</v>
      </c>
      <c r="AH125" s="320" t="s">
        <v>2</v>
      </c>
      <c r="AI125" s="320" t="s">
        <v>2</v>
      </c>
      <c r="AJ125" s="323" t="s">
        <v>2</v>
      </c>
      <c r="AK125" s="323" t="s">
        <v>2</v>
      </c>
      <c r="AL125" s="324" t="s">
        <v>2</v>
      </c>
      <c r="AM125" s="325" t="s">
        <v>2</v>
      </c>
      <c r="AN125" s="326" t="s">
        <v>2</v>
      </c>
      <c r="AO125" s="329" t="s">
        <v>2</v>
      </c>
      <c r="AP125" s="322" t="s">
        <v>2</v>
      </c>
      <c r="AQ125" s="327" t="s">
        <v>2</v>
      </c>
      <c r="AR125" s="327" t="s">
        <v>2</v>
      </c>
      <c r="AS125" s="327" t="s">
        <v>2</v>
      </c>
      <c r="AT125" s="327" t="s">
        <v>2</v>
      </c>
      <c r="AU125" s="327" t="s">
        <v>2</v>
      </c>
      <c r="AV125" s="330" t="s">
        <v>2</v>
      </c>
      <c r="AW125" s="328" t="s">
        <v>2</v>
      </c>
      <c r="AX125" s="327" t="s">
        <v>2</v>
      </c>
      <c r="AY125" s="327" t="s">
        <v>2</v>
      </c>
      <c r="AZ125" s="330" t="s">
        <v>2</v>
      </c>
      <c r="BA125" s="331" t="s">
        <v>2</v>
      </c>
      <c r="BB125" s="332" t="s">
        <v>2</v>
      </c>
      <c r="BC125" s="332" t="s">
        <v>2</v>
      </c>
      <c r="BD125" s="332" t="s">
        <v>2</v>
      </c>
      <c r="BE125" s="332" t="s">
        <v>2</v>
      </c>
      <c r="BF125" s="333" t="s">
        <v>2</v>
      </c>
      <c r="BG125" s="319" t="s">
        <v>2</v>
      </c>
      <c r="BH125" s="319" t="s">
        <v>2</v>
      </c>
      <c r="BI125" s="325" t="s">
        <v>2</v>
      </c>
      <c r="BJ125" s="326" t="s">
        <v>2</v>
      </c>
      <c r="BK125" s="326" t="s">
        <v>2</v>
      </c>
      <c r="BL125" s="326" t="s">
        <v>2</v>
      </c>
      <c r="BM125" s="326" t="s">
        <v>2</v>
      </c>
      <c r="BN125" s="326" t="s">
        <v>2</v>
      </c>
      <c r="BO125" s="326" t="s">
        <v>2</v>
      </c>
      <c r="BP125" s="326" t="s">
        <v>2</v>
      </c>
      <c r="BQ125" s="326" t="s">
        <v>2</v>
      </c>
      <c r="BR125" s="326" t="s">
        <v>2</v>
      </c>
      <c r="BS125" s="326" t="s">
        <v>2</v>
      </c>
      <c r="BT125" s="326" t="s">
        <v>2</v>
      </c>
      <c r="BU125" s="326" t="s">
        <v>2</v>
      </c>
      <c r="BV125" s="326" t="s">
        <v>2</v>
      </c>
      <c r="BW125" s="326" t="s">
        <v>2</v>
      </c>
      <c r="BX125" s="326" t="s">
        <v>2</v>
      </c>
      <c r="BY125" s="326" t="s">
        <v>2</v>
      </c>
      <c r="BZ125" s="329" t="s">
        <v>2</v>
      </c>
      <c r="CA125" s="328" t="s">
        <v>2</v>
      </c>
      <c r="CB125" s="323" t="s">
        <v>2</v>
      </c>
      <c r="CC125" s="323" t="s">
        <v>2</v>
      </c>
      <c r="CD125" s="323" t="s">
        <v>2</v>
      </c>
      <c r="CE125" s="323" t="s">
        <v>2</v>
      </c>
      <c r="CF125" s="323" t="s">
        <v>2</v>
      </c>
      <c r="CG125" s="324" t="s">
        <v>2</v>
      </c>
      <c r="CH125" s="326" t="s">
        <v>2</v>
      </c>
      <c r="CI125" s="329" t="s">
        <v>2</v>
      </c>
      <c r="CJ125" s="328" t="s">
        <v>2</v>
      </c>
      <c r="CK125" s="323" t="s">
        <v>2</v>
      </c>
      <c r="CL125" s="323" t="s">
        <v>2</v>
      </c>
      <c r="CM125" s="324" t="s">
        <v>2</v>
      </c>
      <c r="CN125" s="319" t="s">
        <v>2</v>
      </c>
      <c r="CO125" s="319" t="s">
        <v>2</v>
      </c>
    </row>
    <row r="126" spans="1:93" x14ac:dyDescent="0.25">
      <c r="A126" s="316">
        <v>16095</v>
      </c>
      <c r="B126" s="317" t="s">
        <v>1983</v>
      </c>
      <c r="C126" s="318"/>
      <c r="D126" s="293">
        <v>16</v>
      </c>
      <c r="E126" s="349">
        <v>0</v>
      </c>
      <c r="F126" s="320">
        <f>234*100/70</f>
        <v>334.28571428571428</v>
      </c>
      <c r="G126" s="300">
        <v>1397.3142857142857</v>
      </c>
      <c r="H126" s="321" t="s">
        <v>2</v>
      </c>
      <c r="I126" s="322">
        <f>4.9*100/70</f>
        <v>7.0000000000000009</v>
      </c>
      <c r="J126" s="323">
        <f>3.9*100/70</f>
        <v>5.5714285714285712</v>
      </c>
      <c r="K126" s="323">
        <f>44.9*100/70</f>
        <v>64.142857142857139</v>
      </c>
      <c r="L126" s="323" t="s">
        <v>2</v>
      </c>
      <c r="M126" s="324" t="s">
        <v>2</v>
      </c>
      <c r="N126" s="325" t="s">
        <v>2</v>
      </c>
      <c r="O126" s="326" t="s">
        <v>2</v>
      </c>
      <c r="P126" s="323" t="s">
        <v>2</v>
      </c>
      <c r="Q126" s="323" t="s">
        <v>2</v>
      </c>
      <c r="R126" s="315" t="s">
        <v>2</v>
      </c>
      <c r="S126" s="326" t="s">
        <v>2</v>
      </c>
      <c r="T126" s="326" t="s">
        <v>2</v>
      </c>
      <c r="U126" s="327" t="s">
        <v>2</v>
      </c>
      <c r="V126" s="327" t="s">
        <v>2</v>
      </c>
      <c r="W126" s="324" t="s">
        <v>2</v>
      </c>
      <c r="X126" s="328" t="s">
        <v>2</v>
      </c>
      <c r="Y126" s="327" t="s">
        <v>2</v>
      </c>
      <c r="Z126" s="327" t="s">
        <v>2</v>
      </c>
      <c r="AA126" s="327" t="s">
        <v>2</v>
      </c>
      <c r="AB126" s="327" t="s">
        <v>2</v>
      </c>
      <c r="AC126" s="327" t="s">
        <v>2</v>
      </c>
      <c r="AD126" s="326" t="s">
        <v>2</v>
      </c>
      <c r="AE126" s="326" t="s">
        <v>2</v>
      </c>
      <c r="AF126" s="323" t="s">
        <v>2</v>
      </c>
      <c r="AG126" s="324" t="s">
        <v>2</v>
      </c>
      <c r="AH126" s="320" t="s">
        <v>2</v>
      </c>
      <c r="AI126" s="320" t="s">
        <v>2</v>
      </c>
      <c r="AJ126" s="323" t="s">
        <v>2</v>
      </c>
      <c r="AK126" s="323" t="s">
        <v>2</v>
      </c>
      <c r="AL126" s="324" t="s">
        <v>2</v>
      </c>
      <c r="AM126" s="325" t="s">
        <v>2</v>
      </c>
      <c r="AN126" s="326" t="s">
        <v>2</v>
      </c>
      <c r="AO126" s="329" t="s">
        <v>2</v>
      </c>
      <c r="AP126" s="322" t="s">
        <v>2</v>
      </c>
      <c r="AQ126" s="327" t="s">
        <v>2</v>
      </c>
      <c r="AR126" s="327" t="s">
        <v>2</v>
      </c>
      <c r="AS126" s="327" t="s">
        <v>2</v>
      </c>
      <c r="AT126" s="327" t="s">
        <v>2</v>
      </c>
      <c r="AU126" s="327" t="s">
        <v>2</v>
      </c>
      <c r="AV126" s="330" t="s">
        <v>2</v>
      </c>
      <c r="AW126" s="328" t="s">
        <v>2</v>
      </c>
      <c r="AX126" s="327" t="s">
        <v>2</v>
      </c>
      <c r="AY126" s="327" t="s">
        <v>2</v>
      </c>
      <c r="AZ126" s="330" t="s">
        <v>2</v>
      </c>
      <c r="BA126" s="331" t="s">
        <v>2</v>
      </c>
      <c r="BB126" s="332" t="s">
        <v>2</v>
      </c>
      <c r="BC126" s="332" t="s">
        <v>2</v>
      </c>
      <c r="BD126" s="332" t="s">
        <v>2</v>
      </c>
      <c r="BE126" s="332" t="s">
        <v>2</v>
      </c>
      <c r="BF126" s="333" t="s">
        <v>2</v>
      </c>
      <c r="BG126" s="319" t="s">
        <v>2</v>
      </c>
      <c r="BH126" s="319" t="s">
        <v>2</v>
      </c>
      <c r="BI126" s="325" t="s">
        <v>2</v>
      </c>
      <c r="BJ126" s="326" t="s">
        <v>2</v>
      </c>
      <c r="BK126" s="326" t="s">
        <v>2</v>
      </c>
      <c r="BL126" s="326" t="s">
        <v>2</v>
      </c>
      <c r="BM126" s="326" t="s">
        <v>2</v>
      </c>
      <c r="BN126" s="326" t="s">
        <v>2</v>
      </c>
      <c r="BO126" s="326" t="s">
        <v>2</v>
      </c>
      <c r="BP126" s="326" t="s">
        <v>2</v>
      </c>
      <c r="BQ126" s="326" t="s">
        <v>2</v>
      </c>
      <c r="BR126" s="326" t="s">
        <v>2</v>
      </c>
      <c r="BS126" s="326" t="s">
        <v>2</v>
      </c>
      <c r="BT126" s="326" t="s">
        <v>2</v>
      </c>
      <c r="BU126" s="326" t="s">
        <v>2</v>
      </c>
      <c r="BV126" s="326" t="s">
        <v>2</v>
      </c>
      <c r="BW126" s="326" t="s">
        <v>2</v>
      </c>
      <c r="BX126" s="326" t="s">
        <v>2</v>
      </c>
      <c r="BY126" s="326" t="s">
        <v>2</v>
      </c>
      <c r="BZ126" s="329" t="s">
        <v>2</v>
      </c>
      <c r="CA126" s="328" t="s">
        <v>2</v>
      </c>
      <c r="CB126" s="323" t="s">
        <v>2</v>
      </c>
      <c r="CC126" s="323" t="s">
        <v>2</v>
      </c>
      <c r="CD126" s="323" t="s">
        <v>2</v>
      </c>
      <c r="CE126" s="323" t="s">
        <v>2</v>
      </c>
      <c r="CF126" s="323" t="s">
        <v>2</v>
      </c>
      <c r="CG126" s="324" t="s">
        <v>2</v>
      </c>
      <c r="CH126" s="326" t="s">
        <v>2</v>
      </c>
      <c r="CI126" s="329" t="s">
        <v>2</v>
      </c>
      <c r="CJ126" s="328" t="s">
        <v>2</v>
      </c>
      <c r="CK126" s="323" t="s">
        <v>2</v>
      </c>
      <c r="CL126" s="323" t="s">
        <v>2</v>
      </c>
      <c r="CM126" s="324" t="s">
        <v>2</v>
      </c>
      <c r="CN126" s="319" t="s">
        <v>2</v>
      </c>
      <c r="CO126" s="319" t="s">
        <v>2</v>
      </c>
    </row>
    <row r="127" spans="1:93" x14ac:dyDescent="0.25">
      <c r="A127" s="316">
        <v>16096</v>
      </c>
      <c r="B127" s="317" t="s">
        <v>1984</v>
      </c>
      <c r="C127" s="318"/>
      <c r="D127" s="293">
        <v>16</v>
      </c>
      <c r="E127" s="349">
        <v>0</v>
      </c>
      <c r="F127" s="320">
        <f>238*100/69</f>
        <v>344.92753623188406</v>
      </c>
      <c r="G127" s="300">
        <v>1441.7971014492753</v>
      </c>
      <c r="H127" s="321" t="s">
        <v>2</v>
      </c>
      <c r="I127" s="322">
        <f>5*100/69</f>
        <v>7.2463768115942031</v>
      </c>
      <c r="J127" s="323">
        <f>4*100/69</f>
        <v>5.7971014492753623</v>
      </c>
      <c r="K127" s="323">
        <f>45.4*100/69</f>
        <v>65.79710144927536</v>
      </c>
      <c r="L127" s="323" t="s">
        <v>2</v>
      </c>
      <c r="M127" s="324" t="s">
        <v>2</v>
      </c>
      <c r="N127" s="325" t="s">
        <v>2</v>
      </c>
      <c r="O127" s="326" t="s">
        <v>2</v>
      </c>
      <c r="P127" s="323" t="s">
        <v>2</v>
      </c>
      <c r="Q127" s="323" t="s">
        <v>2</v>
      </c>
      <c r="R127" s="315" t="s">
        <v>2</v>
      </c>
      <c r="S127" s="326" t="s">
        <v>2</v>
      </c>
      <c r="T127" s="326" t="s">
        <v>2</v>
      </c>
      <c r="U127" s="327" t="s">
        <v>2</v>
      </c>
      <c r="V127" s="327" t="s">
        <v>2</v>
      </c>
      <c r="W127" s="324" t="s">
        <v>2</v>
      </c>
      <c r="X127" s="328" t="s">
        <v>2</v>
      </c>
      <c r="Y127" s="327" t="s">
        <v>2</v>
      </c>
      <c r="Z127" s="327" t="s">
        <v>2</v>
      </c>
      <c r="AA127" s="327" t="s">
        <v>2</v>
      </c>
      <c r="AB127" s="327" t="s">
        <v>2</v>
      </c>
      <c r="AC127" s="327" t="s">
        <v>2</v>
      </c>
      <c r="AD127" s="326" t="s">
        <v>2</v>
      </c>
      <c r="AE127" s="326" t="s">
        <v>2</v>
      </c>
      <c r="AF127" s="323" t="s">
        <v>2</v>
      </c>
      <c r="AG127" s="324" t="s">
        <v>2</v>
      </c>
      <c r="AH127" s="320" t="s">
        <v>2</v>
      </c>
      <c r="AI127" s="320" t="s">
        <v>2</v>
      </c>
      <c r="AJ127" s="323" t="s">
        <v>2</v>
      </c>
      <c r="AK127" s="323" t="s">
        <v>2</v>
      </c>
      <c r="AL127" s="324" t="s">
        <v>2</v>
      </c>
      <c r="AM127" s="325" t="s">
        <v>2</v>
      </c>
      <c r="AN127" s="326" t="s">
        <v>2</v>
      </c>
      <c r="AO127" s="329" t="s">
        <v>2</v>
      </c>
      <c r="AP127" s="322" t="s">
        <v>2</v>
      </c>
      <c r="AQ127" s="327" t="s">
        <v>2</v>
      </c>
      <c r="AR127" s="327" t="s">
        <v>2</v>
      </c>
      <c r="AS127" s="327" t="s">
        <v>2</v>
      </c>
      <c r="AT127" s="327" t="s">
        <v>2</v>
      </c>
      <c r="AU127" s="327" t="s">
        <v>2</v>
      </c>
      <c r="AV127" s="330" t="s">
        <v>2</v>
      </c>
      <c r="AW127" s="328" t="s">
        <v>2</v>
      </c>
      <c r="AX127" s="327" t="s">
        <v>2</v>
      </c>
      <c r="AY127" s="327" t="s">
        <v>2</v>
      </c>
      <c r="AZ127" s="330" t="s">
        <v>2</v>
      </c>
      <c r="BA127" s="331" t="s">
        <v>2</v>
      </c>
      <c r="BB127" s="332" t="s">
        <v>2</v>
      </c>
      <c r="BC127" s="332" t="s">
        <v>2</v>
      </c>
      <c r="BD127" s="332" t="s">
        <v>2</v>
      </c>
      <c r="BE127" s="332" t="s">
        <v>2</v>
      </c>
      <c r="BF127" s="333" t="s">
        <v>2</v>
      </c>
      <c r="BG127" s="319" t="s">
        <v>2</v>
      </c>
      <c r="BH127" s="319" t="s">
        <v>2</v>
      </c>
      <c r="BI127" s="325" t="s">
        <v>2</v>
      </c>
      <c r="BJ127" s="326" t="s">
        <v>2</v>
      </c>
      <c r="BK127" s="326" t="s">
        <v>2</v>
      </c>
      <c r="BL127" s="326" t="s">
        <v>2</v>
      </c>
      <c r="BM127" s="326" t="s">
        <v>2</v>
      </c>
      <c r="BN127" s="326" t="s">
        <v>2</v>
      </c>
      <c r="BO127" s="326" t="s">
        <v>2</v>
      </c>
      <c r="BP127" s="326" t="s">
        <v>2</v>
      </c>
      <c r="BQ127" s="326" t="s">
        <v>2</v>
      </c>
      <c r="BR127" s="326" t="s">
        <v>2</v>
      </c>
      <c r="BS127" s="326" t="s">
        <v>2</v>
      </c>
      <c r="BT127" s="326" t="s">
        <v>2</v>
      </c>
      <c r="BU127" s="326" t="s">
        <v>2</v>
      </c>
      <c r="BV127" s="326" t="s">
        <v>2</v>
      </c>
      <c r="BW127" s="326" t="s">
        <v>2</v>
      </c>
      <c r="BX127" s="326" t="s">
        <v>2</v>
      </c>
      <c r="BY127" s="326" t="s">
        <v>2</v>
      </c>
      <c r="BZ127" s="329" t="s">
        <v>2</v>
      </c>
      <c r="CA127" s="328" t="s">
        <v>2</v>
      </c>
      <c r="CB127" s="323" t="s">
        <v>2</v>
      </c>
      <c r="CC127" s="323" t="s">
        <v>2</v>
      </c>
      <c r="CD127" s="323" t="s">
        <v>2</v>
      </c>
      <c r="CE127" s="323" t="s">
        <v>2</v>
      </c>
      <c r="CF127" s="323" t="s">
        <v>2</v>
      </c>
      <c r="CG127" s="324" t="s">
        <v>2</v>
      </c>
      <c r="CH127" s="326" t="s">
        <v>2</v>
      </c>
      <c r="CI127" s="329" t="s">
        <v>2</v>
      </c>
      <c r="CJ127" s="328" t="s">
        <v>2</v>
      </c>
      <c r="CK127" s="323" t="s">
        <v>2</v>
      </c>
      <c r="CL127" s="323" t="s">
        <v>2</v>
      </c>
      <c r="CM127" s="324" t="s">
        <v>2</v>
      </c>
      <c r="CN127" s="319" t="s">
        <v>2</v>
      </c>
      <c r="CO127" s="319" t="s">
        <v>2</v>
      </c>
    </row>
    <row r="128" spans="1:93" x14ac:dyDescent="0.25">
      <c r="A128" s="316">
        <v>16097</v>
      </c>
      <c r="B128" s="317" t="s">
        <v>1985</v>
      </c>
      <c r="C128" s="318"/>
      <c r="D128" s="293">
        <v>16</v>
      </c>
      <c r="E128" s="349">
        <v>0</v>
      </c>
      <c r="F128" s="320">
        <f>232*100/68</f>
        <v>341.1764705882353</v>
      </c>
      <c r="G128" s="300">
        <v>1426.1176470588234</v>
      </c>
      <c r="H128" s="321" t="s">
        <v>2</v>
      </c>
      <c r="I128" s="322">
        <f>4.9*100/68</f>
        <v>7.2058823529411775</v>
      </c>
      <c r="J128" s="323">
        <f>3.1*100/68</f>
        <v>4.5588235294117645</v>
      </c>
      <c r="K128" s="323">
        <f>46.1*100/68</f>
        <v>67.794117647058826</v>
      </c>
      <c r="L128" s="323" t="s">
        <v>2</v>
      </c>
      <c r="M128" s="324" t="s">
        <v>2</v>
      </c>
      <c r="N128" s="325" t="s">
        <v>2</v>
      </c>
      <c r="O128" s="326" t="s">
        <v>2</v>
      </c>
      <c r="P128" s="323" t="s">
        <v>2</v>
      </c>
      <c r="Q128" s="323" t="s">
        <v>2</v>
      </c>
      <c r="R128" s="315" t="s">
        <v>2</v>
      </c>
      <c r="S128" s="326" t="s">
        <v>2</v>
      </c>
      <c r="T128" s="326" t="s">
        <v>2</v>
      </c>
      <c r="U128" s="327" t="s">
        <v>2</v>
      </c>
      <c r="V128" s="327" t="s">
        <v>2</v>
      </c>
      <c r="W128" s="324" t="s">
        <v>2</v>
      </c>
      <c r="X128" s="328" t="s">
        <v>2</v>
      </c>
      <c r="Y128" s="327" t="s">
        <v>2</v>
      </c>
      <c r="Z128" s="327" t="s">
        <v>2</v>
      </c>
      <c r="AA128" s="327" t="s">
        <v>2</v>
      </c>
      <c r="AB128" s="327" t="s">
        <v>2</v>
      </c>
      <c r="AC128" s="327" t="s">
        <v>2</v>
      </c>
      <c r="AD128" s="326" t="s">
        <v>2</v>
      </c>
      <c r="AE128" s="326" t="s">
        <v>2</v>
      </c>
      <c r="AF128" s="323" t="s">
        <v>2</v>
      </c>
      <c r="AG128" s="324" t="s">
        <v>2</v>
      </c>
      <c r="AH128" s="320" t="s">
        <v>2</v>
      </c>
      <c r="AI128" s="320" t="s">
        <v>2</v>
      </c>
      <c r="AJ128" s="323" t="s">
        <v>2</v>
      </c>
      <c r="AK128" s="323" t="s">
        <v>2</v>
      </c>
      <c r="AL128" s="324" t="s">
        <v>2</v>
      </c>
      <c r="AM128" s="325" t="s">
        <v>2</v>
      </c>
      <c r="AN128" s="326" t="s">
        <v>2</v>
      </c>
      <c r="AO128" s="329" t="s">
        <v>2</v>
      </c>
      <c r="AP128" s="322" t="s">
        <v>2</v>
      </c>
      <c r="AQ128" s="327" t="s">
        <v>2</v>
      </c>
      <c r="AR128" s="327" t="s">
        <v>2</v>
      </c>
      <c r="AS128" s="327" t="s">
        <v>2</v>
      </c>
      <c r="AT128" s="327" t="s">
        <v>2</v>
      </c>
      <c r="AU128" s="327" t="s">
        <v>2</v>
      </c>
      <c r="AV128" s="330" t="s">
        <v>2</v>
      </c>
      <c r="AW128" s="328" t="s">
        <v>2</v>
      </c>
      <c r="AX128" s="327" t="s">
        <v>2</v>
      </c>
      <c r="AY128" s="327" t="s">
        <v>2</v>
      </c>
      <c r="AZ128" s="330" t="s">
        <v>2</v>
      </c>
      <c r="BA128" s="331" t="s">
        <v>2</v>
      </c>
      <c r="BB128" s="332" t="s">
        <v>2</v>
      </c>
      <c r="BC128" s="332" t="s">
        <v>2</v>
      </c>
      <c r="BD128" s="332" t="s">
        <v>2</v>
      </c>
      <c r="BE128" s="332" t="s">
        <v>2</v>
      </c>
      <c r="BF128" s="333" t="s">
        <v>2</v>
      </c>
      <c r="BG128" s="319" t="s">
        <v>2</v>
      </c>
      <c r="BH128" s="319" t="s">
        <v>2</v>
      </c>
      <c r="BI128" s="325" t="s">
        <v>2</v>
      </c>
      <c r="BJ128" s="326" t="s">
        <v>2</v>
      </c>
      <c r="BK128" s="326" t="s">
        <v>2</v>
      </c>
      <c r="BL128" s="326" t="s">
        <v>2</v>
      </c>
      <c r="BM128" s="326" t="s">
        <v>2</v>
      </c>
      <c r="BN128" s="326" t="s">
        <v>2</v>
      </c>
      <c r="BO128" s="326" t="s">
        <v>2</v>
      </c>
      <c r="BP128" s="326" t="s">
        <v>2</v>
      </c>
      <c r="BQ128" s="326" t="s">
        <v>2</v>
      </c>
      <c r="BR128" s="326" t="s">
        <v>2</v>
      </c>
      <c r="BS128" s="326" t="s">
        <v>2</v>
      </c>
      <c r="BT128" s="326" t="s">
        <v>2</v>
      </c>
      <c r="BU128" s="326" t="s">
        <v>2</v>
      </c>
      <c r="BV128" s="326" t="s">
        <v>2</v>
      </c>
      <c r="BW128" s="326" t="s">
        <v>2</v>
      </c>
      <c r="BX128" s="326" t="s">
        <v>2</v>
      </c>
      <c r="BY128" s="326" t="s">
        <v>2</v>
      </c>
      <c r="BZ128" s="329" t="s">
        <v>2</v>
      </c>
      <c r="CA128" s="328" t="s">
        <v>2</v>
      </c>
      <c r="CB128" s="323" t="s">
        <v>2</v>
      </c>
      <c r="CC128" s="323" t="s">
        <v>2</v>
      </c>
      <c r="CD128" s="323" t="s">
        <v>2</v>
      </c>
      <c r="CE128" s="323" t="s">
        <v>2</v>
      </c>
      <c r="CF128" s="323" t="s">
        <v>2</v>
      </c>
      <c r="CG128" s="324" t="s">
        <v>2</v>
      </c>
      <c r="CH128" s="326" t="s">
        <v>2</v>
      </c>
      <c r="CI128" s="329" t="s">
        <v>2</v>
      </c>
      <c r="CJ128" s="328" t="s">
        <v>2</v>
      </c>
      <c r="CK128" s="323" t="s">
        <v>2</v>
      </c>
      <c r="CL128" s="323" t="s">
        <v>2</v>
      </c>
      <c r="CM128" s="324" t="s">
        <v>2</v>
      </c>
      <c r="CN128" s="319" t="s">
        <v>2</v>
      </c>
      <c r="CO128" s="319" t="s">
        <v>2</v>
      </c>
    </row>
    <row r="129" spans="1:93" x14ac:dyDescent="0.25">
      <c r="A129" s="316">
        <v>16098</v>
      </c>
      <c r="B129" s="317" t="s">
        <v>1986</v>
      </c>
      <c r="C129" s="318"/>
      <c r="D129" s="293">
        <v>16</v>
      </c>
      <c r="E129" s="349">
        <v>0</v>
      </c>
      <c r="F129" s="320">
        <f>(220+358.7)/2*100/120</f>
        <v>241.12500000000003</v>
      </c>
      <c r="G129" s="300">
        <v>1007.9025</v>
      </c>
      <c r="H129" s="321" t="s">
        <v>2</v>
      </c>
      <c r="I129" s="322">
        <f>(5.8+10.4)/2*100/120</f>
        <v>6.75</v>
      </c>
      <c r="J129" s="323">
        <f>(3.2+5.9)/2*100/120</f>
        <v>3.791666666666667</v>
      </c>
      <c r="K129" s="323">
        <f>(42+66)/2*100/120</f>
        <v>45</v>
      </c>
      <c r="L129" s="323" t="s">
        <v>2</v>
      </c>
      <c r="M129" s="324" t="s">
        <v>2</v>
      </c>
      <c r="N129" s="325" t="s">
        <v>2</v>
      </c>
      <c r="O129" s="326" t="s">
        <v>2</v>
      </c>
      <c r="P129" s="323" t="s">
        <v>2</v>
      </c>
      <c r="Q129" s="323" t="s">
        <v>2</v>
      </c>
      <c r="R129" s="315" t="s">
        <v>2</v>
      </c>
      <c r="S129" s="326" t="s">
        <v>2</v>
      </c>
      <c r="T129" s="326" t="s">
        <v>2</v>
      </c>
      <c r="U129" s="327" t="s">
        <v>2</v>
      </c>
      <c r="V129" s="327" t="s">
        <v>2</v>
      </c>
      <c r="W129" s="324" t="s">
        <v>2</v>
      </c>
      <c r="X129" s="328" t="s">
        <v>2</v>
      </c>
      <c r="Y129" s="327" t="s">
        <v>2</v>
      </c>
      <c r="Z129" s="327" t="s">
        <v>2</v>
      </c>
      <c r="AA129" s="327" t="s">
        <v>2</v>
      </c>
      <c r="AB129" s="327" t="s">
        <v>2</v>
      </c>
      <c r="AC129" s="327" t="s">
        <v>2</v>
      </c>
      <c r="AD129" s="326" t="s">
        <v>2</v>
      </c>
      <c r="AE129" s="326" t="s">
        <v>2</v>
      </c>
      <c r="AF129" s="323" t="s">
        <v>2</v>
      </c>
      <c r="AG129" s="324" t="s">
        <v>2</v>
      </c>
      <c r="AH129" s="320" t="s">
        <v>2</v>
      </c>
      <c r="AI129" s="320" t="s">
        <v>2</v>
      </c>
      <c r="AJ129" s="323" t="s">
        <v>2</v>
      </c>
      <c r="AK129" s="323" t="s">
        <v>2</v>
      </c>
      <c r="AL129" s="324" t="s">
        <v>2</v>
      </c>
      <c r="AM129" s="325" t="s">
        <v>2</v>
      </c>
      <c r="AN129" s="326" t="s">
        <v>2</v>
      </c>
      <c r="AO129" s="329" t="s">
        <v>2</v>
      </c>
      <c r="AP129" s="322" t="s">
        <v>2</v>
      </c>
      <c r="AQ129" s="327" t="s">
        <v>2</v>
      </c>
      <c r="AR129" s="327" t="s">
        <v>2</v>
      </c>
      <c r="AS129" s="327" t="s">
        <v>2</v>
      </c>
      <c r="AT129" s="327" t="s">
        <v>2</v>
      </c>
      <c r="AU129" s="327" t="s">
        <v>2</v>
      </c>
      <c r="AV129" s="330" t="s">
        <v>2</v>
      </c>
      <c r="AW129" s="328" t="s">
        <v>2</v>
      </c>
      <c r="AX129" s="327" t="s">
        <v>2</v>
      </c>
      <c r="AY129" s="327" t="s">
        <v>2</v>
      </c>
      <c r="AZ129" s="330" t="s">
        <v>2</v>
      </c>
      <c r="BA129" s="331" t="s">
        <v>2</v>
      </c>
      <c r="BB129" s="332" t="s">
        <v>2</v>
      </c>
      <c r="BC129" s="332" t="s">
        <v>2</v>
      </c>
      <c r="BD129" s="332" t="s">
        <v>2</v>
      </c>
      <c r="BE129" s="332" t="s">
        <v>2</v>
      </c>
      <c r="BF129" s="333" t="s">
        <v>2</v>
      </c>
      <c r="BG129" s="319" t="s">
        <v>2</v>
      </c>
      <c r="BH129" s="319" t="s">
        <v>2</v>
      </c>
      <c r="BI129" s="325" t="s">
        <v>2</v>
      </c>
      <c r="BJ129" s="326" t="s">
        <v>2</v>
      </c>
      <c r="BK129" s="326" t="s">
        <v>2</v>
      </c>
      <c r="BL129" s="326" t="s">
        <v>2</v>
      </c>
      <c r="BM129" s="326" t="s">
        <v>2</v>
      </c>
      <c r="BN129" s="326" t="s">
        <v>2</v>
      </c>
      <c r="BO129" s="326" t="s">
        <v>2</v>
      </c>
      <c r="BP129" s="326" t="s">
        <v>2</v>
      </c>
      <c r="BQ129" s="326" t="s">
        <v>2</v>
      </c>
      <c r="BR129" s="326" t="s">
        <v>2</v>
      </c>
      <c r="BS129" s="326" t="s">
        <v>2</v>
      </c>
      <c r="BT129" s="326" t="s">
        <v>2</v>
      </c>
      <c r="BU129" s="326" t="s">
        <v>2</v>
      </c>
      <c r="BV129" s="326" t="s">
        <v>2</v>
      </c>
      <c r="BW129" s="326" t="s">
        <v>2</v>
      </c>
      <c r="BX129" s="326" t="s">
        <v>2</v>
      </c>
      <c r="BY129" s="326" t="s">
        <v>2</v>
      </c>
      <c r="BZ129" s="329" t="s">
        <v>2</v>
      </c>
      <c r="CA129" s="328" t="s">
        <v>2</v>
      </c>
      <c r="CB129" s="323" t="s">
        <v>2</v>
      </c>
      <c r="CC129" s="323" t="s">
        <v>2</v>
      </c>
      <c r="CD129" s="323" t="s">
        <v>2</v>
      </c>
      <c r="CE129" s="323" t="s">
        <v>2</v>
      </c>
      <c r="CF129" s="323" t="s">
        <v>2</v>
      </c>
      <c r="CG129" s="324" t="s">
        <v>2</v>
      </c>
      <c r="CH129" s="326" t="s">
        <v>2</v>
      </c>
      <c r="CI129" s="329" t="s">
        <v>2</v>
      </c>
      <c r="CJ129" s="328" t="s">
        <v>2</v>
      </c>
      <c r="CK129" s="323" t="s">
        <v>2</v>
      </c>
      <c r="CL129" s="323" t="s">
        <v>2</v>
      </c>
      <c r="CM129" s="324" t="s">
        <v>2</v>
      </c>
      <c r="CN129" s="319" t="s">
        <v>2</v>
      </c>
      <c r="CO129" s="319" t="s">
        <v>2</v>
      </c>
    </row>
    <row r="130" spans="1:93" x14ac:dyDescent="0.25">
      <c r="A130" s="316">
        <v>16099</v>
      </c>
      <c r="B130" s="317" t="s">
        <v>1987</v>
      </c>
      <c r="C130" s="318"/>
      <c r="D130" s="293">
        <v>16</v>
      </c>
      <c r="E130" s="349">
        <v>0</v>
      </c>
      <c r="F130" s="320">
        <f>(239+380.1)/2*100/120</f>
        <v>257.95833333333331</v>
      </c>
      <c r="G130" s="300">
        <v>1078.2658333333331</v>
      </c>
      <c r="H130" s="321" t="s">
        <v>2</v>
      </c>
      <c r="I130" s="322">
        <f>(6.5+12.6)/2*100/120</f>
        <v>7.9583333333333339</v>
      </c>
      <c r="J130" s="323">
        <f>(3.4+5.7)/2*100/120</f>
        <v>3.7916666666666665</v>
      </c>
      <c r="K130" s="323">
        <f>(45.6+69.6)/2*100/120</f>
        <v>47.999999999999993</v>
      </c>
      <c r="L130" s="323" t="s">
        <v>2</v>
      </c>
      <c r="M130" s="324" t="s">
        <v>2</v>
      </c>
      <c r="N130" s="325" t="s">
        <v>2</v>
      </c>
      <c r="O130" s="326" t="s">
        <v>2</v>
      </c>
      <c r="P130" s="323" t="s">
        <v>2</v>
      </c>
      <c r="Q130" s="323" t="s">
        <v>2</v>
      </c>
      <c r="R130" s="315" t="s">
        <v>2</v>
      </c>
      <c r="S130" s="326" t="s">
        <v>2</v>
      </c>
      <c r="T130" s="326" t="s">
        <v>2</v>
      </c>
      <c r="U130" s="327" t="s">
        <v>2</v>
      </c>
      <c r="V130" s="327" t="s">
        <v>2</v>
      </c>
      <c r="W130" s="324" t="s">
        <v>2</v>
      </c>
      <c r="X130" s="328" t="s">
        <v>2</v>
      </c>
      <c r="Y130" s="327" t="s">
        <v>2</v>
      </c>
      <c r="Z130" s="327" t="s">
        <v>2</v>
      </c>
      <c r="AA130" s="327" t="s">
        <v>2</v>
      </c>
      <c r="AB130" s="327" t="s">
        <v>2</v>
      </c>
      <c r="AC130" s="327" t="s">
        <v>2</v>
      </c>
      <c r="AD130" s="326" t="s">
        <v>2</v>
      </c>
      <c r="AE130" s="326" t="s">
        <v>2</v>
      </c>
      <c r="AF130" s="323" t="s">
        <v>2</v>
      </c>
      <c r="AG130" s="324" t="s">
        <v>2</v>
      </c>
      <c r="AH130" s="320" t="s">
        <v>2</v>
      </c>
      <c r="AI130" s="320" t="s">
        <v>2</v>
      </c>
      <c r="AJ130" s="323" t="s">
        <v>2</v>
      </c>
      <c r="AK130" s="323" t="s">
        <v>2</v>
      </c>
      <c r="AL130" s="324" t="s">
        <v>2</v>
      </c>
      <c r="AM130" s="325" t="s">
        <v>2</v>
      </c>
      <c r="AN130" s="326" t="s">
        <v>2</v>
      </c>
      <c r="AO130" s="329" t="s">
        <v>2</v>
      </c>
      <c r="AP130" s="322" t="s">
        <v>2</v>
      </c>
      <c r="AQ130" s="327" t="s">
        <v>2</v>
      </c>
      <c r="AR130" s="327" t="s">
        <v>2</v>
      </c>
      <c r="AS130" s="327" t="s">
        <v>2</v>
      </c>
      <c r="AT130" s="327" t="s">
        <v>2</v>
      </c>
      <c r="AU130" s="327" t="s">
        <v>2</v>
      </c>
      <c r="AV130" s="330" t="s">
        <v>2</v>
      </c>
      <c r="AW130" s="328" t="s">
        <v>2</v>
      </c>
      <c r="AX130" s="327" t="s">
        <v>2</v>
      </c>
      <c r="AY130" s="327" t="s">
        <v>2</v>
      </c>
      <c r="AZ130" s="330" t="s">
        <v>2</v>
      </c>
      <c r="BA130" s="331" t="s">
        <v>2</v>
      </c>
      <c r="BB130" s="332" t="s">
        <v>2</v>
      </c>
      <c r="BC130" s="332" t="s">
        <v>2</v>
      </c>
      <c r="BD130" s="332" t="s">
        <v>2</v>
      </c>
      <c r="BE130" s="332" t="s">
        <v>2</v>
      </c>
      <c r="BF130" s="333" t="s">
        <v>2</v>
      </c>
      <c r="BG130" s="319" t="s">
        <v>2</v>
      </c>
      <c r="BH130" s="319" t="s">
        <v>2</v>
      </c>
      <c r="BI130" s="325" t="s">
        <v>2</v>
      </c>
      <c r="BJ130" s="326" t="s">
        <v>2</v>
      </c>
      <c r="BK130" s="326" t="s">
        <v>2</v>
      </c>
      <c r="BL130" s="326" t="s">
        <v>2</v>
      </c>
      <c r="BM130" s="326" t="s">
        <v>2</v>
      </c>
      <c r="BN130" s="326" t="s">
        <v>2</v>
      </c>
      <c r="BO130" s="326" t="s">
        <v>2</v>
      </c>
      <c r="BP130" s="326" t="s">
        <v>2</v>
      </c>
      <c r="BQ130" s="326" t="s">
        <v>2</v>
      </c>
      <c r="BR130" s="326" t="s">
        <v>2</v>
      </c>
      <c r="BS130" s="326" t="s">
        <v>2</v>
      </c>
      <c r="BT130" s="326" t="s">
        <v>2</v>
      </c>
      <c r="BU130" s="326" t="s">
        <v>2</v>
      </c>
      <c r="BV130" s="326" t="s">
        <v>2</v>
      </c>
      <c r="BW130" s="326" t="s">
        <v>2</v>
      </c>
      <c r="BX130" s="326" t="s">
        <v>2</v>
      </c>
      <c r="BY130" s="326" t="s">
        <v>2</v>
      </c>
      <c r="BZ130" s="329" t="s">
        <v>2</v>
      </c>
      <c r="CA130" s="328" t="s">
        <v>2</v>
      </c>
      <c r="CB130" s="323" t="s">
        <v>2</v>
      </c>
      <c r="CC130" s="323" t="s">
        <v>2</v>
      </c>
      <c r="CD130" s="323" t="s">
        <v>2</v>
      </c>
      <c r="CE130" s="323" t="s">
        <v>2</v>
      </c>
      <c r="CF130" s="323" t="s">
        <v>2</v>
      </c>
      <c r="CG130" s="324" t="s">
        <v>2</v>
      </c>
      <c r="CH130" s="326" t="s">
        <v>2</v>
      </c>
      <c r="CI130" s="329" t="s">
        <v>2</v>
      </c>
      <c r="CJ130" s="328" t="s">
        <v>2</v>
      </c>
      <c r="CK130" s="323" t="s">
        <v>2</v>
      </c>
      <c r="CL130" s="323" t="s">
        <v>2</v>
      </c>
      <c r="CM130" s="324" t="s">
        <v>2</v>
      </c>
      <c r="CN130" s="319" t="s">
        <v>2</v>
      </c>
      <c r="CO130" s="319" t="s">
        <v>2</v>
      </c>
    </row>
    <row r="131" spans="1:93" x14ac:dyDescent="0.25">
      <c r="A131" s="316">
        <v>16100</v>
      </c>
      <c r="B131" s="317" t="s">
        <v>1988</v>
      </c>
      <c r="C131" s="318"/>
      <c r="D131" s="293">
        <v>16</v>
      </c>
      <c r="E131" s="349">
        <v>0</v>
      </c>
      <c r="F131" s="320">
        <f>310*100/84</f>
        <v>369.04761904761904</v>
      </c>
      <c r="G131" s="300">
        <v>1542.6190476190475</v>
      </c>
      <c r="H131" s="321" t="s">
        <v>2</v>
      </c>
      <c r="I131" s="322">
        <f>5.1*100/84</f>
        <v>6.0714285714285712</v>
      </c>
      <c r="J131" s="323">
        <f>7.6*100/84</f>
        <v>9.0476190476190474</v>
      </c>
      <c r="K131" s="323">
        <f>55.2*100/84</f>
        <v>65.714285714285708</v>
      </c>
      <c r="L131" s="323" t="s">
        <v>2</v>
      </c>
      <c r="M131" s="324" t="s">
        <v>2</v>
      </c>
      <c r="N131" s="325" t="s">
        <v>2</v>
      </c>
      <c r="O131" s="326" t="s">
        <v>2</v>
      </c>
      <c r="P131" s="323" t="s">
        <v>2</v>
      </c>
      <c r="Q131" s="323" t="s">
        <v>2</v>
      </c>
      <c r="R131" s="315" t="s">
        <v>2</v>
      </c>
      <c r="S131" s="326" t="s">
        <v>2</v>
      </c>
      <c r="T131" s="326" t="s">
        <v>2</v>
      </c>
      <c r="U131" s="327" t="s">
        <v>2</v>
      </c>
      <c r="V131" s="327" t="s">
        <v>2</v>
      </c>
      <c r="W131" s="324" t="s">
        <v>2</v>
      </c>
      <c r="X131" s="328" t="s">
        <v>2</v>
      </c>
      <c r="Y131" s="327" t="s">
        <v>2</v>
      </c>
      <c r="Z131" s="327" t="s">
        <v>2</v>
      </c>
      <c r="AA131" s="327" t="s">
        <v>2</v>
      </c>
      <c r="AB131" s="327" t="s">
        <v>2</v>
      </c>
      <c r="AC131" s="327" t="s">
        <v>2</v>
      </c>
      <c r="AD131" s="326" t="s">
        <v>2</v>
      </c>
      <c r="AE131" s="326" t="s">
        <v>2</v>
      </c>
      <c r="AF131" s="323" t="s">
        <v>2</v>
      </c>
      <c r="AG131" s="324" t="s">
        <v>2</v>
      </c>
      <c r="AH131" s="320" t="s">
        <v>2</v>
      </c>
      <c r="AI131" s="320" t="s">
        <v>2</v>
      </c>
      <c r="AJ131" s="323" t="s">
        <v>2</v>
      </c>
      <c r="AK131" s="323" t="s">
        <v>2</v>
      </c>
      <c r="AL131" s="324" t="s">
        <v>2</v>
      </c>
      <c r="AM131" s="325" t="s">
        <v>2</v>
      </c>
      <c r="AN131" s="326" t="s">
        <v>2</v>
      </c>
      <c r="AO131" s="329" t="s">
        <v>2</v>
      </c>
      <c r="AP131" s="322" t="s">
        <v>2</v>
      </c>
      <c r="AQ131" s="327" t="s">
        <v>2</v>
      </c>
      <c r="AR131" s="327" t="s">
        <v>2</v>
      </c>
      <c r="AS131" s="327" t="s">
        <v>2</v>
      </c>
      <c r="AT131" s="327" t="s">
        <v>2</v>
      </c>
      <c r="AU131" s="327" t="s">
        <v>2</v>
      </c>
      <c r="AV131" s="330" t="s">
        <v>2</v>
      </c>
      <c r="AW131" s="328" t="s">
        <v>2</v>
      </c>
      <c r="AX131" s="327" t="s">
        <v>2</v>
      </c>
      <c r="AY131" s="327" t="s">
        <v>2</v>
      </c>
      <c r="AZ131" s="330" t="s">
        <v>2</v>
      </c>
      <c r="BA131" s="331" t="s">
        <v>2</v>
      </c>
      <c r="BB131" s="332" t="s">
        <v>2</v>
      </c>
      <c r="BC131" s="332" t="s">
        <v>2</v>
      </c>
      <c r="BD131" s="332" t="s">
        <v>2</v>
      </c>
      <c r="BE131" s="332" t="s">
        <v>2</v>
      </c>
      <c r="BF131" s="333" t="s">
        <v>2</v>
      </c>
      <c r="BG131" s="319" t="s">
        <v>2</v>
      </c>
      <c r="BH131" s="319" t="s">
        <v>2</v>
      </c>
      <c r="BI131" s="325" t="s">
        <v>2</v>
      </c>
      <c r="BJ131" s="326" t="s">
        <v>2</v>
      </c>
      <c r="BK131" s="326" t="s">
        <v>2</v>
      </c>
      <c r="BL131" s="326" t="s">
        <v>2</v>
      </c>
      <c r="BM131" s="326" t="s">
        <v>2</v>
      </c>
      <c r="BN131" s="326" t="s">
        <v>2</v>
      </c>
      <c r="BO131" s="326" t="s">
        <v>2</v>
      </c>
      <c r="BP131" s="326" t="s">
        <v>2</v>
      </c>
      <c r="BQ131" s="326" t="s">
        <v>2</v>
      </c>
      <c r="BR131" s="326" t="s">
        <v>2</v>
      </c>
      <c r="BS131" s="326" t="s">
        <v>2</v>
      </c>
      <c r="BT131" s="326" t="s">
        <v>2</v>
      </c>
      <c r="BU131" s="326" t="s">
        <v>2</v>
      </c>
      <c r="BV131" s="326" t="s">
        <v>2</v>
      </c>
      <c r="BW131" s="326" t="s">
        <v>2</v>
      </c>
      <c r="BX131" s="326" t="s">
        <v>2</v>
      </c>
      <c r="BY131" s="326" t="s">
        <v>2</v>
      </c>
      <c r="BZ131" s="329" t="s">
        <v>2</v>
      </c>
      <c r="CA131" s="328" t="s">
        <v>2</v>
      </c>
      <c r="CB131" s="323" t="s">
        <v>2</v>
      </c>
      <c r="CC131" s="323" t="s">
        <v>2</v>
      </c>
      <c r="CD131" s="323" t="s">
        <v>2</v>
      </c>
      <c r="CE131" s="323" t="s">
        <v>2</v>
      </c>
      <c r="CF131" s="323" t="s">
        <v>2</v>
      </c>
      <c r="CG131" s="324" t="s">
        <v>2</v>
      </c>
      <c r="CH131" s="326" t="s">
        <v>2</v>
      </c>
      <c r="CI131" s="329" t="s">
        <v>2</v>
      </c>
      <c r="CJ131" s="328" t="s">
        <v>2</v>
      </c>
      <c r="CK131" s="323" t="s">
        <v>2</v>
      </c>
      <c r="CL131" s="323" t="s">
        <v>2</v>
      </c>
      <c r="CM131" s="324" t="s">
        <v>2</v>
      </c>
      <c r="CN131" s="319" t="s">
        <v>2</v>
      </c>
      <c r="CO131" s="319" t="s">
        <v>2</v>
      </c>
    </row>
    <row r="132" spans="1:93" x14ac:dyDescent="0.25">
      <c r="A132" s="316">
        <v>16101</v>
      </c>
      <c r="B132" s="317" t="s">
        <v>1989</v>
      </c>
      <c r="C132" s="318"/>
      <c r="D132" s="293">
        <v>16</v>
      </c>
      <c r="E132" s="349">
        <v>0</v>
      </c>
      <c r="F132" s="320">
        <f>306*100/82</f>
        <v>373.17073170731709</v>
      </c>
      <c r="G132" s="300">
        <v>1559.8536585365853</v>
      </c>
      <c r="H132" s="321" t="s">
        <v>2</v>
      </c>
      <c r="I132" s="322">
        <f>5.1*100/82</f>
        <v>6.2195121951219505</v>
      </c>
      <c r="J132" s="323">
        <f>7.6*100/82</f>
        <v>9.2682926829268286</v>
      </c>
      <c r="K132" s="323">
        <f>54.2*100/82</f>
        <v>66.097560975609753</v>
      </c>
      <c r="L132" s="323" t="s">
        <v>2</v>
      </c>
      <c r="M132" s="324" t="s">
        <v>2</v>
      </c>
      <c r="N132" s="325" t="s">
        <v>2</v>
      </c>
      <c r="O132" s="326" t="s">
        <v>2</v>
      </c>
      <c r="P132" s="323" t="s">
        <v>2</v>
      </c>
      <c r="Q132" s="323" t="s">
        <v>2</v>
      </c>
      <c r="R132" s="315" t="s">
        <v>2</v>
      </c>
      <c r="S132" s="326" t="s">
        <v>2</v>
      </c>
      <c r="T132" s="326" t="s">
        <v>2</v>
      </c>
      <c r="U132" s="327" t="s">
        <v>2</v>
      </c>
      <c r="V132" s="327" t="s">
        <v>2</v>
      </c>
      <c r="W132" s="324" t="s">
        <v>2</v>
      </c>
      <c r="X132" s="328" t="s">
        <v>2</v>
      </c>
      <c r="Y132" s="327" t="s">
        <v>2</v>
      </c>
      <c r="Z132" s="327" t="s">
        <v>2</v>
      </c>
      <c r="AA132" s="327" t="s">
        <v>2</v>
      </c>
      <c r="AB132" s="327" t="s">
        <v>2</v>
      </c>
      <c r="AC132" s="327" t="s">
        <v>2</v>
      </c>
      <c r="AD132" s="326" t="s">
        <v>2</v>
      </c>
      <c r="AE132" s="326" t="s">
        <v>2</v>
      </c>
      <c r="AF132" s="323" t="s">
        <v>2</v>
      </c>
      <c r="AG132" s="324" t="s">
        <v>2</v>
      </c>
      <c r="AH132" s="320" t="s">
        <v>2</v>
      </c>
      <c r="AI132" s="320" t="s">
        <v>2</v>
      </c>
      <c r="AJ132" s="323" t="s">
        <v>2</v>
      </c>
      <c r="AK132" s="323" t="s">
        <v>2</v>
      </c>
      <c r="AL132" s="324" t="s">
        <v>2</v>
      </c>
      <c r="AM132" s="325" t="s">
        <v>2</v>
      </c>
      <c r="AN132" s="326" t="s">
        <v>2</v>
      </c>
      <c r="AO132" s="329" t="s">
        <v>2</v>
      </c>
      <c r="AP132" s="322" t="s">
        <v>2</v>
      </c>
      <c r="AQ132" s="327" t="s">
        <v>2</v>
      </c>
      <c r="AR132" s="327" t="s">
        <v>2</v>
      </c>
      <c r="AS132" s="327" t="s">
        <v>2</v>
      </c>
      <c r="AT132" s="327" t="s">
        <v>2</v>
      </c>
      <c r="AU132" s="327" t="s">
        <v>2</v>
      </c>
      <c r="AV132" s="330" t="s">
        <v>2</v>
      </c>
      <c r="AW132" s="328" t="s">
        <v>2</v>
      </c>
      <c r="AX132" s="327" t="s">
        <v>2</v>
      </c>
      <c r="AY132" s="327" t="s">
        <v>2</v>
      </c>
      <c r="AZ132" s="330" t="s">
        <v>2</v>
      </c>
      <c r="BA132" s="331" t="s">
        <v>2</v>
      </c>
      <c r="BB132" s="332" t="s">
        <v>2</v>
      </c>
      <c r="BC132" s="332" t="s">
        <v>2</v>
      </c>
      <c r="BD132" s="332" t="s">
        <v>2</v>
      </c>
      <c r="BE132" s="332" t="s">
        <v>2</v>
      </c>
      <c r="BF132" s="333" t="s">
        <v>2</v>
      </c>
      <c r="BG132" s="319" t="s">
        <v>2</v>
      </c>
      <c r="BH132" s="319" t="s">
        <v>2</v>
      </c>
      <c r="BI132" s="325" t="s">
        <v>2</v>
      </c>
      <c r="BJ132" s="326" t="s">
        <v>2</v>
      </c>
      <c r="BK132" s="326" t="s">
        <v>2</v>
      </c>
      <c r="BL132" s="326" t="s">
        <v>2</v>
      </c>
      <c r="BM132" s="326" t="s">
        <v>2</v>
      </c>
      <c r="BN132" s="326" t="s">
        <v>2</v>
      </c>
      <c r="BO132" s="326" t="s">
        <v>2</v>
      </c>
      <c r="BP132" s="326" t="s">
        <v>2</v>
      </c>
      <c r="BQ132" s="326" t="s">
        <v>2</v>
      </c>
      <c r="BR132" s="326" t="s">
        <v>2</v>
      </c>
      <c r="BS132" s="326" t="s">
        <v>2</v>
      </c>
      <c r="BT132" s="326" t="s">
        <v>2</v>
      </c>
      <c r="BU132" s="326" t="s">
        <v>2</v>
      </c>
      <c r="BV132" s="326" t="s">
        <v>2</v>
      </c>
      <c r="BW132" s="326" t="s">
        <v>2</v>
      </c>
      <c r="BX132" s="326" t="s">
        <v>2</v>
      </c>
      <c r="BY132" s="326" t="s">
        <v>2</v>
      </c>
      <c r="BZ132" s="329" t="s">
        <v>2</v>
      </c>
      <c r="CA132" s="328" t="s">
        <v>2</v>
      </c>
      <c r="CB132" s="323" t="s">
        <v>2</v>
      </c>
      <c r="CC132" s="323" t="s">
        <v>2</v>
      </c>
      <c r="CD132" s="323" t="s">
        <v>2</v>
      </c>
      <c r="CE132" s="323" t="s">
        <v>2</v>
      </c>
      <c r="CF132" s="323" t="s">
        <v>2</v>
      </c>
      <c r="CG132" s="324" t="s">
        <v>2</v>
      </c>
      <c r="CH132" s="326" t="s">
        <v>2</v>
      </c>
      <c r="CI132" s="329" t="s">
        <v>2</v>
      </c>
      <c r="CJ132" s="328" t="s">
        <v>2</v>
      </c>
      <c r="CK132" s="323" t="s">
        <v>2</v>
      </c>
      <c r="CL132" s="323" t="s">
        <v>2</v>
      </c>
      <c r="CM132" s="324" t="s">
        <v>2</v>
      </c>
      <c r="CN132" s="319" t="s">
        <v>2</v>
      </c>
      <c r="CO132" s="319" t="s">
        <v>2</v>
      </c>
    </row>
    <row r="133" spans="1:93" x14ac:dyDescent="0.25">
      <c r="A133" s="316">
        <v>16102</v>
      </c>
      <c r="B133" s="317" t="s">
        <v>1990</v>
      </c>
      <c r="C133" s="318"/>
      <c r="D133" s="293">
        <v>16</v>
      </c>
      <c r="E133" s="349">
        <v>0</v>
      </c>
      <c r="F133" s="320">
        <f>(198.8+350.4)/2*100/80</f>
        <v>343.25000000000006</v>
      </c>
      <c r="G133" s="300">
        <v>1434.7850000000001</v>
      </c>
      <c r="H133" s="321" t="s">
        <v>2</v>
      </c>
      <c r="I133" s="322">
        <f>(3.8+6.5)/2*100/80</f>
        <v>6.4375</v>
      </c>
      <c r="J133" s="323">
        <f>(4.4+7.6)/2*100/80</f>
        <v>7.5</v>
      </c>
      <c r="K133" s="323">
        <f>(36+64)/2*100/80</f>
        <v>62.5</v>
      </c>
      <c r="L133" s="323" t="s">
        <v>2</v>
      </c>
      <c r="M133" s="324" t="s">
        <v>2</v>
      </c>
      <c r="N133" s="325" t="s">
        <v>2</v>
      </c>
      <c r="O133" s="326" t="s">
        <v>2</v>
      </c>
      <c r="P133" s="323" t="s">
        <v>2</v>
      </c>
      <c r="Q133" s="323" t="s">
        <v>2</v>
      </c>
      <c r="R133" s="315" t="s">
        <v>2</v>
      </c>
      <c r="S133" s="326" t="s">
        <v>2</v>
      </c>
      <c r="T133" s="326" t="s">
        <v>2</v>
      </c>
      <c r="U133" s="327" t="s">
        <v>2</v>
      </c>
      <c r="V133" s="327" t="s">
        <v>2</v>
      </c>
      <c r="W133" s="324" t="s">
        <v>2</v>
      </c>
      <c r="X133" s="328" t="s">
        <v>2</v>
      </c>
      <c r="Y133" s="327" t="s">
        <v>2</v>
      </c>
      <c r="Z133" s="327" t="s">
        <v>2</v>
      </c>
      <c r="AA133" s="327" t="s">
        <v>2</v>
      </c>
      <c r="AB133" s="327" t="s">
        <v>2</v>
      </c>
      <c r="AC133" s="327" t="s">
        <v>2</v>
      </c>
      <c r="AD133" s="326" t="s">
        <v>2</v>
      </c>
      <c r="AE133" s="326" t="s">
        <v>2</v>
      </c>
      <c r="AF133" s="323" t="s">
        <v>2</v>
      </c>
      <c r="AG133" s="324" t="s">
        <v>2</v>
      </c>
      <c r="AH133" s="320" t="s">
        <v>2</v>
      </c>
      <c r="AI133" s="320" t="s">
        <v>2</v>
      </c>
      <c r="AJ133" s="323" t="s">
        <v>2</v>
      </c>
      <c r="AK133" s="323" t="s">
        <v>2</v>
      </c>
      <c r="AL133" s="324" t="s">
        <v>2</v>
      </c>
      <c r="AM133" s="325" t="s">
        <v>2</v>
      </c>
      <c r="AN133" s="326" t="s">
        <v>2</v>
      </c>
      <c r="AO133" s="329" t="s">
        <v>2</v>
      </c>
      <c r="AP133" s="322" t="s">
        <v>2</v>
      </c>
      <c r="AQ133" s="327" t="s">
        <v>2</v>
      </c>
      <c r="AR133" s="327" t="s">
        <v>2</v>
      </c>
      <c r="AS133" s="327" t="s">
        <v>2</v>
      </c>
      <c r="AT133" s="327" t="s">
        <v>2</v>
      </c>
      <c r="AU133" s="327" t="s">
        <v>2</v>
      </c>
      <c r="AV133" s="330" t="s">
        <v>2</v>
      </c>
      <c r="AW133" s="328" t="s">
        <v>2</v>
      </c>
      <c r="AX133" s="327" t="s">
        <v>2</v>
      </c>
      <c r="AY133" s="327" t="s">
        <v>2</v>
      </c>
      <c r="AZ133" s="330" t="s">
        <v>2</v>
      </c>
      <c r="BA133" s="331" t="s">
        <v>2</v>
      </c>
      <c r="BB133" s="332" t="s">
        <v>2</v>
      </c>
      <c r="BC133" s="332" t="s">
        <v>2</v>
      </c>
      <c r="BD133" s="332" t="s">
        <v>2</v>
      </c>
      <c r="BE133" s="332" t="s">
        <v>2</v>
      </c>
      <c r="BF133" s="333" t="s">
        <v>2</v>
      </c>
      <c r="BG133" s="319" t="s">
        <v>2</v>
      </c>
      <c r="BH133" s="319" t="s">
        <v>2</v>
      </c>
      <c r="BI133" s="325" t="s">
        <v>2</v>
      </c>
      <c r="BJ133" s="326" t="s">
        <v>2</v>
      </c>
      <c r="BK133" s="326" t="s">
        <v>2</v>
      </c>
      <c r="BL133" s="326" t="s">
        <v>2</v>
      </c>
      <c r="BM133" s="326" t="s">
        <v>2</v>
      </c>
      <c r="BN133" s="326" t="s">
        <v>2</v>
      </c>
      <c r="BO133" s="326" t="s">
        <v>2</v>
      </c>
      <c r="BP133" s="326" t="s">
        <v>2</v>
      </c>
      <c r="BQ133" s="326" t="s">
        <v>2</v>
      </c>
      <c r="BR133" s="326" t="s">
        <v>2</v>
      </c>
      <c r="BS133" s="326" t="s">
        <v>2</v>
      </c>
      <c r="BT133" s="326" t="s">
        <v>2</v>
      </c>
      <c r="BU133" s="326" t="s">
        <v>2</v>
      </c>
      <c r="BV133" s="326" t="s">
        <v>2</v>
      </c>
      <c r="BW133" s="326" t="s">
        <v>2</v>
      </c>
      <c r="BX133" s="326" t="s">
        <v>2</v>
      </c>
      <c r="BY133" s="326" t="s">
        <v>2</v>
      </c>
      <c r="BZ133" s="329" t="s">
        <v>2</v>
      </c>
      <c r="CA133" s="328" t="s">
        <v>2</v>
      </c>
      <c r="CB133" s="323" t="s">
        <v>2</v>
      </c>
      <c r="CC133" s="323" t="s">
        <v>2</v>
      </c>
      <c r="CD133" s="323" t="s">
        <v>2</v>
      </c>
      <c r="CE133" s="323" t="s">
        <v>2</v>
      </c>
      <c r="CF133" s="323" t="s">
        <v>2</v>
      </c>
      <c r="CG133" s="324" t="s">
        <v>2</v>
      </c>
      <c r="CH133" s="326" t="s">
        <v>2</v>
      </c>
      <c r="CI133" s="329" t="s">
        <v>2</v>
      </c>
      <c r="CJ133" s="328" t="s">
        <v>2</v>
      </c>
      <c r="CK133" s="323" t="s">
        <v>2</v>
      </c>
      <c r="CL133" s="323" t="s">
        <v>2</v>
      </c>
      <c r="CM133" s="324" t="s">
        <v>2</v>
      </c>
      <c r="CN133" s="319" t="s">
        <v>2</v>
      </c>
      <c r="CO133" s="319" t="s">
        <v>2</v>
      </c>
    </row>
    <row r="134" spans="1:93" x14ac:dyDescent="0.25">
      <c r="A134" s="316">
        <v>16103</v>
      </c>
      <c r="B134" s="317" t="s">
        <v>1991</v>
      </c>
      <c r="C134" s="318"/>
      <c r="D134" s="293">
        <v>16</v>
      </c>
      <c r="E134" s="349">
        <v>0</v>
      </c>
      <c r="F134" s="320">
        <f>(198.8+350.4)/2*100/80</f>
        <v>343.25000000000006</v>
      </c>
      <c r="G134" s="300">
        <v>1434.7850000000001</v>
      </c>
      <c r="H134" s="321" t="s">
        <v>2</v>
      </c>
      <c r="I134" s="322">
        <f>(3.8+6.5)/2*100/80</f>
        <v>6.4375</v>
      </c>
      <c r="J134" s="323">
        <f>(4.4+7.6)/2*100/80</f>
        <v>7.5</v>
      </c>
      <c r="K134" s="323">
        <f>(36+64)/2*100/80</f>
        <v>62.5</v>
      </c>
      <c r="L134" s="323" t="s">
        <v>2</v>
      </c>
      <c r="M134" s="324" t="s">
        <v>2</v>
      </c>
      <c r="N134" s="325" t="s">
        <v>2</v>
      </c>
      <c r="O134" s="326" t="s">
        <v>2</v>
      </c>
      <c r="P134" s="323" t="s">
        <v>2</v>
      </c>
      <c r="Q134" s="323" t="s">
        <v>2</v>
      </c>
      <c r="R134" s="315" t="s">
        <v>2</v>
      </c>
      <c r="S134" s="326" t="s">
        <v>2</v>
      </c>
      <c r="T134" s="326" t="s">
        <v>2</v>
      </c>
      <c r="U134" s="327" t="s">
        <v>2</v>
      </c>
      <c r="V134" s="327" t="s">
        <v>2</v>
      </c>
      <c r="W134" s="324" t="s">
        <v>2</v>
      </c>
      <c r="X134" s="328" t="s">
        <v>2</v>
      </c>
      <c r="Y134" s="327" t="s">
        <v>2</v>
      </c>
      <c r="Z134" s="327" t="s">
        <v>2</v>
      </c>
      <c r="AA134" s="327" t="s">
        <v>2</v>
      </c>
      <c r="AB134" s="327" t="s">
        <v>2</v>
      </c>
      <c r="AC134" s="327" t="s">
        <v>2</v>
      </c>
      <c r="AD134" s="326" t="s">
        <v>2</v>
      </c>
      <c r="AE134" s="326" t="s">
        <v>2</v>
      </c>
      <c r="AF134" s="323" t="s">
        <v>2</v>
      </c>
      <c r="AG134" s="324" t="s">
        <v>2</v>
      </c>
      <c r="AH134" s="320" t="s">
        <v>2</v>
      </c>
      <c r="AI134" s="320" t="s">
        <v>2</v>
      </c>
      <c r="AJ134" s="323" t="s">
        <v>2</v>
      </c>
      <c r="AK134" s="323" t="s">
        <v>2</v>
      </c>
      <c r="AL134" s="324" t="s">
        <v>2</v>
      </c>
      <c r="AM134" s="325" t="s">
        <v>2</v>
      </c>
      <c r="AN134" s="326" t="s">
        <v>2</v>
      </c>
      <c r="AO134" s="329" t="s">
        <v>2</v>
      </c>
      <c r="AP134" s="322" t="s">
        <v>2</v>
      </c>
      <c r="AQ134" s="327" t="s">
        <v>2</v>
      </c>
      <c r="AR134" s="327" t="s">
        <v>2</v>
      </c>
      <c r="AS134" s="327" t="s">
        <v>2</v>
      </c>
      <c r="AT134" s="327" t="s">
        <v>2</v>
      </c>
      <c r="AU134" s="327" t="s">
        <v>2</v>
      </c>
      <c r="AV134" s="330" t="s">
        <v>2</v>
      </c>
      <c r="AW134" s="328" t="s">
        <v>2</v>
      </c>
      <c r="AX134" s="327" t="s">
        <v>2</v>
      </c>
      <c r="AY134" s="327" t="s">
        <v>2</v>
      </c>
      <c r="AZ134" s="330" t="s">
        <v>2</v>
      </c>
      <c r="BA134" s="331" t="s">
        <v>2</v>
      </c>
      <c r="BB134" s="332" t="s">
        <v>2</v>
      </c>
      <c r="BC134" s="332" t="s">
        <v>2</v>
      </c>
      <c r="BD134" s="332" t="s">
        <v>2</v>
      </c>
      <c r="BE134" s="332" t="s">
        <v>2</v>
      </c>
      <c r="BF134" s="333" t="s">
        <v>2</v>
      </c>
      <c r="BG134" s="319" t="s">
        <v>2</v>
      </c>
      <c r="BH134" s="319" t="s">
        <v>2</v>
      </c>
      <c r="BI134" s="325" t="s">
        <v>2</v>
      </c>
      <c r="BJ134" s="326" t="s">
        <v>2</v>
      </c>
      <c r="BK134" s="326" t="s">
        <v>2</v>
      </c>
      <c r="BL134" s="326" t="s">
        <v>2</v>
      </c>
      <c r="BM134" s="326" t="s">
        <v>2</v>
      </c>
      <c r="BN134" s="326" t="s">
        <v>2</v>
      </c>
      <c r="BO134" s="326" t="s">
        <v>2</v>
      </c>
      <c r="BP134" s="326" t="s">
        <v>2</v>
      </c>
      <c r="BQ134" s="326" t="s">
        <v>2</v>
      </c>
      <c r="BR134" s="326" t="s">
        <v>2</v>
      </c>
      <c r="BS134" s="326" t="s">
        <v>2</v>
      </c>
      <c r="BT134" s="326" t="s">
        <v>2</v>
      </c>
      <c r="BU134" s="326" t="s">
        <v>2</v>
      </c>
      <c r="BV134" s="326" t="s">
        <v>2</v>
      </c>
      <c r="BW134" s="326" t="s">
        <v>2</v>
      </c>
      <c r="BX134" s="326" t="s">
        <v>2</v>
      </c>
      <c r="BY134" s="326" t="s">
        <v>2</v>
      </c>
      <c r="BZ134" s="329" t="s">
        <v>2</v>
      </c>
      <c r="CA134" s="328" t="s">
        <v>2</v>
      </c>
      <c r="CB134" s="323" t="s">
        <v>2</v>
      </c>
      <c r="CC134" s="323" t="s">
        <v>2</v>
      </c>
      <c r="CD134" s="323" t="s">
        <v>2</v>
      </c>
      <c r="CE134" s="323" t="s">
        <v>2</v>
      </c>
      <c r="CF134" s="323" t="s">
        <v>2</v>
      </c>
      <c r="CG134" s="324" t="s">
        <v>2</v>
      </c>
      <c r="CH134" s="326" t="s">
        <v>2</v>
      </c>
      <c r="CI134" s="329" t="s">
        <v>2</v>
      </c>
      <c r="CJ134" s="328" t="s">
        <v>2</v>
      </c>
      <c r="CK134" s="323" t="s">
        <v>2</v>
      </c>
      <c r="CL134" s="323" t="s">
        <v>2</v>
      </c>
      <c r="CM134" s="324" t="s">
        <v>2</v>
      </c>
      <c r="CN134" s="319" t="s">
        <v>2</v>
      </c>
      <c r="CO134" s="319" t="s">
        <v>2</v>
      </c>
    </row>
    <row r="135" spans="1:93" x14ac:dyDescent="0.25">
      <c r="A135" s="316">
        <v>16104</v>
      </c>
      <c r="B135" s="317" t="s">
        <v>1992</v>
      </c>
      <c r="C135" s="318"/>
      <c r="D135" s="293">
        <v>16</v>
      </c>
      <c r="E135" s="349">
        <v>0</v>
      </c>
      <c r="F135" s="320">
        <f>(172.4+264.7)/2*100/65</f>
        <v>336.23076923076923</v>
      </c>
      <c r="G135" s="300">
        <v>1405.4446153846152</v>
      </c>
      <c r="H135" s="321" t="s">
        <v>2</v>
      </c>
      <c r="I135" s="322">
        <f>(3.5+6.3)/2*100/65</f>
        <v>7.5384615384615392</v>
      </c>
      <c r="J135" s="323">
        <f>(2+3.5)/2*100/65</f>
        <v>4.2307692307692308</v>
      </c>
      <c r="K135" s="323">
        <f>(35.1+52)/2*100/65</f>
        <v>67</v>
      </c>
      <c r="L135" s="323" t="s">
        <v>2</v>
      </c>
      <c r="M135" s="324" t="s">
        <v>2</v>
      </c>
      <c r="N135" s="325" t="s">
        <v>2</v>
      </c>
      <c r="O135" s="326" t="s">
        <v>2</v>
      </c>
      <c r="P135" s="323" t="s">
        <v>2</v>
      </c>
      <c r="Q135" s="323" t="s">
        <v>2</v>
      </c>
      <c r="R135" s="315" t="s">
        <v>2</v>
      </c>
      <c r="S135" s="326" t="s">
        <v>2</v>
      </c>
      <c r="T135" s="326" t="s">
        <v>2</v>
      </c>
      <c r="U135" s="327" t="s">
        <v>2</v>
      </c>
      <c r="V135" s="327" t="s">
        <v>2</v>
      </c>
      <c r="W135" s="324" t="s">
        <v>2</v>
      </c>
      <c r="X135" s="328" t="s">
        <v>2</v>
      </c>
      <c r="Y135" s="327" t="s">
        <v>2</v>
      </c>
      <c r="Z135" s="327" t="s">
        <v>2</v>
      </c>
      <c r="AA135" s="327" t="s">
        <v>2</v>
      </c>
      <c r="AB135" s="327" t="s">
        <v>2</v>
      </c>
      <c r="AC135" s="327" t="s">
        <v>2</v>
      </c>
      <c r="AD135" s="326" t="s">
        <v>2</v>
      </c>
      <c r="AE135" s="326" t="s">
        <v>2</v>
      </c>
      <c r="AF135" s="323" t="s">
        <v>2</v>
      </c>
      <c r="AG135" s="324" t="s">
        <v>2</v>
      </c>
      <c r="AH135" s="320" t="s">
        <v>2</v>
      </c>
      <c r="AI135" s="320" t="s">
        <v>2</v>
      </c>
      <c r="AJ135" s="323" t="s">
        <v>2</v>
      </c>
      <c r="AK135" s="323" t="s">
        <v>2</v>
      </c>
      <c r="AL135" s="324" t="s">
        <v>2</v>
      </c>
      <c r="AM135" s="325" t="s">
        <v>2</v>
      </c>
      <c r="AN135" s="326" t="s">
        <v>2</v>
      </c>
      <c r="AO135" s="329" t="s">
        <v>2</v>
      </c>
      <c r="AP135" s="322" t="s">
        <v>2</v>
      </c>
      <c r="AQ135" s="327" t="s">
        <v>2</v>
      </c>
      <c r="AR135" s="327" t="s">
        <v>2</v>
      </c>
      <c r="AS135" s="327" t="s">
        <v>2</v>
      </c>
      <c r="AT135" s="327" t="s">
        <v>2</v>
      </c>
      <c r="AU135" s="327" t="s">
        <v>2</v>
      </c>
      <c r="AV135" s="330" t="s">
        <v>2</v>
      </c>
      <c r="AW135" s="328" t="s">
        <v>2</v>
      </c>
      <c r="AX135" s="327" t="s">
        <v>2</v>
      </c>
      <c r="AY135" s="327" t="s">
        <v>2</v>
      </c>
      <c r="AZ135" s="330" t="s">
        <v>2</v>
      </c>
      <c r="BA135" s="331" t="s">
        <v>2</v>
      </c>
      <c r="BB135" s="332" t="s">
        <v>2</v>
      </c>
      <c r="BC135" s="332" t="s">
        <v>2</v>
      </c>
      <c r="BD135" s="332" t="s">
        <v>2</v>
      </c>
      <c r="BE135" s="332" t="s">
        <v>2</v>
      </c>
      <c r="BF135" s="333" t="s">
        <v>2</v>
      </c>
      <c r="BG135" s="319" t="s">
        <v>2</v>
      </c>
      <c r="BH135" s="319" t="s">
        <v>2</v>
      </c>
      <c r="BI135" s="325" t="s">
        <v>2</v>
      </c>
      <c r="BJ135" s="326" t="s">
        <v>2</v>
      </c>
      <c r="BK135" s="326" t="s">
        <v>2</v>
      </c>
      <c r="BL135" s="326" t="s">
        <v>2</v>
      </c>
      <c r="BM135" s="326" t="s">
        <v>2</v>
      </c>
      <c r="BN135" s="326" t="s">
        <v>2</v>
      </c>
      <c r="BO135" s="326" t="s">
        <v>2</v>
      </c>
      <c r="BP135" s="326" t="s">
        <v>2</v>
      </c>
      <c r="BQ135" s="326" t="s">
        <v>2</v>
      </c>
      <c r="BR135" s="326" t="s">
        <v>2</v>
      </c>
      <c r="BS135" s="326" t="s">
        <v>2</v>
      </c>
      <c r="BT135" s="326" t="s">
        <v>2</v>
      </c>
      <c r="BU135" s="326" t="s">
        <v>2</v>
      </c>
      <c r="BV135" s="326" t="s">
        <v>2</v>
      </c>
      <c r="BW135" s="326" t="s">
        <v>2</v>
      </c>
      <c r="BX135" s="326" t="s">
        <v>2</v>
      </c>
      <c r="BY135" s="326" t="s">
        <v>2</v>
      </c>
      <c r="BZ135" s="329" t="s">
        <v>2</v>
      </c>
      <c r="CA135" s="328" t="s">
        <v>2</v>
      </c>
      <c r="CB135" s="323" t="s">
        <v>2</v>
      </c>
      <c r="CC135" s="323" t="s">
        <v>2</v>
      </c>
      <c r="CD135" s="323" t="s">
        <v>2</v>
      </c>
      <c r="CE135" s="323" t="s">
        <v>2</v>
      </c>
      <c r="CF135" s="323" t="s">
        <v>2</v>
      </c>
      <c r="CG135" s="324" t="s">
        <v>2</v>
      </c>
      <c r="CH135" s="326" t="s">
        <v>2</v>
      </c>
      <c r="CI135" s="329" t="s">
        <v>2</v>
      </c>
      <c r="CJ135" s="328" t="s">
        <v>2</v>
      </c>
      <c r="CK135" s="323" t="s">
        <v>2</v>
      </c>
      <c r="CL135" s="323" t="s">
        <v>2</v>
      </c>
      <c r="CM135" s="324" t="s">
        <v>2</v>
      </c>
      <c r="CN135" s="319" t="s">
        <v>2</v>
      </c>
      <c r="CO135" s="319" t="s">
        <v>2</v>
      </c>
    </row>
    <row r="136" spans="1:93" x14ac:dyDescent="0.25">
      <c r="A136" s="316">
        <v>16105</v>
      </c>
      <c r="B136" s="317" t="s">
        <v>1993</v>
      </c>
      <c r="C136" s="318"/>
      <c r="D136" s="293">
        <v>16</v>
      </c>
      <c r="E136" s="349">
        <v>0</v>
      </c>
      <c r="F136" s="320">
        <f>215*100/65</f>
        <v>330.76923076923077</v>
      </c>
      <c r="G136" s="300">
        <v>1382.6153846153845</v>
      </c>
      <c r="H136" s="321" t="s">
        <v>2</v>
      </c>
      <c r="I136" s="322">
        <f>3*100/65</f>
        <v>4.615384615384615</v>
      </c>
      <c r="J136" s="323">
        <f>5.2*100/65</f>
        <v>8</v>
      </c>
      <c r="K136" s="323">
        <f>39*100/65</f>
        <v>60</v>
      </c>
      <c r="L136" s="323" t="s">
        <v>2</v>
      </c>
      <c r="M136" s="324" t="s">
        <v>2</v>
      </c>
      <c r="N136" s="325" t="s">
        <v>2</v>
      </c>
      <c r="O136" s="326" t="s">
        <v>2</v>
      </c>
      <c r="P136" s="323" t="s">
        <v>2</v>
      </c>
      <c r="Q136" s="323" t="s">
        <v>2</v>
      </c>
      <c r="R136" s="315" t="s">
        <v>2</v>
      </c>
      <c r="S136" s="326" t="s">
        <v>2</v>
      </c>
      <c r="T136" s="326" t="s">
        <v>2</v>
      </c>
      <c r="U136" s="327" t="s">
        <v>2</v>
      </c>
      <c r="V136" s="327" t="s">
        <v>2</v>
      </c>
      <c r="W136" s="324" t="s">
        <v>2</v>
      </c>
      <c r="X136" s="328" t="s">
        <v>2</v>
      </c>
      <c r="Y136" s="327" t="s">
        <v>2</v>
      </c>
      <c r="Z136" s="327" t="s">
        <v>2</v>
      </c>
      <c r="AA136" s="327" t="s">
        <v>2</v>
      </c>
      <c r="AB136" s="327" t="s">
        <v>2</v>
      </c>
      <c r="AC136" s="327" t="s">
        <v>2</v>
      </c>
      <c r="AD136" s="326" t="s">
        <v>2</v>
      </c>
      <c r="AE136" s="326" t="s">
        <v>2</v>
      </c>
      <c r="AF136" s="323" t="s">
        <v>2</v>
      </c>
      <c r="AG136" s="324" t="s">
        <v>2</v>
      </c>
      <c r="AH136" s="320" t="s">
        <v>2</v>
      </c>
      <c r="AI136" s="320" t="s">
        <v>2</v>
      </c>
      <c r="AJ136" s="323" t="s">
        <v>2</v>
      </c>
      <c r="AK136" s="323" t="s">
        <v>2</v>
      </c>
      <c r="AL136" s="324" t="s">
        <v>2</v>
      </c>
      <c r="AM136" s="325" t="s">
        <v>2</v>
      </c>
      <c r="AN136" s="326" t="s">
        <v>2</v>
      </c>
      <c r="AO136" s="329" t="s">
        <v>2</v>
      </c>
      <c r="AP136" s="322" t="s">
        <v>2</v>
      </c>
      <c r="AQ136" s="327" t="s">
        <v>2</v>
      </c>
      <c r="AR136" s="327" t="s">
        <v>2</v>
      </c>
      <c r="AS136" s="327" t="s">
        <v>2</v>
      </c>
      <c r="AT136" s="327" t="s">
        <v>2</v>
      </c>
      <c r="AU136" s="327" t="s">
        <v>2</v>
      </c>
      <c r="AV136" s="330" t="s">
        <v>2</v>
      </c>
      <c r="AW136" s="328" t="s">
        <v>2</v>
      </c>
      <c r="AX136" s="327" t="s">
        <v>2</v>
      </c>
      <c r="AY136" s="327" t="s">
        <v>2</v>
      </c>
      <c r="AZ136" s="330" t="s">
        <v>2</v>
      </c>
      <c r="BA136" s="331" t="s">
        <v>2</v>
      </c>
      <c r="BB136" s="332" t="s">
        <v>2</v>
      </c>
      <c r="BC136" s="332" t="s">
        <v>2</v>
      </c>
      <c r="BD136" s="332" t="s">
        <v>2</v>
      </c>
      <c r="BE136" s="332" t="s">
        <v>2</v>
      </c>
      <c r="BF136" s="333" t="s">
        <v>2</v>
      </c>
      <c r="BG136" s="319" t="s">
        <v>2</v>
      </c>
      <c r="BH136" s="319" t="s">
        <v>2</v>
      </c>
      <c r="BI136" s="325" t="s">
        <v>2</v>
      </c>
      <c r="BJ136" s="326" t="s">
        <v>2</v>
      </c>
      <c r="BK136" s="326" t="s">
        <v>2</v>
      </c>
      <c r="BL136" s="326" t="s">
        <v>2</v>
      </c>
      <c r="BM136" s="326" t="s">
        <v>2</v>
      </c>
      <c r="BN136" s="326" t="s">
        <v>2</v>
      </c>
      <c r="BO136" s="326" t="s">
        <v>2</v>
      </c>
      <c r="BP136" s="326" t="s">
        <v>2</v>
      </c>
      <c r="BQ136" s="326" t="s">
        <v>2</v>
      </c>
      <c r="BR136" s="326" t="s">
        <v>2</v>
      </c>
      <c r="BS136" s="326" t="s">
        <v>2</v>
      </c>
      <c r="BT136" s="326" t="s">
        <v>2</v>
      </c>
      <c r="BU136" s="326" t="s">
        <v>2</v>
      </c>
      <c r="BV136" s="326" t="s">
        <v>2</v>
      </c>
      <c r="BW136" s="326" t="s">
        <v>2</v>
      </c>
      <c r="BX136" s="326" t="s">
        <v>2</v>
      </c>
      <c r="BY136" s="326" t="s">
        <v>2</v>
      </c>
      <c r="BZ136" s="329" t="s">
        <v>2</v>
      </c>
      <c r="CA136" s="328" t="s">
        <v>2</v>
      </c>
      <c r="CB136" s="323" t="s">
        <v>2</v>
      </c>
      <c r="CC136" s="323" t="s">
        <v>2</v>
      </c>
      <c r="CD136" s="323" t="s">
        <v>2</v>
      </c>
      <c r="CE136" s="323" t="s">
        <v>2</v>
      </c>
      <c r="CF136" s="323" t="s">
        <v>2</v>
      </c>
      <c r="CG136" s="324" t="s">
        <v>2</v>
      </c>
      <c r="CH136" s="326" t="s">
        <v>2</v>
      </c>
      <c r="CI136" s="329" t="s">
        <v>2</v>
      </c>
      <c r="CJ136" s="328" t="s">
        <v>2</v>
      </c>
      <c r="CK136" s="323" t="s">
        <v>2</v>
      </c>
      <c r="CL136" s="323" t="s">
        <v>2</v>
      </c>
      <c r="CM136" s="324" t="s">
        <v>2</v>
      </c>
      <c r="CN136" s="319" t="s">
        <v>2</v>
      </c>
      <c r="CO136" s="319" t="s">
        <v>2</v>
      </c>
    </row>
    <row r="137" spans="1:93" x14ac:dyDescent="0.25">
      <c r="A137" s="316">
        <v>16106</v>
      </c>
      <c r="B137" s="317" t="s">
        <v>1994</v>
      </c>
      <c r="C137" s="318"/>
      <c r="D137" s="293">
        <v>16</v>
      </c>
      <c r="E137" s="349">
        <v>0</v>
      </c>
      <c r="F137" s="320">
        <f>204*100/58</f>
        <v>351.72413793103448</v>
      </c>
      <c r="G137" s="300">
        <v>1470.206896551724</v>
      </c>
      <c r="H137" s="321" t="s">
        <v>2</v>
      </c>
      <c r="I137" s="322">
        <f>2.5*100/58</f>
        <v>4.3103448275862073</v>
      </c>
      <c r="J137" s="323">
        <f>4.4*100/58</f>
        <v>7.5862068965517251</v>
      </c>
      <c r="K137" s="323">
        <f>38.5*100/58</f>
        <v>66.379310344827587</v>
      </c>
      <c r="L137" s="323" t="s">
        <v>2</v>
      </c>
      <c r="M137" s="324" t="s">
        <v>2</v>
      </c>
      <c r="N137" s="325" t="s">
        <v>2</v>
      </c>
      <c r="O137" s="326" t="s">
        <v>2</v>
      </c>
      <c r="P137" s="323" t="s">
        <v>2</v>
      </c>
      <c r="Q137" s="323" t="s">
        <v>2</v>
      </c>
      <c r="R137" s="315" t="s">
        <v>2</v>
      </c>
      <c r="S137" s="326" t="s">
        <v>2</v>
      </c>
      <c r="T137" s="326" t="s">
        <v>2</v>
      </c>
      <c r="U137" s="327" t="s">
        <v>2</v>
      </c>
      <c r="V137" s="327" t="s">
        <v>2</v>
      </c>
      <c r="W137" s="324" t="s">
        <v>2</v>
      </c>
      <c r="X137" s="328" t="s">
        <v>2</v>
      </c>
      <c r="Y137" s="327" t="s">
        <v>2</v>
      </c>
      <c r="Z137" s="327" t="s">
        <v>2</v>
      </c>
      <c r="AA137" s="327" t="s">
        <v>2</v>
      </c>
      <c r="AB137" s="327" t="s">
        <v>2</v>
      </c>
      <c r="AC137" s="327" t="s">
        <v>2</v>
      </c>
      <c r="AD137" s="326" t="s">
        <v>2</v>
      </c>
      <c r="AE137" s="326" t="s">
        <v>2</v>
      </c>
      <c r="AF137" s="323" t="s">
        <v>2</v>
      </c>
      <c r="AG137" s="324" t="s">
        <v>2</v>
      </c>
      <c r="AH137" s="320" t="s">
        <v>2</v>
      </c>
      <c r="AI137" s="320" t="s">
        <v>2</v>
      </c>
      <c r="AJ137" s="323" t="s">
        <v>2</v>
      </c>
      <c r="AK137" s="323" t="s">
        <v>2</v>
      </c>
      <c r="AL137" s="324" t="s">
        <v>2</v>
      </c>
      <c r="AM137" s="325" t="s">
        <v>2</v>
      </c>
      <c r="AN137" s="326" t="s">
        <v>2</v>
      </c>
      <c r="AO137" s="329" t="s">
        <v>2</v>
      </c>
      <c r="AP137" s="322" t="s">
        <v>2</v>
      </c>
      <c r="AQ137" s="327" t="s">
        <v>2</v>
      </c>
      <c r="AR137" s="327" t="s">
        <v>2</v>
      </c>
      <c r="AS137" s="327" t="s">
        <v>2</v>
      </c>
      <c r="AT137" s="327" t="s">
        <v>2</v>
      </c>
      <c r="AU137" s="327" t="s">
        <v>2</v>
      </c>
      <c r="AV137" s="330" t="s">
        <v>2</v>
      </c>
      <c r="AW137" s="328" t="s">
        <v>2</v>
      </c>
      <c r="AX137" s="327" t="s">
        <v>2</v>
      </c>
      <c r="AY137" s="327" t="s">
        <v>2</v>
      </c>
      <c r="AZ137" s="330" t="s">
        <v>2</v>
      </c>
      <c r="BA137" s="331" t="s">
        <v>2</v>
      </c>
      <c r="BB137" s="332" t="s">
        <v>2</v>
      </c>
      <c r="BC137" s="332" t="s">
        <v>2</v>
      </c>
      <c r="BD137" s="332" t="s">
        <v>2</v>
      </c>
      <c r="BE137" s="332" t="s">
        <v>2</v>
      </c>
      <c r="BF137" s="333" t="s">
        <v>2</v>
      </c>
      <c r="BG137" s="319" t="s">
        <v>2</v>
      </c>
      <c r="BH137" s="319" t="s">
        <v>2</v>
      </c>
      <c r="BI137" s="325" t="s">
        <v>2</v>
      </c>
      <c r="BJ137" s="326" t="s">
        <v>2</v>
      </c>
      <c r="BK137" s="326" t="s">
        <v>2</v>
      </c>
      <c r="BL137" s="326" t="s">
        <v>2</v>
      </c>
      <c r="BM137" s="326" t="s">
        <v>2</v>
      </c>
      <c r="BN137" s="326" t="s">
        <v>2</v>
      </c>
      <c r="BO137" s="326" t="s">
        <v>2</v>
      </c>
      <c r="BP137" s="326" t="s">
        <v>2</v>
      </c>
      <c r="BQ137" s="326" t="s">
        <v>2</v>
      </c>
      <c r="BR137" s="326" t="s">
        <v>2</v>
      </c>
      <c r="BS137" s="326" t="s">
        <v>2</v>
      </c>
      <c r="BT137" s="326" t="s">
        <v>2</v>
      </c>
      <c r="BU137" s="326" t="s">
        <v>2</v>
      </c>
      <c r="BV137" s="326" t="s">
        <v>2</v>
      </c>
      <c r="BW137" s="326" t="s">
        <v>2</v>
      </c>
      <c r="BX137" s="326" t="s">
        <v>2</v>
      </c>
      <c r="BY137" s="326" t="s">
        <v>2</v>
      </c>
      <c r="BZ137" s="329" t="s">
        <v>2</v>
      </c>
      <c r="CA137" s="328" t="s">
        <v>2</v>
      </c>
      <c r="CB137" s="323" t="s">
        <v>2</v>
      </c>
      <c r="CC137" s="323" t="s">
        <v>2</v>
      </c>
      <c r="CD137" s="323" t="s">
        <v>2</v>
      </c>
      <c r="CE137" s="323" t="s">
        <v>2</v>
      </c>
      <c r="CF137" s="323" t="s">
        <v>2</v>
      </c>
      <c r="CG137" s="324" t="s">
        <v>2</v>
      </c>
      <c r="CH137" s="326" t="s">
        <v>2</v>
      </c>
      <c r="CI137" s="329" t="s">
        <v>2</v>
      </c>
      <c r="CJ137" s="328" t="s">
        <v>2</v>
      </c>
      <c r="CK137" s="323" t="s">
        <v>2</v>
      </c>
      <c r="CL137" s="323" t="s">
        <v>2</v>
      </c>
      <c r="CM137" s="324" t="s">
        <v>2</v>
      </c>
      <c r="CN137" s="319" t="s">
        <v>2</v>
      </c>
      <c r="CO137" s="319" t="s">
        <v>2</v>
      </c>
    </row>
    <row r="138" spans="1:93" x14ac:dyDescent="0.25">
      <c r="A138" s="316">
        <v>16107</v>
      </c>
      <c r="B138" s="317" t="s">
        <v>1995</v>
      </c>
      <c r="C138" s="318"/>
      <c r="D138" s="293">
        <v>16</v>
      </c>
      <c r="E138" s="349">
        <v>0</v>
      </c>
      <c r="F138" s="320">
        <f>209*100/57</f>
        <v>366.66666666666669</v>
      </c>
      <c r="G138" s="300">
        <v>1532.6666666666667</v>
      </c>
      <c r="H138" s="321" t="s">
        <v>2</v>
      </c>
      <c r="I138" s="322">
        <f>2*100/57</f>
        <v>3.5087719298245612</v>
      </c>
      <c r="J138" s="323">
        <f>5*100/57</f>
        <v>8.7719298245614041</v>
      </c>
      <c r="K138" s="323">
        <f>39.1*100/57</f>
        <v>68.596491228070178</v>
      </c>
      <c r="L138" s="323" t="s">
        <v>2</v>
      </c>
      <c r="M138" s="324" t="s">
        <v>2</v>
      </c>
      <c r="N138" s="325" t="s">
        <v>2</v>
      </c>
      <c r="O138" s="326" t="s">
        <v>2</v>
      </c>
      <c r="P138" s="323" t="s">
        <v>2</v>
      </c>
      <c r="Q138" s="323" t="s">
        <v>2</v>
      </c>
      <c r="R138" s="315" t="s">
        <v>2</v>
      </c>
      <c r="S138" s="326" t="s">
        <v>2</v>
      </c>
      <c r="T138" s="326" t="s">
        <v>2</v>
      </c>
      <c r="U138" s="327" t="s">
        <v>2</v>
      </c>
      <c r="V138" s="327" t="s">
        <v>2</v>
      </c>
      <c r="W138" s="324" t="s">
        <v>2</v>
      </c>
      <c r="X138" s="328" t="s">
        <v>2</v>
      </c>
      <c r="Y138" s="327" t="s">
        <v>2</v>
      </c>
      <c r="Z138" s="327" t="s">
        <v>2</v>
      </c>
      <c r="AA138" s="327" t="s">
        <v>2</v>
      </c>
      <c r="AB138" s="327" t="s">
        <v>2</v>
      </c>
      <c r="AC138" s="327" t="s">
        <v>2</v>
      </c>
      <c r="AD138" s="326" t="s">
        <v>2</v>
      </c>
      <c r="AE138" s="326" t="s">
        <v>2</v>
      </c>
      <c r="AF138" s="323" t="s">
        <v>2</v>
      </c>
      <c r="AG138" s="324" t="s">
        <v>2</v>
      </c>
      <c r="AH138" s="320" t="s">
        <v>2</v>
      </c>
      <c r="AI138" s="320" t="s">
        <v>2</v>
      </c>
      <c r="AJ138" s="323" t="s">
        <v>2</v>
      </c>
      <c r="AK138" s="323" t="s">
        <v>2</v>
      </c>
      <c r="AL138" s="324" t="s">
        <v>2</v>
      </c>
      <c r="AM138" s="325" t="s">
        <v>2</v>
      </c>
      <c r="AN138" s="326" t="s">
        <v>2</v>
      </c>
      <c r="AO138" s="329" t="s">
        <v>2</v>
      </c>
      <c r="AP138" s="322" t="s">
        <v>2</v>
      </c>
      <c r="AQ138" s="327" t="s">
        <v>2</v>
      </c>
      <c r="AR138" s="327" t="s">
        <v>2</v>
      </c>
      <c r="AS138" s="327" t="s">
        <v>2</v>
      </c>
      <c r="AT138" s="327" t="s">
        <v>2</v>
      </c>
      <c r="AU138" s="327" t="s">
        <v>2</v>
      </c>
      <c r="AV138" s="330" t="s">
        <v>2</v>
      </c>
      <c r="AW138" s="328" t="s">
        <v>2</v>
      </c>
      <c r="AX138" s="327" t="s">
        <v>2</v>
      </c>
      <c r="AY138" s="327" t="s">
        <v>2</v>
      </c>
      <c r="AZ138" s="330" t="s">
        <v>2</v>
      </c>
      <c r="BA138" s="331" t="s">
        <v>2</v>
      </c>
      <c r="BB138" s="332" t="s">
        <v>2</v>
      </c>
      <c r="BC138" s="332" t="s">
        <v>2</v>
      </c>
      <c r="BD138" s="332" t="s">
        <v>2</v>
      </c>
      <c r="BE138" s="332" t="s">
        <v>2</v>
      </c>
      <c r="BF138" s="333" t="s">
        <v>2</v>
      </c>
      <c r="BG138" s="319" t="s">
        <v>2</v>
      </c>
      <c r="BH138" s="319" t="s">
        <v>2</v>
      </c>
      <c r="BI138" s="325" t="s">
        <v>2</v>
      </c>
      <c r="BJ138" s="326" t="s">
        <v>2</v>
      </c>
      <c r="BK138" s="326" t="s">
        <v>2</v>
      </c>
      <c r="BL138" s="326" t="s">
        <v>2</v>
      </c>
      <c r="BM138" s="326" t="s">
        <v>2</v>
      </c>
      <c r="BN138" s="326" t="s">
        <v>2</v>
      </c>
      <c r="BO138" s="326" t="s">
        <v>2</v>
      </c>
      <c r="BP138" s="326" t="s">
        <v>2</v>
      </c>
      <c r="BQ138" s="326" t="s">
        <v>2</v>
      </c>
      <c r="BR138" s="326" t="s">
        <v>2</v>
      </c>
      <c r="BS138" s="326" t="s">
        <v>2</v>
      </c>
      <c r="BT138" s="326" t="s">
        <v>2</v>
      </c>
      <c r="BU138" s="326" t="s">
        <v>2</v>
      </c>
      <c r="BV138" s="326" t="s">
        <v>2</v>
      </c>
      <c r="BW138" s="326" t="s">
        <v>2</v>
      </c>
      <c r="BX138" s="326" t="s">
        <v>2</v>
      </c>
      <c r="BY138" s="326" t="s">
        <v>2</v>
      </c>
      <c r="BZ138" s="329" t="s">
        <v>2</v>
      </c>
      <c r="CA138" s="328" t="s">
        <v>2</v>
      </c>
      <c r="CB138" s="323" t="s">
        <v>2</v>
      </c>
      <c r="CC138" s="323" t="s">
        <v>2</v>
      </c>
      <c r="CD138" s="323" t="s">
        <v>2</v>
      </c>
      <c r="CE138" s="323" t="s">
        <v>2</v>
      </c>
      <c r="CF138" s="323" t="s">
        <v>2</v>
      </c>
      <c r="CG138" s="324" t="s">
        <v>2</v>
      </c>
      <c r="CH138" s="326" t="s">
        <v>2</v>
      </c>
      <c r="CI138" s="329" t="s">
        <v>2</v>
      </c>
      <c r="CJ138" s="328" t="s">
        <v>2</v>
      </c>
      <c r="CK138" s="323" t="s">
        <v>2</v>
      </c>
      <c r="CL138" s="323" t="s">
        <v>2</v>
      </c>
      <c r="CM138" s="324" t="s">
        <v>2</v>
      </c>
      <c r="CN138" s="319" t="s">
        <v>2</v>
      </c>
      <c r="CO138" s="319" t="s">
        <v>2</v>
      </c>
    </row>
    <row r="139" spans="1:93" x14ac:dyDescent="0.25">
      <c r="A139" s="316">
        <v>16108</v>
      </c>
      <c r="B139" s="317" t="s">
        <v>1996</v>
      </c>
      <c r="C139" s="318"/>
      <c r="D139" s="293">
        <v>16</v>
      </c>
      <c r="E139" s="349">
        <v>0</v>
      </c>
      <c r="F139" s="320">
        <f>211*100/58</f>
        <v>363.79310344827587</v>
      </c>
      <c r="G139" s="300">
        <v>1520.655172413793</v>
      </c>
      <c r="H139" s="321" t="s">
        <v>2</v>
      </c>
      <c r="I139" s="322">
        <f>2.4*100/58</f>
        <v>4.1379310344827589</v>
      </c>
      <c r="J139" s="323">
        <f>4.4*100/58</f>
        <v>7.5862068965517251</v>
      </c>
      <c r="K139" s="323">
        <f>40.4*100/58</f>
        <v>69.65517241379311</v>
      </c>
      <c r="L139" s="323" t="s">
        <v>2</v>
      </c>
      <c r="M139" s="324" t="s">
        <v>2</v>
      </c>
      <c r="N139" s="325" t="s">
        <v>2</v>
      </c>
      <c r="O139" s="326" t="s">
        <v>2</v>
      </c>
      <c r="P139" s="323" t="s">
        <v>2</v>
      </c>
      <c r="Q139" s="323" t="s">
        <v>2</v>
      </c>
      <c r="R139" s="315" t="s">
        <v>2</v>
      </c>
      <c r="S139" s="326" t="s">
        <v>2</v>
      </c>
      <c r="T139" s="326" t="s">
        <v>2</v>
      </c>
      <c r="U139" s="327" t="s">
        <v>2</v>
      </c>
      <c r="V139" s="327" t="s">
        <v>2</v>
      </c>
      <c r="W139" s="324" t="s">
        <v>2</v>
      </c>
      <c r="X139" s="328" t="s">
        <v>2</v>
      </c>
      <c r="Y139" s="327" t="s">
        <v>2</v>
      </c>
      <c r="Z139" s="327" t="s">
        <v>2</v>
      </c>
      <c r="AA139" s="327" t="s">
        <v>2</v>
      </c>
      <c r="AB139" s="327" t="s">
        <v>2</v>
      </c>
      <c r="AC139" s="327" t="s">
        <v>2</v>
      </c>
      <c r="AD139" s="326" t="s">
        <v>2</v>
      </c>
      <c r="AE139" s="326" t="s">
        <v>2</v>
      </c>
      <c r="AF139" s="323" t="s">
        <v>2</v>
      </c>
      <c r="AG139" s="324" t="s">
        <v>2</v>
      </c>
      <c r="AH139" s="320" t="s">
        <v>2</v>
      </c>
      <c r="AI139" s="320" t="s">
        <v>2</v>
      </c>
      <c r="AJ139" s="323" t="s">
        <v>2</v>
      </c>
      <c r="AK139" s="323" t="s">
        <v>2</v>
      </c>
      <c r="AL139" s="324" t="s">
        <v>2</v>
      </c>
      <c r="AM139" s="325" t="s">
        <v>2</v>
      </c>
      <c r="AN139" s="326" t="s">
        <v>2</v>
      </c>
      <c r="AO139" s="329" t="s">
        <v>2</v>
      </c>
      <c r="AP139" s="322" t="s">
        <v>2</v>
      </c>
      <c r="AQ139" s="327" t="s">
        <v>2</v>
      </c>
      <c r="AR139" s="327" t="s">
        <v>2</v>
      </c>
      <c r="AS139" s="327" t="s">
        <v>2</v>
      </c>
      <c r="AT139" s="327" t="s">
        <v>2</v>
      </c>
      <c r="AU139" s="327" t="s">
        <v>2</v>
      </c>
      <c r="AV139" s="330" t="s">
        <v>2</v>
      </c>
      <c r="AW139" s="328" t="s">
        <v>2</v>
      </c>
      <c r="AX139" s="327" t="s">
        <v>2</v>
      </c>
      <c r="AY139" s="327" t="s">
        <v>2</v>
      </c>
      <c r="AZ139" s="330" t="s">
        <v>2</v>
      </c>
      <c r="BA139" s="331" t="s">
        <v>2</v>
      </c>
      <c r="BB139" s="332" t="s">
        <v>2</v>
      </c>
      <c r="BC139" s="332" t="s">
        <v>2</v>
      </c>
      <c r="BD139" s="332" t="s">
        <v>2</v>
      </c>
      <c r="BE139" s="332" t="s">
        <v>2</v>
      </c>
      <c r="BF139" s="333" t="s">
        <v>2</v>
      </c>
      <c r="BG139" s="319" t="s">
        <v>2</v>
      </c>
      <c r="BH139" s="319" t="s">
        <v>2</v>
      </c>
      <c r="BI139" s="325" t="s">
        <v>2</v>
      </c>
      <c r="BJ139" s="326" t="s">
        <v>2</v>
      </c>
      <c r="BK139" s="326" t="s">
        <v>2</v>
      </c>
      <c r="BL139" s="326" t="s">
        <v>2</v>
      </c>
      <c r="BM139" s="326" t="s">
        <v>2</v>
      </c>
      <c r="BN139" s="326" t="s">
        <v>2</v>
      </c>
      <c r="BO139" s="326" t="s">
        <v>2</v>
      </c>
      <c r="BP139" s="326" t="s">
        <v>2</v>
      </c>
      <c r="BQ139" s="326" t="s">
        <v>2</v>
      </c>
      <c r="BR139" s="326" t="s">
        <v>2</v>
      </c>
      <c r="BS139" s="326" t="s">
        <v>2</v>
      </c>
      <c r="BT139" s="326" t="s">
        <v>2</v>
      </c>
      <c r="BU139" s="326" t="s">
        <v>2</v>
      </c>
      <c r="BV139" s="326" t="s">
        <v>2</v>
      </c>
      <c r="BW139" s="326" t="s">
        <v>2</v>
      </c>
      <c r="BX139" s="326" t="s">
        <v>2</v>
      </c>
      <c r="BY139" s="326" t="s">
        <v>2</v>
      </c>
      <c r="BZ139" s="329" t="s">
        <v>2</v>
      </c>
      <c r="CA139" s="328" t="s">
        <v>2</v>
      </c>
      <c r="CB139" s="323" t="s">
        <v>2</v>
      </c>
      <c r="CC139" s="323" t="s">
        <v>2</v>
      </c>
      <c r="CD139" s="323" t="s">
        <v>2</v>
      </c>
      <c r="CE139" s="323" t="s">
        <v>2</v>
      </c>
      <c r="CF139" s="323" t="s">
        <v>2</v>
      </c>
      <c r="CG139" s="324" t="s">
        <v>2</v>
      </c>
      <c r="CH139" s="326" t="s">
        <v>2</v>
      </c>
      <c r="CI139" s="329" t="s">
        <v>2</v>
      </c>
      <c r="CJ139" s="328" t="s">
        <v>2</v>
      </c>
      <c r="CK139" s="323" t="s">
        <v>2</v>
      </c>
      <c r="CL139" s="323" t="s">
        <v>2</v>
      </c>
      <c r="CM139" s="324" t="s">
        <v>2</v>
      </c>
      <c r="CN139" s="319" t="s">
        <v>2</v>
      </c>
      <c r="CO139" s="319" t="s">
        <v>2</v>
      </c>
    </row>
    <row r="140" spans="1:93" x14ac:dyDescent="0.25">
      <c r="A140" s="316">
        <v>16109</v>
      </c>
      <c r="B140" s="317" t="s">
        <v>1997</v>
      </c>
      <c r="C140" s="318"/>
      <c r="D140" s="293">
        <v>16</v>
      </c>
      <c r="E140" s="349">
        <v>0</v>
      </c>
      <c r="F140" s="320">
        <f>211*100/63</f>
        <v>334.92063492063494</v>
      </c>
      <c r="G140" s="300">
        <v>1399.968253968254</v>
      </c>
      <c r="H140" s="321" t="s">
        <v>2</v>
      </c>
      <c r="I140" s="322">
        <f>1.8*100/63</f>
        <v>2.8571428571428572</v>
      </c>
      <c r="J140" s="323">
        <f>4.4*100/63</f>
        <v>6.9841269841269851</v>
      </c>
      <c r="K140" s="323">
        <f>41.1*100/63</f>
        <v>65.238095238095241</v>
      </c>
      <c r="L140" s="323" t="s">
        <v>2</v>
      </c>
      <c r="M140" s="324" t="s">
        <v>2</v>
      </c>
      <c r="N140" s="325" t="s">
        <v>2</v>
      </c>
      <c r="O140" s="326" t="s">
        <v>2</v>
      </c>
      <c r="P140" s="323" t="s">
        <v>2</v>
      </c>
      <c r="Q140" s="323" t="s">
        <v>2</v>
      </c>
      <c r="R140" s="315" t="s">
        <v>2</v>
      </c>
      <c r="S140" s="326" t="s">
        <v>2</v>
      </c>
      <c r="T140" s="326" t="s">
        <v>2</v>
      </c>
      <c r="U140" s="327" t="s">
        <v>2</v>
      </c>
      <c r="V140" s="327" t="s">
        <v>2</v>
      </c>
      <c r="W140" s="324" t="s">
        <v>2</v>
      </c>
      <c r="X140" s="328" t="s">
        <v>2</v>
      </c>
      <c r="Y140" s="327" t="s">
        <v>2</v>
      </c>
      <c r="Z140" s="327" t="s">
        <v>2</v>
      </c>
      <c r="AA140" s="327" t="s">
        <v>2</v>
      </c>
      <c r="AB140" s="327" t="s">
        <v>2</v>
      </c>
      <c r="AC140" s="327" t="s">
        <v>2</v>
      </c>
      <c r="AD140" s="326" t="s">
        <v>2</v>
      </c>
      <c r="AE140" s="326" t="s">
        <v>2</v>
      </c>
      <c r="AF140" s="323" t="s">
        <v>2</v>
      </c>
      <c r="AG140" s="324" t="s">
        <v>2</v>
      </c>
      <c r="AH140" s="320" t="s">
        <v>2</v>
      </c>
      <c r="AI140" s="320" t="s">
        <v>2</v>
      </c>
      <c r="AJ140" s="323" t="s">
        <v>2</v>
      </c>
      <c r="AK140" s="323" t="s">
        <v>2</v>
      </c>
      <c r="AL140" s="324" t="s">
        <v>2</v>
      </c>
      <c r="AM140" s="325" t="s">
        <v>2</v>
      </c>
      <c r="AN140" s="326" t="s">
        <v>2</v>
      </c>
      <c r="AO140" s="329" t="s">
        <v>2</v>
      </c>
      <c r="AP140" s="322" t="s">
        <v>2</v>
      </c>
      <c r="AQ140" s="327" t="s">
        <v>2</v>
      </c>
      <c r="AR140" s="327" t="s">
        <v>2</v>
      </c>
      <c r="AS140" s="327" t="s">
        <v>2</v>
      </c>
      <c r="AT140" s="327" t="s">
        <v>2</v>
      </c>
      <c r="AU140" s="327" t="s">
        <v>2</v>
      </c>
      <c r="AV140" s="330" t="s">
        <v>2</v>
      </c>
      <c r="AW140" s="328" t="s">
        <v>2</v>
      </c>
      <c r="AX140" s="327" t="s">
        <v>2</v>
      </c>
      <c r="AY140" s="327" t="s">
        <v>2</v>
      </c>
      <c r="AZ140" s="330" t="s">
        <v>2</v>
      </c>
      <c r="BA140" s="331" t="s">
        <v>2</v>
      </c>
      <c r="BB140" s="332" t="s">
        <v>2</v>
      </c>
      <c r="BC140" s="332" t="s">
        <v>2</v>
      </c>
      <c r="BD140" s="332" t="s">
        <v>2</v>
      </c>
      <c r="BE140" s="332" t="s">
        <v>2</v>
      </c>
      <c r="BF140" s="333" t="s">
        <v>2</v>
      </c>
      <c r="BG140" s="319" t="s">
        <v>2</v>
      </c>
      <c r="BH140" s="319" t="s">
        <v>2</v>
      </c>
      <c r="BI140" s="325" t="s">
        <v>2</v>
      </c>
      <c r="BJ140" s="326" t="s">
        <v>2</v>
      </c>
      <c r="BK140" s="326" t="s">
        <v>2</v>
      </c>
      <c r="BL140" s="326" t="s">
        <v>2</v>
      </c>
      <c r="BM140" s="326" t="s">
        <v>2</v>
      </c>
      <c r="BN140" s="326" t="s">
        <v>2</v>
      </c>
      <c r="BO140" s="326" t="s">
        <v>2</v>
      </c>
      <c r="BP140" s="326" t="s">
        <v>2</v>
      </c>
      <c r="BQ140" s="326" t="s">
        <v>2</v>
      </c>
      <c r="BR140" s="326" t="s">
        <v>2</v>
      </c>
      <c r="BS140" s="326" t="s">
        <v>2</v>
      </c>
      <c r="BT140" s="326" t="s">
        <v>2</v>
      </c>
      <c r="BU140" s="326" t="s">
        <v>2</v>
      </c>
      <c r="BV140" s="326" t="s">
        <v>2</v>
      </c>
      <c r="BW140" s="326" t="s">
        <v>2</v>
      </c>
      <c r="BX140" s="326" t="s">
        <v>2</v>
      </c>
      <c r="BY140" s="326" t="s">
        <v>2</v>
      </c>
      <c r="BZ140" s="329" t="s">
        <v>2</v>
      </c>
      <c r="CA140" s="328" t="s">
        <v>2</v>
      </c>
      <c r="CB140" s="323" t="s">
        <v>2</v>
      </c>
      <c r="CC140" s="323" t="s">
        <v>2</v>
      </c>
      <c r="CD140" s="323" t="s">
        <v>2</v>
      </c>
      <c r="CE140" s="323" t="s">
        <v>2</v>
      </c>
      <c r="CF140" s="323" t="s">
        <v>2</v>
      </c>
      <c r="CG140" s="324" t="s">
        <v>2</v>
      </c>
      <c r="CH140" s="326" t="s">
        <v>2</v>
      </c>
      <c r="CI140" s="329" t="s">
        <v>2</v>
      </c>
      <c r="CJ140" s="328" t="s">
        <v>2</v>
      </c>
      <c r="CK140" s="323" t="s">
        <v>2</v>
      </c>
      <c r="CL140" s="323" t="s">
        <v>2</v>
      </c>
      <c r="CM140" s="324" t="s">
        <v>2</v>
      </c>
      <c r="CN140" s="319" t="s">
        <v>2</v>
      </c>
      <c r="CO140" s="319" t="s">
        <v>2</v>
      </c>
    </row>
    <row r="141" spans="1:93" x14ac:dyDescent="0.25">
      <c r="A141" s="316">
        <v>16110</v>
      </c>
      <c r="B141" s="317" t="s">
        <v>1998</v>
      </c>
      <c r="C141" s="318"/>
      <c r="D141" s="293">
        <v>16</v>
      </c>
      <c r="E141" s="349">
        <v>0</v>
      </c>
      <c r="F141" s="320">
        <f>228*100/60</f>
        <v>380</v>
      </c>
      <c r="G141" s="300">
        <v>1588.3999999999999</v>
      </c>
      <c r="H141" s="321" t="s">
        <v>2</v>
      </c>
      <c r="I141" s="322">
        <f>1.9*100/60</f>
        <v>3.1666666666666665</v>
      </c>
      <c r="J141" s="323">
        <f>7.6*100/60</f>
        <v>12.666666666666666</v>
      </c>
      <c r="K141" s="323">
        <f>38*100/60</f>
        <v>63.333333333333336</v>
      </c>
      <c r="L141" s="323" t="s">
        <v>2</v>
      </c>
      <c r="M141" s="324" t="s">
        <v>2</v>
      </c>
      <c r="N141" s="325" t="s">
        <v>2</v>
      </c>
      <c r="O141" s="326" t="s">
        <v>2</v>
      </c>
      <c r="P141" s="323" t="s">
        <v>2</v>
      </c>
      <c r="Q141" s="323" t="s">
        <v>2</v>
      </c>
      <c r="R141" s="315" t="s">
        <v>2</v>
      </c>
      <c r="S141" s="326" t="s">
        <v>2</v>
      </c>
      <c r="T141" s="326" t="s">
        <v>2</v>
      </c>
      <c r="U141" s="327" t="s">
        <v>2</v>
      </c>
      <c r="V141" s="327" t="s">
        <v>2</v>
      </c>
      <c r="W141" s="324" t="s">
        <v>2</v>
      </c>
      <c r="X141" s="328" t="s">
        <v>2</v>
      </c>
      <c r="Y141" s="327" t="s">
        <v>2</v>
      </c>
      <c r="Z141" s="327" t="s">
        <v>2</v>
      </c>
      <c r="AA141" s="327" t="s">
        <v>2</v>
      </c>
      <c r="AB141" s="327" t="s">
        <v>2</v>
      </c>
      <c r="AC141" s="327" t="s">
        <v>2</v>
      </c>
      <c r="AD141" s="326" t="s">
        <v>2</v>
      </c>
      <c r="AE141" s="326" t="s">
        <v>2</v>
      </c>
      <c r="AF141" s="323" t="s">
        <v>2</v>
      </c>
      <c r="AG141" s="324" t="s">
        <v>2</v>
      </c>
      <c r="AH141" s="320" t="s">
        <v>2</v>
      </c>
      <c r="AI141" s="320" t="s">
        <v>2</v>
      </c>
      <c r="AJ141" s="323" t="s">
        <v>2</v>
      </c>
      <c r="AK141" s="323" t="s">
        <v>2</v>
      </c>
      <c r="AL141" s="324" t="s">
        <v>2</v>
      </c>
      <c r="AM141" s="325" t="s">
        <v>2</v>
      </c>
      <c r="AN141" s="326" t="s">
        <v>2</v>
      </c>
      <c r="AO141" s="329" t="s">
        <v>2</v>
      </c>
      <c r="AP141" s="322" t="s">
        <v>2</v>
      </c>
      <c r="AQ141" s="327" t="s">
        <v>2</v>
      </c>
      <c r="AR141" s="327" t="s">
        <v>2</v>
      </c>
      <c r="AS141" s="327" t="s">
        <v>2</v>
      </c>
      <c r="AT141" s="327" t="s">
        <v>2</v>
      </c>
      <c r="AU141" s="327" t="s">
        <v>2</v>
      </c>
      <c r="AV141" s="330" t="s">
        <v>2</v>
      </c>
      <c r="AW141" s="328" t="s">
        <v>2</v>
      </c>
      <c r="AX141" s="327" t="s">
        <v>2</v>
      </c>
      <c r="AY141" s="327" t="s">
        <v>2</v>
      </c>
      <c r="AZ141" s="330" t="s">
        <v>2</v>
      </c>
      <c r="BA141" s="331" t="s">
        <v>2</v>
      </c>
      <c r="BB141" s="332" t="s">
        <v>2</v>
      </c>
      <c r="BC141" s="332" t="s">
        <v>2</v>
      </c>
      <c r="BD141" s="332" t="s">
        <v>2</v>
      </c>
      <c r="BE141" s="332" t="s">
        <v>2</v>
      </c>
      <c r="BF141" s="333" t="s">
        <v>2</v>
      </c>
      <c r="BG141" s="319" t="s">
        <v>2</v>
      </c>
      <c r="BH141" s="319" t="s">
        <v>2</v>
      </c>
      <c r="BI141" s="325" t="s">
        <v>2</v>
      </c>
      <c r="BJ141" s="326" t="s">
        <v>2</v>
      </c>
      <c r="BK141" s="326" t="s">
        <v>2</v>
      </c>
      <c r="BL141" s="326" t="s">
        <v>2</v>
      </c>
      <c r="BM141" s="326" t="s">
        <v>2</v>
      </c>
      <c r="BN141" s="326" t="s">
        <v>2</v>
      </c>
      <c r="BO141" s="326" t="s">
        <v>2</v>
      </c>
      <c r="BP141" s="326" t="s">
        <v>2</v>
      </c>
      <c r="BQ141" s="326" t="s">
        <v>2</v>
      </c>
      <c r="BR141" s="326" t="s">
        <v>2</v>
      </c>
      <c r="BS141" s="326" t="s">
        <v>2</v>
      </c>
      <c r="BT141" s="326" t="s">
        <v>2</v>
      </c>
      <c r="BU141" s="326" t="s">
        <v>2</v>
      </c>
      <c r="BV141" s="326" t="s">
        <v>2</v>
      </c>
      <c r="BW141" s="326" t="s">
        <v>2</v>
      </c>
      <c r="BX141" s="326" t="s">
        <v>2</v>
      </c>
      <c r="BY141" s="326" t="s">
        <v>2</v>
      </c>
      <c r="BZ141" s="329" t="s">
        <v>2</v>
      </c>
      <c r="CA141" s="328" t="s">
        <v>2</v>
      </c>
      <c r="CB141" s="323" t="s">
        <v>2</v>
      </c>
      <c r="CC141" s="323" t="s">
        <v>2</v>
      </c>
      <c r="CD141" s="323" t="s">
        <v>2</v>
      </c>
      <c r="CE141" s="323" t="s">
        <v>2</v>
      </c>
      <c r="CF141" s="323" t="s">
        <v>2</v>
      </c>
      <c r="CG141" s="324" t="s">
        <v>2</v>
      </c>
      <c r="CH141" s="326" t="s">
        <v>2</v>
      </c>
      <c r="CI141" s="329" t="s">
        <v>2</v>
      </c>
      <c r="CJ141" s="328" t="s">
        <v>2</v>
      </c>
      <c r="CK141" s="323" t="s">
        <v>2</v>
      </c>
      <c r="CL141" s="323" t="s">
        <v>2</v>
      </c>
      <c r="CM141" s="324" t="s">
        <v>2</v>
      </c>
      <c r="CN141" s="319" t="s">
        <v>2</v>
      </c>
      <c r="CO141" s="319" t="s">
        <v>2</v>
      </c>
    </row>
    <row r="142" spans="1:93" x14ac:dyDescent="0.25">
      <c r="A142" s="316">
        <v>16111</v>
      </c>
      <c r="B142" s="317" t="s">
        <v>1999</v>
      </c>
      <c r="C142" s="318"/>
      <c r="D142" s="293">
        <v>16</v>
      </c>
      <c r="E142" s="349">
        <v>0</v>
      </c>
      <c r="F142" s="320">
        <f>(147.2+227.8)/2*100/50</f>
        <v>375</v>
      </c>
      <c r="G142" s="300">
        <v>1567.5</v>
      </c>
      <c r="H142" s="321" t="s">
        <v>2</v>
      </c>
      <c r="I142" s="322">
        <f>(1.5+2.7)/2*100/50</f>
        <v>4.2</v>
      </c>
      <c r="J142" s="323">
        <f>(2.8+5)/2*100/50</f>
        <v>7.8</v>
      </c>
      <c r="K142" s="323">
        <f>(29+43)/2*100/50</f>
        <v>72</v>
      </c>
      <c r="L142" s="323" t="s">
        <v>2</v>
      </c>
      <c r="M142" s="324" t="s">
        <v>2</v>
      </c>
      <c r="N142" s="325" t="s">
        <v>2</v>
      </c>
      <c r="O142" s="326" t="s">
        <v>2</v>
      </c>
      <c r="P142" s="323" t="s">
        <v>2</v>
      </c>
      <c r="Q142" s="323" t="s">
        <v>2</v>
      </c>
      <c r="R142" s="315" t="s">
        <v>2</v>
      </c>
      <c r="S142" s="326" t="s">
        <v>2</v>
      </c>
      <c r="T142" s="326" t="s">
        <v>2</v>
      </c>
      <c r="U142" s="327" t="s">
        <v>2</v>
      </c>
      <c r="V142" s="327" t="s">
        <v>2</v>
      </c>
      <c r="W142" s="324" t="s">
        <v>2</v>
      </c>
      <c r="X142" s="328" t="s">
        <v>2</v>
      </c>
      <c r="Y142" s="327" t="s">
        <v>2</v>
      </c>
      <c r="Z142" s="327" t="s">
        <v>2</v>
      </c>
      <c r="AA142" s="327" t="s">
        <v>2</v>
      </c>
      <c r="AB142" s="327" t="s">
        <v>2</v>
      </c>
      <c r="AC142" s="327" t="s">
        <v>2</v>
      </c>
      <c r="AD142" s="326" t="s">
        <v>2</v>
      </c>
      <c r="AE142" s="326" t="s">
        <v>2</v>
      </c>
      <c r="AF142" s="323" t="s">
        <v>2</v>
      </c>
      <c r="AG142" s="324" t="s">
        <v>2</v>
      </c>
      <c r="AH142" s="320" t="s">
        <v>2</v>
      </c>
      <c r="AI142" s="320" t="s">
        <v>2</v>
      </c>
      <c r="AJ142" s="323" t="s">
        <v>2</v>
      </c>
      <c r="AK142" s="323" t="s">
        <v>2</v>
      </c>
      <c r="AL142" s="324" t="s">
        <v>2</v>
      </c>
      <c r="AM142" s="325" t="s">
        <v>2</v>
      </c>
      <c r="AN142" s="326" t="s">
        <v>2</v>
      </c>
      <c r="AO142" s="329" t="s">
        <v>2</v>
      </c>
      <c r="AP142" s="322" t="s">
        <v>2</v>
      </c>
      <c r="AQ142" s="327" t="s">
        <v>2</v>
      </c>
      <c r="AR142" s="327" t="s">
        <v>2</v>
      </c>
      <c r="AS142" s="327" t="s">
        <v>2</v>
      </c>
      <c r="AT142" s="327" t="s">
        <v>2</v>
      </c>
      <c r="AU142" s="327" t="s">
        <v>2</v>
      </c>
      <c r="AV142" s="330" t="s">
        <v>2</v>
      </c>
      <c r="AW142" s="328" t="s">
        <v>2</v>
      </c>
      <c r="AX142" s="327" t="s">
        <v>2</v>
      </c>
      <c r="AY142" s="327" t="s">
        <v>2</v>
      </c>
      <c r="AZ142" s="330" t="s">
        <v>2</v>
      </c>
      <c r="BA142" s="331" t="s">
        <v>2</v>
      </c>
      <c r="BB142" s="332" t="s">
        <v>2</v>
      </c>
      <c r="BC142" s="332" t="s">
        <v>2</v>
      </c>
      <c r="BD142" s="332" t="s">
        <v>2</v>
      </c>
      <c r="BE142" s="332" t="s">
        <v>2</v>
      </c>
      <c r="BF142" s="333" t="s">
        <v>2</v>
      </c>
      <c r="BG142" s="319" t="s">
        <v>2</v>
      </c>
      <c r="BH142" s="319" t="s">
        <v>2</v>
      </c>
      <c r="BI142" s="325" t="s">
        <v>2</v>
      </c>
      <c r="BJ142" s="326" t="s">
        <v>2</v>
      </c>
      <c r="BK142" s="326" t="s">
        <v>2</v>
      </c>
      <c r="BL142" s="326" t="s">
        <v>2</v>
      </c>
      <c r="BM142" s="326" t="s">
        <v>2</v>
      </c>
      <c r="BN142" s="326" t="s">
        <v>2</v>
      </c>
      <c r="BO142" s="326" t="s">
        <v>2</v>
      </c>
      <c r="BP142" s="326" t="s">
        <v>2</v>
      </c>
      <c r="BQ142" s="326" t="s">
        <v>2</v>
      </c>
      <c r="BR142" s="326" t="s">
        <v>2</v>
      </c>
      <c r="BS142" s="326" t="s">
        <v>2</v>
      </c>
      <c r="BT142" s="326" t="s">
        <v>2</v>
      </c>
      <c r="BU142" s="326" t="s">
        <v>2</v>
      </c>
      <c r="BV142" s="326" t="s">
        <v>2</v>
      </c>
      <c r="BW142" s="326" t="s">
        <v>2</v>
      </c>
      <c r="BX142" s="326" t="s">
        <v>2</v>
      </c>
      <c r="BY142" s="326" t="s">
        <v>2</v>
      </c>
      <c r="BZ142" s="329" t="s">
        <v>2</v>
      </c>
      <c r="CA142" s="328" t="s">
        <v>2</v>
      </c>
      <c r="CB142" s="323" t="s">
        <v>2</v>
      </c>
      <c r="CC142" s="323" t="s">
        <v>2</v>
      </c>
      <c r="CD142" s="323" t="s">
        <v>2</v>
      </c>
      <c r="CE142" s="323" t="s">
        <v>2</v>
      </c>
      <c r="CF142" s="323" t="s">
        <v>2</v>
      </c>
      <c r="CG142" s="324" t="s">
        <v>2</v>
      </c>
      <c r="CH142" s="326" t="s">
        <v>2</v>
      </c>
      <c r="CI142" s="329" t="s">
        <v>2</v>
      </c>
      <c r="CJ142" s="328" t="s">
        <v>2</v>
      </c>
      <c r="CK142" s="323" t="s">
        <v>2</v>
      </c>
      <c r="CL142" s="323" t="s">
        <v>2</v>
      </c>
      <c r="CM142" s="324" t="s">
        <v>2</v>
      </c>
      <c r="CN142" s="319" t="s">
        <v>2</v>
      </c>
      <c r="CO142" s="319" t="s">
        <v>2</v>
      </c>
    </row>
    <row r="143" spans="1:93" x14ac:dyDescent="0.25">
      <c r="A143" s="316">
        <v>16112</v>
      </c>
      <c r="B143" s="317" t="s">
        <v>2000</v>
      </c>
      <c r="C143" s="318"/>
      <c r="D143" s="293">
        <v>16</v>
      </c>
      <c r="E143" s="349">
        <v>0</v>
      </c>
      <c r="F143" s="320">
        <f>(145.8+260.5)/2*100/70</f>
        <v>290.21428571428572</v>
      </c>
      <c r="G143" s="300">
        <v>1213.0957142857142</v>
      </c>
      <c r="H143" s="321" t="s">
        <v>2</v>
      </c>
      <c r="I143" s="322">
        <f>(3.9+7)/2*100/70</f>
        <v>7.7857142857142856</v>
      </c>
      <c r="J143" s="323">
        <f>(1.4+2.5)/2*100/70</f>
        <v>2.7857142857142856</v>
      </c>
      <c r="K143" s="323">
        <f>(29.4+52.5)/2*100/70</f>
        <v>58.500000000000007</v>
      </c>
      <c r="L143" s="323" t="s">
        <v>2</v>
      </c>
      <c r="M143" s="324" t="s">
        <v>2</v>
      </c>
      <c r="N143" s="325" t="s">
        <v>2</v>
      </c>
      <c r="O143" s="326" t="s">
        <v>2</v>
      </c>
      <c r="P143" s="323" t="s">
        <v>2</v>
      </c>
      <c r="Q143" s="323" t="s">
        <v>2</v>
      </c>
      <c r="R143" s="315" t="s">
        <v>2</v>
      </c>
      <c r="S143" s="326" t="s">
        <v>2</v>
      </c>
      <c r="T143" s="326" t="s">
        <v>2</v>
      </c>
      <c r="U143" s="327" t="s">
        <v>2</v>
      </c>
      <c r="V143" s="327" t="s">
        <v>2</v>
      </c>
      <c r="W143" s="324" t="s">
        <v>2</v>
      </c>
      <c r="X143" s="328" t="s">
        <v>2</v>
      </c>
      <c r="Y143" s="327" t="s">
        <v>2</v>
      </c>
      <c r="Z143" s="327" t="s">
        <v>2</v>
      </c>
      <c r="AA143" s="327" t="s">
        <v>2</v>
      </c>
      <c r="AB143" s="327" t="s">
        <v>2</v>
      </c>
      <c r="AC143" s="327" t="s">
        <v>2</v>
      </c>
      <c r="AD143" s="326" t="s">
        <v>2</v>
      </c>
      <c r="AE143" s="326" t="s">
        <v>2</v>
      </c>
      <c r="AF143" s="323" t="s">
        <v>2</v>
      </c>
      <c r="AG143" s="324" t="s">
        <v>2</v>
      </c>
      <c r="AH143" s="320" t="s">
        <v>2</v>
      </c>
      <c r="AI143" s="320" t="s">
        <v>2</v>
      </c>
      <c r="AJ143" s="323" t="s">
        <v>2</v>
      </c>
      <c r="AK143" s="323" t="s">
        <v>2</v>
      </c>
      <c r="AL143" s="324" t="s">
        <v>2</v>
      </c>
      <c r="AM143" s="325" t="s">
        <v>2</v>
      </c>
      <c r="AN143" s="326" t="s">
        <v>2</v>
      </c>
      <c r="AO143" s="329" t="s">
        <v>2</v>
      </c>
      <c r="AP143" s="322" t="s">
        <v>2</v>
      </c>
      <c r="AQ143" s="327" t="s">
        <v>2</v>
      </c>
      <c r="AR143" s="327" t="s">
        <v>2</v>
      </c>
      <c r="AS143" s="327" t="s">
        <v>2</v>
      </c>
      <c r="AT143" s="327" t="s">
        <v>2</v>
      </c>
      <c r="AU143" s="327" t="s">
        <v>2</v>
      </c>
      <c r="AV143" s="330" t="s">
        <v>2</v>
      </c>
      <c r="AW143" s="328" t="s">
        <v>2</v>
      </c>
      <c r="AX143" s="327" t="s">
        <v>2</v>
      </c>
      <c r="AY143" s="327" t="s">
        <v>2</v>
      </c>
      <c r="AZ143" s="330" t="s">
        <v>2</v>
      </c>
      <c r="BA143" s="331" t="s">
        <v>2</v>
      </c>
      <c r="BB143" s="332" t="s">
        <v>2</v>
      </c>
      <c r="BC143" s="332" t="s">
        <v>2</v>
      </c>
      <c r="BD143" s="332" t="s">
        <v>2</v>
      </c>
      <c r="BE143" s="332" t="s">
        <v>2</v>
      </c>
      <c r="BF143" s="333" t="s">
        <v>2</v>
      </c>
      <c r="BG143" s="319" t="s">
        <v>2</v>
      </c>
      <c r="BH143" s="319" t="s">
        <v>2</v>
      </c>
      <c r="BI143" s="325" t="s">
        <v>2</v>
      </c>
      <c r="BJ143" s="326" t="s">
        <v>2</v>
      </c>
      <c r="BK143" s="326" t="s">
        <v>2</v>
      </c>
      <c r="BL143" s="326" t="s">
        <v>2</v>
      </c>
      <c r="BM143" s="326" t="s">
        <v>2</v>
      </c>
      <c r="BN143" s="326" t="s">
        <v>2</v>
      </c>
      <c r="BO143" s="326" t="s">
        <v>2</v>
      </c>
      <c r="BP143" s="326" t="s">
        <v>2</v>
      </c>
      <c r="BQ143" s="326" t="s">
        <v>2</v>
      </c>
      <c r="BR143" s="326" t="s">
        <v>2</v>
      </c>
      <c r="BS143" s="326" t="s">
        <v>2</v>
      </c>
      <c r="BT143" s="326" t="s">
        <v>2</v>
      </c>
      <c r="BU143" s="326" t="s">
        <v>2</v>
      </c>
      <c r="BV143" s="326" t="s">
        <v>2</v>
      </c>
      <c r="BW143" s="326" t="s">
        <v>2</v>
      </c>
      <c r="BX143" s="326" t="s">
        <v>2</v>
      </c>
      <c r="BY143" s="326" t="s">
        <v>2</v>
      </c>
      <c r="BZ143" s="329" t="s">
        <v>2</v>
      </c>
      <c r="CA143" s="328" t="s">
        <v>2</v>
      </c>
      <c r="CB143" s="323" t="s">
        <v>2</v>
      </c>
      <c r="CC143" s="323" t="s">
        <v>2</v>
      </c>
      <c r="CD143" s="323" t="s">
        <v>2</v>
      </c>
      <c r="CE143" s="323" t="s">
        <v>2</v>
      </c>
      <c r="CF143" s="323" t="s">
        <v>2</v>
      </c>
      <c r="CG143" s="324" t="s">
        <v>2</v>
      </c>
      <c r="CH143" s="326" t="s">
        <v>2</v>
      </c>
      <c r="CI143" s="329" t="s">
        <v>2</v>
      </c>
      <c r="CJ143" s="328" t="s">
        <v>2</v>
      </c>
      <c r="CK143" s="323" t="s">
        <v>2</v>
      </c>
      <c r="CL143" s="323" t="s">
        <v>2</v>
      </c>
      <c r="CM143" s="324" t="s">
        <v>2</v>
      </c>
      <c r="CN143" s="319" t="s">
        <v>2</v>
      </c>
      <c r="CO143" s="319" t="s">
        <v>2</v>
      </c>
    </row>
    <row r="144" spans="1:93" x14ac:dyDescent="0.25">
      <c r="A144" s="316">
        <v>16113</v>
      </c>
      <c r="B144" s="317" t="s">
        <v>2001</v>
      </c>
      <c r="C144" s="318"/>
      <c r="D144" s="293">
        <v>16</v>
      </c>
      <c r="E144" s="349">
        <v>0</v>
      </c>
      <c r="F144" s="320">
        <f>(153.3+273.6)/2*100/70</f>
        <v>304.92857142857144</v>
      </c>
      <c r="G144" s="300">
        <v>1274.6014285714286</v>
      </c>
      <c r="H144" s="321" t="s">
        <v>2</v>
      </c>
      <c r="I144" s="322">
        <f>(4.2+7.8)/2*100/70</f>
        <v>8.5714285714285712</v>
      </c>
      <c r="J144" s="323">
        <f>(2.1+3.6)/2*100/70</f>
        <v>4.0714285714285712</v>
      </c>
      <c r="K144" s="323">
        <f>(29.4+52.5)/2*100/70</f>
        <v>58.500000000000007</v>
      </c>
      <c r="L144" s="323" t="s">
        <v>2</v>
      </c>
      <c r="M144" s="324" t="s">
        <v>2</v>
      </c>
      <c r="N144" s="325" t="s">
        <v>2</v>
      </c>
      <c r="O144" s="326" t="s">
        <v>2</v>
      </c>
      <c r="P144" s="323" t="s">
        <v>2</v>
      </c>
      <c r="Q144" s="323" t="s">
        <v>2</v>
      </c>
      <c r="R144" s="315" t="s">
        <v>2</v>
      </c>
      <c r="S144" s="326" t="s">
        <v>2</v>
      </c>
      <c r="T144" s="326" t="s">
        <v>2</v>
      </c>
      <c r="U144" s="327" t="s">
        <v>2</v>
      </c>
      <c r="V144" s="327" t="s">
        <v>2</v>
      </c>
      <c r="W144" s="324" t="s">
        <v>2</v>
      </c>
      <c r="X144" s="328" t="s">
        <v>2</v>
      </c>
      <c r="Y144" s="327" t="s">
        <v>2</v>
      </c>
      <c r="Z144" s="327" t="s">
        <v>2</v>
      </c>
      <c r="AA144" s="327" t="s">
        <v>2</v>
      </c>
      <c r="AB144" s="327" t="s">
        <v>2</v>
      </c>
      <c r="AC144" s="327" t="s">
        <v>2</v>
      </c>
      <c r="AD144" s="326" t="s">
        <v>2</v>
      </c>
      <c r="AE144" s="326" t="s">
        <v>2</v>
      </c>
      <c r="AF144" s="323" t="s">
        <v>2</v>
      </c>
      <c r="AG144" s="324" t="s">
        <v>2</v>
      </c>
      <c r="AH144" s="320" t="s">
        <v>2</v>
      </c>
      <c r="AI144" s="320" t="s">
        <v>2</v>
      </c>
      <c r="AJ144" s="323" t="s">
        <v>2</v>
      </c>
      <c r="AK144" s="323" t="s">
        <v>2</v>
      </c>
      <c r="AL144" s="324" t="s">
        <v>2</v>
      </c>
      <c r="AM144" s="325" t="s">
        <v>2</v>
      </c>
      <c r="AN144" s="326" t="s">
        <v>2</v>
      </c>
      <c r="AO144" s="329" t="s">
        <v>2</v>
      </c>
      <c r="AP144" s="322" t="s">
        <v>2</v>
      </c>
      <c r="AQ144" s="327" t="s">
        <v>2</v>
      </c>
      <c r="AR144" s="327" t="s">
        <v>2</v>
      </c>
      <c r="AS144" s="327" t="s">
        <v>2</v>
      </c>
      <c r="AT144" s="327" t="s">
        <v>2</v>
      </c>
      <c r="AU144" s="327" t="s">
        <v>2</v>
      </c>
      <c r="AV144" s="330" t="s">
        <v>2</v>
      </c>
      <c r="AW144" s="328" t="s">
        <v>2</v>
      </c>
      <c r="AX144" s="327" t="s">
        <v>2</v>
      </c>
      <c r="AY144" s="327" t="s">
        <v>2</v>
      </c>
      <c r="AZ144" s="330" t="s">
        <v>2</v>
      </c>
      <c r="BA144" s="331" t="s">
        <v>2</v>
      </c>
      <c r="BB144" s="332" t="s">
        <v>2</v>
      </c>
      <c r="BC144" s="332" t="s">
        <v>2</v>
      </c>
      <c r="BD144" s="332" t="s">
        <v>2</v>
      </c>
      <c r="BE144" s="332" t="s">
        <v>2</v>
      </c>
      <c r="BF144" s="333" t="s">
        <v>2</v>
      </c>
      <c r="BG144" s="319" t="s">
        <v>2</v>
      </c>
      <c r="BH144" s="319" t="s">
        <v>2</v>
      </c>
      <c r="BI144" s="325" t="s">
        <v>2</v>
      </c>
      <c r="BJ144" s="326" t="s">
        <v>2</v>
      </c>
      <c r="BK144" s="326" t="s">
        <v>2</v>
      </c>
      <c r="BL144" s="326" t="s">
        <v>2</v>
      </c>
      <c r="BM144" s="326" t="s">
        <v>2</v>
      </c>
      <c r="BN144" s="326" t="s">
        <v>2</v>
      </c>
      <c r="BO144" s="326" t="s">
        <v>2</v>
      </c>
      <c r="BP144" s="326" t="s">
        <v>2</v>
      </c>
      <c r="BQ144" s="326" t="s">
        <v>2</v>
      </c>
      <c r="BR144" s="326" t="s">
        <v>2</v>
      </c>
      <c r="BS144" s="326" t="s">
        <v>2</v>
      </c>
      <c r="BT144" s="326" t="s">
        <v>2</v>
      </c>
      <c r="BU144" s="326" t="s">
        <v>2</v>
      </c>
      <c r="BV144" s="326" t="s">
        <v>2</v>
      </c>
      <c r="BW144" s="326" t="s">
        <v>2</v>
      </c>
      <c r="BX144" s="326" t="s">
        <v>2</v>
      </c>
      <c r="BY144" s="326" t="s">
        <v>2</v>
      </c>
      <c r="BZ144" s="329" t="s">
        <v>2</v>
      </c>
      <c r="CA144" s="328" t="s">
        <v>2</v>
      </c>
      <c r="CB144" s="323" t="s">
        <v>2</v>
      </c>
      <c r="CC144" s="323" t="s">
        <v>2</v>
      </c>
      <c r="CD144" s="323" t="s">
        <v>2</v>
      </c>
      <c r="CE144" s="323" t="s">
        <v>2</v>
      </c>
      <c r="CF144" s="323" t="s">
        <v>2</v>
      </c>
      <c r="CG144" s="324" t="s">
        <v>2</v>
      </c>
      <c r="CH144" s="326" t="s">
        <v>2</v>
      </c>
      <c r="CI144" s="329" t="s">
        <v>2</v>
      </c>
      <c r="CJ144" s="328" t="s">
        <v>2</v>
      </c>
      <c r="CK144" s="323" t="s">
        <v>2</v>
      </c>
      <c r="CL144" s="323" t="s">
        <v>2</v>
      </c>
      <c r="CM144" s="324" t="s">
        <v>2</v>
      </c>
      <c r="CN144" s="319" t="s">
        <v>2</v>
      </c>
      <c r="CO144" s="319" t="s">
        <v>2</v>
      </c>
    </row>
    <row r="145" spans="1:93" x14ac:dyDescent="0.25">
      <c r="A145" s="316">
        <v>16114</v>
      </c>
      <c r="B145" s="317" t="s">
        <v>2002</v>
      </c>
      <c r="C145" s="318"/>
      <c r="D145" s="293">
        <v>16</v>
      </c>
      <c r="E145" s="349">
        <v>0</v>
      </c>
      <c r="F145" s="320">
        <f>(169.7+293)/2*100/70</f>
        <v>330.5</v>
      </c>
      <c r="G145" s="300">
        <v>1381.49</v>
      </c>
      <c r="H145" s="321" t="s">
        <v>2</v>
      </c>
      <c r="I145" s="322">
        <f>(3.61+6.59)/2*100/70</f>
        <v>7.2857142857142847</v>
      </c>
      <c r="J145" s="323">
        <f>(2.94+5.46)/2*100/70</f>
        <v>6</v>
      </c>
      <c r="K145" s="323">
        <f>(32.2+54.6)/2*100/70</f>
        <v>62.000000000000014</v>
      </c>
      <c r="L145" s="323" t="s">
        <v>2</v>
      </c>
      <c r="M145" s="324" t="s">
        <v>2</v>
      </c>
      <c r="N145" s="325" t="s">
        <v>2</v>
      </c>
      <c r="O145" s="326" t="s">
        <v>2</v>
      </c>
      <c r="P145" s="323" t="s">
        <v>2</v>
      </c>
      <c r="Q145" s="323" t="s">
        <v>2</v>
      </c>
      <c r="R145" s="315" t="s">
        <v>2</v>
      </c>
      <c r="S145" s="326" t="s">
        <v>2</v>
      </c>
      <c r="T145" s="326" t="s">
        <v>2</v>
      </c>
      <c r="U145" s="327" t="s">
        <v>2</v>
      </c>
      <c r="V145" s="327" t="s">
        <v>2</v>
      </c>
      <c r="W145" s="324" t="s">
        <v>2</v>
      </c>
      <c r="X145" s="328" t="s">
        <v>2</v>
      </c>
      <c r="Y145" s="327" t="s">
        <v>2</v>
      </c>
      <c r="Z145" s="327" t="s">
        <v>2</v>
      </c>
      <c r="AA145" s="327" t="s">
        <v>2</v>
      </c>
      <c r="AB145" s="327" t="s">
        <v>2</v>
      </c>
      <c r="AC145" s="327" t="s">
        <v>2</v>
      </c>
      <c r="AD145" s="326" t="s">
        <v>2</v>
      </c>
      <c r="AE145" s="326" t="s">
        <v>2</v>
      </c>
      <c r="AF145" s="323" t="s">
        <v>2</v>
      </c>
      <c r="AG145" s="324" t="s">
        <v>2</v>
      </c>
      <c r="AH145" s="320" t="s">
        <v>2</v>
      </c>
      <c r="AI145" s="320" t="s">
        <v>2</v>
      </c>
      <c r="AJ145" s="323" t="s">
        <v>2</v>
      </c>
      <c r="AK145" s="323" t="s">
        <v>2</v>
      </c>
      <c r="AL145" s="324" t="s">
        <v>2</v>
      </c>
      <c r="AM145" s="325" t="s">
        <v>2</v>
      </c>
      <c r="AN145" s="326" t="s">
        <v>2</v>
      </c>
      <c r="AO145" s="329" t="s">
        <v>2</v>
      </c>
      <c r="AP145" s="322" t="s">
        <v>2</v>
      </c>
      <c r="AQ145" s="327" t="s">
        <v>2</v>
      </c>
      <c r="AR145" s="327" t="s">
        <v>2</v>
      </c>
      <c r="AS145" s="327" t="s">
        <v>2</v>
      </c>
      <c r="AT145" s="327" t="s">
        <v>2</v>
      </c>
      <c r="AU145" s="327" t="s">
        <v>2</v>
      </c>
      <c r="AV145" s="330" t="s">
        <v>2</v>
      </c>
      <c r="AW145" s="328" t="s">
        <v>2</v>
      </c>
      <c r="AX145" s="327" t="s">
        <v>2</v>
      </c>
      <c r="AY145" s="327" t="s">
        <v>2</v>
      </c>
      <c r="AZ145" s="330" t="s">
        <v>2</v>
      </c>
      <c r="BA145" s="331" t="s">
        <v>2</v>
      </c>
      <c r="BB145" s="332" t="s">
        <v>2</v>
      </c>
      <c r="BC145" s="332" t="s">
        <v>2</v>
      </c>
      <c r="BD145" s="332" t="s">
        <v>2</v>
      </c>
      <c r="BE145" s="332" t="s">
        <v>2</v>
      </c>
      <c r="BF145" s="333" t="s">
        <v>2</v>
      </c>
      <c r="BG145" s="319" t="s">
        <v>2</v>
      </c>
      <c r="BH145" s="319" t="s">
        <v>2</v>
      </c>
      <c r="BI145" s="325" t="s">
        <v>2</v>
      </c>
      <c r="BJ145" s="326" t="s">
        <v>2</v>
      </c>
      <c r="BK145" s="326" t="s">
        <v>2</v>
      </c>
      <c r="BL145" s="326" t="s">
        <v>2</v>
      </c>
      <c r="BM145" s="326" t="s">
        <v>2</v>
      </c>
      <c r="BN145" s="326" t="s">
        <v>2</v>
      </c>
      <c r="BO145" s="326" t="s">
        <v>2</v>
      </c>
      <c r="BP145" s="326" t="s">
        <v>2</v>
      </c>
      <c r="BQ145" s="326" t="s">
        <v>2</v>
      </c>
      <c r="BR145" s="326" t="s">
        <v>2</v>
      </c>
      <c r="BS145" s="326" t="s">
        <v>2</v>
      </c>
      <c r="BT145" s="326" t="s">
        <v>2</v>
      </c>
      <c r="BU145" s="326" t="s">
        <v>2</v>
      </c>
      <c r="BV145" s="326" t="s">
        <v>2</v>
      </c>
      <c r="BW145" s="326" t="s">
        <v>2</v>
      </c>
      <c r="BX145" s="326" t="s">
        <v>2</v>
      </c>
      <c r="BY145" s="326" t="s">
        <v>2</v>
      </c>
      <c r="BZ145" s="329" t="s">
        <v>2</v>
      </c>
      <c r="CA145" s="328" t="s">
        <v>2</v>
      </c>
      <c r="CB145" s="323" t="s">
        <v>2</v>
      </c>
      <c r="CC145" s="323" t="s">
        <v>2</v>
      </c>
      <c r="CD145" s="323" t="s">
        <v>2</v>
      </c>
      <c r="CE145" s="323" t="s">
        <v>2</v>
      </c>
      <c r="CF145" s="323" t="s">
        <v>2</v>
      </c>
      <c r="CG145" s="324" t="s">
        <v>2</v>
      </c>
      <c r="CH145" s="326" t="s">
        <v>2</v>
      </c>
      <c r="CI145" s="329" t="s">
        <v>2</v>
      </c>
      <c r="CJ145" s="328" t="s">
        <v>2</v>
      </c>
      <c r="CK145" s="323" t="s">
        <v>2</v>
      </c>
      <c r="CL145" s="323" t="s">
        <v>2</v>
      </c>
      <c r="CM145" s="324" t="s">
        <v>2</v>
      </c>
      <c r="CN145" s="319" t="s">
        <v>2</v>
      </c>
      <c r="CO145" s="319" t="s">
        <v>2</v>
      </c>
    </row>
    <row r="146" spans="1:93" x14ac:dyDescent="0.25">
      <c r="A146" s="316">
        <v>16115</v>
      </c>
      <c r="B146" s="317" t="s">
        <v>2003</v>
      </c>
      <c r="C146" s="318"/>
      <c r="D146" s="293">
        <v>16</v>
      </c>
      <c r="E146" s="349">
        <v>0</v>
      </c>
      <c r="F146" s="320">
        <f>(134.6+209.4)/2*100/70</f>
        <v>245.71428571428572</v>
      </c>
      <c r="G146" s="300">
        <v>1027.0857142857142</v>
      </c>
      <c r="H146" s="321" t="s">
        <v>2</v>
      </c>
      <c r="I146" s="322">
        <f>(3.4+6.3)/2*100/70</f>
        <v>6.9285714285714279</v>
      </c>
      <c r="J146" s="323">
        <f>(1+1.8)/2*100/70</f>
        <v>2</v>
      </c>
      <c r="K146" s="323">
        <f>(28+42)/2*100/70</f>
        <v>50</v>
      </c>
      <c r="L146" s="323" t="s">
        <v>2</v>
      </c>
      <c r="M146" s="324" t="s">
        <v>2</v>
      </c>
      <c r="N146" s="325" t="s">
        <v>2</v>
      </c>
      <c r="O146" s="326" t="s">
        <v>2</v>
      </c>
      <c r="P146" s="323" t="s">
        <v>2</v>
      </c>
      <c r="Q146" s="323" t="s">
        <v>2</v>
      </c>
      <c r="R146" s="315" t="s">
        <v>2</v>
      </c>
      <c r="S146" s="326" t="s">
        <v>2</v>
      </c>
      <c r="T146" s="326" t="s">
        <v>2</v>
      </c>
      <c r="U146" s="327" t="s">
        <v>2</v>
      </c>
      <c r="V146" s="327" t="s">
        <v>2</v>
      </c>
      <c r="W146" s="324" t="s">
        <v>2</v>
      </c>
      <c r="X146" s="328" t="s">
        <v>2</v>
      </c>
      <c r="Y146" s="327" t="s">
        <v>2</v>
      </c>
      <c r="Z146" s="327" t="s">
        <v>2</v>
      </c>
      <c r="AA146" s="327" t="s">
        <v>2</v>
      </c>
      <c r="AB146" s="327" t="s">
        <v>2</v>
      </c>
      <c r="AC146" s="327" t="s">
        <v>2</v>
      </c>
      <c r="AD146" s="326" t="s">
        <v>2</v>
      </c>
      <c r="AE146" s="326" t="s">
        <v>2</v>
      </c>
      <c r="AF146" s="323" t="s">
        <v>2</v>
      </c>
      <c r="AG146" s="324" t="s">
        <v>2</v>
      </c>
      <c r="AH146" s="320" t="s">
        <v>2</v>
      </c>
      <c r="AI146" s="320" t="s">
        <v>2</v>
      </c>
      <c r="AJ146" s="323" t="s">
        <v>2</v>
      </c>
      <c r="AK146" s="323" t="s">
        <v>2</v>
      </c>
      <c r="AL146" s="324" t="s">
        <v>2</v>
      </c>
      <c r="AM146" s="325" t="s">
        <v>2</v>
      </c>
      <c r="AN146" s="326" t="s">
        <v>2</v>
      </c>
      <c r="AO146" s="329" t="s">
        <v>2</v>
      </c>
      <c r="AP146" s="322" t="s">
        <v>2</v>
      </c>
      <c r="AQ146" s="327" t="s">
        <v>2</v>
      </c>
      <c r="AR146" s="327" t="s">
        <v>2</v>
      </c>
      <c r="AS146" s="327" t="s">
        <v>2</v>
      </c>
      <c r="AT146" s="327" t="s">
        <v>2</v>
      </c>
      <c r="AU146" s="327" t="s">
        <v>2</v>
      </c>
      <c r="AV146" s="330" t="s">
        <v>2</v>
      </c>
      <c r="AW146" s="328" t="s">
        <v>2</v>
      </c>
      <c r="AX146" s="327" t="s">
        <v>2</v>
      </c>
      <c r="AY146" s="327" t="s">
        <v>2</v>
      </c>
      <c r="AZ146" s="330" t="s">
        <v>2</v>
      </c>
      <c r="BA146" s="331" t="s">
        <v>2</v>
      </c>
      <c r="BB146" s="332" t="s">
        <v>2</v>
      </c>
      <c r="BC146" s="332" t="s">
        <v>2</v>
      </c>
      <c r="BD146" s="332" t="s">
        <v>2</v>
      </c>
      <c r="BE146" s="332" t="s">
        <v>2</v>
      </c>
      <c r="BF146" s="333" t="s">
        <v>2</v>
      </c>
      <c r="BG146" s="319" t="s">
        <v>2</v>
      </c>
      <c r="BH146" s="319" t="s">
        <v>2</v>
      </c>
      <c r="BI146" s="325" t="s">
        <v>2</v>
      </c>
      <c r="BJ146" s="326" t="s">
        <v>2</v>
      </c>
      <c r="BK146" s="326" t="s">
        <v>2</v>
      </c>
      <c r="BL146" s="326" t="s">
        <v>2</v>
      </c>
      <c r="BM146" s="326" t="s">
        <v>2</v>
      </c>
      <c r="BN146" s="326" t="s">
        <v>2</v>
      </c>
      <c r="BO146" s="326" t="s">
        <v>2</v>
      </c>
      <c r="BP146" s="326" t="s">
        <v>2</v>
      </c>
      <c r="BQ146" s="326" t="s">
        <v>2</v>
      </c>
      <c r="BR146" s="326" t="s">
        <v>2</v>
      </c>
      <c r="BS146" s="326" t="s">
        <v>2</v>
      </c>
      <c r="BT146" s="326" t="s">
        <v>2</v>
      </c>
      <c r="BU146" s="326" t="s">
        <v>2</v>
      </c>
      <c r="BV146" s="326" t="s">
        <v>2</v>
      </c>
      <c r="BW146" s="326" t="s">
        <v>2</v>
      </c>
      <c r="BX146" s="326" t="s">
        <v>2</v>
      </c>
      <c r="BY146" s="326" t="s">
        <v>2</v>
      </c>
      <c r="BZ146" s="329" t="s">
        <v>2</v>
      </c>
      <c r="CA146" s="328" t="s">
        <v>2</v>
      </c>
      <c r="CB146" s="323" t="s">
        <v>2</v>
      </c>
      <c r="CC146" s="323" t="s">
        <v>2</v>
      </c>
      <c r="CD146" s="323" t="s">
        <v>2</v>
      </c>
      <c r="CE146" s="323" t="s">
        <v>2</v>
      </c>
      <c r="CF146" s="323" t="s">
        <v>2</v>
      </c>
      <c r="CG146" s="324" t="s">
        <v>2</v>
      </c>
      <c r="CH146" s="326" t="s">
        <v>2</v>
      </c>
      <c r="CI146" s="329" t="s">
        <v>2</v>
      </c>
      <c r="CJ146" s="328" t="s">
        <v>2</v>
      </c>
      <c r="CK146" s="323" t="s">
        <v>2</v>
      </c>
      <c r="CL146" s="323" t="s">
        <v>2</v>
      </c>
      <c r="CM146" s="324" t="s">
        <v>2</v>
      </c>
      <c r="CN146" s="319" t="s">
        <v>2</v>
      </c>
      <c r="CO146" s="319" t="s">
        <v>2</v>
      </c>
    </row>
    <row r="147" spans="1:93" x14ac:dyDescent="0.25">
      <c r="A147" s="316">
        <v>16116</v>
      </c>
      <c r="B147" s="317" t="s">
        <v>2004</v>
      </c>
      <c r="C147" s="318"/>
      <c r="D147" s="293">
        <v>16</v>
      </c>
      <c r="E147" s="349">
        <v>0</v>
      </c>
      <c r="F147" s="320">
        <f>187*100/50</f>
        <v>374</v>
      </c>
      <c r="G147" s="300">
        <v>1563.32</v>
      </c>
      <c r="H147" s="321" t="s">
        <v>2</v>
      </c>
      <c r="I147" s="322">
        <f>4.1*100/50</f>
        <v>8.1999999999999993</v>
      </c>
      <c r="J147" s="323">
        <f>2.7*100/50</f>
        <v>5.4</v>
      </c>
      <c r="K147" s="323">
        <f>36.5*100/50</f>
        <v>73</v>
      </c>
      <c r="L147" s="323" t="s">
        <v>2</v>
      </c>
      <c r="M147" s="324" t="s">
        <v>2</v>
      </c>
      <c r="N147" s="325" t="s">
        <v>2</v>
      </c>
      <c r="O147" s="326" t="s">
        <v>2</v>
      </c>
      <c r="P147" s="323" t="s">
        <v>2</v>
      </c>
      <c r="Q147" s="323" t="s">
        <v>2</v>
      </c>
      <c r="R147" s="315" t="s">
        <v>2</v>
      </c>
      <c r="S147" s="326" t="s">
        <v>2</v>
      </c>
      <c r="T147" s="326" t="s">
        <v>2</v>
      </c>
      <c r="U147" s="327" t="s">
        <v>2</v>
      </c>
      <c r="V147" s="327" t="s">
        <v>2</v>
      </c>
      <c r="W147" s="324" t="s">
        <v>2</v>
      </c>
      <c r="X147" s="328" t="s">
        <v>2</v>
      </c>
      <c r="Y147" s="327" t="s">
        <v>2</v>
      </c>
      <c r="Z147" s="327" t="s">
        <v>2</v>
      </c>
      <c r="AA147" s="327" t="s">
        <v>2</v>
      </c>
      <c r="AB147" s="327" t="s">
        <v>2</v>
      </c>
      <c r="AC147" s="327" t="s">
        <v>2</v>
      </c>
      <c r="AD147" s="326" t="s">
        <v>2</v>
      </c>
      <c r="AE147" s="326" t="s">
        <v>2</v>
      </c>
      <c r="AF147" s="323" t="s">
        <v>2</v>
      </c>
      <c r="AG147" s="324" t="s">
        <v>2</v>
      </c>
      <c r="AH147" s="320" t="s">
        <v>2</v>
      </c>
      <c r="AI147" s="320" t="s">
        <v>2</v>
      </c>
      <c r="AJ147" s="323" t="s">
        <v>2</v>
      </c>
      <c r="AK147" s="323" t="s">
        <v>2</v>
      </c>
      <c r="AL147" s="324" t="s">
        <v>2</v>
      </c>
      <c r="AM147" s="325" t="s">
        <v>2</v>
      </c>
      <c r="AN147" s="326" t="s">
        <v>2</v>
      </c>
      <c r="AO147" s="329" t="s">
        <v>2</v>
      </c>
      <c r="AP147" s="322" t="s">
        <v>2</v>
      </c>
      <c r="AQ147" s="327" t="s">
        <v>2</v>
      </c>
      <c r="AR147" s="327" t="s">
        <v>2</v>
      </c>
      <c r="AS147" s="327" t="s">
        <v>2</v>
      </c>
      <c r="AT147" s="327" t="s">
        <v>2</v>
      </c>
      <c r="AU147" s="327" t="s">
        <v>2</v>
      </c>
      <c r="AV147" s="330" t="s">
        <v>2</v>
      </c>
      <c r="AW147" s="328" t="s">
        <v>2</v>
      </c>
      <c r="AX147" s="327" t="s">
        <v>2</v>
      </c>
      <c r="AY147" s="327" t="s">
        <v>2</v>
      </c>
      <c r="AZ147" s="330" t="s">
        <v>2</v>
      </c>
      <c r="BA147" s="331" t="s">
        <v>2</v>
      </c>
      <c r="BB147" s="332" t="s">
        <v>2</v>
      </c>
      <c r="BC147" s="332" t="s">
        <v>2</v>
      </c>
      <c r="BD147" s="332" t="s">
        <v>2</v>
      </c>
      <c r="BE147" s="332" t="s">
        <v>2</v>
      </c>
      <c r="BF147" s="333" t="s">
        <v>2</v>
      </c>
      <c r="BG147" s="319" t="s">
        <v>2</v>
      </c>
      <c r="BH147" s="319" t="s">
        <v>2</v>
      </c>
      <c r="BI147" s="325" t="s">
        <v>2</v>
      </c>
      <c r="BJ147" s="326" t="s">
        <v>2</v>
      </c>
      <c r="BK147" s="326" t="s">
        <v>2</v>
      </c>
      <c r="BL147" s="326" t="s">
        <v>2</v>
      </c>
      <c r="BM147" s="326" t="s">
        <v>2</v>
      </c>
      <c r="BN147" s="326" t="s">
        <v>2</v>
      </c>
      <c r="BO147" s="326" t="s">
        <v>2</v>
      </c>
      <c r="BP147" s="326" t="s">
        <v>2</v>
      </c>
      <c r="BQ147" s="326" t="s">
        <v>2</v>
      </c>
      <c r="BR147" s="326" t="s">
        <v>2</v>
      </c>
      <c r="BS147" s="326" t="s">
        <v>2</v>
      </c>
      <c r="BT147" s="326" t="s">
        <v>2</v>
      </c>
      <c r="BU147" s="326" t="s">
        <v>2</v>
      </c>
      <c r="BV147" s="326" t="s">
        <v>2</v>
      </c>
      <c r="BW147" s="326" t="s">
        <v>2</v>
      </c>
      <c r="BX147" s="326" t="s">
        <v>2</v>
      </c>
      <c r="BY147" s="326" t="s">
        <v>2</v>
      </c>
      <c r="BZ147" s="329" t="s">
        <v>2</v>
      </c>
      <c r="CA147" s="328" t="s">
        <v>2</v>
      </c>
      <c r="CB147" s="323" t="s">
        <v>2</v>
      </c>
      <c r="CC147" s="323" t="s">
        <v>2</v>
      </c>
      <c r="CD147" s="323" t="s">
        <v>2</v>
      </c>
      <c r="CE147" s="323" t="s">
        <v>2</v>
      </c>
      <c r="CF147" s="323" t="s">
        <v>2</v>
      </c>
      <c r="CG147" s="324" t="s">
        <v>2</v>
      </c>
      <c r="CH147" s="326" t="s">
        <v>2</v>
      </c>
      <c r="CI147" s="329" t="s">
        <v>2</v>
      </c>
      <c r="CJ147" s="328" t="s">
        <v>2</v>
      </c>
      <c r="CK147" s="323" t="s">
        <v>2</v>
      </c>
      <c r="CL147" s="323" t="s">
        <v>2</v>
      </c>
      <c r="CM147" s="324" t="s">
        <v>2</v>
      </c>
      <c r="CN147" s="319" t="s">
        <v>2</v>
      </c>
      <c r="CO147" s="319" t="s">
        <v>2</v>
      </c>
    </row>
    <row r="148" spans="1:93" x14ac:dyDescent="0.25">
      <c r="A148" s="316">
        <v>16117</v>
      </c>
      <c r="B148" s="317" t="s">
        <v>2005</v>
      </c>
      <c r="C148" s="318"/>
      <c r="D148" s="293">
        <v>16</v>
      </c>
      <c r="E148" s="349">
        <v>0</v>
      </c>
      <c r="F148" s="320">
        <f>187*100/50</f>
        <v>374</v>
      </c>
      <c r="G148" s="300">
        <v>1563.32</v>
      </c>
      <c r="H148" s="321" t="s">
        <v>2</v>
      </c>
      <c r="I148" s="322">
        <f>4.1*100/50</f>
        <v>8.1999999999999993</v>
      </c>
      <c r="J148" s="323">
        <f>2.7*100/50</f>
        <v>5.4</v>
      </c>
      <c r="K148" s="323">
        <f>36.5*100/50</f>
        <v>73</v>
      </c>
      <c r="L148" s="323" t="s">
        <v>2</v>
      </c>
      <c r="M148" s="324" t="s">
        <v>2</v>
      </c>
      <c r="N148" s="325" t="s">
        <v>2</v>
      </c>
      <c r="O148" s="326" t="s">
        <v>2</v>
      </c>
      <c r="P148" s="323" t="s">
        <v>2</v>
      </c>
      <c r="Q148" s="323" t="s">
        <v>2</v>
      </c>
      <c r="R148" s="315" t="s">
        <v>2</v>
      </c>
      <c r="S148" s="326" t="s">
        <v>2</v>
      </c>
      <c r="T148" s="326" t="s">
        <v>2</v>
      </c>
      <c r="U148" s="327" t="s">
        <v>2</v>
      </c>
      <c r="V148" s="327" t="s">
        <v>2</v>
      </c>
      <c r="W148" s="324" t="s">
        <v>2</v>
      </c>
      <c r="X148" s="328" t="s">
        <v>2</v>
      </c>
      <c r="Y148" s="327" t="s">
        <v>2</v>
      </c>
      <c r="Z148" s="327" t="s">
        <v>2</v>
      </c>
      <c r="AA148" s="327" t="s">
        <v>2</v>
      </c>
      <c r="AB148" s="327" t="s">
        <v>2</v>
      </c>
      <c r="AC148" s="327" t="s">
        <v>2</v>
      </c>
      <c r="AD148" s="326" t="s">
        <v>2</v>
      </c>
      <c r="AE148" s="326" t="s">
        <v>2</v>
      </c>
      <c r="AF148" s="323" t="s">
        <v>2</v>
      </c>
      <c r="AG148" s="324" t="s">
        <v>2</v>
      </c>
      <c r="AH148" s="320" t="s">
        <v>2</v>
      </c>
      <c r="AI148" s="320" t="s">
        <v>2</v>
      </c>
      <c r="AJ148" s="323" t="s">
        <v>2</v>
      </c>
      <c r="AK148" s="323" t="s">
        <v>2</v>
      </c>
      <c r="AL148" s="324" t="s">
        <v>2</v>
      </c>
      <c r="AM148" s="325" t="s">
        <v>2</v>
      </c>
      <c r="AN148" s="326" t="s">
        <v>2</v>
      </c>
      <c r="AO148" s="329" t="s">
        <v>2</v>
      </c>
      <c r="AP148" s="322" t="s">
        <v>2</v>
      </c>
      <c r="AQ148" s="327" t="s">
        <v>2</v>
      </c>
      <c r="AR148" s="327" t="s">
        <v>2</v>
      </c>
      <c r="AS148" s="327" t="s">
        <v>2</v>
      </c>
      <c r="AT148" s="327" t="s">
        <v>2</v>
      </c>
      <c r="AU148" s="327" t="s">
        <v>2</v>
      </c>
      <c r="AV148" s="330" t="s">
        <v>2</v>
      </c>
      <c r="AW148" s="328" t="s">
        <v>2</v>
      </c>
      <c r="AX148" s="327" t="s">
        <v>2</v>
      </c>
      <c r="AY148" s="327" t="s">
        <v>2</v>
      </c>
      <c r="AZ148" s="330" t="s">
        <v>2</v>
      </c>
      <c r="BA148" s="331" t="s">
        <v>2</v>
      </c>
      <c r="BB148" s="332" t="s">
        <v>2</v>
      </c>
      <c r="BC148" s="332" t="s">
        <v>2</v>
      </c>
      <c r="BD148" s="332" t="s">
        <v>2</v>
      </c>
      <c r="BE148" s="332" t="s">
        <v>2</v>
      </c>
      <c r="BF148" s="333" t="s">
        <v>2</v>
      </c>
      <c r="BG148" s="319" t="s">
        <v>2</v>
      </c>
      <c r="BH148" s="319" t="s">
        <v>2</v>
      </c>
      <c r="BI148" s="325" t="s">
        <v>2</v>
      </c>
      <c r="BJ148" s="326" t="s">
        <v>2</v>
      </c>
      <c r="BK148" s="326" t="s">
        <v>2</v>
      </c>
      <c r="BL148" s="326" t="s">
        <v>2</v>
      </c>
      <c r="BM148" s="326" t="s">
        <v>2</v>
      </c>
      <c r="BN148" s="326" t="s">
        <v>2</v>
      </c>
      <c r="BO148" s="326" t="s">
        <v>2</v>
      </c>
      <c r="BP148" s="326" t="s">
        <v>2</v>
      </c>
      <c r="BQ148" s="326" t="s">
        <v>2</v>
      </c>
      <c r="BR148" s="326" t="s">
        <v>2</v>
      </c>
      <c r="BS148" s="326" t="s">
        <v>2</v>
      </c>
      <c r="BT148" s="326" t="s">
        <v>2</v>
      </c>
      <c r="BU148" s="326" t="s">
        <v>2</v>
      </c>
      <c r="BV148" s="326" t="s">
        <v>2</v>
      </c>
      <c r="BW148" s="326" t="s">
        <v>2</v>
      </c>
      <c r="BX148" s="326" t="s">
        <v>2</v>
      </c>
      <c r="BY148" s="326" t="s">
        <v>2</v>
      </c>
      <c r="BZ148" s="329" t="s">
        <v>2</v>
      </c>
      <c r="CA148" s="328" t="s">
        <v>2</v>
      </c>
      <c r="CB148" s="323" t="s">
        <v>2</v>
      </c>
      <c r="CC148" s="323" t="s">
        <v>2</v>
      </c>
      <c r="CD148" s="323" t="s">
        <v>2</v>
      </c>
      <c r="CE148" s="323" t="s">
        <v>2</v>
      </c>
      <c r="CF148" s="323" t="s">
        <v>2</v>
      </c>
      <c r="CG148" s="324" t="s">
        <v>2</v>
      </c>
      <c r="CH148" s="326" t="s">
        <v>2</v>
      </c>
      <c r="CI148" s="329" t="s">
        <v>2</v>
      </c>
      <c r="CJ148" s="328" t="s">
        <v>2</v>
      </c>
      <c r="CK148" s="323" t="s">
        <v>2</v>
      </c>
      <c r="CL148" s="323" t="s">
        <v>2</v>
      </c>
      <c r="CM148" s="324" t="s">
        <v>2</v>
      </c>
      <c r="CN148" s="319" t="s">
        <v>2</v>
      </c>
      <c r="CO148" s="319" t="s">
        <v>2</v>
      </c>
    </row>
    <row r="149" spans="1:93" x14ac:dyDescent="0.25">
      <c r="A149" s="316">
        <v>16118</v>
      </c>
      <c r="B149" s="317" t="s">
        <v>2006</v>
      </c>
      <c r="C149" s="318"/>
      <c r="D149" s="293">
        <v>16</v>
      </c>
      <c r="E149" s="349">
        <v>0</v>
      </c>
      <c r="F149" s="320">
        <f>187*100/50</f>
        <v>374</v>
      </c>
      <c r="G149" s="300">
        <v>1563.32</v>
      </c>
      <c r="H149" s="321" t="s">
        <v>2</v>
      </c>
      <c r="I149" s="322">
        <f>4.1*100/50</f>
        <v>8.1999999999999993</v>
      </c>
      <c r="J149" s="323">
        <f>2.7*100/50</f>
        <v>5.4</v>
      </c>
      <c r="K149" s="323">
        <f>36.5*100/50</f>
        <v>73</v>
      </c>
      <c r="L149" s="323" t="s">
        <v>2</v>
      </c>
      <c r="M149" s="324" t="s">
        <v>2</v>
      </c>
      <c r="N149" s="325" t="s">
        <v>2</v>
      </c>
      <c r="O149" s="326" t="s">
        <v>2</v>
      </c>
      <c r="P149" s="323" t="s">
        <v>2</v>
      </c>
      <c r="Q149" s="323" t="s">
        <v>2</v>
      </c>
      <c r="R149" s="315" t="s">
        <v>2</v>
      </c>
      <c r="S149" s="326" t="s">
        <v>2</v>
      </c>
      <c r="T149" s="326" t="s">
        <v>2</v>
      </c>
      <c r="U149" s="327" t="s">
        <v>2</v>
      </c>
      <c r="V149" s="327" t="s">
        <v>2</v>
      </c>
      <c r="W149" s="324" t="s">
        <v>2</v>
      </c>
      <c r="X149" s="328" t="s">
        <v>2</v>
      </c>
      <c r="Y149" s="327" t="s">
        <v>2</v>
      </c>
      <c r="Z149" s="327" t="s">
        <v>2</v>
      </c>
      <c r="AA149" s="327" t="s">
        <v>2</v>
      </c>
      <c r="AB149" s="327" t="s">
        <v>2</v>
      </c>
      <c r="AC149" s="327" t="s">
        <v>2</v>
      </c>
      <c r="AD149" s="326" t="s">
        <v>2</v>
      </c>
      <c r="AE149" s="326" t="s">
        <v>2</v>
      </c>
      <c r="AF149" s="323" t="s">
        <v>2</v>
      </c>
      <c r="AG149" s="324" t="s">
        <v>2</v>
      </c>
      <c r="AH149" s="320" t="s">
        <v>2</v>
      </c>
      <c r="AI149" s="320" t="s">
        <v>2</v>
      </c>
      <c r="AJ149" s="323" t="s">
        <v>2</v>
      </c>
      <c r="AK149" s="323" t="s">
        <v>2</v>
      </c>
      <c r="AL149" s="324" t="s">
        <v>2</v>
      </c>
      <c r="AM149" s="325" t="s">
        <v>2</v>
      </c>
      <c r="AN149" s="326" t="s">
        <v>2</v>
      </c>
      <c r="AO149" s="329" t="s">
        <v>2</v>
      </c>
      <c r="AP149" s="322" t="s">
        <v>2</v>
      </c>
      <c r="AQ149" s="327" t="s">
        <v>2</v>
      </c>
      <c r="AR149" s="327" t="s">
        <v>2</v>
      </c>
      <c r="AS149" s="327" t="s">
        <v>2</v>
      </c>
      <c r="AT149" s="327" t="s">
        <v>2</v>
      </c>
      <c r="AU149" s="327" t="s">
        <v>2</v>
      </c>
      <c r="AV149" s="330" t="s">
        <v>2</v>
      </c>
      <c r="AW149" s="322" t="s">
        <v>2</v>
      </c>
      <c r="AX149" s="327" t="s">
        <v>2</v>
      </c>
      <c r="AY149" s="327" t="s">
        <v>2</v>
      </c>
      <c r="AZ149" s="330" t="s">
        <v>2</v>
      </c>
      <c r="BA149" s="331" t="s">
        <v>2</v>
      </c>
      <c r="BB149" s="332" t="s">
        <v>2</v>
      </c>
      <c r="BC149" s="332" t="s">
        <v>2</v>
      </c>
      <c r="BD149" s="332" t="s">
        <v>2</v>
      </c>
      <c r="BE149" s="332" t="s">
        <v>2</v>
      </c>
      <c r="BF149" s="333" t="s">
        <v>2</v>
      </c>
      <c r="BG149" s="319" t="s">
        <v>2</v>
      </c>
      <c r="BH149" s="319" t="s">
        <v>2</v>
      </c>
      <c r="BI149" s="320" t="s">
        <v>2</v>
      </c>
      <c r="BJ149" s="326" t="s">
        <v>2</v>
      </c>
      <c r="BK149" s="326" t="s">
        <v>2</v>
      </c>
      <c r="BL149" s="326" t="s">
        <v>2</v>
      </c>
      <c r="BM149" s="326" t="s">
        <v>2</v>
      </c>
      <c r="BN149" s="326" t="s">
        <v>2</v>
      </c>
      <c r="BO149" s="326" t="s">
        <v>2</v>
      </c>
      <c r="BP149" s="326" t="s">
        <v>2</v>
      </c>
      <c r="BQ149" s="326" t="s">
        <v>2</v>
      </c>
      <c r="BR149" s="326" t="s">
        <v>2</v>
      </c>
      <c r="BS149" s="326" t="s">
        <v>2</v>
      </c>
      <c r="BT149" s="326" t="s">
        <v>2</v>
      </c>
      <c r="BU149" s="326" t="s">
        <v>2</v>
      </c>
      <c r="BV149" s="326" t="s">
        <v>2</v>
      </c>
      <c r="BW149" s="326" t="s">
        <v>2</v>
      </c>
      <c r="BX149" s="326" t="s">
        <v>2</v>
      </c>
      <c r="BY149" s="326" t="s">
        <v>2</v>
      </c>
      <c r="BZ149" s="329" t="s">
        <v>2</v>
      </c>
      <c r="CA149" s="322" t="s">
        <v>2</v>
      </c>
      <c r="CB149" s="323" t="s">
        <v>2</v>
      </c>
      <c r="CC149" s="323" t="s">
        <v>2</v>
      </c>
      <c r="CD149" s="323" t="s">
        <v>2</v>
      </c>
      <c r="CE149" s="323" t="s">
        <v>2</v>
      </c>
      <c r="CF149" s="323" t="s">
        <v>2</v>
      </c>
      <c r="CG149" s="324" t="s">
        <v>2</v>
      </c>
      <c r="CH149" s="326" t="s">
        <v>2</v>
      </c>
      <c r="CI149" s="329" t="s">
        <v>2</v>
      </c>
      <c r="CJ149" s="328" t="s">
        <v>2</v>
      </c>
      <c r="CK149" s="323" t="s">
        <v>2</v>
      </c>
      <c r="CL149" s="323" t="s">
        <v>2</v>
      </c>
      <c r="CM149" s="324" t="s">
        <v>2</v>
      </c>
      <c r="CN149" s="319" t="s">
        <v>2</v>
      </c>
      <c r="CO149" s="319" t="s">
        <v>2</v>
      </c>
    </row>
    <row r="150" spans="1:93" x14ac:dyDescent="0.25">
      <c r="A150" s="316">
        <v>16119</v>
      </c>
      <c r="B150" s="367" t="s">
        <v>2007</v>
      </c>
      <c r="C150" s="353"/>
      <c r="D150" s="293">
        <v>16</v>
      </c>
      <c r="E150" s="349">
        <v>0</v>
      </c>
      <c r="F150" s="340">
        <v>41</v>
      </c>
      <c r="G150" s="341">
        <v>171</v>
      </c>
      <c r="H150" s="368" t="s">
        <v>2</v>
      </c>
      <c r="I150" s="339">
        <v>1.8</v>
      </c>
      <c r="J150" s="339">
        <v>2.1</v>
      </c>
      <c r="K150" s="339">
        <v>3.6</v>
      </c>
      <c r="L150" s="339">
        <v>0.1</v>
      </c>
      <c r="M150" s="324" t="s">
        <v>2</v>
      </c>
      <c r="N150" s="340" t="s">
        <v>2</v>
      </c>
      <c r="O150" s="340" t="s">
        <v>2</v>
      </c>
      <c r="P150" s="340" t="s">
        <v>2</v>
      </c>
      <c r="Q150" s="340" t="s">
        <v>2</v>
      </c>
      <c r="R150" s="340" t="s">
        <v>2</v>
      </c>
      <c r="S150" s="340" t="s">
        <v>2</v>
      </c>
      <c r="T150" s="340" t="s">
        <v>2</v>
      </c>
      <c r="U150" s="340" t="s">
        <v>2</v>
      </c>
      <c r="V150" s="340" t="s">
        <v>2</v>
      </c>
      <c r="W150" s="369" t="s">
        <v>2</v>
      </c>
      <c r="X150" s="340" t="s">
        <v>2</v>
      </c>
      <c r="Y150" s="340" t="s">
        <v>2</v>
      </c>
      <c r="Z150" s="340" t="s">
        <v>2</v>
      </c>
      <c r="AA150" s="340" t="s">
        <v>2</v>
      </c>
      <c r="AB150" s="340" t="s">
        <v>2</v>
      </c>
      <c r="AC150" s="340" t="s">
        <v>2</v>
      </c>
      <c r="AD150" s="340" t="s">
        <v>2</v>
      </c>
      <c r="AE150" s="340" t="s">
        <v>2</v>
      </c>
      <c r="AF150" s="340" t="s">
        <v>2</v>
      </c>
      <c r="AG150" s="369" t="s">
        <v>2</v>
      </c>
      <c r="AH150" s="340" t="s">
        <v>2</v>
      </c>
      <c r="AI150" s="340" t="s">
        <v>2</v>
      </c>
      <c r="AJ150" s="340" t="s">
        <v>2</v>
      </c>
      <c r="AK150" s="340" t="s">
        <v>2</v>
      </c>
      <c r="AL150" s="369" t="s">
        <v>2</v>
      </c>
      <c r="AM150" s="340" t="s">
        <v>2</v>
      </c>
      <c r="AN150" s="340" t="s">
        <v>2</v>
      </c>
      <c r="AO150" s="341" t="s">
        <v>2</v>
      </c>
      <c r="AP150" s="340" t="s">
        <v>2</v>
      </c>
      <c r="AQ150" s="340" t="s">
        <v>2</v>
      </c>
      <c r="AR150" s="340" t="s">
        <v>2</v>
      </c>
      <c r="AS150" s="340" t="s">
        <v>2</v>
      </c>
      <c r="AT150" s="340" t="s">
        <v>2</v>
      </c>
      <c r="AU150" s="340" t="s">
        <v>2</v>
      </c>
      <c r="AV150" s="341" t="s">
        <v>2</v>
      </c>
      <c r="AW150" s="340" t="s">
        <v>2</v>
      </c>
      <c r="AX150" s="340" t="s">
        <v>2</v>
      </c>
      <c r="AY150" s="340" t="s">
        <v>2</v>
      </c>
      <c r="AZ150" s="369" t="s">
        <v>2</v>
      </c>
      <c r="BA150" s="340" t="s">
        <v>2</v>
      </c>
      <c r="BB150" s="340" t="s">
        <v>2</v>
      </c>
      <c r="BC150" s="340" t="s">
        <v>2</v>
      </c>
      <c r="BD150" s="340" t="s">
        <v>2</v>
      </c>
      <c r="BE150" s="340" t="s">
        <v>2</v>
      </c>
      <c r="BF150" s="369" t="s">
        <v>2</v>
      </c>
      <c r="BG150" s="342" t="s">
        <v>2</v>
      </c>
      <c r="BH150" s="342" t="s">
        <v>2</v>
      </c>
      <c r="BI150" s="340" t="s">
        <v>2</v>
      </c>
      <c r="BJ150" s="340" t="s">
        <v>2</v>
      </c>
      <c r="BK150" s="340" t="s">
        <v>2</v>
      </c>
      <c r="BL150" s="340" t="s">
        <v>2</v>
      </c>
      <c r="BM150" s="340" t="s">
        <v>2</v>
      </c>
      <c r="BN150" s="340" t="s">
        <v>2</v>
      </c>
      <c r="BO150" s="340" t="s">
        <v>2</v>
      </c>
      <c r="BP150" s="340" t="s">
        <v>2</v>
      </c>
      <c r="BQ150" s="340" t="s">
        <v>2</v>
      </c>
      <c r="BR150" s="340" t="s">
        <v>2</v>
      </c>
      <c r="BS150" s="340" t="s">
        <v>2</v>
      </c>
      <c r="BT150" s="340" t="s">
        <v>2</v>
      </c>
      <c r="BU150" s="340" t="s">
        <v>2</v>
      </c>
      <c r="BV150" s="340" t="s">
        <v>2</v>
      </c>
      <c r="BW150" s="340" t="s">
        <v>2</v>
      </c>
      <c r="BX150" s="340" t="s">
        <v>2</v>
      </c>
      <c r="BY150" s="340" t="s">
        <v>2</v>
      </c>
      <c r="BZ150" s="341" t="s">
        <v>2</v>
      </c>
      <c r="CA150" s="340" t="s">
        <v>2</v>
      </c>
      <c r="CB150" s="340" t="s">
        <v>2</v>
      </c>
      <c r="CC150" s="340" t="s">
        <v>2</v>
      </c>
      <c r="CD150" s="340" t="s">
        <v>2</v>
      </c>
      <c r="CE150" s="340" t="s">
        <v>2</v>
      </c>
      <c r="CF150" s="340" t="s">
        <v>2</v>
      </c>
      <c r="CG150" s="369" t="s">
        <v>2</v>
      </c>
      <c r="CH150" s="340" t="s">
        <v>2</v>
      </c>
      <c r="CI150" s="369" t="s">
        <v>2</v>
      </c>
      <c r="CJ150" s="340" t="s">
        <v>2</v>
      </c>
      <c r="CK150" s="340" t="s">
        <v>2</v>
      </c>
      <c r="CL150" s="340" t="s">
        <v>2</v>
      </c>
      <c r="CM150" s="369" t="s">
        <v>2</v>
      </c>
      <c r="CN150" s="368" t="s">
        <v>2</v>
      </c>
      <c r="CO150" s="368" t="s">
        <v>2</v>
      </c>
    </row>
    <row r="151" spans="1:93" x14ac:dyDescent="0.25">
      <c r="A151" s="316">
        <v>16120</v>
      </c>
      <c r="B151" s="367" t="s">
        <v>2008</v>
      </c>
      <c r="C151" s="353"/>
      <c r="D151" s="293">
        <v>16</v>
      </c>
      <c r="E151" s="349">
        <v>0</v>
      </c>
      <c r="F151" s="340">
        <v>83</v>
      </c>
      <c r="G151" s="341">
        <v>347</v>
      </c>
      <c r="H151" s="342">
        <v>79</v>
      </c>
      <c r="I151" s="339">
        <v>0.1</v>
      </c>
      <c r="J151" s="339">
        <v>0.1</v>
      </c>
      <c r="K151" s="339">
        <v>20.3</v>
      </c>
      <c r="L151" s="339" t="s">
        <v>2</v>
      </c>
      <c r="M151" s="344">
        <v>0.5</v>
      </c>
      <c r="N151" s="346">
        <v>14</v>
      </c>
      <c r="O151" s="346">
        <v>60</v>
      </c>
      <c r="P151" s="339">
        <v>0.2</v>
      </c>
      <c r="Q151" s="339" t="s">
        <v>2</v>
      </c>
      <c r="R151" s="346">
        <v>25</v>
      </c>
      <c r="S151" s="346">
        <v>150</v>
      </c>
      <c r="T151" s="340" t="s">
        <v>2</v>
      </c>
      <c r="U151" s="340" t="s">
        <v>2</v>
      </c>
      <c r="V151" s="340" t="s">
        <v>2</v>
      </c>
      <c r="W151" s="341" t="s">
        <v>2</v>
      </c>
      <c r="X151" s="340" t="s">
        <v>2</v>
      </c>
      <c r="Y151" s="340" t="s">
        <v>2</v>
      </c>
      <c r="Z151" s="340">
        <v>0.02</v>
      </c>
      <c r="AA151" s="340" t="s">
        <v>2</v>
      </c>
      <c r="AB151" s="340" t="s">
        <v>2</v>
      </c>
      <c r="AC151" s="340" t="s">
        <v>2</v>
      </c>
      <c r="AD151" s="340" t="s">
        <v>2</v>
      </c>
      <c r="AE151" s="340" t="s">
        <v>2</v>
      </c>
      <c r="AF151" s="340" t="s">
        <v>2</v>
      </c>
      <c r="AG151" s="341" t="s">
        <v>2</v>
      </c>
      <c r="AH151" s="340" t="s">
        <v>2</v>
      </c>
      <c r="AI151" s="340" t="s">
        <v>2</v>
      </c>
      <c r="AJ151" s="340" t="s">
        <v>2</v>
      </c>
      <c r="AK151" s="340" t="s">
        <v>2</v>
      </c>
      <c r="AL151" s="341" t="s">
        <v>2</v>
      </c>
      <c r="AM151" s="340" t="s">
        <v>2</v>
      </c>
      <c r="AN151" s="340" t="s">
        <v>2</v>
      </c>
      <c r="AO151" s="341" t="s">
        <v>2</v>
      </c>
      <c r="AP151" s="340" t="s">
        <v>2</v>
      </c>
      <c r="AQ151" s="340" t="s">
        <v>2</v>
      </c>
      <c r="AR151" s="340" t="s">
        <v>2</v>
      </c>
      <c r="AS151" s="340" t="s">
        <v>2</v>
      </c>
      <c r="AT151" s="340" t="s">
        <v>2</v>
      </c>
      <c r="AU151" s="340" t="s">
        <v>2</v>
      </c>
      <c r="AV151" s="341" t="s">
        <v>2</v>
      </c>
      <c r="AW151" s="340" t="s">
        <v>2</v>
      </c>
      <c r="AX151" s="340" t="s">
        <v>2</v>
      </c>
      <c r="AY151" s="340" t="s">
        <v>2</v>
      </c>
      <c r="AZ151" s="341" t="s">
        <v>2</v>
      </c>
      <c r="BA151" s="340" t="s">
        <v>2</v>
      </c>
      <c r="BB151" s="340" t="s">
        <v>2</v>
      </c>
      <c r="BC151" s="340" t="s">
        <v>2</v>
      </c>
      <c r="BD151" s="340" t="s">
        <v>2</v>
      </c>
      <c r="BE151" s="340" t="s">
        <v>2</v>
      </c>
      <c r="BF151" s="341" t="s">
        <v>2</v>
      </c>
      <c r="BG151" s="342" t="s">
        <v>2</v>
      </c>
      <c r="BH151" s="342" t="s">
        <v>2</v>
      </c>
      <c r="BI151" s="340" t="s">
        <v>2</v>
      </c>
      <c r="BJ151" s="340" t="s">
        <v>2</v>
      </c>
      <c r="BK151" s="340" t="s">
        <v>2</v>
      </c>
      <c r="BL151" s="340" t="s">
        <v>2</v>
      </c>
      <c r="BM151" s="340" t="s">
        <v>2</v>
      </c>
      <c r="BN151" s="340" t="s">
        <v>2</v>
      </c>
      <c r="BO151" s="340" t="s">
        <v>2</v>
      </c>
      <c r="BP151" s="340" t="s">
        <v>2</v>
      </c>
      <c r="BQ151" s="340" t="s">
        <v>2</v>
      </c>
      <c r="BR151" s="340" t="s">
        <v>2</v>
      </c>
      <c r="BS151" s="340" t="s">
        <v>2</v>
      </c>
      <c r="BT151" s="340" t="s">
        <v>2</v>
      </c>
      <c r="BU151" s="340" t="s">
        <v>2</v>
      </c>
      <c r="BV151" s="340" t="s">
        <v>2</v>
      </c>
      <c r="BW151" s="340" t="s">
        <v>2</v>
      </c>
      <c r="BX151" s="340" t="s">
        <v>2</v>
      </c>
      <c r="BY151" s="340" t="s">
        <v>2</v>
      </c>
      <c r="BZ151" s="341" t="s">
        <v>2</v>
      </c>
      <c r="CA151" s="340" t="s">
        <v>2</v>
      </c>
      <c r="CB151" s="340" t="s">
        <v>2</v>
      </c>
      <c r="CC151" s="340" t="s">
        <v>2</v>
      </c>
      <c r="CD151" s="340" t="s">
        <v>2</v>
      </c>
      <c r="CE151" s="340" t="s">
        <v>2</v>
      </c>
      <c r="CF151" s="340" t="s">
        <v>2</v>
      </c>
      <c r="CG151" s="341" t="s">
        <v>2</v>
      </c>
      <c r="CH151" s="340" t="s">
        <v>2</v>
      </c>
      <c r="CI151" s="341" t="s">
        <v>2</v>
      </c>
      <c r="CJ151" s="340" t="s">
        <v>2</v>
      </c>
      <c r="CK151" s="340" t="s">
        <v>2</v>
      </c>
      <c r="CL151" s="340" t="s">
        <v>2</v>
      </c>
      <c r="CM151" s="341" t="s">
        <v>2</v>
      </c>
      <c r="CN151" s="342" t="s">
        <v>2</v>
      </c>
      <c r="CO151" s="342" t="s">
        <v>2</v>
      </c>
    </row>
    <row r="152" spans="1:93" x14ac:dyDescent="0.25">
      <c r="A152" s="316">
        <v>16121</v>
      </c>
      <c r="B152" s="367" t="s">
        <v>2009</v>
      </c>
      <c r="C152" s="352"/>
      <c r="D152" s="293">
        <v>16</v>
      </c>
      <c r="E152" s="349">
        <v>0</v>
      </c>
      <c r="F152" s="340">
        <v>181</v>
      </c>
      <c r="G152" s="341">
        <v>757</v>
      </c>
      <c r="H152" s="341">
        <v>55.1</v>
      </c>
      <c r="I152" s="339">
        <v>0.1</v>
      </c>
      <c r="J152" s="339">
        <v>0.2</v>
      </c>
      <c r="K152" s="339">
        <v>44.6</v>
      </c>
      <c r="L152" s="339" t="s">
        <v>2</v>
      </c>
      <c r="M152" s="344" t="s">
        <v>2</v>
      </c>
      <c r="N152" s="346">
        <v>10</v>
      </c>
      <c r="O152" s="346">
        <v>4</v>
      </c>
      <c r="P152" s="339">
        <v>0.7</v>
      </c>
      <c r="Q152" s="339" t="s">
        <v>2</v>
      </c>
      <c r="R152" s="346" t="s">
        <v>2</v>
      </c>
      <c r="S152" s="346" t="s">
        <v>2</v>
      </c>
      <c r="T152" s="340" t="s">
        <v>2</v>
      </c>
      <c r="U152" s="340" t="s">
        <v>2</v>
      </c>
      <c r="V152" s="340" t="s">
        <v>2</v>
      </c>
      <c r="W152" s="341" t="s">
        <v>2</v>
      </c>
      <c r="X152" s="340" t="s">
        <v>2</v>
      </c>
      <c r="Y152" s="340" t="s">
        <v>2</v>
      </c>
      <c r="Z152" s="340">
        <v>0.01</v>
      </c>
      <c r="AA152" s="340" t="s">
        <v>2</v>
      </c>
      <c r="AB152" s="340" t="s">
        <v>2</v>
      </c>
      <c r="AC152" s="340" t="s">
        <v>2</v>
      </c>
      <c r="AD152" s="340" t="s">
        <v>2</v>
      </c>
      <c r="AE152" s="340" t="s">
        <v>2</v>
      </c>
      <c r="AF152" s="340" t="s">
        <v>2</v>
      </c>
      <c r="AG152" s="341" t="s">
        <v>2</v>
      </c>
      <c r="AH152" s="340" t="s">
        <v>2</v>
      </c>
      <c r="AI152" s="340" t="s">
        <v>2</v>
      </c>
      <c r="AJ152" s="340" t="s">
        <v>2</v>
      </c>
      <c r="AK152" s="340" t="s">
        <v>2</v>
      </c>
      <c r="AL152" s="341" t="s">
        <v>2</v>
      </c>
      <c r="AM152" s="340" t="s">
        <v>2</v>
      </c>
      <c r="AN152" s="340" t="s">
        <v>2</v>
      </c>
      <c r="AO152" s="341" t="s">
        <v>2</v>
      </c>
      <c r="AP152" s="340" t="s">
        <v>2</v>
      </c>
      <c r="AQ152" s="340" t="s">
        <v>2</v>
      </c>
      <c r="AR152" s="340" t="s">
        <v>2</v>
      </c>
      <c r="AS152" s="340" t="s">
        <v>2</v>
      </c>
      <c r="AT152" s="340" t="s">
        <v>2</v>
      </c>
      <c r="AU152" s="340" t="s">
        <v>2</v>
      </c>
      <c r="AV152" s="341" t="s">
        <v>2</v>
      </c>
      <c r="AW152" s="340" t="s">
        <v>2</v>
      </c>
      <c r="AX152" s="340" t="s">
        <v>2</v>
      </c>
      <c r="AY152" s="340" t="s">
        <v>2</v>
      </c>
      <c r="AZ152" s="341" t="s">
        <v>2</v>
      </c>
      <c r="BA152" s="340" t="s">
        <v>2</v>
      </c>
      <c r="BB152" s="340" t="s">
        <v>2</v>
      </c>
      <c r="BC152" s="340" t="s">
        <v>2</v>
      </c>
      <c r="BD152" s="340" t="s">
        <v>2</v>
      </c>
      <c r="BE152" s="340" t="s">
        <v>2</v>
      </c>
      <c r="BF152" s="341" t="s">
        <v>2</v>
      </c>
      <c r="BG152" s="341" t="s">
        <v>2</v>
      </c>
      <c r="BH152" s="342" t="s">
        <v>2</v>
      </c>
      <c r="BI152" s="340" t="s">
        <v>2</v>
      </c>
      <c r="BJ152" s="340" t="s">
        <v>2</v>
      </c>
      <c r="BK152" s="340" t="s">
        <v>2</v>
      </c>
      <c r="BL152" s="340" t="s">
        <v>2</v>
      </c>
      <c r="BM152" s="340" t="s">
        <v>2</v>
      </c>
      <c r="BN152" s="340" t="s">
        <v>2</v>
      </c>
      <c r="BO152" s="340" t="s">
        <v>2</v>
      </c>
      <c r="BP152" s="340" t="s">
        <v>2</v>
      </c>
      <c r="BQ152" s="340" t="s">
        <v>2</v>
      </c>
      <c r="BR152" s="340" t="s">
        <v>2</v>
      </c>
      <c r="BS152" s="340" t="s">
        <v>2</v>
      </c>
      <c r="BT152" s="340" t="s">
        <v>2</v>
      </c>
      <c r="BU152" s="340" t="s">
        <v>2</v>
      </c>
      <c r="BV152" s="340" t="s">
        <v>2</v>
      </c>
      <c r="BW152" s="340" t="s">
        <v>2</v>
      </c>
      <c r="BX152" s="340" t="s">
        <v>2</v>
      </c>
      <c r="BY152" s="340" t="s">
        <v>2</v>
      </c>
      <c r="BZ152" s="341" t="s">
        <v>2</v>
      </c>
      <c r="CA152" s="340" t="s">
        <v>2</v>
      </c>
      <c r="CB152" s="340" t="s">
        <v>2</v>
      </c>
      <c r="CC152" s="340" t="s">
        <v>2</v>
      </c>
      <c r="CD152" s="340" t="s">
        <v>2</v>
      </c>
      <c r="CE152" s="340" t="s">
        <v>2</v>
      </c>
      <c r="CF152" s="340" t="s">
        <v>2</v>
      </c>
      <c r="CG152" s="341" t="s">
        <v>2</v>
      </c>
      <c r="CH152" s="340" t="s">
        <v>2</v>
      </c>
      <c r="CI152" s="341" t="s">
        <v>2</v>
      </c>
      <c r="CJ152" s="340" t="s">
        <v>2</v>
      </c>
      <c r="CK152" s="340" t="s">
        <v>2</v>
      </c>
      <c r="CL152" s="340" t="s">
        <v>2</v>
      </c>
      <c r="CM152" s="341" t="s">
        <v>2</v>
      </c>
      <c r="CN152" s="342" t="s">
        <v>2</v>
      </c>
      <c r="CO152" s="342" t="s">
        <v>2</v>
      </c>
    </row>
    <row r="153" spans="1:93" x14ac:dyDescent="0.25">
      <c r="A153" s="316">
        <v>16122</v>
      </c>
      <c r="B153" s="367" t="s">
        <v>2010</v>
      </c>
      <c r="C153" s="352"/>
      <c r="D153" s="293">
        <v>16</v>
      </c>
      <c r="E153" s="349">
        <v>0</v>
      </c>
      <c r="F153" s="340">
        <v>61</v>
      </c>
      <c r="G153" s="341">
        <v>255</v>
      </c>
      <c r="H153" s="341">
        <v>5</v>
      </c>
      <c r="I153" s="339">
        <v>0</v>
      </c>
      <c r="J153" s="339">
        <v>0</v>
      </c>
      <c r="K153" s="339">
        <v>15</v>
      </c>
      <c r="L153" s="339" t="s">
        <v>2</v>
      </c>
      <c r="M153" s="344" t="s">
        <v>2</v>
      </c>
      <c r="N153" s="346">
        <v>2</v>
      </c>
      <c r="O153" s="346">
        <v>1</v>
      </c>
      <c r="P153" s="339" t="s">
        <v>2</v>
      </c>
      <c r="Q153" s="339" t="s">
        <v>2</v>
      </c>
      <c r="R153" s="346" t="s">
        <v>2</v>
      </c>
      <c r="S153" s="346">
        <v>7</v>
      </c>
      <c r="T153" s="340" t="s">
        <v>2</v>
      </c>
      <c r="U153" s="340" t="s">
        <v>2</v>
      </c>
      <c r="V153" s="340" t="s">
        <v>2</v>
      </c>
      <c r="W153" s="341" t="s">
        <v>2</v>
      </c>
      <c r="X153" s="339">
        <v>2</v>
      </c>
      <c r="Y153" s="340" t="s">
        <v>2</v>
      </c>
      <c r="Z153" s="340" t="s">
        <v>2</v>
      </c>
      <c r="AA153" s="340" t="s">
        <v>2</v>
      </c>
      <c r="AB153" s="340" t="s">
        <v>2</v>
      </c>
      <c r="AC153" s="340" t="s">
        <v>2</v>
      </c>
      <c r="AD153" s="340" t="s">
        <v>2</v>
      </c>
      <c r="AE153" s="340" t="s">
        <v>2</v>
      </c>
      <c r="AF153" s="340" t="s">
        <v>2</v>
      </c>
      <c r="AG153" s="341" t="s">
        <v>2</v>
      </c>
      <c r="AH153" s="340" t="s">
        <v>2</v>
      </c>
      <c r="AI153" s="340" t="s">
        <v>2</v>
      </c>
      <c r="AJ153" s="340" t="s">
        <v>2</v>
      </c>
      <c r="AK153" s="340" t="s">
        <v>2</v>
      </c>
      <c r="AL153" s="341" t="s">
        <v>2</v>
      </c>
      <c r="AM153" s="340" t="s">
        <v>2</v>
      </c>
      <c r="AN153" s="340" t="s">
        <v>2</v>
      </c>
      <c r="AO153" s="341" t="s">
        <v>2</v>
      </c>
      <c r="AP153" s="340" t="s">
        <v>2</v>
      </c>
      <c r="AQ153" s="340" t="s">
        <v>2</v>
      </c>
      <c r="AR153" s="340" t="s">
        <v>2</v>
      </c>
      <c r="AS153" s="340" t="s">
        <v>2</v>
      </c>
      <c r="AT153" s="340" t="s">
        <v>2</v>
      </c>
      <c r="AU153" s="340" t="s">
        <v>2</v>
      </c>
      <c r="AV153" s="341" t="s">
        <v>2</v>
      </c>
      <c r="AW153" s="340" t="s">
        <v>2</v>
      </c>
      <c r="AX153" s="340" t="s">
        <v>2</v>
      </c>
      <c r="AY153" s="340" t="s">
        <v>2</v>
      </c>
      <c r="AZ153" s="341" t="s">
        <v>2</v>
      </c>
      <c r="BA153" s="340" t="s">
        <v>2</v>
      </c>
      <c r="BB153" s="340" t="s">
        <v>2</v>
      </c>
      <c r="BC153" s="340" t="s">
        <v>2</v>
      </c>
      <c r="BD153" s="340" t="s">
        <v>2</v>
      </c>
      <c r="BE153" s="340" t="s">
        <v>2</v>
      </c>
      <c r="BF153" s="341" t="s">
        <v>2</v>
      </c>
      <c r="BG153" s="342" t="s">
        <v>2</v>
      </c>
      <c r="BH153" s="342" t="s">
        <v>2</v>
      </c>
      <c r="BI153" s="340" t="s">
        <v>2</v>
      </c>
      <c r="BJ153" s="340" t="s">
        <v>2</v>
      </c>
      <c r="BK153" s="340" t="s">
        <v>2</v>
      </c>
      <c r="BL153" s="340" t="s">
        <v>2</v>
      </c>
      <c r="BM153" s="340" t="s">
        <v>2</v>
      </c>
      <c r="BN153" s="340" t="s">
        <v>2</v>
      </c>
      <c r="BO153" s="340" t="s">
        <v>2</v>
      </c>
      <c r="BP153" s="340" t="s">
        <v>2</v>
      </c>
      <c r="BQ153" s="340" t="s">
        <v>2</v>
      </c>
      <c r="BR153" s="340" t="s">
        <v>2</v>
      </c>
      <c r="BS153" s="340" t="s">
        <v>2</v>
      </c>
      <c r="BT153" s="340" t="s">
        <v>2</v>
      </c>
      <c r="BU153" s="340" t="s">
        <v>2</v>
      </c>
      <c r="BV153" s="340" t="s">
        <v>2</v>
      </c>
      <c r="BW153" s="340" t="s">
        <v>2</v>
      </c>
      <c r="BX153" s="340" t="s">
        <v>2</v>
      </c>
      <c r="BY153" s="340" t="s">
        <v>2</v>
      </c>
      <c r="BZ153" s="341" t="s">
        <v>2</v>
      </c>
      <c r="CA153" s="340" t="s">
        <v>2</v>
      </c>
      <c r="CB153" s="340" t="s">
        <v>2</v>
      </c>
      <c r="CC153" s="340" t="s">
        <v>2</v>
      </c>
      <c r="CD153" s="340" t="s">
        <v>2</v>
      </c>
      <c r="CE153" s="340" t="s">
        <v>2</v>
      </c>
      <c r="CF153" s="340" t="s">
        <v>2</v>
      </c>
      <c r="CG153" s="341" t="s">
        <v>2</v>
      </c>
      <c r="CH153" s="340" t="s">
        <v>2</v>
      </c>
      <c r="CI153" s="341" t="s">
        <v>2</v>
      </c>
      <c r="CJ153" s="340" t="s">
        <v>2</v>
      </c>
      <c r="CK153" s="340" t="s">
        <v>2</v>
      </c>
      <c r="CL153" s="340" t="s">
        <v>2</v>
      </c>
      <c r="CM153" s="341" t="s">
        <v>2</v>
      </c>
      <c r="CN153" s="342" t="s">
        <v>2</v>
      </c>
      <c r="CO153" s="341" t="s">
        <v>2</v>
      </c>
    </row>
    <row r="154" spans="1:93" x14ac:dyDescent="0.25">
      <c r="A154" s="316">
        <v>16123</v>
      </c>
      <c r="B154" s="367" t="s">
        <v>2011</v>
      </c>
      <c r="C154" s="352"/>
      <c r="D154" s="293">
        <v>16</v>
      </c>
      <c r="E154" s="349">
        <v>0</v>
      </c>
      <c r="F154" s="340">
        <v>53</v>
      </c>
      <c r="G154" s="341">
        <v>221</v>
      </c>
      <c r="H154" s="341">
        <v>57</v>
      </c>
      <c r="I154" s="339">
        <v>2</v>
      </c>
      <c r="J154" s="339">
        <v>0</v>
      </c>
      <c r="K154" s="339">
        <v>11</v>
      </c>
      <c r="L154" s="339">
        <v>3</v>
      </c>
      <c r="M154" s="344">
        <v>2</v>
      </c>
      <c r="N154" s="346">
        <v>149</v>
      </c>
      <c r="O154" s="346">
        <v>2</v>
      </c>
      <c r="P154" s="339">
        <v>2</v>
      </c>
      <c r="Q154" s="339"/>
      <c r="R154" s="346">
        <v>14</v>
      </c>
      <c r="S154" s="346">
        <v>254</v>
      </c>
      <c r="T154" s="340" t="s">
        <v>2</v>
      </c>
      <c r="U154" s="340" t="s">
        <v>2</v>
      </c>
      <c r="V154" s="340" t="s">
        <v>2</v>
      </c>
      <c r="W154" s="341" t="s">
        <v>2</v>
      </c>
      <c r="X154" s="339">
        <v>24</v>
      </c>
      <c r="Y154" s="340" t="s">
        <v>2</v>
      </c>
      <c r="Z154" s="340" t="s">
        <v>2</v>
      </c>
      <c r="AA154" s="340">
        <v>1</v>
      </c>
      <c r="AB154" s="340" t="s">
        <v>2</v>
      </c>
      <c r="AC154" s="340" t="s">
        <v>2</v>
      </c>
      <c r="AD154" s="340" t="s">
        <v>2</v>
      </c>
      <c r="AE154" s="340" t="s">
        <v>2</v>
      </c>
      <c r="AF154" s="340" t="s">
        <v>2</v>
      </c>
      <c r="AG154" s="341" t="s">
        <v>2</v>
      </c>
      <c r="AH154" s="340" t="s">
        <v>2</v>
      </c>
      <c r="AI154" s="340" t="s">
        <v>2</v>
      </c>
      <c r="AJ154" s="340" t="s">
        <v>2</v>
      </c>
      <c r="AK154" s="340" t="s">
        <v>2</v>
      </c>
      <c r="AL154" s="341" t="s">
        <v>2</v>
      </c>
      <c r="AM154" s="340" t="s">
        <v>2</v>
      </c>
      <c r="AN154" s="340" t="s">
        <v>2</v>
      </c>
      <c r="AO154" s="341" t="s">
        <v>2</v>
      </c>
      <c r="AP154" s="340" t="s">
        <v>2</v>
      </c>
      <c r="AQ154" s="340" t="s">
        <v>2</v>
      </c>
      <c r="AR154" s="340" t="s">
        <v>2</v>
      </c>
      <c r="AS154" s="340" t="s">
        <v>2</v>
      </c>
      <c r="AT154" s="340" t="s">
        <v>2</v>
      </c>
      <c r="AU154" s="340" t="s">
        <v>2</v>
      </c>
      <c r="AV154" s="341" t="s">
        <v>2</v>
      </c>
      <c r="AW154" s="340" t="s">
        <v>2</v>
      </c>
      <c r="AX154" s="340" t="s">
        <v>2</v>
      </c>
      <c r="AY154" s="340" t="s">
        <v>2</v>
      </c>
      <c r="AZ154" s="341" t="s">
        <v>2</v>
      </c>
      <c r="BA154" s="340" t="s">
        <v>2</v>
      </c>
      <c r="BB154" s="340" t="s">
        <v>2</v>
      </c>
      <c r="BC154" s="340" t="s">
        <v>2</v>
      </c>
      <c r="BD154" s="340" t="s">
        <v>2</v>
      </c>
      <c r="BE154" s="340" t="s">
        <v>2</v>
      </c>
      <c r="BF154" s="341" t="s">
        <v>2</v>
      </c>
      <c r="BG154" s="342" t="s">
        <v>2</v>
      </c>
      <c r="BH154" s="342" t="s">
        <v>2</v>
      </c>
      <c r="BI154" s="340" t="s">
        <v>2</v>
      </c>
      <c r="BJ154" s="340" t="s">
        <v>2</v>
      </c>
      <c r="BK154" s="340" t="s">
        <v>2</v>
      </c>
      <c r="BL154" s="340" t="s">
        <v>2</v>
      </c>
      <c r="BM154" s="340" t="s">
        <v>2</v>
      </c>
      <c r="BN154" s="340" t="s">
        <v>2</v>
      </c>
      <c r="BO154" s="340" t="s">
        <v>2</v>
      </c>
      <c r="BP154" s="340" t="s">
        <v>2</v>
      </c>
      <c r="BQ154" s="340" t="s">
        <v>2</v>
      </c>
      <c r="BR154" s="340" t="s">
        <v>2</v>
      </c>
      <c r="BS154" s="340" t="s">
        <v>2</v>
      </c>
      <c r="BT154" s="340" t="s">
        <v>2</v>
      </c>
      <c r="BU154" s="340" t="s">
        <v>2</v>
      </c>
      <c r="BV154" s="340" t="s">
        <v>2</v>
      </c>
      <c r="BW154" s="340" t="s">
        <v>2</v>
      </c>
      <c r="BX154" s="340" t="s">
        <v>2</v>
      </c>
      <c r="BY154" s="340" t="s">
        <v>2</v>
      </c>
      <c r="BZ154" s="341" t="s">
        <v>2</v>
      </c>
      <c r="CA154" s="340" t="s">
        <v>2</v>
      </c>
      <c r="CB154" s="340" t="s">
        <v>2</v>
      </c>
      <c r="CC154" s="340" t="s">
        <v>2</v>
      </c>
      <c r="CD154" s="340" t="s">
        <v>2</v>
      </c>
      <c r="CE154" s="340" t="s">
        <v>2</v>
      </c>
      <c r="CF154" s="340" t="s">
        <v>2</v>
      </c>
      <c r="CG154" s="341" t="s">
        <v>2</v>
      </c>
      <c r="CH154" s="340" t="s">
        <v>2</v>
      </c>
      <c r="CI154" s="341" t="s">
        <v>2</v>
      </c>
      <c r="CJ154" s="340" t="s">
        <v>2</v>
      </c>
      <c r="CK154" s="340" t="s">
        <v>2</v>
      </c>
      <c r="CL154" s="340" t="s">
        <v>2</v>
      </c>
      <c r="CM154" s="341" t="s">
        <v>2</v>
      </c>
      <c r="CN154" s="342" t="s">
        <v>2</v>
      </c>
      <c r="CO154" s="341" t="s">
        <v>2</v>
      </c>
    </row>
    <row r="155" spans="1:93" x14ac:dyDescent="0.25">
      <c r="A155" s="316">
        <v>16124</v>
      </c>
      <c r="B155" s="367" t="s">
        <v>2012</v>
      </c>
      <c r="C155" s="352"/>
      <c r="D155" s="293">
        <v>16</v>
      </c>
      <c r="E155" s="349">
        <v>0</v>
      </c>
      <c r="F155" s="340">
        <v>59</v>
      </c>
      <c r="G155" s="341">
        <v>247</v>
      </c>
      <c r="H155" s="341">
        <v>40</v>
      </c>
      <c r="I155" s="339">
        <v>0.4</v>
      </c>
      <c r="J155" s="339">
        <v>0.05</v>
      </c>
      <c r="K155" s="339">
        <v>14.3</v>
      </c>
      <c r="L155" s="339">
        <v>0.5</v>
      </c>
      <c r="M155" s="344">
        <v>0.3</v>
      </c>
      <c r="N155" s="346">
        <v>13.5</v>
      </c>
      <c r="O155" s="346">
        <v>11</v>
      </c>
      <c r="P155" s="339">
        <v>0.7</v>
      </c>
      <c r="Q155" s="339">
        <v>0.06</v>
      </c>
      <c r="R155" s="346">
        <v>4.4000000000000004</v>
      </c>
      <c r="S155" s="346">
        <v>65</v>
      </c>
      <c r="T155" s="340">
        <v>4.3</v>
      </c>
      <c r="U155" s="340">
        <v>0.13</v>
      </c>
      <c r="V155" s="347">
        <v>36.450000000000003</v>
      </c>
      <c r="W155" s="341" t="s">
        <v>2</v>
      </c>
      <c r="X155" s="339">
        <v>11.2</v>
      </c>
      <c r="Y155" s="340">
        <v>0.02</v>
      </c>
      <c r="Z155" s="340">
        <v>0.01</v>
      </c>
      <c r="AA155" s="340">
        <v>0.2</v>
      </c>
      <c r="AB155" s="340" t="s">
        <v>2</v>
      </c>
      <c r="AC155" s="340" t="s">
        <v>2</v>
      </c>
      <c r="AD155" s="340" t="s">
        <v>2</v>
      </c>
      <c r="AE155" s="340" t="s">
        <v>2</v>
      </c>
      <c r="AF155" s="340" t="s">
        <v>2</v>
      </c>
      <c r="AG155" s="341" t="s">
        <v>2</v>
      </c>
      <c r="AH155" s="340" t="s">
        <v>2</v>
      </c>
      <c r="AI155" s="340" t="s">
        <v>2</v>
      </c>
      <c r="AJ155" s="340" t="s">
        <v>2</v>
      </c>
      <c r="AK155" s="340" t="s">
        <v>2</v>
      </c>
      <c r="AL155" s="341" t="s">
        <v>2</v>
      </c>
      <c r="AM155" s="340" t="s">
        <v>2</v>
      </c>
      <c r="AN155" s="340" t="s">
        <v>2</v>
      </c>
      <c r="AO155" s="341" t="s">
        <v>2</v>
      </c>
      <c r="AP155" s="340" t="s">
        <v>2</v>
      </c>
      <c r="AQ155" s="340" t="s">
        <v>2</v>
      </c>
      <c r="AR155" s="340" t="s">
        <v>2</v>
      </c>
      <c r="AS155" s="340" t="s">
        <v>2</v>
      </c>
      <c r="AT155" s="340" t="s">
        <v>2</v>
      </c>
      <c r="AU155" s="340" t="s">
        <v>2</v>
      </c>
      <c r="AV155" s="341" t="s">
        <v>2</v>
      </c>
      <c r="AW155" s="340" t="s">
        <v>2</v>
      </c>
      <c r="AX155" s="340" t="s">
        <v>2</v>
      </c>
      <c r="AY155" s="340" t="s">
        <v>2</v>
      </c>
      <c r="AZ155" s="341" t="s">
        <v>2</v>
      </c>
      <c r="BA155" s="340" t="s">
        <v>2</v>
      </c>
      <c r="BB155" s="340" t="s">
        <v>2</v>
      </c>
      <c r="BC155" s="340" t="s">
        <v>2</v>
      </c>
      <c r="BD155" s="340" t="s">
        <v>2</v>
      </c>
      <c r="BE155" s="340" t="s">
        <v>2</v>
      </c>
      <c r="BF155" s="341" t="s">
        <v>2</v>
      </c>
      <c r="BG155" s="342" t="s">
        <v>2</v>
      </c>
      <c r="BH155" s="342" t="s">
        <v>2</v>
      </c>
      <c r="BI155" s="340" t="s">
        <v>2</v>
      </c>
      <c r="BJ155" s="340" t="s">
        <v>2</v>
      </c>
      <c r="BK155" s="340" t="s">
        <v>2</v>
      </c>
      <c r="BL155" s="340" t="s">
        <v>2</v>
      </c>
      <c r="BM155" s="340" t="s">
        <v>2</v>
      </c>
      <c r="BN155" s="340" t="s">
        <v>2</v>
      </c>
      <c r="BO155" s="340" t="s">
        <v>2</v>
      </c>
      <c r="BP155" s="340" t="s">
        <v>2</v>
      </c>
      <c r="BQ155" s="340" t="s">
        <v>2</v>
      </c>
      <c r="BR155" s="340" t="s">
        <v>2</v>
      </c>
      <c r="BS155" s="340" t="s">
        <v>2</v>
      </c>
      <c r="BT155" s="340" t="s">
        <v>2</v>
      </c>
      <c r="BU155" s="340" t="s">
        <v>2</v>
      </c>
      <c r="BV155" s="340" t="s">
        <v>2</v>
      </c>
      <c r="BW155" s="340" t="s">
        <v>2</v>
      </c>
      <c r="BX155" s="340" t="s">
        <v>2</v>
      </c>
      <c r="BY155" s="340" t="s">
        <v>2</v>
      </c>
      <c r="BZ155" s="341" t="s">
        <v>2</v>
      </c>
      <c r="CA155" s="340" t="s">
        <v>2</v>
      </c>
      <c r="CB155" s="340" t="s">
        <v>2</v>
      </c>
      <c r="CC155" s="340" t="s">
        <v>2</v>
      </c>
      <c r="CD155" s="340" t="s">
        <v>2</v>
      </c>
      <c r="CE155" s="340" t="s">
        <v>2</v>
      </c>
      <c r="CF155" s="340" t="s">
        <v>2</v>
      </c>
      <c r="CG155" s="341" t="s">
        <v>2</v>
      </c>
      <c r="CH155" s="340" t="s">
        <v>2</v>
      </c>
      <c r="CI155" s="341" t="s">
        <v>2</v>
      </c>
      <c r="CJ155" s="340" t="s">
        <v>2</v>
      </c>
      <c r="CK155" s="340" t="s">
        <v>2</v>
      </c>
      <c r="CL155" s="340" t="s">
        <v>2</v>
      </c>
      <c r="CM155" s="341" t="s">
        <v>2</v>
      </c>
      <c r="CN155" s="342" t="s">
        <v>2</v>
      </c>
      <c r="CO155" s="341" t="s">
        <v>2</v>
      </c>
    </row>
    <row r="156" spans="1:93" x14ac:dyDescent="0.25">
      <c r="A156" s="316">
        <v>16125</v>
      </c>
      <c r="B156" s="367" t="s">
        <v>2013</v>
      </c>
      <c r="C156" s="352"/>
      <c r="D156" s="293">
        <v>16</v>
      </c>
      <c r="E156" s="349">
        <v>0</v>
      </c>
      <c r="F156" s="340">
        <v>83</v>
      </c>
      <c r="G156" s="341">
        <v>347</v>
      </c>
      <c r="H156" s="341">
        <v>50</v>
      </c>
      <c r="I156" s="339">
        <v>1.1000000000000001</v>
      </c>
      <c r="J156" s="339">
        <v>0.9</v>
      </c>
      <c r="K156" s="339">
        <v>17.600000000000001</v>
      </c>
      <c r="L156" s="339">
        <v>0.4</v>
      </c>
      <c r="M156" s="344">
        <v>0.39</v>
      </c>
      <c r="N156" s="346">
        <v>36.4</v>
      </c>
      <c r="O156" s="346">
        <v>34.9</v>
      </c>
      <c r="P156" s="339">
        <v>0.8</v>
      </c>
      <c r="Q156" s="339">
        <v>0.37</v>
      </c>
      <c r="R156" s="346">
        <v>21.1</v>
      </c>
      <c r="S156" s="346">
        <v>177.7</v>
      </c>
      <c r="T156" s="340">
        <v>7.5</v>
      </c>
      <c r="U156" s="340">
        <v>0.11</v>
      </c>
      <c r="V156" s="347">
        <v>45</v>
      </c>
      <c r="W156" s="341">
        <v>0.25</v>
      </c>
      <c r="X156" s="339">
        <v>20</v>
      </c>
      <c r="Y156" s="340">
        <v>0.04</v>
      </c>
      <c r="Z156" s="340">
        <v>0.05</v>
      </c>
      <c r="AA156" s="340">
        <v>0.27</v>
      </c>
      <c r="AB156" s="340" t="s">
        <v>2</v>
      </c>
      <c r="AC156" s="340" t="s">
        <v>2</v>
      </c>
      <c r="AD156" s="340" t="s">
        <v>2</v>
      </c>
      <c r="AE156" s="340" t="s">
        <v>2</v>
      </c>
      <c r="AF156" s="340" t="s">
        <v>2</v>
      </c>
      <c r="AG156" s="341" t="s">
        <v>2</v>
      </c>
      <c r="AH156" s="340">
        <v>5.8</v>
      </c>
      <c r="AI156" s="340" t="s">
        <v>2</v>
      </c>
      <c r="AJ156" s="340" t="s">
        <v>2</v>
      </c>
      <c r="AK156" s="340" t="s">
        <v>2</v>
      </c>
      <c r="AL156" s="341" t="s">
        <v>2</v>
      </c>
      <c r="AM156" s="340" t="s">
        <v>2</v>
      </c>
      <c r="AN156" s="340" t="s">
        <v>2</v>
      </c>
      <c r="AO156" s="341" t="s">
        <v>2</v>
      </c>
      <c r="AP156" s="340" t="s">
        <v>2</v>
      </c>
      <c r="AQ156" s="340" t="s">
        <v>2</v>
      </c>
      <c r="AR156" s="340" t="s">
        <v>2</v>
      </c>
      <c r="AS156" s="340" t="s">
        <v>2</v>
      </c>
      <c r="AT156" s="340" t="s">
        <v>2</v>
      </c>
      <c r="AU156" s="340" t="s">
        <v>2</v>
      </c>
      <c r="AV156" s="341" t="s">
        <v>2</v>
      </c>
      <c r="AW156" s="340" t="s">
        <v>2</v>
      </c>
      <c r="AX156" s="340" t="s">
        <v>2</v>
      </c>
      <c r="AY156" s="340" t="s">
        <v>2</v>
      </c>
      <c r="AZ156" s="341" t="s">
        <v>2</v>
      </c>
      <c r="BA156" s="340" t="s">
        <v>2</v>
      </c>
      <c r="BB156" s="340">
        <v>1.0999999999999999E-2</v>
      </c>
      <c r="BC156" s="340">
        <v>1.0999999999999999E-2</v>
      </c>
      <c r="BD156" s="340" t="s">
        <v>2</v>
      </c>
      <c r="BE156" s="340" t="s">
        <v>2</v>
      </c>
      <c r="BF156" s="341" t="s">
        <v>2</v>
      </c>
      <c r="BG156" s="342" t="s">
        <v>2</v>
      </c>
      <c r="BH156" s="336">
        <v>3.2</v>
      </c>
      <c r="BI156" s="340" t="s">
        <v>2</v>
      </c>
      <c r="BJ156" s="340" t="s">
        <v>2</v>
      </c>
      <c r="BK156" s="340" t="s">
        <v>2</v>
      </c>
      <c r="BL156" s="340" t="s">
        <v>2</v>
      </c>
      <c r="BM156" s="340" t="s">
        <v>2</v>
      </c>
      <c r="BN156" s="340" t="s">
        <v>2</v>
      </c>
      <c r="BO156" s="340" t="s">
        <v>2</v>
      </c>
      <c r="BP156" s="340" t="s">
        <v>2</v>
      </c>
      <c r="BQ156" s="340" t="s">
        <v>2</v>
      </c>
      <c r="BR156" s="340" t="s">
        <v>2</v>
      </c>
      <c r="BS156" s="340" t="s">
        <v>2</v>
      </c>
      <c r="BT156" s="340" t="s">
        <v>2</v>
      </c>
      <c r="BU156" s="340" t="s">
        <v>2</v>
      </c>
      <c r="BV156" s="340" t="s">
        <v>2</v>
      </c>
      <c r="BW156" s="340" t="s">
        <v>2</v>
      </c>
      <c r="BX156" s="340" t="s">
        <v>2</v>
      </c>
      <c r="BY156" s="340" t="s">
        <v>2</v>
      </c>
      <c r="BZ156" s="341" t="s">
        <v>2</v>
      </c>
      <c r="CA156" s="340" t="s">
        <v>2</v>
      </c>
      <c r="CB156" s="340" t="s">
        <v>2</v>
      </c>
      <c r="CC156" s="340" t="s">
        <v>2</v>
      </c>
      <c r="CD156" s="340" t="s">
        <v>2</v>
      </c>
      <c r="CE156" s="340" t="s">
        <v>2</v>
      </c>
      <c r="CF156" s="340" t="s">
        <v>2</v>
      </c>
      <c r="CG156" s="341" t="s">
        <v>2</v>
      </c>
      <c r="CH156" s="340" t="s">
        <v>2</v>
      </c>
      <c r="CI156" s="341" t="s">
        <v>2</v>
      </c>
      <c r="CJ156" s="340" t="s">
        <v>2</v>
      </c>
      <c r="CK156" s="340" t="s">
        <v>2</v>
      </c>
      <c r="CL156" s="340" t="s">
        <v>2</v>
      </c>
      <c r="CM156" s="341" t="s">
        <v>2</v>
      </c>
      <c r="CN156" s="342" t="s">
        <v>2</v>
      </c>
      <c r="CO156" s="341" t="s">
        <v>2</v>
      </c>
    </row>
    <row r="157" spans="1:93" x14ac:dyDescent="0.25">
      <c r="A157" s="316">
        <v>16126</v>
      </c>
      <c r="B157" s="367" t="s">
        <v>2014</v>
      </c>
      <c r="C157" s="352"/>
      <c r="D157" s="293">
        <v>16</v>
      </c>
      <c r="E157" s="349">
        <v>0</v>
      </c>
      <c r="F157" s="340">
        <v>116</v>
      </c>
      <c r="G157" s="341">
        <v>485</v>
      </c>
      <c r="H157" s="341">
        <v>56</v>
      </c>
      <c r="I157" s="339">
        <v>2</v>
      </c>
      <c r="J157" s="339">
        <v>4.5999999999999996</v>
      </c>
      <c r="K157" s="339">
        <v>16.7</v>
      </c>
      <c r="L157" s="339">
        <v>0.24</v>
      </c>
      <c r="M157" s="344">
        <v>0.66</v>
      </c>
      <c r="N157" s="346">
        <v>7.66</v>
      </c>
      <c r="O157" s="346">
        <v>71</v>
      </c>
      <c r="P157" s="339">
        <v>1.48</v>
      </c>
      <c r="Q157" s="339" t="s">
        <v>2</v>
      </c>
      <c r="R157" s="346">
        <v>19</v>
      </c>
      <c r="S157" s="346">
        <v>472</v>
      </c>
      <c r="T157" s="340" t="s">
        <v>2</v>
      </c>
      <c r="U157" s="340" t="s">
        <v>2</v>
      </c>
      <c r="V157" s="347" t="s">
        <v>2</v>
      </c>
      <c r="W157" s="341" t="s">
        <v>2</v>
      </c>
      <c r="X157" s="339" t="s">
        <v>2</v>
      </c>
      <c r="Y157" s="340">
        <v>1.0999999999999999E-2</v>
      </c>
      <c r="Z157" s="340">
        <v>0.04</v>
      </c>
      <c r="AA157" s="340">
        <v>0.05</v>
      </c>
      <c r="AB157" s="340" t="s">
        <v>2</v>
      </c>
      <c r="AC157" s="340" t="s">
        <v>2</v>
      </c>
      <c r="AD157" s="340" t="s">
        <v>2</v>
      </c>
      <c r="AE157" s="340" t="s">
        <v>2</v>
      </c>
      <c r="AF157" s="340" t="s">
        <v>2</v>
      </c>
      <c r="AG157" s="341" t="s">
        <v>2</v>
      </c>
      <c r="AH157" s="340">
        <v>5.8</v>
      </c>
      <c r="AI157" s="340" t="s">
        <v>2</v>
      </c>
      <c r="AJ157" s="340" t="s">
        <v>2</v>
      </c>
      <c r="AK157" s="340" t="s">
        <v>2</v>
      </c>
      <c r="AL157" s="341" t="s">
        <v>2</v>
      </c>
      <c r="AM157" s="340" t="s">
        <v>2</v>
      </c>
      <c r="AN157" s="340" t="s">
        <v>2</v>
      </c>
      <c r="AO157" s="341" t="s">
        <v>2</v>
      </c>
      <c r="AP157" s="340" t="s">
        <v>2</v>
      </c>
      <c r="AQ157" s="340" t="s">
        <v>2</v>
      </c>
      <c r="AR157" s="340" t="s">
        <v>2</v>
      </c>
      <c r="AS157" s="340" t="s">
        <v>2</v>
      </c>
      <c r="AT157" s="340" t="s">
        <v>2</v>
      </c>
      <c r="AU157" s="340" t="s">
        <v>2</v>
      </c>
      <c r="AV157" s="341" t="s">
        <v>2</v>
      </c>
      <c r="AW157" s="340" t="s">
        <v>2</v>
      </c>
      <c r="AX157" s="340" t="s">
        <v>2</v>
      </c>
      <c r="AY157" s="340" t="s">
        <v>2</v>
      </c>
      <c r="AZ157" s="341" t="s">
        <v>2</v>
      </c>
      <c r="BA157" s="340" t="s">
        <v>2</v>
      </c>
      <c r="BB157" s="340">
        <v>1.0999999999999999E-2</v>
      </c>
      <c r="BC157" s="340">
        <v>1.0999999999999999E-2</v>
      </c>
      <c r="BD157" s="340" t="s">
        <v>2</v>
      </c>
      <c r="BE157" s="340" t="s">
        <v>2</v>
      </c>
      <c r="BF157" s="341" t="s">
        <v>2</v>
      </c>
      <c r="BG157" s="342" t="s">
        <v>2</v>
      </c>
      <c r="BH157" s="336">
        <v>3.2</v>
      </c>
      <c r="BI157" s="340" t="s">
        <v>2</v>
      </c>
      <c r="BJ157" s="340" t="s">
        <v>2</v>
      </c>
      <c r="BK157" s="340" t="s">
        <v>2</v>
      </c>
      <c r="BL157" s="340" t="s">
        <v>2</v>
      </c>
      <c r="BM157" s="340" t="s">
        <v>2</v>
      </c>
      <c r="BN157" s="340" t="s">
        <v>2</v>
      </c>
      <c r="BO157" s="340" t="s">
        <v>2</v>
      </c>
      <c r="BP157" s="340" t="s">
        <v>2</v>
      </c>
      <c r="BQ157" s="340" t="s">
        <v>2</v>
      </c>
      <c r="BR157" s="340" t="s">
        <v>2</v>
      </c>
      <c r="BS157" s="340" t="s">
        <v>2</v>
      </c>
      <c r="BT157" s="340" t="s">
        <v>2</v>
      </c>
      <c r="BU157" s="340" t="s">
        <v>2</v>
      </c>
      <c r="BV157" s="340" t="s">
        <v>2</v>
      </c>
      <c r="BW157" s="340" t="s">
        <v>2</v>
      </c>
      <c r="BX157" s="340" t="s">
        <v>2</v>
      </c>
      <c r="BY157" s="340" t="s">
        <v>2</v>
      </c>
      <c r="BZ157" s="341" t="s">
        <v>2</v>
      </c>
      <c r="CA157" s="340" t="s">
        <v>2</v>
      </c>
      <c r="CB157" s="340" t="s">
        <v>2</v>
      </c>
      <c r="CC157" s="340" t="s">
        <v>2</v>
      </c>
      <c r="CD157" s="340" t="s">
        <v>2</v>
      </c>
      <c r="CE157" s="340" t="s">
        <v>2</v>
      </c>
      <c r="CF157" s="340" t="s">
        <v>2</v>
      </c>
      <c r="CG157" s="341" t="s">
        <v>2</v>
      </c>
      <c r="CH157" s="340" t="s">
        <v>2</v>
      </c>
      <c r="CI157" s="341" t="s">
        <v>2</v>
      </c>
      <c r="CJ157" s="340" t="s">
        <v>2</v>
      </c>
      <c r="CK157" s="340" t="s">
        <v>2</v>
      </c>
      <c r="CL157" s="340" t="s">
        <v>2</v>
      </c>
      <c r="CM157" s="341" t="s">
        <v>2</v>
      </c>
      <c r="CN157" s="342" t="s">
        <v>2</v>
      </c>
      <c r="CO157" s="341" t="s">
        <v>2</v>
      </c>
    </row>
    <row r="158" spans="1:93" x14ac:dyDescent="0.25">
      <c r="A158" s="316">
        <v>16127</v>
      </c>
      <c r="B158" s="367" t="s">
        <v>2015</v>
      </c>
      <c r="C158" s="352"/>
      <c r="D158" s="293">
        <v>16</v>
      </c>
      <c r="E158" s="349">
        <v>0</v>
      </c>
      <c r="F158" s="340">
        <v>101</v>
      </c>
      <c r="G158" s="341">
        <v>422</v>
      </c>
      <c r="H158" s="341">
        <v>75</v>
      </c>
      <c r="I158" s="339">
        <v>1.61</v>
      </c>
      <c r="J158" s="339">
        <v>0.88</v>
      </c>
      <c r="K158" s="339">
        <v>21.69</v>
      </c>
      <c r="L158" s="339">
        <v>0.48</v>
      </c>
      <c r="M158" s="344">
        <v>0.67</v>
      </c>
      <c r="N158" s="346">
        <v>63</v>
      </c>
      <c r="O158" s="346">
        <v>48</v>
      </c>
      <c r="P158" s="339">
        <v>2.15</v>
      </c>
      <c r="Q158" s="339">
        <v>0.08</v>
      </c>
      <c r="R158" s="346">
        <v>18</v>
      </c>
      <c r="S158" s="346">
        <v>217</v>
      </c>
      <c r="T158" s="340">
        <v>6.4</v>
      </c>
      <c r="U158" s="340">
        <v>0.67</v>
      </c>
      <c r="V158" s="347">
        <v>32</v>
      </c>
      <c r="W158" s="341" t="s">
        <v>2</v>
      </c>
      <c r="X158" s="339">
        <v>43.2</v>
      </c>
      <c r="Y158" s="340">
        <v>2.1999999999999999E-2</v>
      </c>
      <c r="Z158" s="340">
        <v>4.5999999999999999E-2</v>
      </c>
      <c r="AA158" s="340">
        <v>0.34</v>
      </c>
      <c r="AB158" s="340" t="s">
        <v>2</v>
      </c>
      <c r="AC158" s="340" t="s">
        <v>2</v>
      </c>
      <c r="AD158" s="340" t="s">
        <v>2</v>
      </c>
      <c r="AE158" s="340" t="s">
        <v>2</v>
      </c>
      <c r="AF158" s="340" t="s">
        <v>2</v>
      </c>
      <c r="AG158" s="341" t="s">
        <v>2</v>
      </c>
      <c r="AH158" s="340">
        <v>5.8</v>
      </c>
      <c r="AI158" s="340" t="s">
        <v>2</v>
      </c>
      <c r="AJ158" s="340" t="s">
        <v>2</v>
      </c>
      <c r="AK158" s="340" t="s">
        <v>2</v>
      </c>
      <c r="AL158" s="341" t="s">
        <v>2</v>
      </c>
      <c r="AM158" s="340" t="s">
        <v>2</v>
      </c>
      <c r="AN158" s="340" t="s">
        <v>2</v>
      </c>
      <c r="AO158" s="341" t="s">
        <v>2</v>
      </c>
      <c r="AP158" s="340" t="s">
        <v>2</v>
      </c>
      <c r="AQ158" s="340" t="s">
        <v>2</v>
      </c>
      <c r="AR158" s="340" t="s">
        <v>2</v>
      </c>
      <c r="AS158" s="340" t="s">
        <v>2</v>
      </c>
      <c r="AT158" s="340" t="s">
        <v>2</v>
      </c>
      <c r="AU158" s="340" t="s">
        <v>2</v>
      </c>
      <c r="AV158" s="341" t="s">
        <v>2</v>
      </c>
      <c r="AW158" s="340" t="s">
        <v>2</v>
      </c>
      <c r="AX158" s="340" t="s">
        <v>2</v>
      </c>
      <c r="AY158" s="340" t="s">
        <v>2</v>
      </c>
      <c r="AZ158" s="341" t="s">
        <v>2</v>
      </c>
      <c r="BA158" s="340" t="s">
        <v>2</v>
      </c>
      <c r="BB158" s="340">
        <v>1.0999999999999999E-2</v>
      </c>
      <c r="BC158" s="340">
        <v>1.0999999999999999E-2</v>
      </c>
      <c r="BD158" s="340" t="s">
        <v>2</v>
      </c>
      <c r="BE158" s="340" t="s">
        <v>2</v>
      </c>
      <c r="BF158" s="341" t="s">
        <v>2</v>
      </c>
      <c r="BG158" s="342" t="s">
        <v>2</v>
      </c>
      <c r="BH158" s="336">
        <v>3.2</v>
      </c>
      <c r="BI158" s="340" t="s">
        <v>2</v>
      </c>
      <c r="BJ158" s="340" t="s">
        <v>2</v>
      </c>
      <c r="BK158" s="340" t="s">
        <v>2</v>
      </c>
      <c r="BL158" s="340" t="s">
        <v>2</v>
      </c>
      <c r="BM158" s="340" t="s">
        <v>2</v>
      </c>
      <c r="BN158" s="340" t="s">
        <v>2</v>
      </c>
      <c r="BO158" s="340" t="s">
        <v>2</v>
      </c>
      <c r="BP158" s="340" t="s">
        <v>2</v>
      </c>
      <c r="BQ158" s="340" t="s">
        <v>2</v>
      </c>
      <c r="BR158" s="340" t="s">
        <v>2</v>
      </c>
      <c r="BS158" s="340" t="s">
        <v>2</v>
      </c>
      <c r="BT158" s="340" t="s">
        <v>2</v>
      </c>
      <c r="BU158" s="340" t="s">
        <v>2</v>
      </c>
      <c r="BV158" s="340" t="s">
        <v>2</v>
      </c>
      <c r="BW158" s="340" t="s">
        <v>2</v>
      </c>
      <c r="BX158" s="340" t="s">
        <v>2</v>
      </c>
      <c r="BY158" s="340" t="s">
        <v>2</v>
      </c>
      <c r="BZ158" s="341" t="s">
        <v>2</v>
      </c>
      <c r="CA158" s="340" t="s">
        <v>2</v>
      </c>
      <c r="CB158" s="340" t="s">
        <v>2</v>
      </c>
      <c r="CC158" s="340" t="s">
        <v>2</v>
      </c>
      <c r="CD158" s="340" t="s">
        <v>2</v>
      </c>
      <c r="CE158" s="340" t="s">
        <v>2</v>
      </c>
      <c r="CF158" s="340" t="s">
        <v>2</v>
      </c>
      <c r="CG158" s="341" t="s">
        <v>2</v>
      </c>
      <c r="CH158" s="340" t="s">
        <v>2</v>
      </c>
      <c r="CI158" s="341" t="s">
        <v>2</v>
      </c>
      <c r="CJ158" s="340" t="s">
        <v>2</v>
      </c>
      <c r="CK158" s="340" t="s">
        <v>2</v>
      </c>
      <c r="CL158" s="340" t="s">
        <v>2</v>
      </c>
      <c r="CM158" s="341" t="s">
        <v>2</v>
      </c>
      <c r="CN158" s="342" t="s">
        <v>2</v>
      </c>
      <c r="CO158" s="341" t="s">
        <v>2</v>
      </c>
    </row>
    <row r="159" spans="1:93" x14ac:dyDescent="0.25">
      <c r="A159" s="316">
        <v>16128</v>
      </c>
      <c r="B159" s="367" t="s">
        <v>2016</v>
      </c>
      <c r="C159" s="352"/>
      <c r="D159" s="293">
        <v>16</v>
      </c>
      <c r="E159" s="349">
        <v>0</v>
      </c>
      <c r="F159" s="340">
        <v>282</v>
      </c>
      <c r="G159" s="341">
        <v>1179</v>
      </c>
      <c r="H159" s="341" t="s">
        <v>2</v>
      </c>
      <c r="I159" s="339">
        <v>4.5999999999999996</v>
      </c>
      <c r="J159" s="339">
        <v>15.8</v>
      </c>
      <c r="K159" s="339">
        <v>30.3</v>
      </c>
      <c r="L159" s="339" t="s">
        <v>2</v>
      </c>
      <c r="M159" s="344" t="s">
        <v>2</v>
      </c>
      <c r="N159" s="339" t="s">
        <v>2</v>
      </c>
      <c r="O159" s="339" t="s">
        <v>2</v>
      </c>
      <c r="P159" s="339" t="s">
        <v>2</v>
      </c>
      <c r="Q159" s="339" t="s">
        <v>2</v>
      </c>
      <c r="R159" s="339" t="s">
        <v>2</v>
      </c>
      <c r="S159" s="339" t="s">
        <v>2</v>
      </c>
      <c r="T159" s="339" t="s">
        <v>2</v>
      </c>
      <c r="U159" s="339" t="s">
        <v>2</v>
      </c>
      <c r="V159" s="347" t="s">
        <v>2</v>
      </c>
      <c r="W159" s="344" t="s">
        <v>2</v>
      </c>
      <c r="X159" s="339" t="s">
        <v>2</v>
      </c>
      <c r="Y159" s="339" t="s">
        <v>2</v>
      </c>
      <c r="Z159" s="339" t="s">
        <v>2</v>
      </c>
      <c r="AA159" s="339" t="s">
        <v>2</v>
      </c>
      <c r="AB159" s="339" t="s">
        <v>2</v>
      </c>
      <c r="AC159" s="339" t="s">
        <v>2</v>
      </c>
      <c r="AD159" s="339" t="s">
        <v>2</v>
      </c>
      <c r="AE159" s="339" t="s">
        <v>2</v>
      </c>
      <c r="AF159" s="339" t="s">
        <v>2</v>
      </c>
      <c r="AG159" s="344" t="s">
        <v>2</v>
      </c>
      <c r="AH159" s="339" t="s">
        <v>2</v>
      </c>
      <c r="AI159" s="339" t="s">
        <v>2</v>
      </c>
      <c r="AJ159" s="339" t="s">
        <v>2</v>
      </c>
      <c r="AK159" s="339" t="s">
        <v>2</v>
      </c>
      <c r="AL159" s="344" t="s">
        <v>2</v>
      </c>
      <c r="AM159" s="339" t="s">
        <v>2</v>
      </c>
      <c r="AN159" s="339" t="s">
        <v>2</v>
      </c>
      <c r="AO159" s="344" t="s">
        <v>2</v>
      </c>
      <c r="AP159" s="339" t="s">
        <v>2</v>
      </c>
      <c r="AQ159" s="339" t="s">
        <v>2</v>
      </c>
      <c r="AR159" s="339" t="s">
        <v>2</v>
      </c>
      <c r="AS159" s="339" t="s">
        <v>2</v>
      </c>
      <c r="AT159" s="339" t="s">
        <v>2</v>
      </c>
      <c r="AU159" s="339" t="s">
        <v>2</v>
      </c>
      <c r="AV159" s="344" t="s">
        <v>2</v>
      </c>
      <c r="AW159" s="339" t="s">
        <v>2</v>
      </c>
      <c r="AX159" s="339" t="s">
        <v>2</v>
      </c>
      <c r="AY159" s="339" t="s">
        <v>2</v>
      </c>
      <c r="AZ159" s="344" t="s">
        <v>2</v>
      </c>
      <c r="BA159" s="339" t="s">
        <v>2</v>
      </c>
      <c r="BB159" s="339" t="s">
        <v>2</v>
      </c>
      <c r="BC159" s="339" t="s">
        <v>2</v>
      </c>
      <c r="BD159" s="339" t="s">
        <v>2</v>
      </c>
      <c r="BE159" s="339" t="s">
        <v>2</v>
      </c>
      <c r="BF159" s="344" t="s">
        <v>2</v>
      </c>
      <c r="BG159" s="338" t="s">
        <v>2</v>
      </c>
      <c r="BH159" s="338" t="s">
        <v>2</v>
      </c>
      <c r="BI159" s="339" t="s">
        <v>2</v>
      </c>
      <c r="BJ159" s="339" t="s">
        <v>2</v>
      </c>
      <c r="BK159" s="339" t="s">
        <v>2</v>
      </c>
      <c r="BL159" s="339" t="s">
        <v>2</v>
      </c>
      <c r="BM159" s="339" t="s">
        <v>2</v>
      </c>
      <c r="BN159" s="339" t="s">
        <v>2</v>
      </c>
      <c r="BO159" s="339" t="s">
        <v>2</v>
      </c>
      <c r="BP159" s="339" t="s">
        <v>2</v>
      </c>
      <c r="BQ159" s="339" t="s">
        <v>2</v>
      </c>
      <c r="BR159" s="339" t="s">
        <v>2</v>
      </c>
      <c r="BS159" s="339" t="s">
        <v>2</v>
      </c>
      <c r="BT159" s="339" t="s">
        <v>2</v>
      </c>
      <c r="BU159" s="339" t="s">
        <v>2</v>
      </c>
      <c r="BV159" s="339" t="s">
        <v>2</v>
      </c>
      <c r="BW159" s="339" t="s">
        <v>2</v>
      </c>
      <c r="BX159" s="339" t="s">
        <v>2</v>
      </c>
      <c r="BY159" s="339" t="s">
        <v>2</v>
      </c>
      <c r="BZ159" s="344" t="s">
        <v>2</v>
      </c>
      <c r="CA159" s="339" t="s">
        <v>2</v>
      </c>
      <c r="CB159" s="339" t="s">
        <v>2</v>
      </c>
      <c r="CC159" s="339" t="s">
        <v>2</v>
      </c>
      <c r="CD159" s="339" t="s">
        <v>2</v>
      </c>
      <c r="CE159" s="339" t="s">
        <v>2</v>
      </c>
      <c r="CF159" s="339" t="s">
        <v>2</v>
      </c>
      <c r="CG159" s="344" t="s">
        <v>2</v>
      </c>
      <c r="CH159" s="339" t="s">
        <v>2</v>
      </c>
      <c r="CI159" s="344" t="s">
        <v>2</v>
      </c>
      <c r="CJ159" s="339" t="s">
        <v>2</v>
      </c>
      <c r="CK159" s="339" t="s">
        <v>2</v>
      </c>
      <c r="CL159" s="339" t="s">
        <v>2</v>
      </c>
      <c r="CM159" s="344" t="s">
        <v>2</v>
      </c>
      <c r="CN159" s="338" t="s">
        <v>2</v>
      </c>
      <c r="CO159" s="344" t="s">
        <v>2</v>
      </c>
    </row>
    <row r="160" spans="1:93" x14ac:dyDescent="0.25">
      <c r="A160" s="316">
        <v>16129</v>
      </c>
      <c r="B160" s="367" t="s">
        <v>2017</v>
      </c>
      <c r="C160" s="352"/>
      <c r="D160" s="293">
        <v>16</v>
      </c>
      <c r="E160" s="349">
        <v>0</v>
      </c>
      <c r="F160" s="340">
        <v>173</v>
      </c>
      <c r="G160" s="341">
        <v>723</v>
      </c>
      <c r="H160" s="341" t="s">
        <v>2</v>
      </c>
      <c r="I160" s="339">
        <v>2.8</v>
      </c>
      <c r="J160" s="339">
        <v>7</v>
      </c>
      <c r="K160" s="339">
        <v>24</v>
      </c>
      <c r="L160" s="339" t="s">
        <v>2</v>
      </c>
      <c r="M160" s="344" t="s">
        <v>2</v>
      </c>
      <c r="N160" s="339" t="s">
        <v>2</v>
      </c>
      <c r="O160" s="339" t="s">
        <v>2</v>
      </c>
      <c r="P160" s="339" t="s">
        <v>2</v>
      </c>
      <c r="Q160" s="339" t="s">
        <v>2</v>
      </c>
      <c r="R160" s="339" t="s">
        <v>2</v>
      </c>
      <c r="S160" s="339" t="s">
        <v>2</v>
      </c>
      <c r="T160" s="339" t="s">
        <v>2</v>
      </c>
      <c r="U160" s="339" t="s">
        <v>2</v>
      </c>
      <c r="V160" s="347" t="s">
        <v>2</v>
      </c>
      <c r="W160" s="344" t="s">
        <v>2</v>
      </c>
      <c r="X160" s="339" t="s">
        <v>2</v>
      </c>
      <c r="Y160" s="339" t="s">
        <v>2</v>
      </c>
      <c r="Z160" s="339" t="s">
        <v>2</v>
      </c>
      <c r="AA160" s="339" t="s">
        <v>2</v>
      </c>
      <c r="AB160" s="339" t="s">
        <v>2</v>
      </c>
      <c r="AC160" s="339" t="s">
        <v>2</v>
      </c>
      <c r="AD160" s="339" t="s">
        <v>2</v>
      </c>
      <c r="AE160" s="339" t="s">
        <v>2</v>
      </c>
      <c r="AF160" s="339" t="s">
        <v>2</v>
      </c>
      <c r="AG160" s="344" t="s">
        <v>2</v>
      </c>
      <c r="AH160" s="339" t="s">
        <v>2</v>
      </c>
      <c r="AI160" s="339" t="s">
        <v>2</v>
      </c>
      <c r="AJ160" s="339" t="s">
        <v>2</v>
      </c>
      <c r="AK160" s="339" t="s">
        <v>2</v>
      </c>
      <c r="AL160" s="344" t="s">
        <v>2</v>
      </c>
      <c r="AM160" s="339" t="s">
        <v>2</v>
      </c>
      <c r="AN160" s="339" t="s">
        <v>2</v>
      </c>
      <c r="AO160" s="344" t="s">
        <v>2</v>
      </c>
      <c r="AP160" s="339" t="s">
        <v>2</v>
      </c>
      <c r="AQ160" s="339" t="s">
        <v>2</v>
      </c>
      <c r="AR160" s="339" t="s">
        <v>2</v>
      </c>
      <c r="AS160" s="339" t="s">
        <v>2</v>
      </c>
      <c r="AT160" s="339" t="s">
        <v>2</v>
      </c>
      <c r="AU160" s="339" t="s">
        <v>2</v>
      </c>
      <c r="AV160" s="344" t="s">
        <v>2</v>
      </c>
      <c r="AW160" s="339" t="s">
        <v>2</v>
      </c>
      <c r="AX160" s="339" t="s">
        <v>2</v>
      </c>
      <c r="AY160" s="339" t="s">
        <v>2</v>
      </c>
      <c r="AZ160" s="344" t="s">
        <v>2</v>
      </c>
      <c r="BA160" s="339" t="s">
        <v>2</v>
      </c>
      <c r="BB160" s="339" t="s">
        <v>2</v>
      </c>
      <c r="BC160" s="339" t="s">
        <v>2</v>
      </c>
      <c r="BD160" s="339" t="s">
        <v>2</v>
      </c>
      <c r="BE160" s="339" t="s">
        <v>2</v>
      </c>
      <c r="BF160" s="344" t="s">
        <v>2</v>
      </c>
      <c r="BG160" s="338" t="s">
        <v>2</v>
      </c>
      <c r="BH160" s="338" t="s">
        <v>2</v>
      </c>
      <c r="BI160" s="339" t="s">
        <v>2</v>
      </c>
      <c r="BJ160" s="339" t="s">
        <v>2</v>
      </c>
      <c r="BK160" s="339" t="s">
        <v>2</v>
      </c>
      <c r="BL160" s="339" t="s">
        <v>2</v>
      </c>
      <c r="BM160" s="339" t="s">
        <v>2</v>
      </c>
      <c r="BN160" s="339" t="s">
        <v>2</v>
      </c>
      <c r="BO160" s="339" t="s">
        <v>2</v>
      </c>
      <c r="BP160" s="339" t="s">
        <v>2</v>
      </c>
      <c r="BQ160" s="339" t="s">
        <v>2</v>
      </c>
      <c r="BR160" s="339" t="s">
        <v>2</v>
      </c>
      <c r="BS160" s="339" t="s">
        <v>2</v>
      </c>
      <c r="BT160" s="339" t="s">
        <v>2</v>
      </c>
      <c r="BU160" s="339" t="s">
        <v>2</v>
      </c>
      <c r="BV160" s="339" t="s">
        <v>2</v>
      </c>
      <c r="BW160" s="339" t="s">
        <v>2</v>
      </c>
      <c r="BX160" s="339" t="s">
        <v>2</v>
      </c>
      <c r="BY160" s="339" t="s">
        <v>2</v>
      </c>
      <c r="BZ160" s="344" t="s">
        <v>2</v>
      </c>
      <c r="CA160" s="339" t="s">
        <v>2</v>
      </c>
      <c r="CB160" s="339" t="s">
        <v>2</v>
      </c>
      <c r="CC160" s="339" t="s">
        <v>2</v>
      </c>
      <c r="CD160" s="339" t="s">
        <v>2</v>
      </c>
      <c r="CE160" s="339" t="s">
        <v>2</v>
      </c>
      <c r="CF160" s="339" t="s">
        <v>2</v>
      </c>
      <c r="CG160" s="344" t="s">
        <v>2</v>
      </c>
      <c r="CH160" s="339" t="s">
        <v>2</v>
      </c>
      <c r="CI160" s="344" t="s">
        <v>2</v>
      </c>
      <c r="CJ160" s="339" t="s">
        <v>2</v>
      </c>
      <c r="CK160" s="339" t="s">
        <v>2</v>
      </c>
      <c r="CL160" s="339" t="s">
        <v>2</v>
      </c>
      <c r="CM160" s="344" t="s">
        <v>2</v>
      </c>
      <c r="CN160" s="338" t="s">
        <v>2</v>
      </c>
      <c r="CO160" s="344" t="s">
        <v>2</v>
      </c>
    </row>
    <row r="161" spans="1:93" x14ac:dyDescent="0.25">
      <c r="A161" s="316">
        <v>16130</v>
      </c>
      <c r="B161" s="367" t="s">
        <v>2018</v>
      </c>
      <c r="C161" s="352"/>
      <c r="D161" s="293">
        <v>16</v>
      </c>
      <c r="E161" s="349">
        <v>0</v>
      </c>
      <c r="F161" s="340">
        <v>135</v>
      </c>
      <c r="G161" s="341">
        <v>564</v>
      </c>
      <c r="H161" s="341" t="s">
        <v>2</v>
      </c>
      <c r="I161" s="339">
        <v>2.4</v>
      </c>
      <c r="J161" s="339">
        <v>6.1</v>
      </c>
      <c r="K161" s="339">
        <v>17.600000000000001</v>
      </c>
      <c r="L161" s="340" t="s">
        <v>2</v>
      </c>
      <c r="M161" s="341" t="s">
        <v>2</v>
      </c>
      <c r="N161" s="340" t="s">
        <v>2</v>
      </c>
      <c r="O161" s="340" t="s">
        <v>2</v>
      </c>
      <c r="P161" s="340" t="s">
        <v>2</v>
      </c>
      <c r="Q161" s="340" t="s">
        <v>2</v>
      </c>
      <c r="R161" s="340" t="s">
        <v>2</v>
      </c>
      <c r="S161" s="340" t="s">
        <v>2</v>
      </c>
      <c r="T161" s="340" t="s">
        <v>2</v>
      </c>
      <c r="U161" s="340" t="s">
        <v>2</v>
      </c>
      <c r="V161" s="347" t="s">
        <v>2</v>
      </c>
      <c r="W161" s="341" t="s">
        <v>2</v>
      </c>
      <c r="X161" s="339" t="s">
        <v>2</v>
      </c>
      <c r="Y161" s="340" t="s">
        <v>2</v>
      </c>
      <c r="Z161" s="340" t="s">
        <v>2</v>
      </c>
      <c r="AA161" s="340" t="s">
        <v>2</v>
      </c>
      <c r="AB161" s="340" t="s">
        <v>2</v>
      </c>
      <c r="AC161" s="340" t="s">
        <v>2</v>
      </c>
      <c r="AD161" s="340" t="s">
        <v>2</v>
      </c>
      <c r="AE161" s="340" t="s">
        <v>2</v>
      </c>
      <c r="AF161" s="340" t="s">
        <v>2</v>
      </c>
      <c r="AG161" s="341" t="s">
        <v>2</v>
      </c>
      <c r="AH161" s="340" t="s">
        <v>2</v>
      </c>
      <c r="AI161" s="340" t="s">
        <v>2</v>
      </c>
      <c r="AJ161" s="340" t="s">
        <v>2</v>
      </c>
      <c r="AK161" s="340" t="s">
        <v>2</v>
      </c>
      <c r="AL161" s="341" t="s">
        <v>2</v>
      </c>
      <c r="AM161" s="340" t="s">
        <v>2</v>
      </c>
      <c r="AN161" s="340" t="s">
        <v>2</v>
      </c>
      <c r="AO161" s="341" t="s">
        <v>2</v>
      </c>
      <c r="AP161" s="340" t="s">
        <v>2</v>
      </c>
      <c r="AQ161" s="340" t="s">
        <v>2</v>
      </c>
      <c r="AR161" s="340" t="s">
        <v>2</v>
      </c>
      <c r="AS161" s="340" t="s">
        <v>2</v>
      </c>
      <c r="AT161" s="340" t="s">
        <v>2</v>
      </c>
      <c r="AU161" s="340" t="s">
        <v>2</v>
      </c>
      <c r="AV161" s="341" t="s">
        <v>2</v>
      </c>
      <c r="AW161" s="340" t="s">
        <v>2</v>
      </c>
      <c r="AX161" s="340" t="s">
        <v>2</v>
      </c>
      <c r="AY161" s="340" t="s">
        <v>2</v>
      </c>
      <c r="AZ161" s="341" t="s">
        <v>2</v>
      </c>
      <c r="BA161" s="340" t="s">
        <v>2</v>
      </c>
      <c r="BB161" s="340" t="s">
        <v>2</v>
      </c>
      <c r="BC161" s="340" t="s">
        <v>2</v>
      </c>
      <c r="BD161" s="340" t="s">
        <v>2</v>
      </c>
      <c r="BE161" s="340" t="s">
        <v>2</v>
      </c>
      <c r="BF161" s="341" t="s">
        <v>2</v>
      </c>
      <c r="BG161" s="342" t="s">
        <v>2</v>
      </c>
      <c r="BH161" s="342" t="s">
        <v>2</v>
      </c>
      <c r="BI161" s="340" t="s">
        <v>2</v>
      </c>
      <c r="BJ161" s="340" t="s">
        <v>2</v>
      </c>
      <c r="BK161" s="340" t="s">
        <v>2</v>
      </c>
      <c r="BL161" s="340" t="s">
        <v>2</v>
      </c>
      <c r="BM161" s="340" t="s">
        <v>2</v>
      </c>
      <c r="BN161" s="340" t="s">
        <v>2</v>
      </c>
      <c r="BO161" s="340" t="s">
        <v>2</v>
      </c>
      <c r="BP161" s="340" t="s">
        <v>2</v>
      </c>
      <c r="BQ161" s="340" t="s">
        <v>2</v>
      </c>
      <c r="BR161" s="340" t="s">
        <v>2</v>
      </c>
      <c r="BS161" s="340" t="s">
        <v>2</v>
      </c>
      <c r="BT161" s="340" t="s">
        <v>2</v>
      </c>
      <c r="BU161" s="340" t="s">
        <v>2</v>
      </c>
      <c r="BV161" s="340" t="s">
        <v>2</v>
      </c>
      <c r="BW161" s="340" t="s">
        <v>2</v>
      </c>
      <c r="BX161" s="340" t="s">
        <v>2</v>
      </c>
      <c r="BY161" s="340" t="s">
        <v>2</v>
      </c>
      <c r="BZ161" s="341" t="s">
        <v>2</v>
      </c>
      <c r="CA161" s="340" t="s">
        <v>2</v>
      </c>
      <c r="CB161" s="340" t="s">
        <v>2</v>
      </c>
      <c r="CC161" s="340" t="s">
        <v>2</v>
      </c>
      <c r="CD161" s="340" t="s">
        <v>2</v>
      </c>
      <c r="CE161" s="340" t="s">
        <v>2</v>
      </c>
      <c r="CF161" s="340" t="s">
        <v>2</v>
      </c>
      <c r="CG161" s="341" t="s">
        <v>2</v>
      </c>
      <c r="CH161" s="340" t="s">
        <v>2</v>
      </c>
      <c r="CI161" s="341" t="s">
        <v>2</v>
      </c>
      <c r="CJ161" s="340" t="s">
        <v>2</v>
      </c>
      <c r="CK161" s="340" t="s">
        <v>2</v>
      </c>
      <c r="CL161" s="340" t="s">
        <v>2</v>
      </c>
      <c r="CM161" s="341" t="s">
        <v>2</v>
      </c>
      <c r="CN161" s="342" t="s">
        <v>2</v>
      </c>
      <c r="CO161" s="341" t="s">
        <v>2</v>
      </c>
    </row>
    <row r="162" spans="1:93" x14ac:dyDescent="0.25">
      <c r="A162" s="316">
        <v>16131</v>
      </c>
      <c r="B162" s="367" t="s">
        <v>2019</v>
      </c>
      <c r="C162" s="352"/>
      <c r="D162" s="293">
        <v>16</v>
      </c>
      <c r="E162" s="349">
        <v>0</v>
      </c>
      <c r="F162" s="305">
        <v>568</v>
      </c>
      <c r="G162" s="341">
        <v>2374</v>
      </c>
      <c r="H162" s="341" t="s">
        <v>2</v>
      </c>
      <c r="I162" s="339">
        <v>13</v>
      </c>
      <c r="J162" s="339">
        <v>27</v>
      </c>
      <c r="K162" s="339">
        <v>56</v>
      </c>
      <c r="L162" s="339">
        <v>1.4</v>
      </c>
      <c r="M162" s="344" t="s">
        <v>2</v>
      </c>
      <c r="N162" s="340" t="s">
        <v>2</v>
      </c>
      <c r="O162" s="340" t="s">
        <v>2</v>
      </c>
      <c r="P162" s="340" t="s">
        <v>2</v>
      </c>
      <c r="Q162" s="340" t="s">
        <v>2</v>
      </c>
      <c r="R162" s="346">
        <v>700</v>
      </c>
      <c r="S162" s="340" t="s">
        <v>2</v>
      </c>
      <c r="T162" s="340" t="s">
        <v>2</v>
      </c>
      <c r="U162" s="340" t="s">
        <v>2</v>
      </c>
      <c r="V162" s="347" t="s">
        <v>2</v>
      </c>
      <c r="W162" s="341" t="s">
        <v>2</v>
      </c>
      <c r="X162" s="339" t="s">
        <v>2</v>
      </c>
      <c r="Y162" s="340" t="s">
        <v>2</v>
      </c>
      <c r="Z162" s="340" t="s">
        <v>2</v>
      </c>
      <c r="AA162" s="340" t="s">
        <v>2</v>
      </c>
      <c r="AB162" s="340" t="s">
        <v>2</v>
      </c>
      <c r="AC162" s="340" t="s">
        <v>2</v>
      </c>
      <c r="AD162" s="340" t="s">
        <v>2</v>
      </c>
      <c r="AE162" s="340" t="s">
        <v>2</v>
      </c>
      <c r="AF162" s="340" t="s">
        <v>2</v>
      </c>
      <c r="AG162" s="341" t="s">
        <v>2</v>
      </c>
      <c r="AH162" s="340" t="s">
        <v>2</v>
      </c>
      <c r="AI162" s="340" t="s">
        <v>2</v>
      </c>
      <c r="AJ162" s="340" t="s">
        <v>2</v>
      </c>
      <c r="AK162" s="340" t="s">
        <v>2</v>
      </c>
      <c r="AL162" s="341" t="s">
        <v>2</v>
      </c>
      <c r="AM162" s="340" t="s">
        <v>2</v>
      </c>
      <c r="AN162" s="340" t="s">
        <v>2</v>
      </c>
      <c r="AO162" s="341" t="s">
        <v>2</v>
      </c>
      <c r="AP162" s="340" t="s">
        <v>2</v>
      </c>
      <c r="AQ162" s="340" t="s">
        <v>2</v>
      </c>
      <c r="AR162" s="340" t="s">
        <v>2</v>
      </c>
      <c r="AS162" s="340" t="s">
        <v>2</v>
      </c>
      <c r="AT162" s="340" t="s">
        <v>2</v>
      </c>
      <c r="AU162" s="340" t="s">
        <v>2</v>
      </c>
      <c r="AV162" s="341" t="s">
        <v>2</v>
      </c>
      <c r="AW162" s="340" t="s">
        <v>2</v>
      </c>
      <c r="AX162" s="340" t="s">
        <v>2</v>
      </c>
      <c r="AY162" s="340" t="s">
        <v>2</v>
      </c>
      <c r="AZ162" s="341" t="s">
        <v>2</v>
      </c>
      <c r="BA162" s="340" t="s">
        <v>2</v>
      </c>
      <c r="BB162" s="340" t="s">
        <v>2</v>
      </c>
      <c r="BC162" s="340" t="s">
        <v>2</v>
      </c>
      <c r="BD162" s="340" t="s">
        <v>2</v>
      </c>
      <c r="BE162" s="340" t="s">
        <v>2</v>
      </c>
      <c r="BF162" s="341" t="s">
        <v>2</v>
      </c>
      <c r="BG162" s="342" t="s">
        <v>2</v>
      </c>
      <c r="BH162" s="342" t="s">
        <v>2</v>
      </c>
      <c r="BI162" s="340" t="s">
        <v>2</v>
      </c>
      <c r="BJ162" s="340" t="s">
        <v>2</v>
      </c>
      <c r="BK162" s="340" t="s">
        <v>2</v>
      </c>
      <c r="BL162" s="340" t="s">
        <v>2</v>
      </c>
      <c r="BM162" s="340" t="s">
        <v>2</v>
      </c>
      <c r="BN162" s="340" t="s">
        <v>2</v>
      </c>
      <c r="BO162" s="340" t="s">
        <v>2</v>
      </c>
      <c r="BP162" s="340" t="s">
        <v>2</v>
      </c>
      <c r="BQ162" s="340" t="s">
        <v>2</v>
      </c>
      <c r="BR162" s="340" t="s">
        <v>2</v>
      </c>
      <c r="BS162" s="340" t="s">
        <v>2</v>
      </c>
      <c r="BT162" s="340" t="s">
        <v>2</v>
      </c>
      <c r="BU162" s="340" t="s">
        <v>2</v>
      </c>
      <c r="BV162" s="340" t="s">
        <v>2</v>
      </c>
      <c r="BW162" s="340" t="s">
        <v>2</v>
      </c>
      <c r="BX162" s="340" t="s">
        <v>2</v>
      </c>
      <c r="BY162" s="340" t="s">
        <v>2</v>
      </c>
      <c r="BZ162" s="341" t="s">
        <v>2</v>
      </c>
      <c r="CA162" s="340" t="s">
        <v>2</v>
      </c>
      <c r="CB162" s="340" t="s">
        <v>2</v>
      </c>
      <c r="CC162" s="340" t="s">
        <v>2</v>
      </c>
      <c r="CD162" s="340" t="s">
        <v>2</v>
      </c>
      <c r="CE162" s="340" t="s">
        <v>2</v>
      </c>
      <c r="CF162" s="340" t="s">
        <v>2</v>
      </c>
      <c r="CG162" s="341" t="s">
        <v>2</v>
      </c>
      <c r="CH162" s="340" t="s">
        <v>2</v>
      </c>
      <c r="CI162" s="341" t="s">
        <v>2</v>
      </c>
      <c r="CJ162" s="340" t="s">
        <v>2</v>
      </c>
      <c r="CK162" s="340" t="s">
        <v>2</v>
      </c>
      <c r="CL162" s="340" t="s">
        <v>2</v>
      </c>
      <c r="CM162" s="341" t="s">
        <v>2</v>
      </c>
      <c r="CN162" s="342" t="s">
        <v>2</v>
      </c>
      <c r="CO162" s="341" t="s">
        <v>2</v>
      </c>
    </row>
    <row r="163" spans="1:93" x14ac:dyDescent="0.25">
      <c r="A163" s="316">
        <v>16132</v>
      </c>
      <c r="B163" s="367" t="s">
        <v>2020</v>
      </c>
      <c r="C163" s="352"/>
      <c r="D163" s="293">
        <v>16</v>
      </c>
      <c r="E163" s="349">
        <v>0</v>
      </c>
      <c r="F163" s="305">
        <v>533</v>
      </c>
      <c r="G163" s="341">
        <v>2228</v>
      </c>
      <c r="H163" s="341" t="s">
        <v>2</v>
      </c>
      <c r="I163" s="339">
        <v>12.8</v>
      </c>
      <c r="J163" s="339">
        <v>27.1</v>
      </c>
      <c r="K163" s="339">
        <v>59.6</v>
      </c>
      <c r="L163" s="339">
        <v>1.63</v>
      </c>
      <c r="M163" s="344" t="s">
        <v>2</v>
      </c>
      <c r="N163" s="340" t="s">
        <v>2</v>
      </c>
      <c r="O163" s="340" t="s">
        <v>2</v>
      </c>
      <c r="P163" s="340" t="s">
        <v>2</v>
      </c>
      <c r="Q163" s="340" t="s">
        <v>2</v>
      </c>
      <c r="R163" s="346">
        <v>779.2</v>
      </c>
      <c r="S163" s="340" t="s">
        <v>2</v>
      </c>
      <c r="T163" s="340" t="s">
        <v>2</v>
      </c>
      <c r="U163" s="340" t="s">
        <v>2</v>
      </c>
      <c r="V163" s="347" t="s">
        <v>2</v>
      </c>
      <c r="W163" s="341" t="s">
        <v>2</v>
      </c>
      <c r="X163" s="339" t="s">
        <v>2</v>
      </c>
      <c r="Y163" s="340" t="s">
        <v>2</v>
      </c>
      <c r="Z163" s="340" t="s">
        <v>2</v>
      </c>
      <c r="AA163" s="340" t="s">
        <v>2</v>
      </c>
      <c r="AB163" s="340" t="s">
        <v>2</v>
      </c>
      <c r="AC163" s="340" t="s">
        <v>2</v>
      </c>
      <c r="AD163" s="340" t="s">
        <v>2</v>
      </c>
      <c r="AE163" s="340" t="s">
        <v>2</v>
      </c>
      <c r="AF163" s="340" t="s">
        <v>2</v>
      </c>
      <c r="AG163" s="341" t="s">
        <v>2</v>
      </c>
      <c r="AH163" s="340" t="s">
        <v>2</v>
      </c>
      <c r="AI163" s="340" t="s">
        <v>2</v>
      </c>
      <c r="AJ163" s="340" t="s">
        <v>2</v>
      </c>
      <c r="AK163" s="340" t="s">
        <v>2</v>
      </c>
      <c r="AL163" s="341" t="s">
        <v>2</v>
      </c>
      <c r="AM163" s="340" t="s">
        <v>2</v>
      </c>
      <c r="AN163" s="340" t="s">
        <v>2</v>
      </c>
      <c r="AO163" s="341" t="s">
        <v>2</v>
      </c>
      <c r="AP163" s="340" t="s">
        <v>2</v>
      </c>
      <c r="AQ163" s="340" t="s">
        <v>2</v>
      </c>
      <c r="AR163" s="340" t="s">
        <v>2</v>
      </c>
      <c r="AS163" s="340" t="s">
        <v>2</v>
      </c>
      <c r="AT163" s="340" t="s">
        <v>2</v>
      </c>
      <c r="AU163" s="340" t="s">
        <v>2</v>
      </c>
      <c r="AV163" s="341" t="s">
        <v>2</v>
      </c>
      <c r="AW163" s="340" t="s">
        <v>2</v>
      </c>
      <c r="AX163" s="340" t="s">
        <v>2</v>
      </c>
      <c r="AY163" s="340" t="s">
        <v>2</v>
      </c>
      <c r="AZ163" s="341" t="s">
        <v>2</v>
      </c>
      <c r="BA163" s="340" t="s">
        <v>2</v>
      </c>
      <c r="BB163" s="340" t="s">
        <v>2</v>
      </c>
      <c r="BC163" s="340" t="s">
        <v>2</v>
      </c>
      <c r="BD163" s="340" t="s">
        <v>2</v>
      </c>
      <c r="BE163" s="340" t="s">
        <v>2</v>
      </c>
      <c r="BF163" s="341" t="s">
        <v>2</v>
      </c>
      <c r="BG163" s="342" t="s">
        <v>2</v>
      </c>
      <c r="BH163" s="336">
        <v>129.9</v>
      </c>
      <c r="BI163" s="340" t="s">
        <v>2</v>
      </c>
      <c r="BJ163" s="340" t="s">
        <v>2</v>
      </c>
      <c r="BK163" s="340" t="s">
        <v>2</v>
      </c>
      <c r="BL163" s="340" t="s">
        <v>2</v>
      </c>
      <c r="BM163" s="340" t="s">
        <v>2</v>
      </c>
      <c r="BN163" s="340" t="s">
        <v>2</v>
      </c>
      <c r="BO163" s="340" t="s">
        <v>2</v>
      </c>
      <c r="BP163" s="340" t="s">
        <v>2</v>
      </c>
      <c r="BQ163" s="340" t="s">
        <v>2</v>
      </c>
      <c r="BR163" s="340" t="s">
        <v>2</v>
      </c>
      <c r="BS163" s="340" t="s">
        <v>2</v>
      </c>
      <c r="BT163" s="340" t="s">
        <v>2</v>
      </c>
      <c r="BU163" s="340" t="s">
        <v>2</v>
      </c>
      <c r="BV163" s="340" t="s">
        <v>2</v>
      </c>
      <c r="BW163" s="340" t="s">
        <v>2</v>
      </c>
      <c r="BX163" s="340" t="s">
        <v>2</v>
      </c>
      <c r="BY163" s="340" t="s">
        <v>2</v>
      </c>
      <c r="BZ163" s="341" t="s">
        <v>2</v>
      </c>
      <c r="CA163" s="340" t="s">
        <v>2</v>
      </c>
      <c r="CB163" s="340" t="s">
        <v>2</v>
      </c>
      <c r="CC163" s="340" t="s">
        <v>2</v>
      </c>
      <c r="CD163" s="340" t="s">
        <v>2</v>
      </c>
      <c r="CE163" s="340" t="s">
        <v>2</v>
      </c>
      <c r="CF163" s="340" t="s">
        <v>2</v>
      </c>
      <c r="CG163" s="341" t="s">
        <v>2</v>
      </c>
      <c r="CH163" s="340" t="s">
        <v>2</v>
      </c>
      <c r="CI163" s="341" t="s">
        <v>2</v>
      </c>
      <c r="CJ163" s="340" t="s">
        <v>2</v>
      </c>
      <c r="CK163" s="340" t="s">
        <v>2</v>
      </c>
      <c r="CL163" s="340" t="s">
        <v>2</v>
      </c>
      <c r="CM163" s="341" t="s">
        <v>2</v>
      </c>
      <c r="CN163" s="342" t="s">
        <v>2</v>
      </c>
      <c r="CO163" s="341" t="s">
        <v>2</v>
      </c>
    </row>
    <row r="164" spans="1:93" x14ac:dyDescent="0.25">
      <c r="A164" s="316">
        <v>16133</v>
      </c>
      <c r="B164" s="367" t="s">
        <v>2021</v>
      </c>
      <c r="C164" s="352"/>
      <c r="D164" s="293">
        <v>16</v>
      </c>
      <c r="E164" s="349">
        <v>0</v>
      </c>
      <c r="F164" s="340">
        <v>570</v>
      </c>
      <c r="G164" s="341">
        <v>2337</v>
      </c>
      <c r="H164" s="341">
        <v>122</v>
      </c>
      <c r="I164" s="339">
        <v>1.4</v>
      </c>
      <c r="J164" s="339">
        <v>40.200000000000003</v>
      </c>
      <c r="K164" s="339">
        <v>51.3</v>
      </c>
      <c r="L164" s="339">
        <v>2.2999999999999998</v>
      </c>
      <c r="M164" s="344">
        <v>2.2000000000000002</v>
      </c>
      <c r="N164" s="340">
        <v>61</v>
      </c>
      <c r="O164" s="340">
        <v>89</v>
      </c>
      <c r="P164" s="339">
        <v>1.8</v>
      </c>
      <c r="Q164" s="339">
        <v>3.6</v>
      </c>
      <c r="R164" s="346">
        <v>56</v>
      </c>
      <c r="S164" s="346">
        <v>378</v>
      </c>
      <c r="T164" s="340">
        <v>362</v>
      </c>
      <c r="U164" s="339">
        <v>696.6</v>
      </c>
      <c r="V164" s="347">
        <v>468</v>
      </c>
      <c r="W164" s="341">
        <v>12.78</v>
      </c>
      <c r="X164" s="339">
        <v>41.4</v>
      </c>
      <c r="Y164" s="347">
        <v>0.09</v>
      </c>
      <c r="Z164" s="347">
        <v>0.09</v>
      </c>
      <c r="AA164" s="339">
        <v>1.1000000000000001</v>
      </c>
      <c r="AB164" s="340" t="s">
        <v>2</v>
      </c>
      <c r="AC164" s="340" t="s">
        <v>2</v>
      </c>
      <c r="AD164" s="340" t="s">
        <v>2</v>
      </c>
      <c r="AE164" s="340" t="s">
        <v>2</v>
      </c>
      <c r="AF164" s="340" t="s">
        <v>2</v>
      </c>
      <c r="AG164" s="341" t="s">
        <v>2</v>
      </c>
      <c r="AH164" s="340" t="s">
        <v>2</v>
      </c>
      <c r="AI164" s="340" t="s">
        <v>2</v>
      </c>
      <c r="AJ164" s="340" t="s">
        <v>2</v>
      </c>
      <c r="AK164" s="340" t="s">
        <v>2</v>
      </c>
      <c r="AL164" s="341" t="s">
        <v>2</v>
      </c>
      <c r="AM164" s="340" t="s">
        <v>2</v>
      </c>
      <c r="AN164" s="340" t="s">
        <v>2</v>
      </c>
      <c r="AO164" s="341" t="s">
        <v>2</v>
      </c>
      <c r="AP164" s="340" t="s">
        <v>2</v>
      </c>
      <c r="AQ164" s="340" t="s">
        <v>2</v>
      </c>
      <c r="AR164" s="340" t="s">
        <v>2</v>
      </c>
      <c r="AS164" s="340" t="s">
        <v>2</v>
      </c>
      <c r="AT164" s="340" t="s">
        <v>2</v>
      </c>
      <c r="AU164" s="340" t="s">
        <v>2</v>
      </c>
      <c r="AV164" s="341" t="s">
        <v>2</v>
      </c>
      <c r="AW164" s="340" t="s">
        <v>2</v>
      </c>
      <c r="AX164" s="340" t="s">
        <v>2</v>
      </c>
      <c r="AY164" s="340" t="s">
        <v>2</v>
      </c>
      <c r="AZ164" s="341" t="s">
        <v>2</v>
      </c>
      <c r="BA164" s="340" t="s">
        <v>2</v>
      </c>
      <c r="BB164" s="340" t="s">
        <v>2</v>
      </c>
      <c r="BC164" s="340" t="s">
        <v>2</v>
      </c>
      <c r="BD164" s="340" t="s">
        <v>2</v>
      </c>
      <c r="BE164" s="340" t="s">
        <v>2</v>
      </c>
      <c r="BF164" s="341" t="s">
        <v>2</v>
      </c>
      <c r="BG164" s="342" t="s">
        <v>2</v>
      </c>
      <c r="BH164" s="342" t="s">
        <v>2</v>
      </c>
      <c r="BI164" s="340" t="s">
        <v>2</v>
      </c>
      <c r="BJ164" s="340" t="s">
        <v>2</v>
      </c>
      <c r="BK164" s="340" t="s">
        <v>2</v>
      </c>
      <c r="BL164" s="340" t="s">
        <v>2</v>
      </c>
      <c r="BM164" s="340" t="s">
        <v>2</v>
      </c>
      <c r="BN164" s="340" t="s">
        <v>2</v>
      </c>
      <c r="BO164" s="340" t="s">
        <v>2</v>
      </c>
      <c r="BP164" s="340" t="s">
        <v>2</v>
      </c>
      <c r="BQ164" s="340" t="s">
        <v>2</v>
      </c>
      <c r="BR164" s="340" t="s">
        <v>2</v>
      </c>
      <c r="BS164" s="340" t="s">
        <v>2</v>
      </c>
      <c r="BT164" s="340" t="s">
        <v>2</v>
      </c>
      <c r="BU164" s="340" t="s">
        <v>2</v>
      </c>
      <c r="BV164" s="340" t="s">
        <v>2</v>
      </c>
      <c r="BW164" s="340" t="s">
        <v>2</v>
      </c>
      <c r="BX164" s="340" t="s">
        <v>2</v>
      </c>
      <c r="BY164" s="340" t="s">
        <v>2</v>
      </c>
      <c r="BZ164" s="341" t="s">
        <v>2</v>
      </c>
      <c r="CA164" s="340" t="s">
        <v>2</v>
      </c>
      <c r="CB164" s="340" t="s">
        <v>2</v>
      </c>
      <c r="CC164" s="340" t="s">
        <v>2</v>
      </c>
      <c r="CD164" s="340" t="s">
        <v>2</v>
      </c>
      <c r="CE164" s="340" t="s">
        <v>2</v>
      </c>
      <c r="CF164" s="340" t="s">
        <v>2</v>
      </c>
      <c r="CG164" s="341" t="s">
        <v>2</v>
      </c>
      <c r="CH164" s="340" t="s">
        <v>2</v>
      </c>
      <c r="CI164" s="341" t="s">
        <v>2</v>
      </c>
      <c r="CJ164" s="340" t="s">
        <v>2</v>
      </c>
      <c r="CK164" s="340" t="s">
        <v>2</v>
      </c>
      <c r="CL164" s="340" t="s">
        <v>2</v>
      </c>
      <c r="CM164" s="341" t="s">
        <v>2</v>
      </c>
      <c r="CN164" s="342" t="s">
        <v>2</v>
      </c>
      <c r="CO164" s="341" t="s">
        <v>2</v>
      </c>
    </row>
    <row r="165" spans="1:93" x14ac:dyDescent="0.25">
      <c r="A165" s="316">
        <v>16134</v>
      </c>
      <c r="B165" s="367" t="s">
        <v>2022</v>
      </c>
      <c r="C165" s="352"/>
      <c r="D165" s="293">
        <v>16</v>
      </c>
      <c r="E165" s="349">
        <v>0</v>
      </c>
      <c r="F165" s="340">
        <v>60</v>
      </c>
      <c r="G165" s="341">
        <v>251</v>
      </c>
      <c r="H165" s="341" t="s">
        <v>2</v>
      </c>
      <c r="I165" s="340" t="s">
        <v>2</v>
      </c>
      <c r="J165" s="340" t="s">
        <v>2</v>
      </c>
      <c r="K165" s="339">
        <v>15.6</v>
      </c>
      <c r="L165" s="339" t="s">
        <v>2</v>
      </c>
      <c r="M165" s="344" t="s">
        <v>2</v>
      </c>
      <c r="N165" s="339" t="s">
        <v>2</v>
      </c>
      <c r="O165" s="339" t="s">
        <v>2</v>
      </c>
      <c r="P165" s="339" t="s">
        <v>2</v>
      </c>
      <c r="Q165" s="339" t="s">
        <v>2</v>
      </c>
      <c r="R165" s="346">
        <v>24</v>
      </c>
      <c r="S165" s="346" t="s">
        <v>2</v>
      </c>
      <c r="T165" s="346" t="s">
        <v>2</v>
      </c>
      <c r="U165" s="346" t="s">
        <v>2</v>
      </c>
      <c r="V165" s="346" t="s">
        <v>2</v>
      </c>
      <c r="W165" s="350" t="s">
        <v>2</v>
      </c>
      <c r="X165" s="346" t="s">
        <v>2</v>
      </c>
      <c r="Y165" s="346" t="s">
        <v>2</v>
      </c>
      <c r="Z165" s="346" t="s">
        <v>2</v>
      </c>
      <c r="AA165" s="346" t="s">
        <v>2</v>
      </c>
      <c r="AB165" s="346" t="s">
        <v>2</v>
      </c>
      <c r="AC165" s="346" t="s">
        <v>2</v>
      </c>
      <c r="AD165" s="346" t="s">
        <v>2</v>
      </c>
      <c r="AE165" s="346" t="s">
        <v>2</v>
      </c>
      <c r="AF165" s="346" t="s">
        <v>2</v>
      </c>
      <c r="AG165" s="350" t="s">
        <v>2</v>
      </c>
      <c r="AH165" s="346" t="s">
        <v>2</v>
      </c>
      <c r="AI165" s="346" t="s">
        <v>2</v>
      </c>
      <c r="AJ165" s="346" t="s">
        <v>2</v>
      </c>
      <c r="AK165" s="346" t="s">
        <v>2</v>
      </c>
      <c r="AL165" s="350" t="s">
        <v>2</v>
      </c>
      <c r="AM165" s="346" t="s">
        <v>2</v>
      </c>
      <c r="AN165" s="346" t="s">
        <v>2</v>
      </c>
      <c r="AO165" s="350" t="s">
        <v>2</v>
      </c>
      <c r="AP165" s="346" t="s">
        <v>2</v>
      </c>
      <c r="AQ165" s="346" t="s">
        <v>2</v>
      </c>
      <c r="AR165" s="346" t="s">
        <v>2</v>
      </c>
      <c r="AS165" s="346" t="s">
        <v>2</v>
      </c>
      <c r="AT165" s="346" t="s">
        <v>2</v>
      </c>
      <c r="AU165" s="346" t="s">
        <v>2</v>
      </c>
      <c r="AV165" s="350" t="s">
        <v>2</v>
      </c>
      <c r="AW165" s="346" t="s">
        <v>2</v>
      </c>
      <c r="AX165" s="346" t="s">
        <v>2</v>
      </c>
      <c r="AY165" s="346" t="s">
        <v>2</v>
      </c>
      <c r="AZ165" s="350" t="s">
        <v>2</v>
      </c>
      <c r="BA165" s="346" t="s">
        <v>2</v>
      </c>
      <c r="BB165" s="346" t="s">
        <v>2</v>
      </c>
      <c r="BC165" s="346" t="s">
        <v>2</v>
      </c>
      <c r="BD165" s="346" t="s">
        <v>2</v>
      </c>
      <c r="BE165" s="346" t="s">
        <v>2</v>
      </c>
      <c r="BF165" s="350" t="s">
        <v>2</v>
      </c>
      <c r="BG165" s="343" t="s">
        <v>2</v>
      </c>
      <c r="BH165" s="343" t="s">
        <v>2</v>
      </c>
      <c r="BI165" s="346" t="s">
        <v>2</v>
      </c>
      <c r="BJ165" s="346" t="s">
        <v>2</v>
      </c>
      <c r="BK165" s="346" t="s">
        <v>2</v>
      </c>
      <c r="BL165" s="346" t="s">
        <v>2</v>
      </c>
      <c r="BM165" s="346" t="s">
        <v>2</v>
      </c>
      <c r="BN165" s="346" t="s">
        <v>2</v>
      </c>
      <c r="BO165" s="346" t="s">
        <v>2</v>
      </c>
      <c r="BP165" s="346" t="s">
        <v>2</v>
      </c>
      <c r="BQ165" s="346" t="s">
        <v>2</v>
      </c>
      <c r="BR165" s="346" t="s">
        <v>2</v>
      </c>
      <c r="BS165" s="346" t="s">
        <v>2</v>
      </c>
      <c r="BT165" s="346" t="s">
        <v>2</v>
      </c>
      <c r="BU165" s="346" t="s">
        <v>2</v>
      </c>
      <c r="BV165" s="346" t="s">
        <v>2</v>
      </c>
      <c r="BW165" s="346" t="s">
        <v>2</v>
      </c>
      <c r="BX165" s="346" t="s">
        <v>2</v>
      </c>
      <c r="BY165" s="346" t="s">
        <v>2</v>
      </c>
      <c r="BZ165" s="350" t="s">
        <v>2</v>
      </c>
      <c r="CA165" s="346" t="s">
        <v>2</v>
      </c>
      <c r="CB165" s="346" t="s">
        <v>2</v>
      </c>
      <c r="CC165" s="346" t="s">
        <v>2</v>
      </c>
      <c r="CD165" s="346" t="s">
        <v>2</v>
      </c>
      <c r="CE165" s="346" t="s">
        <v>2</v>
      </c>
      <c r="CF165" s="346" t="s">
        <v>2</v>
      </c>
      <c r="CG165" s="350" t="s">
        <v>2</v>
      </c>
      <c r="CH165" s="346" t="s">
        <v>2</v>
      </c>
      <c r="CI165" s="350" t="s">
        <v>2</v>
      </c>
      <c r="CJ165" s="346" t="s">
        <v>2</v>
      </c>
      <c r="CK165" s="346" t="s">
        <v>2</v>
      </c>
      <c r="CL165" s="346" t="s">
        <v>2</v>
      </c>
      <c r="CM165" s="350" t="s">
        <v>2</v>
      </c>
      <c r="CN165" s="343" t="s">
        <v>2</v>
      </c>
      <c r="CO165" s="350" t="s">
        <v>2</v>
      </c>
    </row>
    <row r="166" spans="1:93" x14ac:dyDescent="0.25">
      <c r="A166" s="316">
        <v>16135</v>
      </c>
      <c r="B166" s="370" t="s">
        <v>2023</v>
      </c>
      <c r="C166" s="352"/>
      <c r="D166" s="293">
        <v>16</v>
      </c>
      <c r="E166" s="349">
        <v>0</v>
      </c>
      <c r="F166" s="340">
        <v>79</v>
      </c>
      <c r="G166" s="341">
        <v>330</v>
      </c>
      <c r="H166" s="341" t="s">
        <v>2</v>
      </c>
      <c r="I166" s="359" t="s">
        <v>2</v>
      </c>
      <c r="J166" s="360" t="s">
        <v>2</v>
      </c>
      <c r="K166" s="371">
        <v>19.899999999999999</v>
      </c>
      <c r="L166" s="339" t="s">
        <v>2</v>
      </c>
      <c r="M166" s="344" t="s">
        <v>2</v>
      </c>
      <c r="N166" s="339" t="s">
        <v>2</v>
      </c>
      <c r="O166" s="339" t="s">
        <v>2</v>
      </c>
      <c r="P166" s="339" t="s">
        <v>2</v>
      </c>
      <c r="Q166" s="339" t="s">
        <v>2</v>
      </c>
      <c r="R166" s="339" t="s">
        <v>2</v>
      </c>
      <c r="S166" s="339" t="s">
        <v>2</v>
      </c>
      <c r="T166" s="339" t="s">
        <v>2</v>
      </c>
      <c r="U166" s="339" t="s">
        <v>2</v>
      </c>
      <c r="V166" s="339" t="s">
        <v>2</v>
      </c>
      <c r="W166" s="344" t="s">
        <v>2</v>
      </c>
      <c r="X166" s="339" t="s">
        <v>2</v>
      </c>
      <c r="Y166" s="339" t="s">
        <v>2</v>
      </c>
      <c r="Z166" s="339" t="s">
        <v>2</v>
      </c>
      <c r="AA166" s="339" t="s">
        <v>2</v>
      </c>
      <c r="AB166" s="339" t="s">
        <v>2</v>
      </c>
      <c r="AC166" s="339" t="s">
        <v>2</v>
      </c>
      <c r="AD166" s="339" t="s">
        <v>2</v>
      </c>
      <c r="AE166" s="339" t="s">
        <v>2</v>
      </c>
      <c r="AF166" s="339" t="s">
        <v>2</v>
      </c>
      <c r="AG166" s="344" t="s">
        <v>2</v>
      </c>
      <c r="AH166" s="339" t="s">
        <v>2</v>
      </c>
      <c r="AI166" s="339" t="s">
        <v>2</v>
      </c>
      <c r="AJ166" s="339" t="s">
        <v>2</v>
      </c>
      <c r="AK166" s="339" t="s">
        <v>2</v>
      </c>
      <c r="AL166" s="344" t="s">
        <v>2</v>
      </c>
      <c r="AM166" s="339" t="s">
        <v>2</v>
      </c>
      <c r="AN166" s="339" t="s">
        <v>2</v>
      </c>
      <c r="AO166" s="344" t="s">
        <v>2</v>
      </c>
      <c r="AP166" s="339" t="s">
        <v>2</v>
      </c>
      <c r="AQ166" s="339" t="s">
        <v>2</v>
      </c>
      <c r="AR166" s="339" t="s">
        <v>2</v>
      </c>
      <c r="AS166" s="339" t="s">
        <v>2</v>
      </c>
      <c r="AT166" s="339" t="s">
        <v>2</v>
      </c>
      <c r="AU166" s="339" t="s">
        <v>2</v>
      </c>
      <c r="AV166" s="344" t="s">
        <v>2</v>
      </c>
      <c r="AW166" s="339" t="s">
        <v>2</v>
      </c>
      <c r="AX166" s="339" t="s">
        <v>2</v>
      </c>
      <c r="AY166" s="339" t="s">
        <v>2</v>
      </c>
      <c r="AZ166" s="344" t="s">
        <v>2</v>
      </c>
      <c r="BA166" s="339" t="s">
        <v>2</v>
      </c>
      <c r="BB166" s="339" t="s">
        <v>2</v>
      </c>
      <c r="BC166" s="339" t="s">
        <v>2</v>
      </c>
      <c r="BD166" s="339" t="s">
        <v>2</v>
      </c>
      <c r="BE166" s="339" t="s">
        <v>2</v>
      </c>
      <c r="BF166" s="344" t="s">
        <v>2</v>
      </c>
      <c r="BG166" s="338" t="s">
        <v>2</v>
      </c>
      <c r="BH166" s="338" t="s">
        <v>2</v>
      </c>
      <c r="BI166" s="339" t="s">
        <v>2</v>
      </c>
      <c r="BJ166" s="339" t="s">
        <v>2</v>
      </c>
      <c r="BK166" s="339" t="s">
        <v>2</v>
      </c>
      <c r="BL166" s="339" t="s">
        <v>2</v>
      </c>
      <c r="BM166" s="339" t="s">
        <v>2</v>
      </c>
      <c r="BN166" s="339" t="s">
        <v>2</v>
      </c>
      <c r="BO166" s="339" t="s">
        <v>2</v>
      </c>
      <c r="BP166" s="339" t="s">
        <v>2</v>
      </c>
      <c r="BQ166" s="339" t="s">
        <v>2</v>
      </c>
      <c r="BR166" s="339" t="s">
        <v>2</v>
      </c>
      <c r="BS166" s="339" t="s">
        <v>2</v>
      </c>
      <c r="BT166" s="339" t="s">
        <v>2</v>
      </c>
      <c r="BU166" s="339" t="s">
        <v>2</v>
      </c>
      <c r="BV166" s="339" t="s">
        <v>2</v>
      </c>
      <c r="BW166" s="339" t="s">
        <v>2</v>
      </c>
      <c r="BX166" s="339" t="s">
        <v>2</v>
      </c>
      <c r="BY166" s="339" t="s">
        <v>2</v>
      </c>
      <c r="BZ166" s="344" t="s">
        <v>2</v>
      </c>
      <c r="CA166" s="339" t="s">
        <v>2</v>
      </c>
      <c r="CB166" s="339" t="s">
        <v>2</v>
      </c>
      <c r="CC166" s="339" t="s">
        <v>2</v>
      </c>
      <c r="CD166" s="339" t="s">
        <v>2</v>
      </c>
      <c r="CE166" s="339" t="s">
        <v>2</v>
      </c>
      <c r="CF166" s="339" t="s">
        <v>2</v>
      </c>
      <c r="CG166" s="344" t="s">
        <v>2</v>
      </c>
      <c r="CH166" s="339" t="s">
        <v>2</v>
      </c>
      <c r="CI166" s="344" t="s">
        <v>2</v>
      </c>
      <c r="CJ166" s="339" t="s">
        <v>2</v>
      </c>
      <c r="CK166" s="339" t="s">
        <v>2</v>
      </c>
      <c r="CL166" s="339" t="s">
        <v>2</v>
      </c>
      <c r="CM166" s="344" t="s">
        <v>2</v>
      </c>
      <c r="CN166" s="338" t="s">
        <v>2</v>
      </c>
      <c r="CO166" s="338" t="s">
        <v>2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O141"/>
  <sheetViews>
    <sheetView zoomScaleNormal="100" workbookViewId="0">
      <selection sqref="A1:XFD2"/>
    </sheetView>
  </sheetViews>
  <sheetFormatPr defaultColWidth="9.140625" defaultRowHeight="15.75" x14ac:dyDescent="0.25"/>
  <cols>
    <col min="1" max="1" width="15.42578125" style="58" customWidth="1"/>
    <col min="2" max="2" width="32.42578125" style="12" customWidth="1"/>
    <col min="3" max="3" width="45.28515625" style="12" customWidth="1"/>
    <col min="4" max="4" width="16.85546875" style="293" customWidth="1"/>
    <col min="5" max="5" width="7.85546875" style="12" bestFit="1" customWidth="1"/>
    <col min="6" max="6" width="11.42578125" style="12" bestFit="1" customWidth="1"/>
    <col min="7" max="7" width="8.7109375" style="12" bestFit="1" customWidth="1"/>
    <col min="8" max="8" width="7.5703125" style="12" bestFit="1" customWidth="1"/>
    <col min="9" max="9" width="10.140625" style="12" bestFit="1" customWidth="1"/>
    <col min="10" max="10" width="9.5703125" style="12" bestFit="1" customWidth="1"/>
    <col min="11" max="11" width="15.140625" style="12" bestFit="1" customWidth="1"/>
    <col min="12" max="12" width="8.140625" style="12" bestFit="1" customWidth="1"/>
    <col min="13" max="13" width="5.5703125" style="12" bestFit="1" customWidth="1"/>
    <col min="14" max="14" width="8" style="12" customWidth="1"/>
    <col min="15" max="15" width="12.5703125" style="12" bestFit="1" customWidth="1"/>
    <col min="16" max="16" width="5.5703125" style="12" bestFit="1" customWidth="1"/>
    <col min="17" max="17" width="5.7109375" style="12" bestFit="1" customWidth="1"/>
    <col min="18" max="18" width="7.85546875" style="12" bestFit="1" customWidth="1"/>
    <col min="19" max="19" width="10" style="12" bestFit="1" customWidth="1"/>
    <col min="20" max="21" width="11.140625" style="12" bestFit="1" customWidth="1"/>
    <col min="22" max="22" width="9.85546875" style="12" bestFit="1" customWidth="1"/>
    <col min="23" max="23" width="9" style="12" bestFit="1" customWidth="1"/>
    <col min="24" max="24" width="13.42578125" style="12" bestFit="1" customWidth="1"/>
    <col min="25" max="27" width="11" style="12" bestFit="1" customWidth="1"/>
    <col min="28" max="28" width="15.5703125" style="12" bestFit="1" customWidth="1"/>
    <col min="29" max="29" width="11" style="12" bestFit="1" customWidth="1"/>
    <col min="30" max="30" width="6.7109375" style="12" bestFit="1" customWidth="1"/>
    <col min="31" max="31" width="11" style="12" bestFit="1" customWidth="1"/>
    <col min="32" max="32" width="10" style="12" bestFit="1" customWidth="1"/>
    <col min="33" max="33" width="16.85546875" style="38" bestFit="1" customWidth="1"/>
    <col min="34" max="34" width="7.28515625" style="12" bestFit="1" customWidth="1"/>
    <col min="35" max="35" width="15.28515625" style="12" bestFit="1" customWidth="1"/>
    <col min="36" max="36" width="9.85546875" style="12" bestFit="1" customWidth="1"/>
    <col min="37" max="37" width="16.7109375" style="12" bestFit="1" customWidth="1"/>
    <col min="38" max="38" width="13.42578125" style="38" bestFit="1" customWidth="1"/>
    <col min="39" max="39" width="12.85546875" style="12" bestFit="1" customWidth="1"/>
    <col min="40" max="40" width="14.140625" style="12" bestFit="1" customWidth="1"/>
    <col min="41" max="41" width="17.7109375" style="12" bestFit="1" customWidth="1"/>
    <col min="42" max="42" width="23" style="12" bestFit="1" customWidth="1"/>
    <col min="43" max="43" width="8" style="12" bestFit="1" customWidth="1"/>
    <col min="44" max="44" width="9.140625" style="12" bestFit="1" customWidth="1"/>
    <col min="45" max="45" width="7.28515625" style="12" bestFit="1" customWidth="1"/>
    <col min="46" max="46" width="9.5703125" style="12" bestFit="1" customWidth="1"/>
    <col min="47" max="47" width="8.140625" style="12" bestFit="1" customWidth="1"/>
    <col min="48" max="48" width="10.28515625" style="12" bestFit="1" customWidth="1"/>
    <col min="49" max="49" width="33.28515625" style="12" bestFit="1" customWidth="1"/>
    <col min="50" max="50" width="10.85546875" style="12" bestFit="1" customWidth="1"/>
    <col min="51" max="51" width="10.5703125" style="12" bestFit="1" customWidth="1"/>
    <col min="52" max="52" width="9.85546875" style="12" bestFit="1" customWidth="1"/>
    <col min="53" max="53" width="35.28515625" style="12" bestFit="1" customWidth="1"/>
    <col min="54" max="54" width="9.85546875" style="12" bestFit="1" customWidth="1"/>
    <col min="55" max="55" width="9.5703125" style="12" bestFit="1" customWidth="1"/>
    <col min="56" max="56" width="11.85546875" style="12" bestFit="1" customWidth="1"/>
    <col min="57" max="57" width="16.5703125" style="12" bestFit="1" customWidth="1"/>
    <col min="58" max="58" width="16.85546875" style="12" bestFit="1" customWidth="1"/>
    <col min="59" max="59" width="19.7109375" style="12" bestFit="1" customWidth="1"/>
    <col min="60" max="60" width="11.140625" style="12" bestFit="1" customWidth="1"/>
    <col min="61" max="61" width="7.5703125" style="12" bestFit="1" customWidth="1"/>
    <col min="62" max="62" width="9.85546875" style="12" bestFit="1" customWidth="1"/>
    <col min="63" max="63" width="11.28515625" style="12" bestFit="1" customWidth="1"/>
    <col min="64" max="64" width="11.85546875" style="12" bestFit="1" customWidth="1"/>
    <col min="65" max="65" width="8.85546875" style="12" bestFit="1" customWidth="1"/>
    <col min="66" max="66" width="7.5703125" style="12" bestFit="1" customWidth="1"/>
    <col min="67" max="67" width="8.7109375" style="12" bestFit="1" customWidth="1"/>
    <col min="68" max="68" width="8.85546875" style="12" bestFit="1" customWidth="1"/>
    <col min="69" max="69" width="7.5703125" style="12" bestFit="1" customWidth="1"/>
    <col min="70" max="72" width="7.7109375" style="12" bestFit="1" customWidth="1"/>
    <col min="73" max="73" width="7.5703125" style="12" bestFit="1" customWidth="1"/>
    <col min="74" max="74" width="12" style="12" bestFit="1" customWidth="1"/>
    <col min="75" max="75" width="13.7109375" style="12" bestFit="1" customWidth="1"/>
    <col min="76" max="76" width="7.5703125" style="12" bestFit="1" customWidth="1"/>
    <col min="77" max="77" width="8.7109375" style="12" bestFit="1" customWidth="1"/>
    <col min="78" max="78" width="7.5703125" style="12" bestFit="1" customWidth="1"/>
    <col min="79" max="79" width="14.28515625" style="12" bestFit="1" customWidth="1"/>
    <col min="80" max="80" width="9.85546875" style="12" bestFit="1" customWidth="1"/>
    <col min="81" max="81" width="8.28515625" style="12" bestFit="1" customWidth="1"/>
    <col min="82" max="82" width="8.140625" style="12" bestFit="1" customWidth="1"/>
    <col min="83" max="83" width="8.85546875" style="12" bestFit="1" customWidth="1"/>
    <col min="84" max="84" width="8.28515625" style="12" bestFit="1" customWidth="1"/>
    <col min="85" max="85" width="9.28515625" style="12" bestFit="1" customWidth="1"/>
    <col min="86" max="86" width="8.85546875" style="12" bestFit="1" customWidth="1"/>
    <col min="87" max="87" width="18.5703125" style="12" bestFit="1" customWidth="1"/>
    <col min="88" max="88" width="16.85546875" style="12" bestFit="1" customWidth="1"/>
    <col min="89" max="89" width="8.7109375" style="12" bestFit="1" customWidth="1"/>
    <col min="90" max="90" width="9.140625" style="12" bestFit="1" customWidth="1"/>
    <col min="91" max="91" width="8.140625" style="12" bestFit="1" customWidth="1"/>
    <col min="92" max="92" width="10.85546875" style="12" bestFit="1" customWidth="1"/>
    <col min="93" max="93" width="6.42578125" style="12" bestFit="1" customWidth="1"/>
    <col min="94" max="16384" width="9.140625" style="12"/>
  </cols>
  <sheetData>
    <row r="1" spans="1:93" ht="22.5" customHeight="1" x14ac:dyDescent="0.25">
      <c r="A1" s="379" t="s">
        <v>577</v>
      </c>
      <c r="B1" s="378" t="s">
        <v>1812</v>
      </c>
      <c r="C1" s="378" t="s">
        <v>1813</v>
      </c>
      <c r="D1" s="380" t="s">
        <v>1809</v>
      </c>
      <c r="E1" s="378" t="s">
        <v>0</v>
      </c>
      <c r="F1" s="378" t="s">
        <v>1810</v>
      </c>
      <c r="G1" s="377" t="s">
        <v>1811</v>
      </c>
      <c r="H1" s="195" t="s">
        <v>2024</v>
      </c>
      <c r="I1" s="195" t="s">
        <v>2025</v>
      </c>
      <c r="J1" s="195" t="s">
        <v>2026</v>
      </c>
      <c r="K1" s="195" t="s">
        <v>2027</v>
      </c>
      <c r="L1" s="195" t="s">
        <v>2028</v>
      </c>
      <c r="M1" s="195" t="s">
        <v>2029</v>
      </c>
      <c r="N1" s="195" t="s">
        <v>2030</v>
      </c>
      <c r="O1" s="195" t="s">
        <v>2031</v>
      </c>
      <c r="P1" s="195" t="s">
        <v>2032</v>
      </c>
      <c r="Q1" s="195" t="s">
        <v>2033</v>
      </c>
      <c r="R1" s="195" t="s">
        <v>2034</v>
      </c>
      <c r="S1" s="195" t="s">
        <v>2035</v>
      </c>
      <c r="T1" s="195" t="s">
        <v>2036</v>
      </c>
      <c r="U1" s="195" t="s">
        <v>2037</v>
      </c>
      <c r="V1" s="195" t="s">
        <v>2038</v>
      </c>
      <c r="W1" s="195" t="s">
        <v>2039</v>
      </c>
      <c r="X1" s="195" t="s">
        <v>2040</v>
      </c>
      <c r="Y1" s="195" t="s">
        <v>2041</v>
      </c>
      <c r="Z1" s="195" t="s">
        <v>2042</v>
      </c>
      <c r="AA1" s="195" t="s">
        <v>2043</v>
      </c>
      <c r="AB1" s="195" t="s">
        <v>2044</v>
      </c>
      <c r="AC1" s="195" t="s">
        <v>2045</v>
      </c>
      <c r="AD1" s="195" t="s">
        <v>2046</v>
      </c>
      <c r="AE1" s="195" t="s">
        <v>2047</v>
      </c>
      <c r="AF1" s="195" t="s">
        <v>2048</v>
      </c>
      <c r="AG1" s="195" t="s">
        <v>2049</v>
      </c>
      <c r="AH1" s="195" t="s">
        <v>2050</v>
      </c>
      <c r="AI1" s="195" t="s">
        <v>2051</v>
      </c>
      <c r="AJ1" s="195" t="s">
        <v>2052</v>
      </c>
      <c r="AK1" s="195" t="s">
        <v>2053</v>
      </c>
      <c r="AL1" s="195" t="s">
        <v>2054</v>
      </c>
      <c r="AM1" s="195" t="s">
        <v>2055</v>
      </c>
      <c r="AN1" s="195" t="s">
        <v>2056</v>
      </c>
      <c r="AO1" s="195" t="s">
        <v>2057</v>
      </c>
      <c r="AP1" s="195" t="s">
        <v>2058</v>
      </c>
      <c r="AQ1" s="195" t="s">
        <v>2059</v>
      </c>
      <c r="AR1" s="195" t="s">
        <v>2060</v>
      </c>
      <c r="AS1" s="195" t="s">
        <v>2061</v>
      </c>
      <c r="AT1" s="195" t="s">
        <v>2062</v>
      </c>
      <c r="AU1" s="195" t="s">
        <v>2063</v>
      </c>
      <c r="AV1" s="195" t="s">
        <v>2064</v>
      </c>
      <c r="AW1" s="195" t="s">
        <v>2065</v>
      </c>
      <c r="AX1" s="195" t="s">
        <v>2066</v>
      </c>
      <c r="AY1" s="195" t="s">
        <v>2067</v>
      </c>
      <c r="AZ1" s="195" t="s">
        <v>2068</v>
      </c>
      <c r="BA1" s="195" t="s">
        <v>2069</v>
      </c>
      <c r="BB1" s="195" t="s">
        <v>2070</v>
      </c>
      <c r="BC1" s="195" t="s">
        <v>2071</v>
      </c>
      <c r="BD1" s="195" t="s">
        <v>2072</v>
      </c>
      <c r="BE1" s="195" t="s">
        <v>2073</v>
      </c>
      <c r="BF1" s="195" t="s">
        <v>2074</v>
      </c>
      <c r="BG1" s="195" t="s">
        <v>2075</v>
      </c>
      <c r="BH1" s="195" t="s">
        <v>2076</v>
      </c>
      <c r="BI1" s="195" t="s">
        <v>2077</v>
      </c>
      <c r="BJ1" s="195" t="s">
        <v>2078</v>
      </c>
      <c r="BK1" s="195" t="s">
        <v>2079</v>
      </c>
      <c r="BL1" s="195" t="s">
        <v>2080</v>
      </c>
      <c r="BM1" s="195" t="s">
        <v>2081</v>
      </c>
      <c r="BN1" s="195" t="s">
        <v>2082</v>
      </c>
      <c r="BO1" s="195" t="s">
        <v>2083</v>
      </c>
      <c r="BP1" s="195" t="s">
        <v>2084</v>
      </c>
      <c r="BQ1" s="195" t="s">
        <v>2085</v>
      </c>
      <c r="BR1" s="195" t="s">
        <v>2086</v>
      </c>
      <c r="BS1" s="195" t="s">
        <v>2087</v>
      </c>
      <c r="BT1" s="195" t="s">
        <v>2088</v>
      </c>
      <c r="BU1" s="195" t="s">
        <v>2089</v>
      </c>
      <c r="BV1" s="195" t="s">
        <v>2090</v>
      </c>
      <c r="BW1" s="195" t="s">
        <v>2091</v>
      </c>
      <c r="BX1" s="195" t="s">
        <v>2092</v>
      </c>
      <c r="BY1" s="195" t="s">
        <v>2093</v>
      </c>
      <c r="BZ1" s="195" t="s">
        <v>2094</v>
      </c>
      <c r="CA1" s="195" t="s">
        <v>2095</v>
      </c>
      <c r="CB1" s="195" t="s">
        <v>2096</v>
      </c>
      <c r="CC1" s="195" t="s">
        <v>2097</v>
      </c>
      <c r="CD1" s="195" t="s">
        <v>2098</v>
      </c>
      <c r="CE1" s="195" t="s">
        <v>2099</v>
      </c>
      <c r="CF1" s="195" t="s">
        <v>2100</v>
      </c>
      <c r="CG1" s="195" t="s">
        <v>2101</v>
      </c>
      <c r="CH1" s="195" t="s">
        <v>2102</v>
      </c>
      <c r="CI1" s="195" t="s">
        <v>2103</v>
      </c>
      <c r="CJ1" s="195" t="s">
        <v>2104</v>
      </c>
      <c r="CK1" s="195" t="s">
        <v>2105</v>
      </c>
      <c r="CL1" s="195" t="s">
        <v>2106</v>
      </c>
      <c r="CM1" s="195" t="s">
        <v>2107</v>
      </c>
      <c r="CN1" s="195" t="s">
        <v>2108</v>
      </c>
      <c r="CO1" s="195" t="s">
        <v>2109</v>
      </c>
    </row>
    <row r="2" spans="1:93" s="286" customFormat="1" ht="2.25" customHeight="1" x14ac:dyDescent="0.25">
      <c r="A2" s="379"/>
      <c r="B2" s="378"/>
      <c r="C2" s="378"/>
      <c r="D2" s="380"/>
      <c r="E2" s="378"/>
      <c r="F2" s="378"/>
      <c r="G2" s="378"/>
      <c r="H2" s="372">
        <v>1</v>
      </c>
      <c r="I2" s="372">
        <v>2</v>
      </c>
      <c r="J2" s="286">
        <v>3</v>
      </c>
      <c r="K2" s="286">
        <v>4</v>
      </c>
      <c r="L2" s="286">
        <v>5</v>
      </c>
      <c r="M2" s="286">
        <v>6</v>
      </c>
      <c r="N2" s="286">
        <v>14</v>
      </c>
      <c r="O2" s="286">
        <v>18</v>
      </c>
      <c r="P2" s="286">
        <v>15</v>
      </c>
      <c r="Q2" s="286">
        <v>21</v>
      </c>
      <c r="R2" s="286">
        <v>20</v>
      </c>
      <c r="S2" s="286">
        <v>19</v>
      </c>
      <c r="T2" s="286">
        <v>16</v>
      </c>
      <c r="U2" s="286">
        <v>17</v>
      </c>
      <c r="V2" s="286">
        <v>22</v>
      </c>
      <c r="W2" s="286">
        <v>23</v>
      </c>
      <c r="X2" s="286">
        <v>24</v>
      </c>
      <c r="Y2" s="286">
        <v>25</v>
      </c>
      <c r="Z2" s="286">
        <v>26</v>
      </c>
      <c r="AA2" s="286">
        <v>27</v>
      </c>
      <c r="AB2" s="286">
        <v>28</v>
      </c>
      <c r="AC2" s="286">
        <v>29</v>
      </c>
      <c r="AD2" s="286">
        <v>30</v>
      </c>
      <c r="AE2" s="286">
        <v>31</v>
      </c>
      <c r="AF2" s="286">
        <v>32</v>
      </c>
      <c r="AG2" s="286">
        <v>33</v>
      </c>
      <c r="AH2" s="286">
        <v>86</v>
      </c>
      <c r="AI2" s="286">
        <v>34</v>
      </c>
      <c r="AJ2" s="286">
        <v>35</v>
      </c>
      <c r="AK2" s="286">
        <v>36</v>
      </c>
      <c r="AL2" s="286">
        <v>37</v>
      </c>
      <c r="AM2" s="286">
        <v>38</v>
      </c>
      <c r="AN2" s="286">
        <v>39</v>
      </c>
      <c r="AO2" s="286">
        <v>40</v>
      </c>
      <c r="AP2" s="286">
        <v>48</v>
      </c>
      <c r="AQ2" s="286">
        <v>49</v>
      </c>
      <c r="AR2" s="286">
        <v>50</v>
      </c>
      <c r="AS2" s="286">
        <v>51</v>
      </c>
      <c r="AT2" s="286">
        <v>52</v>
      </c>
      <c r="AU2" s="286">
        <v>53</v>
      </c>
      <c r="AV2" s="286">
        <v>54</v>
      </c>
      <c r="AW2" s="286">
        <v>55</v>
      </c>
      <c r="AX2" s="286">
        <v>56</v>
      </c>
      <c r="AY2" s="286">
        <v>57</v>
      </c>
      <c r="AZ2" s="286">
        <v>58</v>
      </c>
      <c r="BA2" s="286">
        <v>59</v>
      </c>
      <c r="BB2" s="286">
        <v>60</v>
      </c>
      <c r="BC2" s="286">
        <v>61</v>
      </c>
      <c r="BD2" s="286">
        <v>62</v>
      </c>
      <c r="BE2" s="286">
        <v>63</v>
      </c>
      <c r="BF2" s="286">
        <v>64</v>
      </c>
      <c r="BG2" s="286">
        <v>65</v>
      </c>
      <c r="BH2" s="286">
        <v>66</v>
      </c>
      <c r="BI2" s="286">
        <v>68</v>
      </c>
      <c r="BJ2" s="286">
        <v>69</v>
      </c>
      <c r="BK2" s="286">
        <v>70</v>
      </c>
      <c r="BL2" s="286">
        <v>71</v>
      </c>
      <c r="BM2" s="286">
        <v>72</v>
      </c>
      <c r="BN2" s="286">
        <v>73</v>
      </c>
      <c r="BO2" s="286">
        <v>74</v>
      </c>
      <c r="BP2" s="286">
        <v>75</v>
      </c>
      <c r="BQ2" s="286">
        <v>76</v>
      </c>
      <c r="BR2" s="286">
        <v>77</v>
      </c>
      <c r="BS2" s="286">
        <v>78</v>
      </c>
      <c r="BT2" s="286">
        <v>79</v>
      </c>
      <c r="BU2" s="286">
        <v>80</v>
      </c>
      <c r="BV2" s="286">
        <v>81</v>
      </c>
      <c r="BW2" s="286">
        <v>82</v>
      </c>
      <c r="BX2" s="286">
        <v>83</v>
      </c>
      <c r="BY2" s="286">
        <v>84</v>
      </c>
      <c r="BZ2" s="286">
        <v>85</v>
      </c>
      <c r="CA2" s="286">
        <v>7</v>
      </c>
      <c r="CB2" s="286">
        <v>8</v>
      </c>
      <c r="CC2" s="286">
        <v>9</v>
      </c>
      <c r="CD2" s="286">
        <v>10</v>
      </c>
      <c r="CE2" s="286">
        <v>11</v>
      </c>
      <c r="CF2" s="286">
        <v>12</v>
      </c>
      <c r="CG2" s="286">
        <v>13</v>
      </c>
      <c r="CH2" s="286">
        <v>41</v>
      </c>
      <c r="CI2" s="286">
        <v>42</v>
      </c>
      <c r="CJ2" s="286">
        <v>44</v>
      </c>
      <c r="CK2" s="286">
        <v>45</v>
      </c>
      <c r="CL2" s="286">
        <v>46</v>
      </c>
      <c r="CM2" s="286">
        <v>47</v>
      </c>
      <c r="CN2" s="286">
        <v>67</v>
      </c>
      <c r="CO2" s="286">
        <v>43</v>
      </c>
    </row>
    <row r="3" spans="1:93" s="207" customFormat="1" ht="15" x14ac:dyDescent="0.25">
      <c r="A3" s="254">
        <v>12002</v>
      </c>
      <c r="B3" s="280" t="s">
        <v>321</v>
      </c>
      <c r="C3" s="281" t="s">
        <v>1744</v>
      </c>
      <c r="D3" s="294">
        <v>12</v>
      </c>
      <c r="E3" s="204">
        <v>0</v>
      </c>
      <c r="F3" s="231">
        <v>378</v>
      </c>
      <c r="G3" s="201">
        <v>1580.04</v>
      </c>
      <c r="H3" s="202">
        <v>10.4</v>
      </c>
      <c r="I3" s="203">
        <v>8.8000000000000007</v>
      </c>
      <c r="J3" s="203">
        <v>4.5</v>
      </c>
      <c r="K3" s="203">
        <v>75.599999999999994</v>
      </c>
      <c r="L3" s="203">
        <v>0.5</v>
      </c>
      <c r="M3" s="204">
        <v>0.7</v>
      </c>
      <c r="N3" s="200">
        <v>75</v>
      </c>
      <c r="O3" s="200">
        <v>79</v>
      </c>
      <c r="P3" s="203">
        <v>3.6</v>
      </c>
      <c r="Q3" s="203" t="s">
        <v>2</v>
      </c>
      <c r="R3" s="200" t="s">
        <v>2</v>
      </c>
      <c r="S3" s="200" t="s">
        <v>2</v>
      </c>
      <c r="T3" s="200" t="s">
        <v>2</v>
      </c>
      <c r="U3" s="205" t="s">
        <v>2</v>
      </c>
      <c r="V3" s="205" t="s">
        <v>2</v>
      </c>
      <c r="W3" s="204" t="s">
        <v>2</v>
      </c>
      <c r="X3" s="203">
        <v>0</v>
      </c>
      <c r="Y3" s="205">
        <v>0.4</v>
      </c>
      <c r="Z3" s="205">
        <v>0.26</v>
      </c>
      <c r="AA3" s="205">
        <v>0.7</v>
      </c>
      <c r="AB3" s="205" t="s">
        <v>2</v>
      </c>
      <c r="AC3" s="205" t="s">
        <v>2</v>
      </c>
      <c r="AD3" s="200" t="s">
        <v>2</v>
      </c>
      <c r="AE3" s="200" t="s">
        <v>2</v>
      </c>
      <c r="AF3" s="203" t="s">
        <v>2</v>
      </c>
      <c r="AG3" s="204" t="s">
        <v>2</v>
      </c>
      <c r="AH3" s="231">
        <v>19</v>
      </c>
      <c r="AI3" s="200">
        <v>25</v>
      </c>
      <c r="AJ3" s="203" t="s">
        <v>2</v>
      </c>
      <c r="AK3" s="203" t="s">
        <v>2</v>
      </c>
      <c r="AL3" s="204" t="s">
        <v>2</v>
      </c>
      <c r="AM3" s="200">
        <v>75</v>
      </c>
      <c r="AN3" s="200">
        <v>0</v>
      </c>
      <c r="AO3" s="201">
        <v>0</v>
      </c>
      <c r="AP3" s="203" t="s">
        <v>2</v>
      </c>
      <c r="AQ3" s="205">
        <v>0.72</v>
      </c>
      <c r="AR3" s="205" t="s">
        <v>2</v>
      </c>
      <c r="AS3" s="205">
        <v>0.52</v>
      </c>
      <c r="AT3" s="205" t="s">
        <v>2</v>
      </c>
      <c r="AU3" s="205" t="s">
        <v>2</v>
      </c>
      <c r="AV3" s="206" t="s">
        <v>2</v>
      </c>
      <c r="AW3" s="203" t="s">
        <v>2</v>
      </c>
      <c r="AX3" s="205" t="s">
        <v>2</v>
      </c>
      <c r="AY3" s="205" t="s">
        <v>2</v>
      </c>
      <c r="AZ3" s="205" t="s">
        <v>2</v>
      </c>
      <c r="BA3" s="282" t="s">
        <v>2</v>
      </c>
      <c r="BB3" s="245">
        <v>1.63</v>
      </c>
      <c r="BC3" s="245">
        <v>0.24</v>
      </c>
      <c r="BD3" s="245" t="s">
        <v>2</v>
      </c>
      <c r="BE3" s="245" t="s">
        <v>2</v>
      </c>
      <c r="BF3" s="206" t="s">
        <v>2</v>
      </c>
      <c r="BG3" s="204" t="s">
        <v>2</v>
      </c>
      <c r="BH3" s="199">
        <v>0</v>
      </c>
      <c r="BI3" s="249" t="s">
        <v>2</v>
      </c>
      <c r="BJ3" s="244" t="s">
        <v>2</v>
      </c>
      <c r="BK3" s="244" t="s">
        <v>2</v>
      </c>
      <c r="BL3" s="244" t="s">
        <v>2</v>
      </c>
      <c r="BM3" s="244" t="s">
        <v>2</v>
      </c>
      <c r="BN3" s="244" t="s">
        <v>2</v>
      </c>
      <c r="BO3" s="244" t="s">
        <v>2</v>
      </c>
      <c r="BP3" s="244" t="s">
        <v>2</v>
      </c>
      <c r="BQ3" s="244" t="s">
        <v>2</v>
      </c>
      <c r="BR3" s="244" t="s">
        <v>2</v>
      </c>
      <c r="BS3" s="244" t="s">
        <v>2</v>
      </c>
      <c r="BT3" s="244" t="s">
        <v>2</v>
      </c>
      <c r="BU3" s="244" t="s">
        <v>2</v>
      </c>
      <c r="BV3" s="244" t="s">
        <v>2</v>
      </c>
      <c r="BW3" s="244" t="s">
        <v>2</v>
      </c>
      <c r="BX3" s="244" t="s">
        <v>2</v>
      </c>
      <c r="BY3" s="244" t="s">
        <v>2</v>
      </c>
      <c r="BZ3" s="201" t="s">
        <v>2</v>
      </c>
      <c r="CA3" s="203" t="s">
        <v>2</v>
      </c>
      <c r="CB3" s="203" t="s">
        <v>2</v>
      </c>
      <c r="CC3" s="203" t="s">
        <v>2</v>
      </c>
      <c r="CD3" s="203" t="s">
        <v>2</v>
      </c>
      <c r="CE3" s="203" t="s">
        <v>2</v>
      </c>
      <c r="CF3" s="203" t="s">
        <v>2</v>
      </c>
      <c r="CG3" s="204" t="s">
        <v>2</v>
      </c>
      <c r="CH3" s="200">
        <v>0</v>
      </c>
      <c r="CI3" s="201">
        <v>0</v>
      </c>
      <c r="CJ3" s="200">
        <v>0</v>
      </c>
      <c r="CK3" s="200">
        <v>0</v>
      </c>
      <c r="CL3" s="200">
        <v>0</v>
      </c>
      <c r="CM3" s="201">
        <v>0</v>
      </c>
      <c r="CN3" s="231" t="s">
        <v>2</v>
      </c>
      <c r="CO3" s="231" t="s">
        <v>2</v>
      </c>
    </row>
    <row r="4" spans="1:93" s="207" customFormat="1" ht="15" x14ac:dyDescent="0.25">
      <c r="A4" s="254">
        <v>12003</v>
      </c>
      <c r="B4" s="280" t="s">
        <v>322</v>
      </c>
      <c r="C4" s="281" t="s">
        <v>1745</v>
      </c>
      <c r="D4" s="294">
        <v>12</v>
      </c>
      <c r="E4" s="204">
        <v>0</v>
      </c>
      <c r="F4" s="231">
        <v>399</v>
      </c>
      <c r="G4" s="201">
        <v>1667.82</v>
      </c>
      <c r="H4" s="202">
        <v>8</v>
      </c>
      <c r="I4" s="203">
        <v>3.4</v>
      </c>
      <c r="J4" s="203">
        <v>6.6</v>
      </c>
      <c r="K4" s="203">
        <v>81.5</v>
      </c>
      <c r="L4" s="203">
        <v>1</v>
      </c>
      <c r="M4" s="204">
        <v>0.5</v>
      </c>
      <c r="N4" s="200">
        <v>42</v>
      </c>
      <c r="O4" s="200">
        <v>29</v>
      </c>
      <c r="P4" s="203">
        <v>1.9</v>
      </c>
      <c r="Q4" s="203" t="s">
        <v>2</v>
      </c>
      <c r="R4" s="200" t="s">
        <v>2</v>
      </c>
      <c r="S4" s="200" t="s">
        <v>2</v>
      </c>
      <c r="T4" s="200" t="s">
        <v>2</v>
      </c>
      <c r="U4" s="205" t="s">
        <v>2</v>
      </c>
      <c r="V4" s="205" t="s">
        <v>2</v>
      </c>
      <c r="W4" s="204" t="s">
        <v>2</v>
      </c>
      <c r="X4" s="203">
        <v>0</v>
      </c>
      <c r="Y4" s="205">
        <v>0.04</v>
      </c>
      <c r="Z4" s="205">
        <v>7.0000000000000007E-2</v>
      </c>
      <c r="AA4" s="205">
        <v>0.4</v>
      </c>
      <c r="AB4" s="205" t="s">
        <v>2</v>
      </c>
      <c r="AC4" s="205" t="s">
        <v>2</v>
      </c>
      <c r="AD4" s="200" t="s">
        <v>2</v>
      </c>
      <c r="AE4" s="200" t="s">
        <v>2</v>
      </c>
      <c r="AF4" s="203" t="s">
        <v>2</v>
      </c>
      <c r="AG4" s="204" t="s">
        <v>2</v>
      </c>
      <c r="AH4" s="231" t="s">
        <v>2</v>
      </c>
      <c r="AI4" s="200">
        <v>0</v>
      </c>
      <c r="AJ4" s="203" t="s">
        <v>2</v>
      </c>
      <c r="AK4" s="203" t="s">
        <v>2</v>
      </c>
      <c r="AL4" s="204" t="s">
        <v>2</v>
      </c>
      <c r="AM4" s="200">
        <v>5</v>
      </c>
      <c r="AN4" s="200">
        <v>0</v>
      </c>
      <c r="AO4" s="201">
        <v>0</v>
      </c>
      <c r="AP4" s="203" t="s">
        <v>2</v>
      </c>
      <c r="AQ4" s="205" t="s">
        <v>2</v>
      </c>
      <c r="AR4" s="205" t="s">
        <v>2</v>
      </c>
      <c r="AS4" s="205" t="s">
        <v>2</v>
      </c>
      <c r="AT4" s="205" t="s">
        <v>2</v>
      </c>
      <c r="AU4" s="205" t="s">
        <v>2</v>
      </c>
      <c r="AV4" s="206" t="s">
        <v>2</v>
      </c>
      <c r="AW4" s="203" t="s">
        <v>2</v>
      </c>
      <c r="AX4" s="205" t="s">
        <v>2</v>
      </c>
      <c r="AY4" s="205" t="s">
        <v>2</v>
      </c>
      <c r="AZ4" s="205" t="s">
        <v>2</v>
      </c>
      <c r="BA4" s="282" t="s">
        <v>2</v>
      </c>
      <c r="BB4" s="245" t="s">
        <v>2</v>
      </c>
      <c r="BC4" s="245" t="s">
        <v>2</v>
      </c>
      <c r="BD4" s="245" t="s">
        <v>2</v>
      </c>
      <c r="BE4" s="245" t="s">
        <v>2</v>
      </c>
      <c r="BF4" s="206" t="s">
        <v>2</v>
      </c>
      <c r="BG4" s="204" t="s">
        <v>2</v>
      </c>
      <c r="BH4" s="199">
        <v>0</v>
      </c>
      <c r="BI4" s="249" t="s">
        <v>2</v>
      </c>
      <c r="BJ4" s="244" t="s">
        <v>2</v>
      </c>
      <c r="BK4" s="244" t="s">
        <v>2</v>
      </c>
      <c r="BL4" s="244" t="s">
        <v>2</v>
      </c>
      <c r="BM4" s="244" t="s">
        <v>2</v>
      </c>
      <c r="BN4" s="244" t="s">
        <v>2</v>
      </c>
      <c r="BO4" s="244" t="s">
        <v>2</v>
      </c>
      <c r="BP4" s="244" t="s">
        <v>2</v>
      </c>
      <c r="BQ4" s="244" t="s">
        <v>2</v>
      </c>
      <c r="BR4" s="244" t="s">
        <v>2</v>
      </c>
      <c r="BS4" s="244" t="s">
        <v>2</v>
      </c>
      <c r="BT4" s="244" t="s">
        <v>2</v>
      </c>
      <c r="BU4" s="244" t="s">
        <v>2</v>
      </c>
      <c r="BV4" s="244" t="s">
        <v>2</v>
      </c>
      <c r="BW4" s="244" t="s">
        <v>2</v>
      </c>
      <c r="BX4" s="244" t="s">
        <v>2</v>
      </c>
      <c r="BY4" s="244" t="s">
        <v>2</v>
      </c>
      <c r="BZ4" s="201" t="s">
        <v>2</v>
      </c>
      <c r="CA4" s="203" t="s">
        <v>2</v>
      </c>
      <c r="CB4" s="203" t="s">
        <v>2</v>
      </c>
      <c r="CC4" s="203" t="s">
        <v>2</v>
      </c>
      <c r="CD4" s="203" t="s">
        <v>2</v>
      </c>
      <c r="CE4" s="203" t="s">
        <v>2</v>
      </c>
      <c r="CF4" s="203" t="s">
        <v>2</v>
      </c>
      <c r="CG4" s="204" t="s">
        <v>2</v>
      </c>
      <c r="CH4" s="200">
        <v>0</v>
      </c>
      <c r="CI4" s="201">
        <v>0</v>
      </c>
      <c r="CJ4" s="200">
        <v>0</v>
      </c>
      <c r="CK4" s="200">
        <v>0</v>
      </c>
      <c r="CL4" s="200">
        <v>0</v>
      </c>
      <c r="CM4" s="201">
        <v>0</v>
      </c>
      <c r="CN4" s="231" t="s">
        <v>2</v>
      </c>
      <c r="CO4" s="231" t="s">
        <v>2</v>
      </c>
    </row>
    <row r="5" spans="1:93" s="207" customFormat="1" ht="15" x14ac:dyDescent="0.25">
      <c r="A5" s="254">
        <v>12004</v>
      </c>
      <c r="B5" s="280" t="s">
        <v>323</v>
      </c>
      <c r="C5" s="281" t="s">
        <v>1746</v>
      </c>
      <c r="D5" s="294">
        <v>12</v>
      </c>
      <c r="E5" s="204">
        <v>0</v>
      </c>
      <c r="F5" s="231">
        <v>369</v>
      </c>
      <c r="G5" s="201">
        <v>1542.4199999999998</v>
      </c>
      <c r="H5" s="202">
        <v>10</v>
      </c>
      <c r="I5" s="203">
        <v>7.5</v>
      </c>
      <c r="J5" s="203">
        <v>2.2000000000000002</v>
      </c>
      <c r="K5" s="203">
        <v>79.8</v>
      </c>
      <c r="L5" s="203">
        <v>0.2</v>
      </c>
      <c r="M5" s="204">
        <v>0.5</v>
      </c>
      <c r="N5" s="200">
        <v>54</v>
      </c>
      <c r="O5" s="200">
        <v>99</v>
      </c>
      <c r="P5" s="203">
        <v>2.9</v>
      </c>
      <c r="Q5" s="203" t="s">
        <v>2</v>
      </c>
      <c r="R5" s="200" t="s">
        <v>2</v>
      </c>
      <c r="S5" s="200" t="s">
        <v>2</v>
      </c>
      <c r="T5" s="200" t="s">
        <v>2</v>
      </c>
      <c r="U5" s="205" t="s">
        <v>2</v>
      </c>
      <c r="V5" s="205" t="s">
        <v>2</v>
      </c>
      <c r="W5" s="204" t="s">
        <v>2</v>
      </c>
      <c r="X5" s="203">
        <v>0</v>
      </c>
      <c r="Y5" s="205">
        <v>0.13</v>
      </c>
      <c r="Z5" s="205">
        <v>0.13</v>
      </c>
      <c r="AA5" s="205">
        <v>0.9</v>
      </c>
      <c r="AB5" s="205" t="s">
        <v>2</v>
      </c>
      <c r="AC5" s="205" t="s">
        <v>2</v>
      </c>
      <c r="AD5" s="200" t="s">
        <v>2</v>
      </c>
      <c r="AE5" s="200" t="s">
        <v>2</v>
      </c>
      <c r="AF5" s="203" t="s">
        <v>2</v>
      </c>
      <c r="AG5" s="204" t="s">
        <v>2</v>
      </c>
      <c r="AH5" s="231" t="s">
        <v>2</v>
      </c>
      <c r="AI5" s="200">
        <v>0</v>
      </c>
      <c r="AJ5" s="203" t="s">
        <v>2</v>
      </c>
      <c r="AK5" s="203" t="s">
        <v>2</v>
      </c>
      <c r="AL5" s="204" t="s">
        <v>2</v>
      </c>
      <c r="AM5" s="200">
        <v>5</v>
      </c>
      <c r="AN5" s="200">
        <v>0</v>
      </c>
      <c r="AO5" s="201">
        <v>0</v>
      </c>
      <c r="AP5" s="203" t="s">
        <v>2</v>
      </c>
      <c r="AQ5" s="205" t="s">
        <v>2</v>
      </c>
      <c r="AR5" s="205" t="s">
        <v>2</v>
      </c>
      <c r="AS5" s="205" t="s">
        <v>2</v>
      </c>
      <c r="AT5" s="205" t="s">
        <v>2</v>
      </c>
      <c r="AU5" s="205" t="s">
        <v>2</v>
      </c>
      <c r="AV5" s="206" t="s">
        <v>2</v>
      </c>
      <c r="AW5" s="203" t="s">
        <v>2</v>
      </c>
      <c r="AX5" s="205" t="s">
        <v>2</v>
      </c>
      <c r="AY5" s="205" t="s">
        <v>2</v>
      </c>
      <c r="AZ5" s="205" t="s">
        <v>2</v>
      </c>
      <c r="BA5" s="282" t="s">
        <v>2</v>
      </c>
      <c r="BB5" s="245" t="s">
        <v>2</v>
      </c>
      <c r="BC5" s="245" t="s">
        <v>2</v>
      </c>
      <c r="BD5" s="245" t="s">
        <v>2</v>
      </c>
      <c r="BE5" s="245" t="s">
        <v>2</v>
      </c>
      <c r="BF5" s="206" t="s">
        <v>2</v>
      </c>
      <c r="BG5" s="204" t="s">
        <v>2</v>
      </c>
      <c r="BH5" s="199">
        <v>0</v>
      </c>
      <c r="BI5" s="249" t="s">
        <v>2</v>
      </c>
      <c r="BJ5" s="244" t="s">
        <v>2</v>
      </c>
      <c r="BK5" s="244" t="s">
        <v>2</v>
      </c>
      <c r="BL5" s="244" t="s">
        <v>2</v>
      </c>
      <c r="BM5" s="244" t="s">
        <v>2</v>
      </c>
      <c r="BN5" s="244" t="s">
        <v>2</v>
      </c>
      <c r="BO5" s="244" t="s">
        <v>2</v>
      </c>
      <c r="BP5" s="244" t="s">
        <v>2</v>
      </c>
      <c r="BQ5" s="244" t="s">
        <v>2</v>
      </c>
      <c r="BR5" s="244" t="s">
        <v>2</v>
      </c>
      <c r="BS5" s="244" t="s">
        <v>2</v>
      </c>
      <c r="BT5" s="244" t="s">
        <v>2</v>
      </c>
      <c r="BU5" s="244" t="s">
        <v>2</v>
      </c>
      <c r="BV5" s="244" t="s">
        <v>2</v>
      </c>
      <c r="BW5" s="244" t="s">
        <v>2</v>
      </c>
      <c r="BX5" s="244" t="s">
        <v>2</v>
      </c>
      <c r="BY5" s="244" t="s">
        <v>2</v>
      </c>
      <c r="BZ5" s="201" t="s">
        <v>2</v>
      </c>
      <c r="CA5" s="203" t="s">
        <v>2</v>
      </c>
      <c r="CB5" s="203" t="s">
        <v>2</v>
      </c>
      <c r="CC5" s="203" t="s">
        <v>2</v>
      </c>
      <c r="CD5" s="203" t="s">
        <v>2</v>
      </c>
      <c r="CE5" s="203" t="s">
        <v>2</v>
      </c>
      <c r="CF5" s="203" t="s">
        <v>2</v>
      </c>
      <c r="CG5" s="204" t="s">
        <v>2</v>
      </c>
      <c r="CH5" s="200">
        <v>0</v>
      </c>
      <c r="CI5" s="201">
        <v>0</v>
      </c>
      <c r="CJ5" s="200">
        <v>0</v>
      </c>
      <c r="CK5" s="200">
        <v>0</v>
      </c>
      <c r="CL5" s="200">
        <v>0</v>
      </c>
      <c r="CM5" s="201">
        <v>0</v>
      </c>
      <c r="CN5" s="231" t="s">
        <v>2</v>
      </c>
      <c r="CO5" s="231" t="s">
        <v>2</v>
      </c>
    </row>
    <row r="6" spans="1:93" s="207" customFormat="1" ht="15" x14ac:dyDescent="0.25">
      <c r="A6" s="254">
        <v>12005</v>
      </c>
      <c r="B6" s="280" t="s">
        <v>324</v>
      </c>
      <c r="C6" s="281" t="s">
        <v>1747</v>
      </c>
      <c r="D6" s="294">
        <v>12</v>
      </c>
      <c r="E6" s="204">
        <v>0</v>
      </c>
      <c r="F6" s="231">
        <v>420</v>
      </c>
      <c r="G6" s="201">
        <v>1755.6</v>
      </c>
      <c r="H6" s="202">
        <v>6.8</v>
      </c>
      <c r="I6" s="203">
        <v>15.6</v>
      </c>
      <c r="J6" s="203">
        <v>11.5</v>
      </c>
      <c r="K6" s="203">
        <v>63.5</v>
      </c>
      <c r="L6" s="203">
        <v>1.1000000000000001</v>
      </c>
      <c r="M6" s="204">
        <v>2.6</v>
      </c>
      <c r="N6" s="200">
        <v>111</v>
      </c>
      <c r="O6" s="200">
        <v>273</v>
      </c>
      <c r="P6" s="203">
        <v>3.4</v>
      </c>
      <c r="Q6" s="203" t="s">
        <v>2</v>
      </c>
      <c r="R6" s="200" t="s">
        <v>2</v>
      </c>
      <c r="S6" s="200" t="s">
        <v>2</v>
      </c>
      <c r="T6" s="200" t="s">
        <v>2</v>
      </c>
      <c r="U6" s="205" t="s">
        <v>2</v>
      </c>
      <c r="V6" s="205" t="s">
        <v>2</v>
      </c>
      <c r="W6" s="204" t="s">
        <v>2</v>
      </c>
      <c r="X6" s="203">
        <v>0</v>
      </c>
      <c r="Y6" s="205">
        <v>0.2</v>
      </c>
      <c r="Z6" s="205">
        <v>0.15</v>
      </c>
      <c r="AA6" s="205">
        <v>6.6</v>
      </c>
      <c r="AB6" s="205" t="s">
        <v>2</v>
      </c>
      <c r="AC6" s="205" t="s">
        <v>2</v>
      </c>
      <c r="AD6" s="200" t="s">
        <v>2</v>
      </c>
      <c r="AE6" s="200" t="s">
        <v>2</v>
      </c>
      <c r="AF6" s="203" t="s">
        <v>2</v>
      </c>
      <c r="AG6" s="204" t="s">
        <v>2</v>
      </c>
      <c r="AH6" s="231" t="s">
        <v>2</v>
      </c>
      <c r="AI6" s="200">
        <v>9</v>
      </c>
      <c r="AJ6" s="203" t="s">
        <v>2</v>
      </c>
      <c r="AK6" s="203" t="s">
        <v>2</v>
      </c>
      <c r="AL6" s="204" t="s">
        <v>2</v>
      </c>
      <c r="AM6" s="200">
        <v>105</v>
      </c>
      <c r="AN6" s="200">
        <v>0</v>
      </c>
      <c r="AO6" s="201">
        <v>0</v>
      </c>
      <c r="AP6" s="203" t="s">
        <v>2</v>
      </c>
      <c r="AQ6" s="205" t="s">
        <v>2</v>
      </c>
      <c r="AR6" s="205" t="s">
        <v>2</v>
      </c>
      <c r="AS6" s="205" t="s">
        <v>2</v>
      </c>
      <c r="AT6" s="205" t="s">
        <v>2</v>
      </c>
      <c r="AU6" s="205" t="s">
        <v>2</v>
      </c>
      <c r="AV6" s="206" t="s">
        <v>2</v>
      </c>
      <c r="AW6" s="203" t="s">
        <v>2</v>
      </c>
      <c r="AX6" s="205" t="s">
        <v>2</v>
      </c>
      <c r="AY6" s="205" t="s">
        <v>2</v>
      </c>
      <c r="AZ6" s="205" t="s">
        <v>2</v>
      </c>
      <c r="BA6" s="282" t="s">
        <v>2</v>
      </c>
      <c r="BB6" s="245" t="s">
        <v>2</v>
      </c>
      <c r="BC6" s="245" t="s">
        <v>2</v>
      </c>
      <c r="BD6" s="245" t="s">
        <v>2</v>
      </c>
      <c r="BE6" s="245" t="s">
        <v>2</v>
      </c>
      <c r="BF6" s="206" t="s">
        <v>2</v>
      </c>
      <c r="BG6" s="204" t="s">
        <v>2</v>
      </c>
      <c r="BH6" s="199">
        <v>0</v>
      </c>
      <c r="BI6" s="249" t="s">
        <v>2</v>
      </c>
      <c r="BJ6" s="244" t="s">
        <v>2</v>
      </c>
      <c r="BK6" s="244" t="s">
        <v>2</v>
      </c>
      <c r="BL6" s="244" t="s">
        <v>2</v>
      </c>
      <c r="BM6" s="244" t="s">
        <v>2</v>
      </c>
      <c r="BN6" s="244" t="s">
        <v>2</v>
      </c>
      <c r="BO6" s="244" t="s">
        <v>2</v>
      </c>
      <c r="BP6" s="244" t="s">
        <v>2</v>
      </c>
      <c r="BQ6" s="244" t="s">
        <v>2</v>
      </c>
      <c r="BR6" s="244" t="s">
        <v>2</v>
      </c>
      <c r="BS6" s="244" t="s">
        <v>2</v>
      </c>
      <c r="BT6" s="244" t="s">
        <v>2</v>
      </c>
      <c r="BU6" s="244" t="s">
        <v>2</v>
      </c>
      <c r="BV6" s="244" t="s">
        <v>2</v>
      </c>
      <c r="BW6" s="244" t="s">
        <v>2</v>
      </c>
      <c r="BX6" s="244" t="s">
        <v>2</v>
      </c>
      <c r="BY6" s="244" t="s">
        <v>2</v>
      </c>
      <c r="BZ6" s="201" t="s">
        <v>2</v>
      </c>
      <c r="CA6" s="203" t="s">
        <v>2</v>
      </c>
      <c r="CB6" s="203" t="s">
        <v>2</v>
      </c>
      <c r="CC6" s="203" t="s">
        <v>2</v>
      </c>
      <c r="CD6" s="203" t="s">
        <v>2</v>
      </c>
      <c r="CE6" s="203" t="s">
        <v>2</v>
      </c>
      <c r="CF6" s="203" t="s">
        <v>2</v>
      </c>
      <c r="CG6" s="204" t="s">
        <v>2</v>
      </c>
      <c r="CH6" s="200">
        <v>0</v>
      </c>
      <c r="CI6" s="201">
        <v>0</v>
      </c>
      <c r="CJ6" s="200">
        <v>0</v>
      </c>
      <c r="CK6" s="200">
        <v>0</v>
      </c>
      <c r="CL6" s="200">
        <v>0</v>
      </c>
      <c r="CM6" s="201">
        <v>0</v>
      </c>
      <c r="CN6" s="231" t="s">
        <v>2</v>
      </c>
      <c r="CO6" s="231" t="s">
        <v>2</v>
      </c>
    </row>
    <row r="7" spans="1:93" s="207" customFormat="1" ht="15" x14ac:dyDescent="0.25">
      <c r="A7" s="254">
        <v>12006</v>
      </c>
      <c r="B7" s="280" t="s">
        <v>325</v>
      </c>
      <c r="C7" s="281" t="s">
        <v>1748</v>
      </c>
      <c r="D7" s="294">
        <v>12</v>
      </c>
      <c r="E7" s="204">
        <v>0</v>
      </c>
      <c r="F7" s="231">
        <v>506</v>
      </c>
      <c r="G7" s="201">
        <v>2115.08</v>
      </c>
      <c r="H7" s="202">
        <v>1.9</v>
      </c>
      <c r="I7" s="203">
        <v>8.3000000000000007</v>
      </c>
      <c r="J7" s="203">
        <v>24</v>
      </c>
      <c r="K7" s="203">
        <v>64.2</v>
      </c>
      <c r="L7" s="203">
        <v>3.5</v>
      </c>
      <c r="M7" s="204">
        <v>1.6</v>
      </c>
      <c r="N7" s="200">
        <v>86</v>
      </c>
      <c r="O7" s="200">
        <v>125</v>
      </c>
      <c r="P7" s="203">
        <v>0.8</v>
      </c>
      <c r="Q7" s="203" t="s">
        <v>2</v>
      </c>
      <c r="R7" s="200" t="s">
        <v>2</v>
      </c>
      <c r="S7" s="200" t="s">
        <v>2</v>
      </c>
      <c r="T7" s="200" t="s">
        <v>2</v>
      </c>
      <c r="U7" s="205" t="s">
        <v>2</v>
      </c>
      <c r="V7" s="205" t="s">
        <v>2</v>
      </c>
      <c r="W7" s="204" t="s">
        <v>2</v>
      </c>
      <c r="X7" s="203">
        <v>0</v>
      </c>
      <c r="Y7" s="205">
        <v>0.12</v>
      </c>
      <c r="Z7" s="205">
        <v>0.31</v>
      </c>
      <c r="AA7" s="205">
        <v>0.6</v>
      </c>
      <c r="AB7" s="205" t="s">
        <v>2</v>
      </c>
      <c r="AC7" s="205" t="s">
        <v>2</v>
      </c>
      <c r="AD7" s="200" t="s">
        <v>2</v>
      </c>
      <c r="AE7" s="200" t="s">
        <v>2</v>
      </c>
      <c r="AF7" s="203" t="s">
        <v>2</v>
      </c>
      <c r="AG7" s="204" t="s">
        <v>2</v>
      </c>
      <c r="AH7" s="231">
        <v>84</v>
      </c>
      <c r="AI7" s="200">
        <v>84</v>
      </c>
      <c r="AJ7" s="203" t="s">
        <v>2</v>
      </c>
      <c r="AK7" s="203" t="s">
        <v>2</v>
      </c>
      <c r="AL7" s="204" t="s">
        <v>2</v>
      </c>
      <c r="AM7" s="200">
        <v>0</v>
      </c>
      <c r="AN7" s="200">
        <v>0</v>
      </c>
      <c r="AO7" s="201">
        <v>0</v>
      </c>
      <c r="AP7" s="203" t="s">
        <v>2</v>
      </c>
      <c r="AQ7" s="205">
        <v>0.12</v>
      </c>
      <c r="AR7" s="205" t="s">
        <v>2</v>
      </c>
      <c r="AS7" s="205">
        <v>0.05</v>
      </c>
      <c r="AT7" s="205" t="s">
        <v>2</v>
      </c>
      <c r="AU7" s="205" t="s">
        <v>2</v>
      </c>
      <c r="AV7" s="206" t="s">
        <v>2</v>
      </c>
      <c r="AW7" s="203" t="s">
        <v>2</v>
      </c>
      <c r="AX7" s="205" t="s">
        <v>2</v>
      </c>
      <c r="AY7" s="205" t="s">
        <v>2</v>
      </c>
      <c r="AZ7" s="205" t="s">
        <v>2</v>
      </c>
      <c r="BA7" s="282" t="s">
        <v>2</v>
      </c>
      <c r="BB7" s="245">
        <v>0.01</v>
      </c>
      <c r="BC7" s="245">
        <v>0.01</v>
      </c>
      <c r="BD7" s="245" t="s">
        <v>2</v>
      </c>
      <c r="BE7" s="245" t="s">
        <v>2</v>
      </c>
      <c r="BF7" s="206" t="s">
        <v>2</v>
      </c>
      <c r="BG7" s="204" t="s">
        <v>2</v>
      </c>
      <c r="BH7" s="199">
        <v>0</v>
      </c>
      <c r="BI7" s="249" t="s">
        <v>2</v>
      </c>
      <c r="BJ7" s="244" t="s">
        <v>2</v>
      </c>
      <c r="BK7" s="244" t="s">
        <v>2</v>
      </c>
      <c r="BL7" s="244" t="s">
        <v>2</v>
      </c>
      <c r="BM7" s="244" t="s">
        <v>2</v>
      </c>
      <c r="BN7" s="244" t="s">
        <v>2</v>
      </c>
      <c r="BO7" s="244" t="s">
        <v>2</v>
      </c>
      <c r="BP7" s="244" t="s">
        <v>2</v>
      </c>
      <c r="BQ7" s="244" t="s">
        <v>2</v>
      </c>
      <c r="BR7" s="244" t="s">
        <v>2</v>
      </c>
      <c r="BS7" s="244" t="s">
        <v>2</v>
      </c>
      <c r="BT7" s="244" t="s">
        <v>2</v>
      </c>
      <c r="BU7" s="244" t="s">
        <v>2</v>
      </c>
      <c r="BV7" s="244" t="s">
        <v>2</v>
      </c>
      <c r="BW7" s="244" t="s">
        <v>2</v>
      </c>
      <c r="BX7" s="244" t="s">
        <v>2</v>
      </c>
      <c r="BY7" s="244" t="s">
        <v>2</v>
      </c>
      <c r="BZ7" s="201" t="s">
        <v>2</v>
      </c>
      <c r="CA7" s="203" t="s">
        <v>2</v>
      </c>
      <c r="CB7" s="203" t="s">
        <v>2</v>
      </c>
      <c r="CC7" s="203" t="s">
        <v>2</v>
      </c>
      <c r="CD7" s="203" t="s">
        <v>2</v>
      </c>
      <c r="CE7" s="203" t="s">
        <v>2</v>
      </c>
      <c r="CF7" s="203" t="s">
        <v>2</v>
      </c>
      <c r="CG7" s="204" t="s">
        <v>2</v>
      </c>
      <c r="CH7" s="200">
        <v>0</v>
      </c>
      <c r="CI7" s="201">
        <v>0</v>
      </c>
      <c r="CJ7" s="200">
        <v>0</v>
      </c>
      <c r="CK7" s="200">
        <v>0</v>
      </c>
      <c r="CL7" s="200">
        <v>0</v>
      </c>
      <c r="CM7" s="201">
        <v>0</v>
      </c>
      <c r="CN7" s="231" t="s">
        <v>2</v>
      </c>
      <c r="CO7" s="231" t="s">
        <v>2</v>
      </c>
    </row>
    <row r="8" spans="1:93" s="207" customFormat="1" ht="15" x14ac:dyDescent="0.25">
      <c r="A8" s="254">
        <v>12007</v>
      </c>
      <c r="B8" s="280" t="s">
        <v>326</v>
      </c>
      <c r="C8" s="281" t="s">
        <v>1749</v>
      </c>
      <c r="D8" s="294">
        <v>12</v>
      </c>
      <c r="E8" s="204">
        <v>0</v>
      </c>
      <c r="F8" s="231">
        <v>377</v>
      </c>
      <c r="G8" s="201">
        <v>1575.86</v>
      </c>
      <c r="H8" s="202">
        <v>5.8</v>
      </c>
      <c r="I8" s="203">
        <v>3.2</v>
      </c>
      <c r="J8" s="203">
        <v>0.3</v>
      </c>
      <c r="K8" s="203">
        <v>90.4</v>
      </c>
      <c r="L8" s="203">
        <v>0.2</v>
      </c>
      <c r="M8" s="204">
        <v>0.3</v>
      </c>
      <c r="N8" s="200">
        <v>2</v>
      </c>
      <c r="O8" s="200">
        <v>1</v>
      </c>
      <c r="P8" s="203">
        <v>0.1</v>
      </c>
      <c r="Q8" s="203" t="s">
        <v>2</v>
      </c>
      <c r="R8" s="200" t="s">
        <v>2</v>
      </c>
      <c r="S8" s="200" t="s">
        <v>2</v>
      </c>
      <c r="T8" s="200" t="s">
        <v>2</v>
      </c>
      <c r="U8" s="205" t="s">
        <v>2</v>
      </c>
      <c r="V8" s="205" t="s">
        <v>2</v>
      </c>
      <c r="W8" s="204" t="s">
        <v>2</v>
      </c>
      <c r="X8" s="203">
        <v>0</v>
      </c>
      <c r="Y8" s="205">
        <v>0.04</v>
      </c>
      <c r="Z8" s="205" t="s">
        <v>2</v>
      </c>
      <c r="AA8" s="205" t="s">
        <v>2</v>
      </c>
      <c r="AB8" s="205" t="s">
        <v>2</v>
      </c>
      <c r="AC8" s="205" t="s">
        <v>2</v>
      </c>
      <c r="AD8" s="200" t="s">
        <v>2</v>
      </c>
      <c r="AE8" s="200" t="s">
        <v>2</v>
      </c>
      <c r="AF8" s="203" t="s">
        <v>2</v>
      </c>
      <c r="AG8" s="204" t="s">
        <v>2</v>
      </c>
      <c r="AH8" s="231" t="s">
        <v>2</v>
      </c>
      <c r="AI8" s="200">
        <v>0</v>
      </c>
      <c r="AJ8" s="203" t="s">
        <v>2</v>
      </c>
      <c r="AK8" s="203" t="s">
        <v>2</v>
      </c>
      <c r="AL8" s="204" t="s">
        <v>2</v>
      </c>
      <c r="AM8" s="200">
        <v>0</v>
      </c>
      <c r="AN8" s="200">
        <v>0</v>
      </c>
      <c r="AO8" s="201">
        <v>0</v>
      </c>
      <c r="AP8" s="203" t="s">
        <v>2</v>
      </c>
      <c r="AQ8" s="205" t="s">
        <v>2</v>
      </c>
      <c r="AR8" s="205" t="s">
        <v>2</v>
      </c>
      <c r="AS8" s="205" t="s">
        <v>2</v>
      </c>
      <c r="AT8" s="205" t="s">
        <v>2</v>
      </c>
      <c r="AU8" s="205" t="s">
        <v>2</v>
      </c>
      <c r="AV8" s="206" t="s">
        <v>2</v>
      </c>
      <c r="AW8" s="203" t="s">
        <v>2</v>
      </c>
      <c r="AX8" s="205" t="s">
        <v>2</v>
      </c>
      <c r="AY8" s="205" t="s">
        <v>2</v>
      </c>
      <c r="AZ8" s="205" t="s">
        <v>2</v>
      </c>
      <c r="BA8" s="282" t="s">
        <v>2</v>
      </c>
      <c r="BB8" s="245" t="s">
        <v>2</v>
      </c>
      <c r="BC8" s="245" t="s">
        <v>2</v>
      </c>
      <c r="BD8" s="245" t="s">
        <v>2</v>
      </c>
      <c r="BE8" s="245" t="s">
        <v>2</v>
      </c>
      <c r="BF8" s="206" t="s">
        <v>2</v>
      </c>
      <c r="BG8" s="204" t="s">
        <v>2</v>
      </c>
      <c r="BH8" s="199">
        <v>0</v>
      </c>
      <c r="BI8" s="249" t="s">
        <v>2</v>
      </c>
      <c r="BJ8" s="244" t="s">
        <v>2</v>
      </c>
      <c r="BK8" s="244" t="s">
        <v>2</v>
      </c>
      <c r="BL8" s="244" t="s">
        <v>2</v>
      </c>
      <c r="BM8" s="244" t="s">
        <v>2</v>
      </c>
      <c r="BN8" s="244" t="s">
        <v>2</v>
      </c>
      <c r="BO8" s="244" t="s">
        <v>2</v>
      </c>
      <c r="BP8" s="244" t="s">
        <v>2</v>
      </c>
      <c r="BQ8" s="244" t="s">
        <v>2</v>
      </c>
      <c r="BR8" s="244" t="s">
        <v>2</v>
      </c>
      <c r="BS8" s="244" t="s">
        <v>2</v>
      </c>
      <c r="BT8" s="244" t="s">
        <v>2</v>
      </c>
      <c r="BU8" s="244" t="s">
        <v>2</v>
      </c>
      <c r="BV8" s="244" t="s">
        <v>2</v>
      </c>
      <c r="BW8" s="244" t="s">
        <v>2</v>
      </c>
      <c r="BX8" s="244" t="s">
        <v>2</v>
      </c>
      <c r="BY8" s="244" t="s">
        <v>2</v>
      </c>
      <c r="BZ8" s="201" t="s">
        <v>2</v>
      </c>
      <c r="CA8" s="203" t="s">
        <v>2</v>
      </c>
      <c r="CB8" s="203" t="s">
        <v>2</v>
      </c>
      <c r="CC8" s="203" t="s">
        <v>2</v>
      </c>
      <c r="CD8" s="203" t="s">
        <v>2</v>
      </c>
      <c r="CE8" s="203" t="s">
        <v>2</v>
      </c>
      <c r="CF8" s="203" t="s">
        <v>2</v>
      </c>
      <c r="CG8" s="204" t="s">
        <v>2</v>
      </c>
      <c r="CH8" s="200">
        <v>0</v>
      </c>
      <c r="CI8" s="201">
        <v>0</v>
      </c>
      <c r="CJ8" s="200">
        <v>0</v>
      </c>
      <c r="CK8" s="200">
        <v>0</v>
      </c>
      <c r="CL8" s="200">
        <v>0</v>
      </c>
      <c r="CM8" s="201">
        <v>0</v>
      </c>
      <c r="CN8" s="231" t="s">
        <v>2</v>
      </c>
      <c r="CO8" s="231" t="s">
        <v>2</v>
      </c>
    </row>
    <row r="9" spans="1:93" s="207" customFormat="1" ht="15" x14ac:dyDescent="0.25">
      <c r="A9" s="254">
        <v>12008</v>
      </c>
      <c r="B9" s="280" t="s">
        <v>327</v>
      </c>
      <c r="C9" s="281" t="s">
        <v>1750</v>
      </c>
      <c r="D9" s="294">
        <v>12</v>
      </c>
      <c r="E9" s="204">
        <v>0</v>
      </c>
      <c r="F9" s="231">
        <v>436</v>
      </c>
      <c r="G9" s="201">
        <v>1822.4799999999998</v>
      </c>
      <c r="H9" s="202">
        <v>3.6</v>
      </c>
      <c r="I9" s="203">
        <v>8.3000000000000007</v>
      </c>
      <c r="J9" s="203">
        <v>10.7</v>
      </c>
      <c r="K9" s="203">
        <v>76.7</v>
      </c>
      <c r="L9" s="203">
        <v>0.3</v>
      </c>
      <c r="M9" s="204">
        <v>0.7</v>
      </c>
      <c r="N9" s="200">
        <v>33</v>
      </c>
      <c r="O9" s="200">
        <v>115</v>
      </c>
      <c r="P9" s="203">
        <v>2</v>
      </c>
      <c r="Q9" s="203" t="s">
        <v>2</v>
      </c>
      <c r="R9" s="200" t="s">
        <v>2</v>
      </c>
      <c r="S9" s="200" t="s">
        <v>2</v>
      </c>
      <c r="T9" s="200" t="s">
        <v>2</v>
      </c>
      <c r="U9" s="205" t="s">
        <v>2</v>
      </c>
      <c r="V9" s="205" t="s">
        <v>2</v>
      </c>
      <c r="W9" s="204" t="s">
        <v>2</v>
      </c>
      <c r="X9" s="203">
        <v>0</v>
      </c>
      <c r="Y9" s="205">
        <v>0.04</v>
      </c>
      <c r="Z9" s="205">
        <v>1.9</v>
      </c>
      <c r="AA9" s="205">
        <v>0.7</v>
      </c>
      <c r="AB9" s="205" t="s">
        <v>2</v>
      </c>
      <c r="AC9" s="205" t="s">
        <v>2</v>
      </c>
      <c r="AD9" s="200" t="s">
        <v>2</v>
      </c>
      <c r="AE9" s="200" t="s">
        <v>2</v>
      </c>
      <c r="AF9" s="203" t="s">
        <v>2</v>
      </c>
      <c r="AG9" s="204" t="s">
        <v>2</v>
      </c>
      <c r="AH9" s="231">
        <v>12</v>
      </c>
      <c r="AI9" s="200">
        <v>18</v>
      </c>
      <c r="AJ9" s="203" t="s">
        <v>2</v>
      </c>
      <c r="AK9" s="203" t="s">
        <v>2</v>
      </c>
      <c r="AL9" s="204" t="s">
        <v>2</v>
      </c>
      <c r="AM9" s="200">
        <v>75</v>
      </c>
      <c r="AN9" s="200">
        <v>0</v>
      </c>
      <c r="AO9" s="201">
        <v>0</v>
      </c>
      <c r="AP9" s="203" t="s">
        <v>2</v>
      </c>
      <c r="AQ9" s="205" t="s">
        <v>2</v>
      </c>
      <c r="AR9" s="205" t="s">
        <v>2</v>
      </c>
      <c r="AS9" s="205" t="s">
        <v>2</v>
      </c>
      <c r="AT9" s="205" t="s">
        <v>2</v>
      </c>
      <c r="AU9" s="205" t="s">
        <v>2</v>
      </c>
      <c r="AV9" s="206" t="s">
        <v>2</v>
      </c>
      <c r="AW9" s="203" t="s">
        <v>2</v>
      </c>
      <c r="AX9" s="205" t="s">
        <v>2</v>
      </c>
      <c r="AY9" s="205" t="s">
        <v>2</v>
      </c>
      <c r="AZ9" s="205" t="s">
        <v>2</v>
      </c>
      <c r="BA9" s="282" t="s">
        <v>2</v>
      </c>
      <c r="BB9" s="245" t="s">
        <v>2</v>
      </c>
      <c r="BC9" s="245" t="s">
        <v>2</v>
      </c>
      <c r="BD9" s="245" t="s">
        <v>2</v>
      </c>
      <c r="BE9" s="245" t="s">
        <v>2</v>
      </c>
      <c r="BF9" s="206" t="s">
        <v>2</v>
      </c>
      <c r="BG9" s="204" t="s">
        <v>2</v>
      </c>
      <c r="BH9" s="199">
        <v>0</v>
      </c>
      <c r="BI9" s="249" t="s">
        <v>2</v>
      </c>
      <c r="BJ9" s="244" t="s">
        <v>2</v>
      </c>
      <c r="BK9" s="244" t="s">
        <v>2</v>
      </c>
      <c r="BL9" s="244" t="s">
        <v>2</v>
      </c>
      <c r="BM9" s="244" t="s">
        <v>2</v>
      </c>
      <c r="BN9" s="244" t="s">
        <v>2</v>
      </c>
      <c r="BO9" s="244" t="s">
        <v>2</v>
      </c>
      <c r="BP9" s="244" t="s">
        <v>2</v>
      </c>
      <c r="BQ9" s="244" t="s">
        <v>2</v>
      </c>
      <c r="BR9" s="244" t="s">
        <v>2</v>
      </c>
      <c r="BS9" s="244" t="s">
        <v>2</v>
      </c>
      <c r="BT9" s="244" t="s">
        <v>2</v>
      </c>
      <c r="BU9" s="244" t="s">
        <v>2</v>
      </c>
      <c r="BV9" s="244" t="s">
        <v>2</v>
      </c>
      <c r="BW9" s="244" t="s">
        <v>2</v>
      </c>
      <c r="BX9" s="244" t="s">
        <v>2</v>
      </c>
      <c r="BY9" s="244" t="s">
        <v>2</v>
      </c>
      <c r="BZ9" s="201" t="s">
        <v>2</v>
      </c>
      <c r="CA9" s="203" t="s">
        <v>2</v>
      </c>
      <c r="CB9" s="203" t="s">
        <v>2</v>
      </c>
      <c r="CC9" s="203" t="s">
        <v>2</v>
      </c>
      <c r="CD9" s="203" t="s">
        <v>2</v>
      </c>
      <c r="CE9" s="203" t="s">
        <v>2</v>
      </c>
      <c r="CF9" s="203" t="s">
        <v>2</v>
      </c>
      <c r="CG9" s="204" t="s">
        <v>2</v>
      </c>
      <c r="CH9" s="200">
        <v>0</v>
      </c>
      <c r="CI9" s="201">
        <v>0</v>
      </c>
      <c r="CJ9" s="200">
        <v>0</v>
      </c>
      <c r="CK9" s="200">
        <v>0</v>
      </c>
      <c r="CL9" s="200">
        <v>0</v>
      </c>
      <c r="CM9" s="201">
        <v>0</v>
      </c>
      <c r="CN9" s="231" t="s">
        <v>2</v>
      </c>
      <c r="CO9" s="231" t="s">
        <v>2</v>
      </c>
    </row>
    <row r="10" spans="1:93" s="207" customFormat="1" ht="15" x14ac:dyDescent="0.25">
      <c r="A10" s="254">
        <v>12009</v>
      </c>
      <c r="B10" s="280" t="s">
        <v>328</v>
      </c>
      <c r="C10" s="281" t="s">
        <v>1751</v>
      </c>
      <c r="D10" s="294">
        <v>12</v>
      </c>
      <c r="E10" s="204">
        <v>0</v>
      </c>
      <c r="F10" s="231">
        <v>449</v>
      </c>
      <c r="G10" s="201">
        <v>1876.82</v>
      </c>
      <c r="H10" s="202">
        <v>8.5</v>
      </c>
      <c r="I10" s="203">
        <v>3.9</v>
      </c>
      <c r="J10" s="203">
        <v>17.600000000000001</v>
      </c>
      <c r="K10" s="203">
        <v>68.8</v>
      </c>
      <c r="L10" s="203">
        <v>0</v>
      </c>
      <c r="M10" s="204">
        <v>1.2</v>
      </c>
      <c r="N10" s="200">
        <v>58</v>
      </c>
      <c r="O10" s="200">
        <v>142</v>
      </c>
      <c r="P10" s="203">
        <v>3.7</v>
      </c>
      <c r="Q10" s="203" t="s">
        <v>2</v>
      </c>
      <c r="R10" s="200" t="s">
        <v>2</v>
      </c>
      <c r="S10" s="200" t="s">
        <v>2</v>
      </c>
      <c r="T10" s="200" t="s">
        <v>2</v>
      </c>
      <c r="U10" s="205" t="s">
        <v>2</v>
      </c>
      <c r="V10" s="205" t="s">
        <v>2</v>
      </c>
      <c r="W10" s="204" t="s">
        <v>2</v>
      </c>
      <c r="X10" s="203">
        <v>0</v>
      </c>
      <c r="Y10" s="205">
        <v>0.04</v>
      </c>
      <c r="Z10" s="205">
        <v>0.17</v>
      </c>
      <c r="AA10" s="205">
        <v>0.4</v>
      </c>
      <c r="AB10" s="205" t="s">
        <v>2</v>
      </c>
      <c r="AC10" s="205" t="s">
        <v>2</v>
      </c>
      <c r="AD10" s="200" t="s">
        <v>2</v>
      </c>
      <c r="AE10" s="200" t="s">
        <v>2</v>
      </c>
      <c r="AF10" s="203" t="s">
        <v>2</v>
      </c>
      <c r="AG10" s="204" t="s">
        <v>2</v>
      </c>
      <c r="AH10" s="231">
        <v>13</v>
      </c>
      <c r="AI10" s="200">
        <v>14</v>
      </c>
      <c r="AJ10" s="203" t="s">
        <v>2</v>
      </c>
      <c r="AK10" s="203" t="s">
        <v>2</v>
      </c>
      <c r="AL10" s="204" t="s">
        <v>2</v>
      </c>
      <c r="AM10" s="200">
        <v>10</v>
      </c>
      <c r="AN10" s="200">
        <v>0</v>
      </c>
      <c r="AO10" s="201">
        <v>0</v>
      </c>
      <c r="AP10" s="203" t="s">
        <v>2</v>
      </c>
      <c r="AQ10" s="205" t="s">
        <v>2</v>
      </c>
      <c r="AR10" s="205" t="s">
        <v>2</v>
      </c>
      <c r="AS10" s="205" t="s">
        <v>2</v>
      </c>
      <c r="AT10" s="205" t="s">
        <v>2</v>
      </c>
      <c r="AU10" s="205" t="s">
        <v>2</v>
      </c>
      <c r="AV10" s="206" t="s">
        <v>2</v>
      </c>
      <c r="AW10" s="203" t="s">
        <v>2</v>
      </c>
      <c r="AX10" s="205" t="s">
        <v>2</v>
      </c>
      <c r="AY10" s="205" t="s">
        <v>2</v>
      </c>
      <c r="AZ10" s="205" t="s">
        <v>2</v>
      </c>
      <c r="BA10" s="282" t="s">
        <v>2</v>
      </c>
      <c r="BB10" s="245" t="s">
        <v>2</v>
      </c>
      <c r="BC10" s="245" t="s">
        <v>2</v>
      </c>
      <c r="BD10" s="245" t="s">
        <v>2</v>
      </c>
      <c r="BE10" s="245" t="s">
        <v>2</v>
      </c>
      <c r="BF10" s="206" t="s">
        <v>2</v>
      </c>
      <c r="BG10" s="204" t="s">
        <v>2</v>
      </c>
      <c r="BH10" s="199">
        <v>0</v>
      </c>
      <c r="BI10" s="249" t="s">
        <v>2</v>
      </c>
      <c r="BJ10" s="244" t="s">
        <v>2</v>
      </c>
      <c r="BK10" s="244" t="s">
        <v>2</v>
      </c>
      <c r="BL10" s="244" t="s">
        <v>2</v>
      </c>
      <c r="BM10" s="244" t="s">
        <v>2</v>
      </c>
      <c r="BN10" s="244" t="s">
        <v>2</v>
      </c>
      <c r="BO10" s="244" t="s">
        <v>2</v>
      </c>
      <c r="BP10" s="244" t="s">
        <v>2</v>
      </c>
      <c r="BQ10" s="244" t="s">
        <v>2</v>
      </c>
      <c r="BR10" s="244" t="s">
        <v>2</v>
      </c>
      <c r="BS10" s="244" t="s">
        <v>2</v>
      </c>
      <c r="BT10" s="244" t="s">
        <v>2</v>
      </c>
      <c r="BU10" s="244" t="s">
        <v>2</v>
      </c>
      <c r="BV10" s="244" t="s">
        <v>2</v>
      </c>
      <c r="BW10" s="244" t="s">
        <v>2</v>
      </c>
      <c r="BX10" s="244" t="s">
        <v>2</v>
      </c>
      <c r="BY10" s="244" t="s">
        <v>2</v>
      </c>
      <c r="BZ10" s="201" t="s">
        <v>2</v>
      </c>
      <c r="CA10" s="203" t="s">
        <v>2</v>
      </c>
      <c r="CB10" s="203" t="s">
        <v>2</v>
      </c>
      <c r="CC10" s="203" t="s">
        <v>2</v>
      </c>
      <c r="CD10" s="203" t="s">
        <v>2</v>
      </c>
      <c r="CE10" s="203" t="s">
        <v>2</v>
      </c>
      <c r="CF10" s="203" t="s">
        <v>2</v>
      </c>
      <c r="CG10" s="204" t="s">
        <v>2</v>
      </c>
      <c r="CH10" s="200">
        <v>0</v>
      </c>
      <c r="CI10" s="201">
        <v>0</v>
      </c>
      <c r="CJ10" s="200">
        <v>0</v>
      </c>
      <c r="CK10" s="200">
        <v>0</v>
      </c>
      <c r="CL10" s="200">
        <v>0</v>
      </c>
      <c r="CM10" s="201">
        <v>0</v>
      </c>
      <c r="CN10" s="231" t="s">
        <v>2</v>
      </c>
      <c r="CO10" s="231" t="s">
        <v>2</v>
      </c>
    </row>
    <row r="11" spans="1:93" s="207" customFormat="1" ht="15" x14ac:dyDescent="0.25">
      <c r="A11" s="254">
        <v>12010</v>
      </c>
      <c r="B11" s="280" t="s">
        <v>329</v>
      </c>
      <c r="C11" s="281" t="s">
        <v>1752</v>
      </c>
      <c r="D11" s="294">
        <v>12</v>
      </c>
      <c r="E11" s="204">
        <v>0</v>
      </c>
      <c r="F11" s="231">
        <v>543</v>
      </c>
      <c r="G11" s="201">
        <v>2269.7399999999998</v>
      </c>
      <c r="H11" s="202">
        <v>0.8</v>
      </c>
      <c r="I11" s="203">
        <v>4.9000000000000004</v>
      </c>
      <c r="J11" s="203">
        <v>30.4</v>
      </c>
      <c r="K11" s="203">
        <v>62.5</v>
      </c>
      <c r="L11" s="203" t="s">
        <v>2</v>
      </c>
      <c r="M11" s="204">
        <v>1.4</v>
      </c>
      <c r="N11" s="200">
        <v>280</v>
      </c>
      <c r="O11" s="200">
        <v>280</v>
      </c>
      <c r="P11" s="203">
        <v>1.5</v>
      </c>
      <c r="Q11" s="203" t="s">
        <v>2</v>
      </c>
      <c r="R11" s="200" t="s">
        <v>2</v>
      </c>
      <c r="S11" s="200" t="s">
        <v>2</v>
      </c>
      <c r="T11" s="200" t="s">
        <v>2</v>
      </c>
      <c r="U11" s="205" t="s">
        <v>2</v>
      </c>
      <c r="V11" s="205" t="s">
        <v>2</v>
      </c>
      <c r="W11" s="204" t="s">
        <v>2</v>
      </c>
      <c r="X11" s="203">
        <v>0</v>
      </c>
      <c r="Y11" s="205">
        <v>0.03</v>
      </c>
      <c r="Z11" s="205">
        <v>0.01</v>
      </c>
      <c r="AA11" s="205">
        <v>0.6</v>
      </c>
      <c r="AB11" s="205" t="s">
        <v>2</v>
      </c>
      <c r="AC11" s="205" t="s">
        <v>2</v>
      </c>
      <c r="AD11" s="200" t="s">
        <v>2</v>
      </c>
      <c r="AE11" s="200" t="s">
        <v>2</v>
      </c>
      <c r="AF11" s="203">
        <v>3</v>
      </c>
      <c r="AG11" s="204" t="s">
        <v>2</v>
      </c>
      <c r="AH11" s="231" t="s">
        <v>2</v>
      </c>
      <c r="AI11" s="200">
        <v>0</v>
      </c>
      <c r="AJ11" s="203" t="s">
        <v>2</v>
      </c>
      <c r="AK11" s="203" t="s">
        <v>2</v>
      </c>
      <c r="AL11" s="204" t="s">
        <v>2</v>
      </c>
      <c r="AM11" s="200">
        <v>2</v>
      </c>
      <c r="AN11" s="200">
        <v>0</v>
      </c>
      <c r="AO11" s="201">
        <v>0</v>
      </c>
      <c r="AP11" s="203" t="s">
        <v>2</v>
      </c>
      <c r="AQ11" s="205" t="s">
        <v>2</v>
      </c>
      <c r="AR11" s="205" t="s">
        <v>2</v>
      </c>
      <c r="AS11" s="205" t="s">
        <v>2</v>
      </c>
      <c r="AT11" s="205" t="s">
        <v>2</v>
      </c>
      <c r="AU11" s="205" t="s">
        <v>2</v>
      </c>
      <c r="AV11" s="206" t="s">
        <v>2</v>
      </c>
      <c r="AW11" s="203" t="s">
        <v>2</v>
      </c>
      <c r="AX11" s="205" t="s">
        <v>2</v>
      </c>
      <c r="AY11" s="205" t="s">
        <v>2</v>
      </c>
      <c r="AZ11" s="205" t="s">
        <v>2</v>
      </c>
      <c r="BA11" s="282" t="s">
        <v>2</v>
      </c>
      <c r="BB11" s="245" t="s">
        <v>2</v>
      </c>
      <c r="BC11" s="245" t="s">
        <v>2</v>
      </c>
      <c r="BD11" s="245" t="s">
        <v>2</v>
      </c>
      <c r="BE11" s="245" t="s">
        <v>2</v>
      </c>
      <c r="BF11" s="206" t="s">
        <v>2</v>
      </c>
      <c r="BG11" s="204" t="s">
        <v>2</v>
      </c>
      <c r="BH11" s="199">
        <v>0</v>
      </c>
      <c r="BI11" s="249" t="s">
        <v>2</v>
      </c>
      <c r="BJ11" s="244" t="s">
        <v>2</v>
      </c>
      <c r="BK11" s="244" t="s">
        <v>2</v>
      </c>
      <c r="BL11" s="244" t="s">
        <v>2</v>
      </c>
      <c r="BM11" s="244" t="s">
        <v>2</v>
      </c>
      <c r="BN11" s="244" t="s">
        <v>2</v>
      </c>
      <c r="BO11" s="244" t="s">
        <v>2</v>
      </c>
      <c r="BP11" s="244" t="s">
        <v>2</v>
      </c>
      <c r="BQ11" s="244" t="s">
        <v>2</v>
      </c>
      <c r="BR11" s="244" t="s">
        <v>2</v>
      </c>
      <c r="BS11" s="244" t="s">
        <v>2</v>
      </c>
      <c r="BT11" s="244" t="s">
        <v>2</v>
      </c>
      <c r="BU11" s="244" t="s">
        <v>2</v>
      </c>
      <c r="BV11" s="244" t="s">
        <v>2</v>
      </c>
      <c r="BW11" s="244" t="s">
        <v>2</v>
      </c>
      <c r="BX11" s="244" t="s">
        <v>2</v>
      </c>
      <c r="BY11" s="244" t="s">
        <v>2</v>
      </c>
      <c r="BZ11" s="201" t="s">
        <v>2</v>
      </c>
      <c r="CA11" s="203" t="s">
        <v>2</v>
      </c>
      <c r="CB11" s="203" t="s">
        <v>2</v>
      </c>
      <c r="CC11" s="203" t="s">
        <v>2</v>
      </c>
      <c r="CD11" s="203" t="s">
        <v>2</v>
      </c>
      <c r="CE11" s="203" t="s">
        <v>2</v>
      </c>
      <c r="CF11" s="203" t="s">
        <v>2</v>
      </c>
      <c r="CG11" s="204" t="s">
        <v>2</v>
      </c>
      <c r="CH11" s="200">
        <v>0</v>
      </c>
      <c r="CI11" s="201">
        <v>0</v>
      </c>
      <c r="CJ11" s="200">
        <v>0</v>
      </c>
      <c r="CK11" s="200">
        <v>0</v>
      </c>
      <c r="CL11" s="200">
        <v>0</v>
      </c>
      <c r="CM11" s="201">
        <v>0</v>
      </c>
      <c r="CN11" s="231" t="s">
        <v>2</v>
      </c>
      <c r="CO11" s="231" t="s">
        <v>2</v>
      </c>
    </row>
    <row r="12" spans="1:93" s="207" customFormat="1" ht="15" x14ac:dyDescent="0.25">
      <c r="A12" s="254">
        <v>12011</v>
      </c>
      <c r="B12" s="280" t="s">
        <v>330</v>
      </c>
      <c r="C12" s="281" t="s">
        <v>1753</v>
      </c>
      <c r="D12" s="294">
        <v>12</v>
      </c>
      <c r="E12" s="204">
        <v>0</v>
      </c>
      <c r="F12" s="231">
        <v>369</v>
      </c>
      <c r="G12" s="201">
        <v>1542.4199999999998</v>
      </c>
      <c r="H12" s="202">
        <v>11.6</v>
      </c>
      <c r="I12" s="203">
        <v>9.6</v>
      </c>
      <c r="J12" s="203">
        <v>3.7</v>
      </c>
      <c r="K12" s="203">
        <v>74.400000000000006</v>
      </c>
      <c r="L12" s="203">
        <v>0.2</v>
      </c>
      <c r="M12" s="204">
        <v>0.7</v>
      </c>
      <c r="N12" s="200">
        <v>76</v>
      </c>
      <c r="O12" s="200">
        <v>140</v>
      </c>
      <c r="P12" s="203">
        <v>3.9</v>
      </c>
      <c r="Q12" s="203" t="s">
        <v>2</v>
      </c>
      <c r="R12" s="200" t="s">
        <v>2</v>
      </c>
      <c r="S12" s="200" t="s">
        <v>2</v>
      </c>
      <c r="T12" s="200" t="s">
        <v>2</v>
      </c>
      <c r="U12" s="205" t="s">
        <v>2</v>
      </c>
      <c r="V12" s="205" t="s">
        <v>2</v>
      </c>
      <c r="W12" s="204" t="s">
        <v>2</v>
      </c>
      <c r="X12" s="203">
        <v>0</v>
      </c>
      <c r="Y12" s="205">
        <v>0.15</v>
      </c>
      <c r="Z12" s="205">
        <v>0.36</v>
      </c>
      <c r="AA12" s="205">
        <v>0.9</v>
      </c>
      <c r="AB12" s="205" t="s">
        <v>2</v>
      </c>
      <c r="AC12" s="205" t="s">
        <v>2</v>
      </c>
      <c r="AD12" s="200" t="s">
        <v>2</v>
      </c>
      <c r="AE12" s="200" t="s">
        <v>2</v>
      </c>
      <c r="AF12" s="203" t="s">
        <v>2</v>
      </c>
      <c r="AG12" s="204" t="s">
        <v>2</v>
      </c>
      <c r="AH12" s="231">
        <v>17</v>
      </c>
      <c r="AI12" s="200">
        <v>26</v>
      </c>
      <c r="AJ12" s="203" t="s">
        <v>2</v>
      </c>
      <c r="AK12" s="203" t="s">
        <v>2</v>
      </c>
      <c r="AL12" s="204" t="s">
        <v>2</v>
      </c>
      <c r="AM12" s="200">
        <v>105</v>
      </c>
      <c r="AN12" s="200">
        <v>0</v>
      </c>
      <c r="AO12" s="201">
        <v>0</v>
      </c>
      <c r="AP12" s="203" t="s">
        <v>2</v>
      </c>
      <c r="AQ12" s="205" t="s">
        <v>2</v>
      </c>
      <c r="AR12" s="205" t="s">
        <v>2</v>
      </c>
      <c r="AS12" s="205" t="s">
        <v>2</v>
      </c>
      <c r="AT12" s="205" t="s">
        <v>2</v>
      </c>
      <c r="AU12" s="205" t="s">
        <v>2</v>
      </c>
      <c r="AV12" s="206" t="s">
        <v>2</v>
      </c>
      <c r="AW12" s="203" t="s">
        <v>2</v>
      </c>
      <c r="AX12" s="205" t="s">
        <v>2</v>
      </c>
      <c r="AY12" s="205" t="s">
        <v>2</v>
      </c>
      <c r="AZ12" s="205" t="s">
        <v>2</v>
      </c>
      <c r="BA12" s="282" t="s">
        <v>2</v>
      </c>
      <c r="BB12" s="245" t="s">
        <v>2</v>
      </c>
      <c r="BC12" s="245" t="s">
        <v>2</v>
      </c>
      <c r="BD12" s="245" t="s">
        <v>2</v>
      </c>
      <c r="BE12" s="245" t="s">
        <v>2</v>
      </c>
      <c r="BF12" s="206" t="s">
        <v>2</v>
      </c>
      <c r="BG12" s="204" t="s">
        <v>2</v>
      </c>
      <c r="BH12" s="199">
        <v>0</v>
      </c>
      <c r="BI12" s="249" t="s">
        <v>2</v>
      </c>
      <c r="BJ12" s="244" t="s">
        <v>2</v>
      </c>
      <c r="BK12" s="244" t="s">
        <v>2</v>
      </c>
      <c r="BL12" s="244" t="s">
        <v>2</v>
      </c>
      <c r="BM12" s="244" t="s">
        <v>2</v>
      </c>
      <c r="BN12" s="244" t="s">
        <v>2</v>
      </c>
      <c r="BO12" s="244" t="s">
        <v>2</v>
      </c>
      <c r="BP12" s="244" t="s">
        <v>2</v>
      </c>
      <c r="BQ12" s="244" t="s">
        <v>2</v>
      </c>
      <c r="BR12" s="244" t="s">
        <v>2</v>
      </c>
      <c r="BS12" s="244" t="s">
        <v>2</v>
      </c>
      <c r="BT12" s="244" t="s">
        <v>2</v>
      </c>
      <c r="BU12" s="244" t="s">
        <v>2</v>
      </c>
      <c r="BV12" s="244" t="s">
        <v>2</v>
      </c>
      <c r="BW12" s="244" t="s">
        <v>2</v>
      </c>
      <c r="BX12" s="244" t="s">
        <v>2</v>
      </c>
      <c r="BY12" s="244" t="s">
        <v>2</v>
      </c>
      <c r="BZ12" s="201" t="s">
        <v>2</v>
      </c>
      <c r="CA12" s="203" t="s">
        <v>2</v>
      </c>
      <c r="CB12" s="203" t="s">
        <v>2</v>
      </c>
      <c r="CC12" s="203" t="s">
        <v>2</v>
      </c>
      <c r="CD12" s="203" t="s">
        <v>2</v>
      </c>
      <c r="CE12" s="203" t="s">
        <v>2</v>
      </c>
      <c r="CF12" s="203" t="s">
        <v>2</v>
      </c>
      <c r="CG12" s="204" t="s">
        <v>2</v>
      </c>
      <c r="CH12" s="200">
        <v>0</v>
      </c>
      <c r="CI12" s="201">
        <v>0</v>
      </c>
      <c r="CJ12" s="200">
        <v>0</v>
      </c>
      <c r="CK12" s="200">
        <v>0</v>
      </c>
      <c r="CL12" s="200">
        <v>0</v>
      </c>
      <c r="CM12" s="201">
        <v>0</v>
      </c>
      <c r="CN12" s="231" t="s">
        <v>2</v>
      </c>
      <c r="CO12" s="231" t="s">
        <v>2</v>
      </c>
    </row>
    <row r="13" spans="1:93" s="207" customFormat="1" ht="15" x14ac:dyDescent="0.25">
      <c r="A13" s="254">
        <v>12012</v>
      </c>
      <c r="B13" s="280" t="s">
        <v>331</v>
      </c>
      <c r="C13" s="281" t="s">
        <v>1754</v>
      </c>
      <c r="D13" s="294">
        <v>12</v>
      </c>
      <c r="E13" s="204">
        <v>0</v>
      </c>
      <c r="F13" s="231">
        <v>423</v>
      </c>
      <c r="G13" s="201">
        <v>1768.1399999999999</v>
      </c>
      <c r="H13" s="202">
        <v>9.4</v>
      </c>
      <c r="I13" s="203">
        <v>23.3</v>
      </c>
      <c r="J13" s="203">
        <v>17</v>
      </c>
      <c r="K13" s="203">
        <v>44.2</v>
      </c>
      <c r="L13" s="203">
        <v>4.5999999999999996</v>
      </c>
      <c r="M13" s="204">
        <v>6.1</v>
      </c>
      <c r="N13" s="200">
        <v>128</v>
      </c>
      <c r="O13" s="200">
        <v>734</v>
      </c>
      <c r="P13" s="203">
        <v>13.86</v>
      </c>
      <c r="Q13" s="203">
        <v>6.81</v>
      </c>
      <c r="R13" s="200">
        <v>21</v>
      </c>
      <c r="S13" s="200">
        <v>1524</v>
      </c>
      <c r="T13" s="200">
        <v>499</v>
      </c>
      <c r="U13" s="205">
        <v>3.8370000000000002</v>
      </c>
      <c r="V13" s="205">
        <v>3788</v>
      </c>
      <c r="W13" s="204">
        <v>14.3</v>
      </c>
      <c r="X13" s="203">
        <v>0</v>
      </c>
      <c r="Y13" s="205">
        <v>0.08</v>
      </c>
      <c r="Z13" s="205">
        <v>0.24</v>
      </c>
      <c r="AA13" s="205">
        <v>2.2000000000000002</v>
      </c>
      <c r="AB13" s="205">
        <v>0.254</v>
      </c>
      <c r="AC13" s="205">
        <v>0.11799999999999999</v>
      </c>
      <c r="AD13" s="200">
        <v>32</v>
      </c>
      <c r="AE13" s="200">
        <v>0</v>
      </c>
      <c r="AF13" s="203" t="s">
        <v>2</v>
      </c>
      <c r="AG13" s="204">
        <v>0</v>
      </c>
      <c r="AH13" s="231">
        <v>0</v>
      </c>
      <c r="AI13" s="200">
        <v>0</v>
      </c>
      <c r="AJ13" s="203" t="s">
        <v>2</v>
      </c>
      <c r="AK13" s="203">
        <v>0.1</v>
      </c>
      <c r="AL13" s="204">
        <v>2.5</v>
      </c>
      <c r="AM13" s="200">
        <v>0</v>
      </c>
      <c r="AN13" s="200">
        <v>0</v>
      </c>
      <c r="AO13" s="201">
        <v>0</v>
      </c>
      <c r="AP13" s="203">
        <v>8.07</v>
      </c>
      <c r="AQ13" s="205">
        <v>3.69</v>
      </c>
      <c r="AR13" s="205">
        <v>0</v>
      </c>
      <c r="AS13" s="205">
        <v>4.25</v>
      </c>
      <c r="AT13" s="205">
        <v>0</v>
      </c>
      <c r="AU13" s="205">
        <v>0</v>
      </c>
      <c r="AV13" s="206">
        <v>0</v>
      </c>
      <c r="AW13" s="203">
        <v>4.57</v>
      </c>
      <c r="AX13" s="205">
        <v>0</v>
      </c>
      <c r="AY13" s="205">
        <v>0</v>
      </c>
      <c r="AZ13" s="205">
        <v>4.57</v>
      </c>
      <c r="BA13" s="282">
        <v>0.44</v>
      </c>
      <c r="BB13" s="245">
        <v>0.44</v>
      </c>
      <c r="BC13" s="245">
        <v>0</v>
      </c>
      <c r="BD13" s="245">
        <v>0</v>
      </c>
      <c r="BE13" s="245">
        <v>0</v>
      </c>
      <c r="BF13" s="206">
        <v>0</v>
      </c>
      <c r="BG13" s="204">
        <v>0</v>
      </c>
      <c r="BH13" s="199">
        <v>0</v>
      </c>
      <c r="BI13" s="249">
        <v>983</v>
      </c>
      <c r="BJ13" s="244">
        <v>202</v>
      </c>
      <c r="BK13" s="244">
        <v>293</v>
      </c>
      <c r="BL13" s="244">
        <v>941</v>
      </c>
      <c r="BM13" s="244">
        <v>776</v>
      </c>
      <c r="BN13" s="244">
        <v>1177</v>
      </c>
      <c r="BO13" s="244">
        <v>1189</v>
      </c>
      <c r="BP13" s="244">
        <v>760</v>
      </c>
      <c r="BQ13" s="244">
        <v>1111</v>
      </c>
      <c r="BR13" s="244">
        <v>339</v>
      </c>
      <c r="BS13" s="244">
        <v>239</v>
      </c>
      <c r="BT13" s="244">
        <v>735</v>
      </c>
      <c r="BU13" s="244">
        <v>904</v>
      </c>
      <c r="BV13" s="244">
        <v>1953</v>
      </c>
      <c r="BW13" s="244">
        <v>2948</v>
      </c>
      <c r="BX13" s="244">
        <v>879</v>
      </c>
      <c r="BY13" s="244">
        <v>838</v>
      </c>
      <c r="BZ13" s="201">
        <v>846</v>
      </c>
      <c r="CA13" s="203">
        <v>1.75</v>
      </c>
      <c r="CB13" s="203" t="s">
        <v>2</v>
      </c>
      <c r="CC13" s="203" t="s">
        <v>2</v>
      </c>
      <c r="CD13" s="203" t="s">
        <v>2</v>
      </c>
      <c r="CE13" s="203" t="s">
        <v>2</v>
      </c>
      <c r="CF13" s="203" t="s">
        <v>2</v>
      </c>
      <c r="CG13" s="204" t="s">
        <v>2</v>
      </c>
      <c r="CH13" s="200">
        <v>0</v>
      </c>
      <c r="CI13" s="201">
        <v>38</v>
      </c>
      <c r="CJ13" s="200" t="s">
        <v>2</v>
      </c>
      <c r="CK13" s="200" t="s">
        <v>2</v>
      </c>
      <c r="CL13" s="200" t="s">
        <v>2</v>
      </c>
      <c r="CM13" s="200" t="s">
        <v>2</v>
      </c>
      <c r="CN13" s="231" t="s">
        <v>2</v>
      </c>
      <c r="CO13" s="231" t="s">
        <v>2</v>
      </c>
    </row>
    <row r="14" spans="1:93" s="207" customFormat="1" ht="15" x14ac:dyDescent="0.25">
      <c r="A14" s="254">
        <v>12013</v>
      </c>
      <c r="B14" s="280" t="s">
        <v>332</v>
      </c>
      <c r="C14" s="281" t="s">
        <v>1755</v>
      </c>
      <c r="D14" s="294">
        <v>12</v>
      </c>
      <c r="E14" s="204">
        <v>0</v>
      </c>
      <c r="F14" s="231">
        <v>383</v>
      </c>
      <c r="G14" s="201">
        <v>1600.9399999999998</v>
      </c>
      <c r="H14" s="202">
        <v>2.4</v>
      </c>
      <c r="I14" s="203">
        <v>1.1000000000000001</v>
      </c>
      <c r="J14" s="203">
        <v>0</v>
      </c>
      <c r="K14" s="203">
        <v>94.6</v>
      </c>
      <c r="L14" s="203">
        <v>0</v>
      </c>
      <c r="M14" s="204">
        <v>1.9</v>
      </c>
      <c r="N14" s="200">
        <v>178</v>
      </c>
      <c r="O14" s="200">
        <v>72</v>
      </c>
      <c r="P14" s="203">
        <v>5.8</v>
      </c>
      <c r="Q14" s="203">
        <v>0.18</v>
      </c>
      <c r="R14" s="200">
        <v>39</v>
      </c>
      <c r="S14" s="200">
        <v>346</v>
      </c>
      <c r="T14" s="200">
        <v>29</v>
      </c>
      <c r="U14" s="205">
        <v>0.32</v>
      </c>
      <c r="V14" s="205">
        <v>298</v>
      </c>
      <c r="W14" s="204">
        <v>1.2</v>
      </c>
      <c r="X14" s="203">
        <v>0</v>
      </c>
      <c r="Y14" s="205">
        <v>0.05</v>
      </c>
      <c r="Z14" s="205">
        <v>0.1</v>
      </c>
      <c r="AA14" s="205">
        <v>0.3</v>
      </c>
      <c r="AB14" s="205">
        <v>0.111</v>
      </c>
      <c r="AC14" s="205">
        <v>2.5999999999999999E-2</v>
      </c>
      <c r="AD14" s="200">
        <v>1</v>
      </c>
      <c r="AE14" s="200">
        <v>0</v>
      </c>
      <c r="AF14" s="203">
        <v>0</v>
      </c>
      <c r="AG14" s="204">
        <v>0</v>
      </c>
      <c r="AH14" s="231">
        <v>0</v>
      </c>
      <c r="AI14" s="200">
        <v>0</v>
      </c>
      <c r="AJ14" s="203">
        <v>0</v>
      </c>
      <c r="AK14" s="203">
        <v>0</v>
      </c>
      <c r="AL14" s="204">
        <v>0</v>
      </c>
      <c r="AM14" s="244">
        <v>0</v>
      </c>
      <c r="AN14" s="244">
        <v>0</v>
      </c>
      <c r="AO14" s="201">
        <v>0</v>
      </c>
      <c r="AP14" s="203">
        <v>0</v>
      </c>
      <c r="AQ14" s="205">
        <v>0</v>
      </c>
      <c r="AR14" s="205">
        <v>0</v>
      </c>
      <c r="AS14" s="205">
        <v>0</v>
      </c>
      <c r="AT14" s="205">
        <v>0</v>
      </c>
      <c r="AU14" s="205">
        <v>0</v>
      </c>
      <c r="AV14" s="206">
        <v>0</v>
      </c>
      <c r="AW14" s="203">
        <v>0</v>
      </c>
      <c r="AX14" s="205">
        <v>0</v>
      </c>
      <c r="AY14" s="205">
        <v>0</v>
      </c>
      <c r="AZ14" s="205">
        <v>0</v>
      </c>
      <c r="BA14" s="282">
        <v>0</v>
      </c>
      <c r="BB14" s="245">
        <v>0</v>
      </c>
      <c r="BC14" s="245">
        <v>0</v>
      </c>
      <c r="BD14" s="245">
        <v>0</v>
      </c>
      <c r="BE14" s="245">
        <v>0</v>
      </c>
      <c r="BF14" s="206">
        <v>0</v>
      </c>
      <c r="BG14" s="204">
        <v>0</v>
      </c>
      <c r="BH14" s="199">
        <v>0</v>
      </c>
      <c r="BI14" s="249">
        <v>0</v>
      </c>
      <c r="BJ14" s="244">
        <v>0</v>
      </c>
      <c r="BK14" s="244">
        <v>0</v>
      </c>
      <c r="BL14" s="244">
        <v>0</v>
      </c>
      <c r="BM14" s="244">
        <v>0</v>
      </c>
      <c r="BN14" s="244">
        <v>0</v>
      </c>
      <c r="BO14" s="244">
        <v>0</v>
      </c>
      <c r="BP14" s="244">
        <v>0</v>
      </c>
      <c r="BQ14" s="244">
        <v>0</v>
      </c>
      <c r="BR14" s="244">
        <v>0</v>
      </c>
      <c r="BS14" s="244">
        <v>0</v>
      </c>
      <c r="BT14" s="244">
        <v>0</v>
      </c>
      <c r="BU14" s="244">
        <v>0</v>
      </c>
      <c r="BV14" s="244">
        <v>0</v>
      </c>
      <c r="BW14" s="244">
        <v>0</v>
      </c>
      <c r="BX14" s="244">
        <v>0</v>
      </c>
      <c r="BY14" s="244">
        <v>0</v>
      </c>
      <c r="BZ14" s="201">
        <v>0</v>
      </c>
      <c r="CA14" s="203">
        <v>96.21</v>
      </c>
      <c r="CB14" s="203">
        <v>0</v>
      </c>
      <c r="CC14" s="203">
        <v>0</v>
      </c>
      <c r="CD14" s="203">
        <v>0</v>
      </c>
      <c r="CE14" s="203">
        <v>0.04</v>
      </c>
      <c r="CF14" s="203">
        <v>5.2</v>
      </c>
      <c r="CG14" s="204">
        <v>90.61</v>
      </c>
      <c r="CH14" s="244">
        <v>0</v>
      </c>
      <c r="CI14" s="201">
        <v>0</v>
      </c>
      <c r="CJ14" s="244">
        <v>0</v>
      </c>
      <c r="CK14" s="244">
        <v>0</v>
      </c>
      <c r="CL14" s="244">
        <v>0</v>
      </c>
      <c r="CM14" s="201">
        <v>0</v>
      </c>
      <c r="CN14" s="231">
        <v>0</v>
      </c>
      <c r="CO14" s="231">
        <v>0</v>
      </c>
    </row>
    <row r="15" spans="1:93" s="207" customFormat="1" ht="15" x14ac:dyDescent="0.25">
      <c r="A15" s="254">
        <v>12014</v>
      </c>
      <c r="B15" s="280" t="s">
        <v>333</v>
      </c>
      <c r="C15" s="281" t="s">
        <v>1756</v>
      </c>
      <c r="D15" s="294">
        <v>12</v>
      </c>
      <c r="E15" s="204">
        <v>0</v>
      </c>
      <c r="F15" s="231">
        <v>397</v>
      </c>
      <c r="G15" s="201">
        <v>1659.4599999999998</v>
      </c>
      <c r="H15" s="202">
        <v>0.5</v>
      </c>
      <c r="I15" s="203">
        <v>0</v>
      </c>
      <c r="J15" s="203">
        <v>0</v>
      </c>
      <c r="K15" s="203">
        <v>99.3</v>
      </c>
      <c r="L15" s="203">
        <v>0</v>
      </c>
      <c r="M15" s="204">
        <v>0.2</v>
      </c>
      <c r="N15" s="200">
        <v>0</v>
      </c>
      <c r="O15" s="200">
        <v>0</v>
      </c>
      <c r="P15" s="203">
        <v>0.06</v>
      </c>
      <c r="Q15" s="203" t="s">
        <v>2</v>
      </c>
      <c r="R15" s="200" t="s">
        <v>2</v>
      </c>
      <c r="S15" s="200">
        <v>2</v>
      </c>
      <c r="T15" s="200" t="s">
        <v>2</v>
      </c>
      <c r="U15" s="205" t="s">
        <v>2</v>
      </c>
      <c r="V15" s="205" t="s">
        <v>2</v>
      </c>
      <c r="W15" s="204" t="s">
        <v>2</v>
      </c>
      <c r="X15" s="203">
        <v>0</v>
      </c>
      <c r="Y15" s="205">
        <v>0</v>
      </c>
      <c r="Z15" s="205">
        <v>1.9E-2</v>
      </c>
      <c r="AA15" s="205">
        <v>0</v>
      </c>
      <c r="AB15" s="205" t="s">
        <v>2</v>
      </c>
      <c r="AC15" s="205" t="s">
        <v>2</v>
      </c>
      <c r="AD15" s="200" t="s">
        <v>2</v>
      </c>
      <c r="AE15" s="200" t="s">
        <v>2</v>
      </c>
      <c r="AF15" s="203" t="s">
        <v>2</v>
      </c>
      <c r="AG15" s="204" t="s">
        <v>2</v>
      </c>
      <c r="AH15" s="231" t="s">
        <v>2</v>
      </c>
      <c r="AI15" s="200">
        <v>0</v>
      </c>
      <c r="AJ15" s="203" t="s">
        <v>2</v>
      </c>
      <c r="AK15" s="203" t="s">
        <v>2</v>
      </c>
      <c r="AL15" s="204" t="s">
        <v>2</v>
      </c>
      <c r="AM15" s="200">
        <v>0</v>
      </c>
      <c r="AN15" s="200">
        <v>0</v>
      </c>
      <c r="AO15" s="201">
        <v>0</v>
      </c>
      <c r="AP15" s="203" t="s">
        <v>2</v>
      </c>
      <c r="AQ15" s="205" t="s">
        <v>2</v>
      </c>
      <c r="AR15" s="205" t="s">
        <v>2</v>
      </c>
      <c r="AS15" s="205" t="s">
        <v>2</v>
      </c>
      <c r="AT15" s="205" t="s">
        <v>2</v>
      </c>
      <c r="AU15" s="205" t="s">
        <v>2</v>
      </c>
      <c r="AV15" s="206" t="s">
        <v>2</v>
      </c>
      <c r="AW15" s="203" t="s">
        <v>2</v>
      </c>
      <c r="AX15" s="205" t="s">
        <v>2</v>
      </c>
      <c r="AY15" s="205" t="s">
        <v>2</v>
      </c>
      <c r="AZ15" s="205" t="s">
        <v>2</v>
      </c>
      <c r="BA15" s="282" t="s">
        <v>2</v>
      </c>
      <c r="BB15" s="245" t="s">
        <v>2</v>
      </c>
      <c r="BC15" s="245" t="s">
        <v>2</v>
      </c>
      <c r="BD15" s="245" t="s">
        <v>2</v>
      </c>
      <c r="BE15" s="245" t="s">
        <v>2</v>
      </c>
      <c r="BF15" s="206" t="s">
        <v>2</v>
      </c>
      <c r="BG15" s="204" t="s">
        <v>2</v>
      </c>
      <c r="BH15" s="199">
        <v>0</v>
      </c>
      <c r="BI15" s="249">
        <v>0</v>
      </c>
      <c r="BJ15" s="244">
        <v>0</v>
      </c>
      <c r="BK15" s="244">
        <v>0</v>
      </c>
      <c r="BL15" s="244">
        <v>0</v>
      </c>
      <c r="BM15" s="244">
        <v>0</v>
      </c>
      <c r="BN15" s="244">
        <v>0</v>
      </c>
      <c r="BO15" s="244">
        <v>0</v>
      </c>
      <c r="BP15" s="244">
        <v>0</v>
      </c>
      <c r="BQ15" s="244">
        <v>0</v>
      </c>
      <c r="BR15" s="244">
        <v>0</v>
      </c>
      <c r="BS15" s="244">
        <v>0</v>
      </c>
      <c r="BT15" s="244">
        <v>0</v>
      </c>
      <c r="BU15" s="244">
        <v>0</v>
      </c>
      <c r="BV15" s="244">
        <v>0</v>
      </c>
      <c r="BW15" s="244">
        <v>0</v>
      </c>
      <c r="BX15" s="244">
        <v>0</v>
      </c>
      <c r="BY15" s="244">
        <v>0</v>
      </c>
      <c r="BZ15" s="201">
        <v>0</v>
      </c>
      <c r="CA15" s="203" t="s">
        <v>2</v>
      </c>
      <c r="CB15" s="203" t="s">
        <v>2</v>
      </c>
      <c r="CC15" s="203" t="s">
        <v>2</v>
      </c>
      <c r="CD15" s="203" t="s">
        <v>2</v>
      </c>
      <c r="CE15" s="203" t="s">
        <v>2</v>
      </c>
      <c r="CF15" s="203" t="s">
        <v>2</v>
      </c>
      <c r="CG15" s="204" t="s">
        <v>2</v>
      </c>
      <c r="CH15" s="200">
        <v>0</v>
      </c>
      <c r="CI15" s="201">
        <v>0</v>
      </c>
      <c r="CJ15" s="200">
        <v>0</v>
      </c>
      <c r="CK15" s="200">
        <v>0</v>
      </c>
      <c r="CL15" s="200">
        <v>0</v>
      </c>
      <c r="CM15" s="201">
        <v>0</v>
      </c>
      <c r="CN15" s="231" t="s">
        <v>2</v>
      </c>
      <c r="CO15" s="231" t="s">
        <v>2</v>
      </c>
    </row>
    <row r="16" spans="1:93" s="207" customFormat="1" ht="15" x14ac:dyDescent="0.25">
      <c r="A16" s="254">
        <v>12015</v>
      </c>
      <c r="B16" s="280" t="s">
        <v>334</v>
      </c>
      <c r="C16" s="281" t="s">
        <v>1757</v>
      </c>
      <c r="D16" s="294">
        <v>12</v>
      </c>
      <c r="E16" s="204">
        <v>0</v>
      </c>
      <c r="F16" s="231">
        <v>448</v>
      </c>
      <c r="G16" s="231">
        <v>1872.6399999999999</v>
      </c>
      <c r="H16" s="202">
        <v>8.8000000000000007</v>
      </c>
      <c r="I16" s="203">
        <v>2.1</v>
      </c>
      <c r="J16" s="203">
        <v>17.2</v>
      </c>
      <c r="K16" s="203">
        <v>71.099999999999994</v>
      </c>
      <c r="L16" s="203">
        <v>0</v>
      </c>
      <c r="M16" s="204">
        <v>0.8</v>
      </c>
      <c r="N16" s="200">
        <v>64</v>
      </c>
      <c r="O16" s="200">
        <v>64</v>
      </c>
      <c r="P16" s="203">
        <v>0.76</v>
      </c>
      <c r="Q16" s="203" t="s">
        <v>2</v>
      </c>
      <c r="R16" s="200" t="s">
        <v>2</v>
      </c>
      <c r="S16" s="200" t="s">
        <v>2</v>
      </c>
      <c r="T16" s="200" t="s">
        <v>2</v>
      </c>
      <c r="U16" s="205" t="s">
        <v>2</v>
      </c>
      <c r="V16" s="205" t="s">
        <v>2</v>
      </c>
      <c r="W16" s="204" t="s">
        <v>2</v>
      </c>
      <c r="X16" s="203">
        <v>0</v>
      </c>
      <c r="Y16" s="205" t="s">
        <v>2</v>
      </c>
      <c r="Z16" s="205" t="s">
        <v>2</v>
      </c>
      <c r="AA16" s="205">
        <v>0.4</v>
      </c>
      <c r="AB16" s="205" t="s">
        <v>2</v>
      </c>
      <c r="AC16" s="205" t="s">
        <v>2</v>
      </c>
      <c r="AD16" s="200" t="s">
        <v>2</v>
      </c>
      <c r="AE16" s="200" t="s">
        <v>2</v>
      </c>
      <c r="AF16" s="203" t="s">
        <v>2</v>
      </c>
      <c r="AG16" s="204" t="s">
        <v>2</v>
      </c>
      <c r="AH16" s="231" t="s">
        <v>2</v>
      </c>
      <c r="AI16" s="200">
        <v>0</v>
      </c>
      <c r="AJ16" s="203" t="s">
        <v>2</v>
      </c>
      <c r="AK16" s="203" t="s">
        <v>2</v>
      </c>
      <c r="AL16" s="204" t="s">
        <v>2</v>
      </c>
      <c r="AM16" s="200">
        <v>0</v>
      </c>
      <c r="AN16" s="200">
        <v>0</v>
      </c>
      <c r="AO16" s="201">
        <v>0</v>
      </c>
      <c r="AP16" s="203" t="s">
        <v>2</v>
      </c>
      <c r="AQ16" s="205" t="s">
        <v>2</v>
      </c>
      <c r="AR16" s="205" t="s">
        <v>2</v>
      </c>
      <c r="AS16" s="205" t="s">
        <v>2</v>
      </c>
      <c r="AT16" s="205" t="s">
        <v>2</v>
      </c>
      <c r="AU16" s="205" t="s">
        <v>2</v>
      </c>
      <c r="AV16" s="206" t="s">
        <v>2</v>
      </c>
      <c r="AW16" s="203" t="s">
        <v>2</v>
      </c>
      <c r="AX16" s="205" t="s">
        <v>2</v>
      </c>
      <c r="AY16" s="205" t="s">
        <v>2</v>
      </c>
      <c r="AZ16" s="205" t="s">
        <v>2</v>
      </c>
      <c r="BA16" s="282" t="s">
        <v>2</v>
      </c>
      <c r="BB16" s="245" t="s">
        <v>2</v>
      </c>
      <c r="BC16" s="245" t="s">
        <v>2</v>
      </c>
      <c r="BD16" s="245" t="s">
        <v>2</v>
      </c>
      <c r="BE16" s="245" t="s">
        <v>2</v>
      </c>
      <c r="BF16" s="206" t="s">
        <v>2</v>
      </c>
      <c r="BG16" s="204" t="s">
        <v>2</v>
      </c>
      <c r="BH16" s="199">
        <v>0</v>
      </c>
      <c r="BI16" s="249" t="s">
        <v>2</v>
      </c>
      <c r="BJ16" s="244" t="s">
        <v>2</v>
      </c>
      <c r="BK16" s="244" t="s">
        <v>2</v>
      </c>
      <c r="BL16" s="244" t="s">
        <v>2</v>
      </c>
      <c r="BM16" s="244" t="s">
        <v>2</v>
      </c>
      <c r="BN16" s="244" t="s">
        <v>2</v>
      </c>
      <c r="BO16" s="244" t="s">
        <v>2</v>
      </c>
      <c r="BP16" s="244" t="s">
        <v>2</v>
      </c>
      <c r="BQ16" s="244" t="s">
        <v>2</v>
      </c>
      <c r="BR16" s="244" t="s">
        <v>2</v>
      </c>
      <c r="BS16" s="244" t="s">
        <v>2</v>
      </c>
      <c r="BT16" s="244" t="s">
        <v>2</v>
      </c>
      <c r="BU16" s="244" t="s">
        <v>2</v>
      </c>
      <c r="BV16" s="244" t="s">
        <v>2</v>
      </c>
      <c r="BW16" s="244" t="s">
        <v>2</v>
      </c>
      <c r="BX16" s="244" t="s">
        <v>2</v>
      </c>
      <c r="BY16" s="244" t="s">
        <v>2</v>
      </c>
      <c r="BZ16" s="201" t="s">
        <v>2</v>
      </c>
      <c r="CA16" s="203" t="s">
        <v>2</v>
      </c>
      <c r="CB16" s="203" t="s">
        <v>2</v>
      </c>
      <c r="CC16" s="203" t="s">
        <v>2</v>
      </c>
      <c r="CD16" s="203" t="s">
        <v>2</v>
      </c>
      <c r="CE16" s="203" t="s">
        <v>2</v>
      </c>
      <c r="CF16" s="203" t="s">
        <v>2</v>
      </c>
      <c r="CG16" s="204" t="s">
        <v>2</v>
      </c>
      <c r="CH16" s="200">
        <v>0</v>
      </c>
      <c r="CI16" s="201">
        <v>0</v>
      </c>
      <c r="CJ16" s="200">
        <v>0</v>
      </c>
      <c r="CK16" s="200">
        <v>0</v>
      </c>
      <c r="CL16" s="200">
        <v>0</v>
      </c>
      <c r="CM16" s="201">
        <v>0</v>
      </c>
      <c r="CN16" s="231" t="s">
        <v>2</v>
      </c>
      <c r="CO16" s="231" t="s">
        <v>2</v>
      </c>
    </row>
    <row r="17" spans="1:93" s="207" customFormat="1" ht="15" x14ac:dyDescent="0.25">
      <c r="A17" s="254">
        <v>12016</v>
      </c>
      <c r="B17" s="280" t="s">
        <v>335</v>
      </c>
      <c r="C17" s="281" t="s">
        <v>1758</v>
      </c>
      <c r="D17" s="294">
        <v>12</v>
      </c>
      <c r="E17" s="204">
        <v>0</v>
      </c>
      <c r="F17" s="231">
        <v>378</v>
      </c>
      <c r="G17" s="231">
        <v>1580.04</v>
      </c>
      <c r="H17" s="202">
        <v>6.6</v>
      </c>
      <c r="I17" s="203">
        <v>0</v>
      </c>
      <c r="J17" s="203">
        <v>1.3</v>
      </c>
      <c r="K17" s="203">
        <v>91.5</v>
      </c>
      <c r="L17" s="203">
        <v>0</v>
      </c>
      <c r="M17" s="204">
        <v>0.6</v>
      </c>
      <c r="N17" s="200" t="s">
        <v>2</v>
      </c>
      <c r="O17" s="200" t="s">
        <v>2</v>
      </c>
      <c r="P17" s="203" t="s">
        <v>2</v>
      </c>
      <c r="Q17" s="203" t="s">
        <v>2</v>
      </c>
      <c r="R17" s="200" t="s">
        <v>2</v>
      </c>
      <c r="S17" s="200" t="s">
        <v>2</v>
      </c>
      <c r="T17" s="200" t="s">
        <v>2</v>
      </c>
      <c r="U17" s="205" t="s">
        <v>2</v>
      </c>
      <c r="V17" s="205" t="s">
        <v>2</v>
      </c>
      <c r="W17" s="204" t="s">
        <v>2</v>
      </c>
      <c r="X17" s="203">
        <v>0</v>
      </c>
      <c r="Y17" s="205" t="s">
        <v>2</v>
      </c>
      <c r="Z17" s="205" t="s">
        <v>2</v>
      </c>
      <c r="AA17" s="205" t="s">
        <v>2</v>
      </c>
      <c r="AB17" s="205" t="s">
        <v>2</v>
      </c>
      <c r="AC17" s="205" t="s">
        <v>2</v>
      </c>
      <c r="AD17" s="200" t="s">
        <v>2</v>
      </c>
      <c r="AE17" s="200" t="s">
        <v>2</v>
      </c>
      <c r="AF17" s="203" t="s">
        <v>2</v>
      </c>
      <c r="AG17" s="204" t="s">
        <v>2</v>
      </c>
      <c r="AH17" s="231" t="s">
        <v>2</v>
      </c>
      <c r="AI17" s="200">
        <v>0</v>
      </c>
      <c r="AJ17" s="203" t="s">
        <v>2</v>
      </c>
      <c r="AK17" s="203" t="s">
        <v>2</v>
      </c>
      <c r="AL17" s="204" t="s">
        <v>2</v>
      </c>
      <c r="AM17" s="200">
        <v>0</v>
      </c>
      <c r="AN17" s="200">
        <v>0</v>
      </c>
      <c r="AO17" s="201">
        <v>0</v>
      </c>
      <c r="AP17" s="203" t="s">
        <v>2</v>
      </c>
      <c r="AQ17" s="205" t="s">
        <v>2</v>
      </c>
      <c r="AR17" s="205" t="s">
        <v>2</v>
      </c>
      <c r="AS17" s="205" t="s">
        <v>2</v>
      </c>
      <c r="AT17" s="205" t="s">
        <v>2</v>
      </c>
      <c r="AU17" s="205" t="s">
        <v>2</v>
      </c>
      <c r="AV17" s="206" t="s">
        <v>2</v>
      </c>
      <c r="AW17" s="203" t="s">
        <v>2</v>
      </c>
      <c r="AX17" s="205" t="s">
        <v>2</v>
      </c>
      <c r="AY17" s="205" t="s">
        <v>2</v>
      </c>
      <c r="AZ17" s="205" t="s">
        <v>2</v>
      </c>
      <c r="BA17" s="282" t="s">
        <v>2</v>
      </c>
      <c r="BB17" s="245" t="s">
        <v>2</v>
      </c>
      <c r="BC17" s="245" t="s">
        <v>2</v>
      </c>
      <c r="BD17" s="245" t="s">
        <v>2</v>
      </c>
      <c r="BE17" s="245" t="s">
        <v>2</v>
      </c>
      <c r="BF17" s="206" t="s">
        <v>2</v>
      </c>
      <c r="BG17" s="204" t="s">
        <v>2</v>
      </c>
      <c r="BH17" s="199">
        <v>0</v>
      </c>
      <c r="BI17" s="249">
        <v>0</v>
      </c>
      <c r="BJ17" s="244">
        <v>0</v>
      </c>
      <c r="BK17" s="244">
        <v>0</v>
      </c>
      <c r="BL17" s="244">
        <v>0</v>
      </c>
      <c r="BM17" s="244">
        <v>0</v>
      </c>
      <c r="BN17" s="244">
        <v>0</v>
      </c>
      <c r="BO17" s="244">
        <v>0</v>
      </c>
      <c r="BP17" s="244">
        <v>0</v>
      </c>
      <c r="BQ17" s="244">
        <v>0</v>
      </c>
      <c r="BR17" s="244">
        <v>0</v>
      </c>
      <c r="BS17" s="244">
        <v>0</v>
      </c>
      <c r="BT17" s="244">
        <v>0</v>
      </c>
      <c r="BU17" s="244">
        <v>0</v>
      </c>
      <c r="BV17" s="244">
        <v>0</v>
      </c>
      <c r="BW17" s="244">
        <v>0</v>
      </c>
      <c r="BX17" s="244">
        <v>0</v>
      </c>
      <c r="BY17" s="244">
        <v>0</v>
      </c>
      <c r="BZ17" s="201">
        <v>0</v>
      </c>
      <c r="CA17" s="203" t="s">
        <v>2</v>
      </c>
      <c r="CB17" s="203" t="s">
        <v>2</v>
      </c>
      <c r="CC17" s="203" t="s">
        <v>2</v>
      </c>
      <c r="CD17" s="203" t="s">
        <v>2</v>
      </c>
      <c r="CE17" s="203" t="s">
        <v>2</v>
      </c>
      <c r="CF17" s="203" t="s">
        <v>2</v>
      </c>
      <c r="CG17" s="204" t="s">
        <v>2</v>
      </c>
      <c r="CH17" s="200">
        <v>0</v>
      </c>
      <c r="CI17" s="201">
        <v>0</v>
      </c>
      <c r="CJ17" s="200">
        <v>0</v>
      </c>
      <c r="CK17" s="200">
        <v>0</v>
      </c>
      <c r="CL17" s="200">
        <v>0</v>
      </c>
      <c r="CM17" s="201">
        <v>0</v>
      </c>
      <c r="CN17" s="231" t="s">
        <v>2</v>
      </c>
      <c r="CO17" s="231" t="s">
        <v>2</v>
      </c>
    </row>
    <row r="18" spans="1:93" s="207" customFormat="1" ht="15" x14ac:dyDescent="0.25">
      <c r="A18" s="254">
        <v>12017</v>
      </c>
      <c r="B18" s="280" t="s">
        <v>336</v>
      </c>
      <c r="C18" s="281" t="s">
        <v>1759</v>
      </c>
      <c r="D18" s="294">
        <v>12</v>
      </c>
      <c r="E18" s="204">
        <v>0</v>
      </c>
      <c r="F18" s="231">
        <v>378</v>
      </c>
      <c r="G18" s="231">
        <v>1580.04</v>
      </c>
      <c r="H18" s="202">
        <v>5.4</v>
      </c>
      <c r="I18" s="203">
        <v>0</v>
      </c>
      <c r="J18" s="203">
        <v>0.5</v>
      </c>
      <c r="K18" s="203">
        <v>93.4</v>
      </c>
      <c r="L18" s="203">
        <v>0.3</v>
      </c>
      <c r="M18" s="204">
        <v>0.7</v>
      </c>
      <c r="N18" s="200">
        <v>23</v>
      </c>
      <c r="O18" s="200">
        <v>12</v>
      </c>
      <c r="P18" s="203">
        <v>1.4</v>
      </c>
      <c r="Q18" s="203" t="s">
        <v>2</v>
      </c>
      <c r="R18" s="200" t="s">
        <v>2</v>
      </c>
      <c r="S18" s="200" t="s">
        <v>2</v>
      </c>
      <c r="T18" s="200" t="s">
        <v>2</v>
      </c>
      <c r="U18" s="205" t="s">
        <v>2</v>
      </c>
      <c r="V18" s="205" t="s">
        <v>2</v>
      </c>
      <c r="W18" s="204" t="s">
        <v>2</v>
      </c>
      <c r="X18" s="203">
        <v>0</v>
      </c>
      <c r="Y18" s="205" t="s">
        <v>2</v>
      </c>
      <c r="Z18" s="205" t="s">
        <v>2</v>
      </c>
      <c r="AA18" s="205" t="s">
        <v>2</v>
      </c>
      <c r="AB18" s="205" t="s">
        <v>2</v>
      </c>
      <c r="AC18" s="205" t="s">
        <v>2</v>
      </c>
      <c r="AD18" s="200" t="s">
        <v>2</v>
      </c>
      <c r="AE18" s="200" t="s">
        <v>2</v>
      </c>
      <c r="AF18" s="203" t="s">
        <v>2</v>
      </c>
      <c r="AG18" s="204" t="s">
        <v>2</v>
      </c>
      <c r="AH18" s="231" t="s">
        <v>2</v>
      </c>
      <c r="AI18" s="200">
        <v>0</v>
      </c>
      <c r="AJ18" s="203" t="s">
        <v>2</v>
      </c>
      <c r="AK18" s="203" t="s">
        <v>2</v>
      </c>
      <c r="AL18" s="204" t="s">
        <v>2</v>
      </c>
      <c r="AM18" s="200">
        <v>0</v>
      </c>
      <c r="AN18" s="200">
        <v>0</v>
      </c>
      <c r="AO18" s="201">
        <v>0</v>
      </c>
      <c r="AP18" s="203" t="s">
        <v>2</v>
      </c>
      <c r="AQ18" s="205" t="s">
        <v>2</v>
      </c>
      <c r="AR18" s="205" t="s">
        <v>2</v>
      </c>
      <c r="AS18" s="205" t="s">
        <v>2</v>
      </c>
      <c r="AT18" s="205" t="s">
        <v>2</v>
      </c>
      <c r="AU18" s="205" t="s">
        <v>2</v>
      </c>
      <c r="AV18" s="206" t="s">
        <v>2</v>
      </c>
      <c r="AW18" s="203" t="s">
        <v>2</v>
      </c>
      <c r="AX18" s="205" t="s">
        <v>2</v>
      </c>
      <c r="AY18" s="205" t="s">
        <v>2</v>
      </c>
      <c r="AZ18" s="205" t="s">
        <v>2</v>
      </c>
      <c r="BA18" s="282" t="s">
        <v>2</v>
      </c>
      <c r="BB18" s="245" t="s">
        <v>2</v>
      </c>
      <c r="BC18" s="245" t="s">
        <v>2</v>
      </c>
      <c r="BD18" s="245" t="s">
        <v>2</v>
      </c>
      <c r="BE18" s="245" t="s">
        <v>2</v>
      </c>
      <c r="BF18" s="206" t="s">
        <v>2</v>
      </c>
      <c r="BG18" s="204" t="s">
        <v>2</v>
      </c>
      <c r="BH18" s="199">
        <v>0</v>
      </c>
      <c r="BI18" s="249">
        <v>0</v>
      </c>
      <c r="BJ18" s="244">
        <v>0</v>
      </c>
      <c r="BK18" s="244">
        <v>0</v>
      </c>
      <c r="BL18" s="244">
        <v>0</v>
      </c>
      <c r="BM18" s="244">
        <v>0</v>
      </c>
      <c r="BN18" s="244">
        <v>0</v>
      </c>
      <c r="BO18" s="244">
        <v>0</v>
      </c>
      <c r="BP18" s="244">
        <v>0</v>
      </c>
      <c r="BQ18" s="244">
        <v>0</v>
      </c>
      <c r="BR18" s="244">
        <v>0</v>
      </c>
      <c r="BS18" s="244">
        <v>0</v>
      </c>
      <c r="BT18" s="244">
        <v>0</v>
      </c>
      <c r="BU18" s="244">
        <v>0</v>
      </c>
      <c r="BV18" s="244">
        <v>0</v>
      </c>
      <c r="BW18" s="244">
        <v>0</v>
      </c>
      <c r="BX18" s="244">
        <v>0</v>
      </c>
      <c r="BY18" s="244">
        <v>0</v>
      </c>
      <c r="BZ18" s="201">
        <v>0</v>
      </c>
      <c r="CA18" s="203" t="s">
        <v>2</v>
      </c>
      <c r="CB18" s="203" t="s">
        <v>2</v>
      </c>
      <c r="CC18" s="203" t="s">
        <v>2</v>
      </c>
      <c r="CD18" s="203" t="s">
        <v>2</v>
      </c>
      <c r="CE18" s="203" t="s">
        <v>2</v>
      </c>
      <c r="CF18" s="203" t="s">
        <v>2</v>
      </c>
      <c r="CG18" s="204" t="s">
        <v>2</v>
      </c>
      <c r="CH18" s="200">
        <v>0</v>
      </c>
      <c r="CI18" s="201">
        <v>0</v>
      </c>
      <c r="CJ18" s="200">
        <v>0</v>
      </c>
      <c r="CK18" s="200">
        <v>0</v>
      </c>
      <c r="CL18" s="200">
        <v>0</v>
      </c>
      <c r="CM18" s="201">
        <v>0</v>
      </c>
      <c r="CN18" s="231" t="s">
        <v>2</v>
      </c>
      <c r="CO18" s="231" t="s">
        <v>2</v>
      </c>
    </row>
    <row r="19" spans="1:93" s="207" customFormat="1" ht="15" x14ac:dyDescent="0.25">
      <c r="A19" s="254">
        <v>12018</v>
      </c>
      <c r="B19" s="280" t="s">
        <v>337</v>
      </c>
      <c r="C19" s="281" t="s">
        <v>1760</v>
      </c>
      <c r="D19" s="294">
        <v>12</v>
      </c>
      <c r="E19" s="204">
        <v>0</v>
      </c>
      <c r="F19" s="231">
        <v>425</v>
      </c>
      <c r="G19" s="231">
        <v>1776.4999999999998</v>
      </c>
      <c r="H19" s="202">
        <v>8.5</v>
      </c>
      <c r="I19" s="203">
        <v>0.6</v>
      </c>
      <c r="J19" s="203">
        <v>12.2</v>
      </c>
      <c r="K19" s="203">
        <v>78.099999999999994</v>
      </c>
      <c r="L19" s="203">
        <v>2.5</v>
      </c>
      <c r="M19" s="204">
        <v>0.6</v>
      </c>
      <c r="N19" s="200">
        <v>16</v>
      </c>
      <c r="O19" s="200">
        <v>7</v>
      </c>
      <c r="P19" s="203">
        <v>0.4</v>
      </c>
      <c r="Q19" s="203" t="s">
        <v>2</v>
      </c>
      <c r="R19" s="200" t="s">
        <v>2</v>
      </c>
      <c r="S19" s="200" t="s">
        <v>2</v>
      </c>
      <c r="T19" s="200" t="s">
        <v>2</v>
      </c>
      <c r="U19" s="205" t="s">
        <v>2</v>
      </c>
      <c r="V19" s="205" t="s">
        <v>2</v>
      </c>
      <c r="W19" s="204" t="s">
        <v>2</v>
      </c>
      <c r="X19" s="203">
        <v>0</v>
      </c>
      <c r="Y19" s="205" t="s">
        <v>2</v>
      </c>
      <c r="Z19" s="205" t="s">
        <v>2</v>
      </c>
      <c r="AA19" s="205" t="s">
        <v>2</v>
      </c>
      <c r="AB19" s="205" t="s">
        <v>2</v>
      </c>
      <c r="AC19" s="205" t="s">
        <v>2</v>
      </c>
      <c r="AD19" s="200" t="s">
        <v>2</v>
      </c>
      <c r="AE19" s="200" t="s">
        <v>2</v>
      </c>
      <c r="AF19" s="203" t="s">
        <v>2</v>
      </c>
      <c r="AG19" s="204" t="s">
        <v>2</v>
      </c>
      <c r="AH19" s="231" t="s">
        <v>2</v>
      </c>
      <c r="AI19" s="200">
        <v>0</v>
      </c>
      <c r="AJ19" s="203" t="s">
        <v>2</v>
      </c>
      <c r="AK19" s="203" t="s">
        <v>2</v>
      </c>
      <c r="AL19" s="204" t="s">
        <v>2</v>
      </c>
      <c r="AM19" s="200">
        <v>0</v>
      </c>
      <c r="AN19" s="200">
        <v>0</v>
      </c>
      <c r="AO19" s="201">
        <v>0</v>
      </c>
      <c r="AP19" s="203" t="s">
        <v>2</v>
      </c>
      <c r="AQ19" s="205" t="s">
        <v>2</v>
      </c>
      <c r="AR19" s="205" t="s">
        <v>2</v>
      </c>
      <c r="AS19" s="205" t="s">
        <v>2</v>
      </c>
      <c r="AT19" s="205" t="s">
        <v>2</v>
      </c>
      <c r="AU19" s="205" t="s">
        <v>2</v>
      </c>
      <c r="AV19" s="206" t="s">
        <v>2</v>
      </c>
      <c r="AW19" s="203" t="s">
        <v>2</v>
      </c>
      <c r="AX19" s="205" t="s">
        <v>2</v>
      </c>
      <c r="AY19" s="205" t="s">
        <v>2</v>
      </c>
      <c r="AZ19" s="205" t="s">
        <v>2</v>
      </c>
      <c r="BA19" s="282" t="s">
        <v>2</v>
      </c>
      <c r="BB19" s="245" t="s">
        <v>2</v>
      </c>
      <c r="BC19" s="245" t="s">
        <v>2</v>
      </c>
      <c r="BD19" s="245" t="s">
        <v>2</v>
      </c>
      <c r="BE19" s="245" t="s">
        <v>2</v>
      </c>
      <c r="BF19" s="206" t="s">
        <v>2</v>
      </c>
      <c r="BG19" s="204" t="s">
        <v>2</v>
      </c>
      <c r="BH19" s="199">
        <v>0</v>
      </c>
      <c r="BI19" s="249" t="s">
        <v>2</v>
      </c>
      <c r="BJ19" s="244" t="s">
        <v>2</v>
      </c>
      <c r="BK19" s="244" t="s">
        <v>2</v>
      </c>
      <c r="BL19" s="244" t="s">
        <v>2</v>
      </c>
      <c r="BM19" s="244" t="s">
        <v>2</v>
      </c>
      <c r="BN19" s="244" t="s">
        <v>2</v>
      </c>
      <c r="BO19" s="244" t="s">
        <v>2</v>
      </c>
      <c r="BP19" s="244" t="s">
        <v>2</v>
      </c>
      <c r="BQ19" s="244" t="s">
        <v>2</v>
      </c>
      <c r="BR19" s="244" t="s">
        <v>2</v>
      </c>
      <c r="BS19" s="244" t="s">
        <v>2</v>
      </c>
      <c r="BT19" s="244" t="s">
        <v>2</v>
      </c>
      <c r="BU19" s="244" t="s">
        <v>2</v>
      </c>
      <c r="BV19" s="244" t="s">
        <v>2</v>
      </c>
      <c r="BW19" s="244" t="s">
        <v>2</v>
      </c>
      <c r="BX19" s="244" t="s">
        <v>2</v>
      </c>
      <c r="BY19" s="244" t="s">
        <v>2</v>
      </c>
      <c r="BZ19" s="201" t="s">
        <v>2</v>
      </c>
      <c r="CA19" s="203" t="s">
        <v>2</v>
      </c>
      <c r="CB19" s="203" t="s">
        <v>2</v>
      </c>
      <c r="CC19" s="203" t="s">
        <v>2</v>
      </c>
      <c r="CD19" s="203" t="s">
        <v>2</v>
      </c>
      <c r="CE19" s="203" t="s">
        <v>2</v>
      </c>
      <c r="CF19" s="203" t="s">
        <v>2</v>
      </c>
      <c r="CG19" s="204" t="s">
        <v>2</v>
      </c>
      <c r="CH19" s="200">
        <v>0</v>
      </c>
      <c r="CI19" s="201">
        <v>0</v>
      </c>
      <c r="CJ19" s="200">
        <v>0</v>
      </c>
      <c r="CK19" s="200">
        <v>0</v>
      </c>
      <c r="CL19" s="200">
        <v>0</v>
      </c>
      <c r="CM19" s="201">
        <v>0</v>
      </c>
      <c r="CN19" s="231" t="s">
        <v>2</v>
      </c>
      <c r="CO19" s="231" t="s">
        <v>2</v>
      </c>
    </row>
    <row r="20" spans="1:93" s="207" customFormat="1" ht="15" x14ac:dyDescent="0.25">
      <c r="A20" s="254">
        <v>12019</v>
      </c>
      <c r="B20" s="280" t="s">
        <v>338</v>
      </c>
      <c r="C20" s="281" t="s">
        <v>1761</v>
      </c>
      <c r="D20" s="294">
        <v>12</v>
      </c>
      <c r="E20" s="204">
        <v>0</v>
      </c>
      <c r="F20" s="231">
        <v>425</v>
      </c>
      <c r="G20" s="231">
        <v>1776.4999999999998</v>
      </c>
      <c r="H20" s="202">
        <v>8.5</v>
      </c>
      <c r="I20" s="203">
        <v>0.6</v>
      </c>
      <c r="J20" s="203">
        <v>12.2</v>
      </c>
      <c r="K20" s="203">
        <v>78.099999999999994</v>
      </c>
      <c r="L20" s="203">
        <v>2.5</v>
      </c>
      <c r="M20" s="204">
        <v>0.6</v>
      </c>
      <c r="N20" s="200">
        <v>16</v>
      </c>
      <c r="O20" s="200">
        <v>7</v>
      </c>
      <c r="P20" s="203">
        <v>0.4</v>
      </c>
      <c r="Q20" s="203" t="s">
        <v>2</v>
      </c>
      <c r="R20" s="200" t="s">
        <v>2</v>
      </c>
      <c r="S20" s="200" t="s">
        <v>2</v>
      </c>
      <c r="T20" s="200" t="s">
        <v>2</v>
      </c>
      <c r="U20" s="205" t="s">
        <v>2</v>
      </c>
      <c r="V20" s="205" t="s">
        <v>2</v>
      </c>
      <c r="W20" s="204" t="s">
        <v>2</v>
      </c>
      <c r="X20" s="203">
        <v>0</v>
      </c>
      <c r="Y20" s="205" t="s">
        <v>2</v>
      </c>
      <c r="Z20" s="205" t="s">
        <v>2</v>
      </c>
      <c r="AA20" s="205" t="s">
        <v>2</v>
      </c>
      <c r="AB20" s="205" t="s">
        <v>2</v>
      </c>
      <c r="AC20" s="205" t="s">
        <v>2</v>
      </c>
      <c r="AD20" s="200" t="s">
        <v>2</v>
      </c>
      <c r="AE20" s="200" t="s">
        <v>2</v>
      </c>
      <c r="AF20" s="203" t="s">
        <v>2</v>
      </c>
      <c r="AG20" s="204" t="s">
        <v>2</v>
      </c>
      <c r="AH20" s="231" t="s">
        <v>2</v>
      </c>
      <c r="AI20" s="200">
        <v>0</v>
      </c>
      <c r="AJ20" s="203" t="s">
        <v>2</v>
      </c>
      <c r="AK20" s="203" t="s">
        <v>2</v>
      </c>
      <c r="AL20" s="204" t="s">
        <v>2</v>
      </c>
      <c r="AM20" s="200">
        <v>0</v>
      </c>
      <c r="AN20" s="200">
        <v>0</v>
      </c>
      <c r="AO20" s="201">
        <v>0</v>
      </c>
      <c r="AP20" s="203" t="s">
        <v>2</v>
      </c>
      <c r="AQ20" s="205" t="s">
        <v>2</v>
      </c>
      <c r="AR20" s="205" t="s">
        <v>2</v>
      </c>
      <c r="AS20" s="205" t="s">
        <v>2</v>
      </c>
      <c r="AT20" s="205" t="s">
        <v>2</v>
      </c>
      <c r="AU20" s="205" t="s">
        <v>2</v>
      </c>
      <c r="AV20" s="206" t="s">
        <v>2</v>
      </c>
      <c r="AW20" s="203" t="s">
        <v>2</v>
      </c>
      <c r="AX20" s="205" t="s">
        <v>2</v>
      </c>
      <c r="AY20" s="205" t="s">
        <v>2</v>
      </c>
      <c r="AZ20" s="205" t="s">
        <v>2</v>
      </c>
      <c r="BA20" s="282" t="s">
        <v>2</v>
      </c>
      <c r="BB20" s="245" t="s">
        <v>2</v>
      </c>
      <c r="BC20" s="245" t="s">
        <v>2</v>
      </c>
      <c r="BD20" s="245" t="s">
        <v>2</v>
      </c>
      <c r="BE20" s="245" t="s">
        <v>2</v>
      </c>
      <c r="BF20" s="206" t="s">
        <v>2</v>
      </c>
      <c r="BG20" s="204" t="s">
        <v>2</v>
      </c>
      <c r="BH20" s="199">
        <v>0</v>
      </c>
      <c r="BI20" s="249" t="s">
        <v>2</v>
      </c>
      <c r="BJ20" s="244" t="s">
        <v>2</v>
      </c>
      <c r="BK20" s="244" t="s">
        <v>2</v>
      </c>
      <c r="BL20" s="244" t="s">
        <v>2</v>
      </c>
      <c r="BM20" s="244" t="s">
        <v>2</v>
      </c>
      <c r="BN20" s="244" t="s">
        <v>2</v>
      </c>
      <c r="BO20" s="244" t="s">
        <v>2</v>
      </c>
      <c r="BP20" s="244" t="s">
        <v>2</v>
      </c>
      <c r="BQ20" s="244" t="s">
        <v>2</v>
      </c>
      <c r="BR20" s="244" t="s">
        <v>2</v>
      </c>
      <c r="BS20" s="244" t="s">
        <v>2</v>
      </c>
      <c r="BT20" s="244" t="s">
        <v>2</v>
      </c>
      <c r="BU20" s="244" t="s">
        <v>2</v>
      </c>
      <c r="BV20" s="244" t="s">
        <v>2</v>
      </c>
      <c r="BW20" s="244" t="s">
        <v>2</v>
      </c>
      <c r="BX20" s="244" t="s">
        <v>2</v>
      </c>
      <c r="BY20" s="244" t="s">
        <v>2</v>
      </c>
      <c r="BZ20" s="201" t="s">
        <v>2</v>
      </c>
      <c r="CA20" s="203" t="s">
        <v>2</v>
      </c>
      <c r="CB20" s="203" t="s">
        <v>2</v>
      </c>
      <c r="CC20" s="203" t="s">
        <v>2</v>
      </c>
      <c r="CD20" s="203" t="s">
        <v>2</v>
      </c>
      <c r="CE20" s="203" t="s">
        <v>2</v>
      </c>
      <c r="CF20" s="203" t="s">
        <v>2</v>
      </c>
      <c r="CG20" s="204" t="s">
        <v>2</v>
      </c>
      <c r="CH20" s="200">
        <v>0</v>
      </c>
      <c r="CI20" s="201">
        <v>0</v>
      </c>
      <c r="CJ20" s="200">
        <v>0</v>
      </c>
      <c r="CK20" s="200">
        <v>0</v>
      </c>
      <c r="CL20" s="200">
        <v>0</v>
      </c>
      <c r="CM20" s="201">
        <v>0</v>
      </c>
      <c r="CN20" s="231" t="s">
        <v>2</v>
      </c>
      <c r="CO20" s="231" t="s">
        <v>2</v>
      </c>
    </row>
    <row r="21" spans="1:93" s="207" customFormat="1" ht="15" x14ac:dyDescent="0.25">
      <c r="A21" s="254">
        <v>12020</v>
      </c>
      <c r="B21" s="280" t="s">
        <v>339</v>
      </c>
      <c r="C21" s="281" t="s">
        <v>1762</v>
      </c>
      <c r="D21" s="294">
        <v>12</v>
      </c>
      <c r="E21" s="204">
        <v>0</v>
      </c>
      <c r="F21" s="231">
        <v>458</v>
      </c>
      <c r="G21" s="231">
        <v>1914.4399999999998</v>
      </c>
      <c r="H21" s="202">
        <v>5</v>
      </c>
      <c r="I21" s="203">
        <v>10.3</v>
      </c>
      <c r="J21" s="203">
        <v>16.5</v>
      </c>
      <c r="K21" s="203">
        <v>67</v>
      </c>
      <c r="L21" s="203">
        <v>2.2000000000000002</v>
      </c>
      <c r="M21" s="204">
        <v>1.2</v>
      </c>
      <c r="N21" s="200" t="s">
        <v>2</v>
      </c>
      <c r="O21" s="200" t="s">
        <v>2</v>
      </c>
      <c r="P21" s="203" t="s">
        <v>2</v>
      </c>
      <c r="Q21" s="203" t="s">
        <v>2</v>
      </c>
      <c r="R21" s="200" t="s">
        <v>2</v>
      </c>
      <c r="S21" s="200" t="s">
        <v>2</v>
      </c>
      <c r="T21" s="200" t="s">
        <v>2</v>
      </c>
      <c r="U21" s="205" t="s">
        <v>2</v>
      </c>
      <c r="V21" s="205" t="s">
        <v>2</v>
      </c>
      <c r="W21" s="204" t="s">
        <v>2</v>
      </c>
      <c r="X21" s="203">
        <v>0</v>
      </c>
      <c r="Y21" s="205" t="s">
        <v>2</v>
      </c>
      <c r="Z21" s="205" t="s">
        <v>2</v>
      </c>
      <c r="AA21" s="205" t="s">
        <v>2</v>
      </c>
      <c r="AB21" s="205" t="s">
        <v>2</v>
      </c>
      <c r="AC21" s="205" t="s">
        <v>2</v>
      </c>
      <c r="AD21" s="200" t="s">
        <v>2</v>
      </c>
      <c r="AE21" s="200" t="s">
        <v>2</v>
      </c>
      <c r="AF21" s="203" t="s">
        <v>2</v>
      </c>
      <c r="AG21" s="204" t="s">
        <v>2</v>
      </c>
      <c r="AH21" s="231" t="s">
        <v>2</v>
      </c>
      <c r="AI21" s="200">
        <v>0</v>
      </c>
      <c r="AJ21" s="203" t="s">
        <v>2</v>
      </c>
      <c r="AK21" s="203" t="s">
        <v>2</v>
      </c>
      <c r="AL21" s="204" t="s">
        <v>2</v>
      </c>
      <c r="AM21" s="200">
        <v>0</v>
      </c>
      <c r="AN21" s="200">
        <v>0</v>
      </c>
      <c r="AO21" s="201">
        <v>0</v>
      </c>
      <c r="AP21" s="203" t="s">
        <v>2</v>
      </c>
      <c r="AQ21" s="205" t="s">
        <v>2</v>
      </c>
      <c r="AR21" s="205" t="s">
        <v>2</v>
      </c>
      <c r="AS21" s="205" t="s">
        <v>2</v>
      </c>
      <c r="AT21" s="205" t="s">
        <v>2</v>
      </c>
      <c r="AU21" s="205" t="s">
        <v>2</v>
      </c>
      <c r="AV21" s="206" t="s">
        <v>2</v>
      </c>
      <c r="AW21" s="203" t="s">
        <v>2</v>
      </c>
      <c r="AX21" s="205" t="s">
        <v>2</v>
      </c>
      <c r="AY21" s="205" t="s">
        <v>2</v>
      </c>
      <c r="AZ21" s="205" t="s">
        <v>2</v>
      </c>
      <c r="BA21" s="282" t="s">
        <v>2</v>
      </c>
      <c r="BB21" s="245" t="s">
        <v>2</v>
      </c>
      <c r="BC21" s="245" t="s">
        <v>2</v>
      </c>
      <c r="BD21" s="245" t="s">
        <v>2</v>
      </c>
      <c r="BE21" s="245" t="s">
        <v>2</v>
      </c>
      <c r="BF21" s="206" t="s">
        <v>2</v>
      </c>
      <c r="BG21" s="204" t="s">
        <v>2</v>
      </c>
      <c r="BH21" s="199">
        <v>0</v>
      </c>
      <c r="BI21" s="249" t="s">
        <v>2</v>
      </c>
      <c r="BJ21" s="244" t="s">
        <v>2</v>
      </c>
      <c r="BK21" s="244" t="s">
        <v>2</v>
      </c>
      <c r="BL21" s="244" t="s">
        <v>2</v>
      </c>
      <c r="BM21" s="244" t="s">
        <v>2</v>
      </c>
      <c r="BN21" s="244" t="s">
        <v>2</v>
      </c>
      <c r="BO21" s="244" t="s">
        <v>2</v>
      </c>
      <c r="BP21" s="244" t="s">
        <v>2</v>
      </c>
      <c r="BQ21" s="244" t="s">
        <v>2</v>
      </c>
      <c r="BR21" s="244" t="s">
        <v>2</v>
      </c>
      <c r="BS21" s="244" t="s">
        <v>2</v>
      </c>
      <c r="BT21" s="244" t="s">
        <v>2</v>
      </c>
      <c r="BU21" s="244" t="s">
        <v>2</v>
      </c>
      <c r="BV21" s="244" t="s">
        <v>2</v>
      </c>
      <c r="BW21" s="244" t="s">
        <v>2</v>
      </c>
      <c r="BX21" s="244" t="s">
        <v>2</v>
      </c>
      <c r="BY21" s="244" t="s">
        <v>2</v>
      </c>
      <c r="BZ21" s="201" t="s">
        <v>2</v>
      </c>
      <c r="CA21" s="203" t="s">
        <v>2</v>
      </c>
      <c r="CB21" s="203" t="s">
        <v>2</v>
      </c>
      <c r="CC21" s="203" t="s">
        <v>2</v>
      </c>
      <c r="CD21" s="203" t="s">
        <v>2</v>
      </c>
      <c r="CE21" s="203" t="s">
        <v>2</v>
      </c>
      <c r="CF21" s="203" t="s">
        <v>2</v>
      </c>
      <c r="CG21" s="204" t="s">
        <v>2</v>
      </c>
      <c r="CH21" s="200">
        <v>0</v>
      </c>
      <c r="CI21" s="201">
        <v>0</v>
      </c>
      <c r="CJ21" s="200">
        <v>0</v>
      </c>
      <c r="CK21" s="200">
        <v>0</v>
      </c>
      <c r="CL21" s="200">
        <v>0</v>
      </c>
      <c r="CM21" s="201">
        <v>0</v>
      </c>
      <c r="CN21" s="231" t="s">
        <v>2</v>
      </c>
      <c r="CO21" s="231" t="s">
        <v>2</v>
      </c>
    </row>
    <row r="22" spans="1:93" s="207" customFormat="1" ht="15" x14ac:dyDescent="0.25">
      <c r="A22" s="254">
        <v>12021</v>
      </c>
      <c r="B22" s="280" t="s">
        <v>340</v>
      </c>
      <c r="C22" s="281" t="s">
        <v>1763</v>
      </c>
      <c r="D22" s="294">
        <v>12</v>
      </c>
      <c r="E22" s="204">
        <v>0</v>
      </c>
      <c r="F22" s="231">
        <v>356</v>
      </c>
      <c r="G22" s="231">
        <v>1488.08</v>
      </c>
      <c r="H22" s="202">
        <v>10.199999999999999</v>
      </c>
      <c r="I22" s="203">
        <v>5.2</v>
      </c>
      <c r="J22" s="203">
        <v>0</v>
      </c>
      <c r="K22" s="203">
        <v>83.8</v>
      </c>
      <c r="L22" s="203" t="s">
        <v>2</v>
      </c>
      <c r="M22" s="204">
        <v>0.8</v>
      </c>
      <c r="N22" s="200">
        <v>96</v>
      </c>
      <c r="O22" s="200">
        <v>18</v>
      </c>
      <c r="P22" s="203">
        <v>1.6</v>
      </c>
      <c r="Q22" s="203" t="s">
        <v>2</v>
      </c>
      <c r="R22" s="200" t="s">
        <v>2</v>
      </c>
      <c r="S22" s="200" t="s">
        <v>2</v>
      </c>
      <c r="T22" s="200" t="s">
        <v>2</v>
      </c>
      <c r="U22" s="205" t="s">
        <v>2</v>
      </c>
      <c r="V22" s="205" t="s">
        <v>2</v>
      </c>
      <c r="W22" s="204" t="s">
        <v>2</v>
      </c>
      <c r="X22" s="203">
        <v>0</v>
      </c>
      <c r="Y22" s="205" t="s">
        <v>2</v>
      </c>
      <c r="Z22" s="205" t="s">
        <v>2</v>
      </c>
      <c r="AA22" s="205" t="s">
        <v>2</v>
      </c>
      <c r="AB22" s="205" t="s">
        <v>2</v>
      </c>
      <c r="AC22" s="205" t="s">
        <v>2</v>
      </c>
      <c r="AD22" s="200" t="s">
        <v>2</v>
      </c>
      <c r="AE22" s="200" t="s">
        <v>2</v>
      </c>
      <c r="AF22" s="203" t="s">
        <v>2</v>
      </c>
      <c r="AG22" s="204" t="s">
        <v>2</v>
      </c>
      <c r="AH22" s="231" t="s">
        <v>2</v>
      </c>
      <c r="AI22" s="200">
        <v>0</v>
      </c>
      <c r="AJ22" s="203" t="s">
        <v>2</v>
      </c>
      <c r="AK22" s="203" t="s">
        <v>2</v>
      </c>
      <c r="AL22" s="204" t="s">
        <v>2</v>
      </c>
      <c r="AM22" s="200">
        <v>0</v>
      </c>
      <c r="AN22" s="200">
        <v>0</v>
      </c>
      <c r="AO22" s="201">
        <v>0</v>
      </c>
      <c r="AP22" s="203" t="s">
        <v>2</v>
      </c>
      <c r="AQ22" s="205" t="s">
        <v>2</v>
      </c>
      <c r="AR22" s="205" t="s">
        <v>2</v>
      </c>
      <c r="AS22" s="205" t="s">
        <v>2</v>
      </c>
      <c r="AT22" s="205" t="s">
        <v>2</v>
      </c>
      <c r="AU22" s="205" t="s">
        <v>2</v>
      </c>
      <c r="AV22" s="206" t="s">
        <v>2</v>
      </c>
      <c r="AW22" s="203" t="s">
        <v>2</v>
      </c>
      <c r="AX22" s="205" t="s">
        <v>2</v>
      </c>
      <c r="AY22" s="205" t="s">
        <v>2</v>
      </c>
      <c r="AZ22" s="205" t="s">
        <v>2</v>
      </c>
      <c r="BA22" s="282" t="s">
        <v>2</v>
      </c>
      <c r="BB22" s="245" t="s">
        <v>2</v>
      </c>
      <c r="BC22" s="245" t="s">
        <v>2</v>
      </c>
      <c r="BD22" s="245" t="s">
        <v>2</v>
      </c>
      <c r="BE22" s="245" t="s">
        <v>2</v>
      </c>
      <c r="BF22" s="206" t="s">
        <v>2</v>
      </c>
      <c r="BG22" s="204" t="s">
        <v>2</v>
      </c>
      <c r="BH22" s="199">
        <v>0</v>
      </c>
      <c r="BI22" s="249" t="s">
        <v>2</v>
      </c>
      <c r="BJ22" s="244" t="s">
        <v>2</v>
      </c>
      <c r="BK22" s="244" t="s">
        <v>2</v>
      </c>
      <c r="BL22" s="244" t="s">
        <v>2</v>
      </c>
      <c r="BM22" s="244" t="s">
        <v>2</v>
      </c>
      <c r="BN22" s="244" t="s">
        <v>2</v>
      </c>
      <c r="BO22" s="244" t="s">
        <v>2</v>
      </c>
      <c r="BP22" s="244" t="s">
        <v>2</v>
      </c>
      <c r="BQ22" s="244" t="s">
        <v>2</v>
      </c>
      <c r="BR22" s="244" t="s">
        <v>2</v>
      </c>
      <c r="BS22" s="244" t="s">
        <v>2</v>
      </c>
      <c r="BT22" s="244" t="s">
        <v>2</v>
      </c>
      <c r="BU22" s="244" t="s">
        <v>2</v>
      </c>
      <c r="BV22" s="244" t="s">
        <v>2</v>
      </c>
      <c r="BW22" s="244" t="s">
        <v>2</v>
      </c>
      <c r="BX22" s="244" t="s">
        <v>2</v>
      </c>
      <c r="BY22" s="244" t="s">
        <v>2</v>
      </c>
      <c r="BZ22" s="201" t="s">
        <v>2</v>
      </c>
      <c r="CA22" s="203" t="s">
        <v>2</v>
      </c>
      <c r="CB22" s="203" t="s">
        <v>2</v>
      </c>
      <c r="CC22" s="203" t="s">
        <v>2</v>
      </c>
      <c r="CD22" s="203" t="s">
        <v>2</v>
      </c>
      <c r="CE22" s="203" t="s">
        <v>2</v>
      </c>
      <c r="CF22" s="203" t="s">
        <v>2</v>
      </c>
      <c r="CG22" s="204" t="s">
        <v>2</v>
      </c>
      <c r="CH22" s="200">
        <v>0</v>
      </c>
      <c r="CI22" s="201">
        <v>0</v>
      </c>
      <c r="CJ22" s="200">
        <v>0</v>
      </c>
      <c r="CK22" s="200">
        <v>0</v>
      </c>
      <c r="CL22" s="200">
        <v>0</v>
      </c>
      <c r="CM22" s="201">
        <v>0</v>
      </c>
      <c r="CN22" s="231" t="s">
        <v>2</v>
      </c>
      <c r="CO22" s="231" t="s">
        <v>2</v>
      </c>
    </row>
    <row r="23" spans="1:93" s="207" customFormat="1" ht="15" x14ac:dyDescent="0.25">
      <c r="A23" s="254">
        <v>12022</v>
      </c>
      <c r="B23" s="280" t="s">
        <v>341</v>
      </c>
      <c r="C23" s="281" t="s">
        <v>1764</v>
      </c>
      <c r="D23" s="294">
        <v>12</v>
      </c>
      <c r="E23" s="204">
        <v>0</v>
      </c>
      <c r="F23" s="231">
        <v>393</v>
      </c>
      <c r="G23" s="231">
        <v>1642.7399999999998</v>
      </c>
      <c r="H23" s="202">
        <v>6.8</v>
      </c>
      <c r="I23" s="203">
        <v>1.6</v>
      </c>
      <c r="J23" s="203">
        <v>4.5999999999999996</v>
      </c>
      <c r="K23" s="203">
        <v>86.3</v>
      </c>
      <c r="L23" s="203">
        <v>1.2</v>
      </c>
      <c r="M23" s="204">
        <v>0.7</v>
      </c>
      <c r="N23" s="200" t="s">
        <v>2</v>
      </c>
      <c r="O23" s="200" t="s">
        <v>2</v>
      </c>
      <c r="P23" s="203" t="s">
        <v>2</v>
      </c>
      <c r="Q23" s="203" t="s">
        <v>2</v>
      </c>
      <c r="R23" s="200" t="s">
        <v>2</v>
      </c>
      <c r="S23" s="200" t="s">
        <v>2</v>
      </c>
      <c r="T23" s="200" t="s">
        <v>2</v>
      </c>
      <c r="U23" s="205" t="s">
        <v>2</v>
      </c>
      <c r="V23" s="205" t="s">
        <v>2</v>
      </c>
      <c r="W23" s="204" t="s">
        <v>2</v>
      </c>
      <c r="X23" s="203">
        <v>0</v>
      </c>
      <c r="Y23" s="205" t="s">
        <v>2</v>
      </c>
      <c r="Z23" s="205" t="s">
        <v>2</v>
      </c>
      <c r="AA23" s="205" t="s">
        <v>2</v>
      </c>
      <c r="AB23" s="205" t="s">
        <v>2</v>
      </c>
      <c r="AC23" s="205" t="s">
        <v>2</v>
      </c>
      <c r="AD23" s="200" t="s">
        <v>2</v>
      </c>
      <c r="AE23" s="200" t="s">
        <v>2</v>
      </c>
      <c r="AF23" s="203" t="s">
        <v>2</v>
      </c>
      <c r="AG23" s="204" t="s">
        <v>2</v>
      </c>
      <c r="AH23" s="231" t="s">
        <v>2</v>
      </c>
      <c r="AI23" s="200">
        <v>0</v>
      </c>
      <c r="AJ23" s="203" t="s">
        <v>2</v>
      </c>
      <c r="AK23" s="203" t="s">
        <v>2</v>
      </c>
      <c r="AL23" s="204" t="s">
        <v>2</v>
      </c>
      <c r="AM23" s="200">
        <v>0</v>
      </c>
      <c r="AN23" s="200">
        <v>0</v>
      </c>
      <c r="AO23" s="201">
        <v>0</v>
      </c>
      <c r="AP23" s="203" t="s">
        <v>2</v>
      </c>
      <c r="AQ23" s="205">
        <v>4.4400000000000004</v>
      </c>
      <c r="AR23" s="205" t="s">
        <v>2</v>
      </c>
      <c r="AS23" s="205">
        <v>5.15</v>
      </c>
      <c r="AT23" s="205" t="s">
        <v>2</v>
      </c>
      <c r="AU23" s="205" t="s">
        <v>2</v>
      </c>
      <c r="AV23" s="206" t="s">
        <v>2</v>
      </c>
      <c r="AW23" s="203" t="s">
        <v>2</v>
      </c>
      <c r="AX23" s="205" t="s">
        <v>2</v>
      </c>
      <c r="AY23" s="205" t="s">
        <v>2</v>
      </c>
      <c r="AZ23" s="205" t="s">
        <v>2</v>
      </c>
      <c r="BA23" s="282" t="s">
        <v>2</v>
      </c>
      <c r="BB23" s="245">
        <v>0.55000000000000004</v>
      </c>
      <c r="BC23" s="245">
        <v>0.05</v>
      </c>
      <c r="BD23" s="245" t="s">
        <v>2</v>
      </c>
      <c r="BE23" s="245" t="s">
        <v>2</v>
      </c>
      <c r="BF23" s="206" t="s">
        <v>2</v>
      </c>
      <c r="BG23" s="204" t="s">
        <v>2</v>
      </c>
      <c r="BH23" s="199">
        <v>0</v>
      </c>
      <c r="BI23" s="249" t="s">
        <v>2</v>
      </c>
      <c r="BJ23" s="244" t="s">
        <v>2</v>
      </c>
      <c r="BK23" s="244" t="s">
        <v>2</v>
      </c>
      <c r="BL23" s="244" t="s">
        <v>2</v>
      </c>
      <c r="BM23" s="244" t="s">
        <v>2</v>
      </c>
      <c r="BN23" s="244" t="s">
        <v>2</v>
      </c>
      <c r="BO23" s="244" t="s">
        <v>2</v>
      </c>
      <c r="BP23" s="244" t="s">
        <v>2</v>
      </c>
      <c r="BQ23" s="244" t="s">
        <v>2</v>
      </c>
      <c r="BR23" s="244" t="s">
        <v>2</v>
      </c>
      <c r="BS23" s="244" t="s">
        <v>2</v>
      </c>
      <c r="BT23" s="244" t="s">
        <v>2</v>
      </c>
      <c r="BU23" s="244" t="s">
        <v>2</v>
      </c>
      <c r="BV23" s="244" t="s">
        <v>2</v>
      </c>
      <c r="BW23" s="244" t="s">
        <v>2</v>
      </c>
      <c r="BX23" s="244" t="s">
        <v>2</v>
      </c>
      <c r="BY23" s="244" t="s">
        <v>2</v>
      </c>
      <c r="BZ23" s="201" t="s">
        <v>2</v>
      </c>
      <c r="CA23" s="203" t="s">
        <v>2</v>
      </c>
      <c r="CB23" s="203" t="s">
        <v>2</v>
      </c>
      <c r="CC23" s="203" t="s">
        <v>2</v>
      </c>
      <c r="CD23" s="203" t="s">
        <v>2</v>
      </c>
      <c r="CE23" s="203" t="s">
        <v>2</v>
      </c>
      <c r="CF23" s="203" t="s">
        <v>2</v>
      </c>
      <c r="CG23" s="204" t="s">
        <v>2</v>
      </c>
      <c r="CH23" s="200">
        <v>0</v>
      </c>
      <c r="CI23" s="201">
        <v>0</v>
      </c>
      <c r="CJ23" s="200">
        <v>0</v>
      </c>
      <c r="CK23" s="200">
        <v>0</v>
      </c>
      <c r="CL23" s="200">
        <v>0</v>
      </c>
      <c r="CM23" s="201">
        <v>0</v>
      </c>
      <c r="CN23" s="231" t="s">
        <v>2</v>
      </c>
      <c r="CO23" s="231" t="s">
        <v>2</v>
      </c>
    </row>
    <row r="24" spans="1:93" s="207" customFormat="1" ht="15" x14ac:dyDescent="0.25">
      <c r="A24" s="254">
        <v>12023</v>
      </c>
      <c r="B24" s="280" t="s">
        <v>342</v>
      </c>
      <c r="C24" s="281" t="s">
        <v>1765</v>
      </c>
      <c r="D24" s="294">
        <v>12</v>
      </c>
      <c r="E24" s="204">
        <v>0</v>
      </c>
      <c r="F24" s="231">
        <v>390</v>
      </c>
      <c r="G24" s="231">
        <v>1630.1999999999998</v>
      </c>
      <c r="H24" s="202">
        <v>8.4</v>
      </c>
      <c r="I24" s="203">
        <v>2.9</v>
      </c>
      <c r="J24" s="203">
        <v>5.2</v>
      </c>
      <c r="K24" s="203">
        <v>83</v>
      </c>
      <c r="L24" s="203" t="s">
        <v>2</v>
      </c>
      <c r="M24" s="204">
        <v>0.5</v>
      </c>
      <c r="N24" s="200" t="s">
        <v>2</v>
      </c>
      <c r="O24" s="200" t="s">
        <v>2</v>
      </c>
      <c r="P24" s="203" t="s">
        <v>2</v>
      </c>
      <c r="Q24" s="203" t="s">
        <v>2</v>
      </c>
      <c r="R24" s="200" t="s">
        <v>2</v>
      </c>
      <c r="S24" s="200" t="s">
        <v>2</v>
      </c>
      <c r="T24" s="200" t="s">
        <v>2</v>
      </c>
      <c r="U24" s="205" t="s">
        <v>2</v>
      </c>
      <c r="V24" s="205" t="s">
        <v>2</v>
      </c>
      <c r="W24" s="204" t="s">
        <v>2</v>
      </c>
      <c r="X24" s="203">
        <v>0</v>
      </c>
      <c r="Y24" s="205" t="s">
        <v>2</v>
      </c>
      <c r="Z24" s="205" t="s">
        <v>2</v>
      </c>
      <c r="AA24" s="205" t="s">
        <v>2</v>
      </c>
      <c r="AB24" s="205" t="s">
        <v>2</v>
      </c>
      <c r="AC24" s="205" t="s">
        <v>2</v>
      </c>
      <c r="AD24" s="200" t="s">
        <v>2</v>
      </c>
      <c r="AE24" s="200" t="s">
        <v>2</v>
      </c>
      <c r="AF24" s="203" t="s">
        <v>2</v>
      </c>
      <c r="AG24" s="204" t="s">
        <v>2</v>
      </c>
      <c r="AH24" s="231" t="s">
        <v>2</v>
      </c>
      <c r="AI24" s="200">
        <v>0</v>
      </c>
      <c r="AJ24" s="203" t="s">
        <v>2</v>
      </c>
      <c r="AK24" s="203" t="s">
        <v>2</v>
      </c>
      <c r="AL24" s="204" t="s">
        <v>2</v>
      </c>
      <c r="AM24" s="200">
        <v>0</v>
      </c>
      <c r="AN24" s="200">
        <v>0</v>
      </c>
      <c r="AO24" s="201">
        <v>0</v>
      </c>
      <c r="AP24" s="203" t="s">
        <v>2</v>
      </c>
      <c r="AQ24" s="205">
        <v>8.61</v>
      </c>
      <c r="AR24" s="205" t="s">
        <v>2</v>
      </c>
      <c r="AS24" s="205">
        <v>0.99</v>
      </c>
      <c r="AT24" s="205" t="s">
        <v>2</v>
      </c>
      <c r="AU24" s="205" t="s">
        <v>2</v>
      </c>
      <c r="AV24" s="206" t="s">
        <v>2</v>
      </c>
      <c r="AW24" s="203" t="s">
        <v>2</v>
      </c>
      <c r="AX24" s="205" t="s">
        <v>2</v>
      </c>
      <c r="AY24" s="205" t="s">
        <v>2</v>
      </c>
      <c r="AZ24" s="205" t="s">
        <v>2</v>
      </c>
      <c r="BA24" s="282" t="s">
        <v>2</v>
      </c>
      <c r="BB24" s="245">
        <v>0.11</v>
      </c>
      <c r="BC24" s="245" t="s">
        <v>2</v>
      </c>
      <c r="BD24" s="245" t="s">
        <v>2</v>
      </c>
      <c r="BE24" s="245" t="s">
        <v>2</v>
      </c>
      <c r="BF24" s="206" t="s">
        <v>2</v>
      </c>
      <c r="BG24" s="204" t="s">
        <v>2</v>
      </c>
      <c r="BH24" s="199">
        <v>0</v>
      </c>
      <c r="BI24" s="249" t="s">
        <v>2</v>
      </c>
      <c r="BJ24" s="244" t="s">
        <v>2</v>
      </c>
      <c r="BK24" s="244" t="s">
        <v>2</v>
      </c>
      <c r="BL24" s="244" t="s">
        <v>2</v>
      </c>
      <c r="BM24" s="244" t="s">
        <v>2</v>
      </c>
      <c r="BN24" s="244" t="s">
        <v>2</v>
      </c>
      <c r="BO24" s="244" t="s">
        <v>2</v>
      </c>
      <c r="BP24" s="244" t="s">
        <v>2</v>
      </c>
      <c r="BQ24" s="244" t="s">
        <v>2</v>
      </c>
      <c r="BR24" s="244" t="s">
        <v>2</v>
      </c>
      <c r="BS24" s="244" t="s">
        <v>2</v>
      </c>
      <c r="BT24" s="244" t="s">
        <v>2</v>
      </c>
      <c r="BU24" s="244" t="s">
        <v>2</v>
      </c>
      <c r="BV24" s="244" t="s">
        <v>2</v>
      </c>
      <c r="BW24" s="244" t="s">
        <v>2</v>
      </c>
      <c r="BX24" s="244" t="s">
        <v>2</v>
      </c>
      <c r="BY24" s="244" t="s">
        <v>2</v>
      </c>
      <c r="BZ24" s="201" t="s">
        <v>2</v>
      </c>
      <c r="CA24" s="203" t="s">
        <v>2</v>
      </c>
      <c r="CB24" s="203" t="s">
        <v>2</v>
      </c>
      <c r="CC24" s="203" t="s">
        <v>2</v>
      </c>
      <c r="CD24" s="203" t="s">
        <v>2</v>
      </c>
      <c r="CE24" s="203" t="s">
        <v>2</v>
      </c>
      <c r="CF24" s="203" t="s">
        <v>2</v>
      </c>
      <c r="CG24" s="204" t="s">
        <v>2</v>
      </c>
      <c r="CH24" s="200">
        <v>0</v>
      </c>
      <c r="CI24" s="201">
        <v>0</v>
      </c>
      <c r="CJ24" s="200">
        <v>0</v>
      </c>
      <c r="CK24" s="200">
        <v>0</v>
      </c>
      <c r="CL24" s="200">
        <v>0</v>
      </c>
      <c r="CM24" s="201">
        <v>0</v>
      </c>
      <c r="CN24" s="231" t="s">
        <v>2</v>
      </c>
      <c r="CO24" s="231" t="s">
        <v>2</v>
      </c>
    </row>
    <row r="25" spans="1:93" s="207" customFormat="1" ht="15" x14ac:dyDescent="0.25">
      <c r="A25" s="254">
        <v>12024</v>
      </c>
      <c r="B25" s="280" t="s">
        <v>343</v>
      </c>
      <c r="C25" s="281" t="s">
        <v>1766</v>
      </c>
      <c r="D25" s="294">
        <v>12</v>
      </c>
      <c r="E25" s="204">
        <v>0</v>
      </c>
      <c r="F25" s="231">
        <v>424</v>
      </c>
      <c r="G25" s="231">
        <v>1772.32</v>
      </c>
      <c r="H25" s="202">
        <v>1.7</v>
      </c>
      <c r="I25" s="203">
        <v>2.8</v>
      </c>
      <c r="J25" s="203">
        <v>6.9</v>
      </c>
      <c r="K25" s="203">
        <v>87.6</v>
      </c>
      <c r="L25" s="203">
        <v>1.7</v>
      </c>
      <c r="M25" s="204">
        <v>1</v>
      </c>
      <c r="N25" s="200" t="s">
        <v>2</v>
      </c>
      <c r="O25" s="200" t="s">
        <v>2</v>
      </c>
      <c r="P25" s="203" t="s">
        <v>2</v>
      </c>
      <c r="Q25" s="203" t="s">
        <v>2</v>
      </c>
      <c r="R25" s="200" t="s">
        <v>2</v>
      </c>
      <c r="S25" s="200" t="s">
        <v>2</v>
      </c>
      <c r="T25" s="200" t="s">
        <v>2</v>
      </c>
      <c r="U25" s="205" t="s">
        <v>2</v>
      </c>
      <c r="V25" s="205" t="s">
        <v>2</v>
      </c>
      <c r="W25" s="204" t="s">
        <v>2</v>
      </c>
      <c r="X25" s="203">
        <v>0</v>
      </c>
      <c r="Y25" s="205">
        <v>0.05</v>
      </c>
      <c r="Z25" s="205">
        <v>0.02</v>
      </c>
      <c r="AA25" s="205" t="s">
        <v>2</v>
      </c>
      <c r="AB25" s="205" t="s">
        <v>2</v>
      </c>
      <c r="AC25" s="205" t="s">
        <v>2</v>
      </c>
      <c r="AD25" s="200" t="s">
        <v>2</v>
      </c>
      <c r="AE25" s="200" t="s">
        <v>2</v>
      </c>
      <c r="AF25" s="203" t="s">
        <v>2</v>
      </c>
      <c r="AG25" s="204" t="s">
        <v>2</v>
      </c>
      <c r="AH25" s="231" t="s">
        <v>2</v>
      </c>
      <c r="AI25" s="200">
        <v>0</v>
      </c>
      <c r="AJ25" s="203" t="s">
        <v>2</v>
      </c>
      <c r="AK25" s="203" t="s">
        <v>2</v>
      </c>
      <c r="AL25" s="204" t="s">
        <v>2</v>
      </c>
      <c r="AM25" s="200">
        <v>0</v>
      </c>
      <c r="AN25" s="200">
        <v>0</v>
      </c>
      <c r="AO25" s="201">
        <v>0</v>
      </c>
      <c r="AP25" s="203" t="s">
        <v>2</v>
      </c>
      <c r="AQ25" s="205">
        <v>0.24</v>
      </c>
      <c r="AR25" s="205" t="s">
        <v>2</v>
      </c>
      <c r="AS25" s="205">
        <v>1.75</v>
      </c>
      <c r="AT25" s="205" t="s">
        <v>2</v>
      </c>
      <c r="AU25" s="205" t="s">
        <v>2</v>
      </c>
      <c r="AV25" s="206" t="s">
        <v>2</v>
      </c>
      <c r="AW25" s="203" t="s">
        <v>2</v>
      </c>
      <c r="AX25" s="205" t="s">
        <v>2</v>
      </c>
      <c r="AY25" s="205" t="s">
        <v>2</v>
      </c>
      <c r="AZ25" s="205" t="s">
        <v>2</v>
      </c>
      <c r="BA25" s="282" t="s">
        <v>2</v>
      </c>
      <c r="BB25" s="245">
        <v>2.5099999999999998</v>
      </c>
      <c r="BC25" s="245">
        <v>0.49</v>
      </c>
      <c r="BD25" s="245" t="s">
        <v>2</v>
      </c>
      <c r="BE25" s="245" t="s">
        <v>2</v>
      </c>
      <c r="BF25" s="206" t="s">
        <v>2</v>
      </c>
      <c r="BG25" s="204" t="s">
        <v>2</v>
      </c>
      <c r="BH25" s="199">
        <v>0</v>
      </c>
      <c r="BI25" s="249" t="s">
        <v>2</v>
      </c>
      <c r="BJ25" s="244" t="s">
        <v>2</v>
      </c>
      <c r="BK25" s="244" t="s">
        <v>2</v>
      </c>
      <c r="BL25" s="244" t="s">
        <v>2</v>
      </c>
      <c r="BM25" s="244" t="s">
        <v>2</v>
      </c>
      <c r="BN25" s="244" t="s">
        <v>2</v>
      </c>
      <c r="BO25" s="244" t="s">
        <v>2</v>
      </c>
      <c r="BP25" s="244" t="s">
        <v>2</v>
      </c>
      <c r="BQ25" s="244" t="s">
        <v>2</v>
      </c>
      <c r="BR25" s="244" t="s">
        <v>2</v>
      </c>
      <c r="BS25" s="244" t="s">
        <v>2</v>
      </c>
      <c r="BT25" s="244" t="s">
        <v>2</v>
      </c>
      <c r="BU25" s="244" t="s">
        <v>2</v>
      </c>
      <c r="BV25" s="244" t="s">
        <v>2</v>
      </c>
      <c r="BW25" s="244" t="s">
        <v>2</v>
      </c>
      <c r="BX25" s="244" t="s">
        <v>2</v>
      </c>
      <c r="BY25" s="244" t="s">
        <v>2</v>
      </c>
      <c r="BZ25" s="201" t="s">
        <v>2</v>
      </c>
      <c r="CA25" s="203" t="s">
        <v>2</v>
      </c>
      <c r="CB25" s="203" t="s">
        <v>2</v>
      </c>
      <c r="CC25" s="203" t="s">
        <v>2</v>
      </c>
      <c r="CD25" s="203" t="s">
        <v>2</v>
      </c>
      <c r="CE25" s="203" t="s">
        <v>2</v>
      </c>
      <c r="CF25" s="203" t="s">
        <v>2</v>
      </c>
      <c r="CG25" s="204" t="s">
        <v>2</v>
      </c>
      <c r="CH25" s="200">
        <v>0</v>
      </c>
      <c r="CI25" s="201">
        <v>0</v>
      </c>
      <c r="CJ25" s="200">
        <v>0</v>
      </c>
      <c r="CK25" s="200">
        <v>0</v>
      </c>
      <c r="CL25" s="200">
        <v>0</v>
      </c>
      <c r="CM25" s="201">
        <v>0</v>
      </c>
      <c r="CN25" s="231" t="s">
        <v>2</v>
      </c>
      <c r="CO25" s="231" t="s">
        <v>2</v>
      </c>
    </row>
    <row r="26" spans="1:93" s="207" customFormat="1" ht="15" x14ac:dyDescent="0.25">
      <c r="A26" s="254">
        <v>12025</v>
      </c>
      <c r="B26" s="280" t="s">
        <v>344</v>
      </c>
      <c r="C26" s="281" t="s">
        <v>1767</v>
      </c>
      <c r="D26" s="294">
        <v>12</v>
      </c>
      <c r="E26" s="204">
        <v>0</v>
      </c>
      <c r="F26" s="231">
        <v>331</v>
      </c>
      <c r="G26" s="231">
        <v>1383.58</v>
      </c>
      <c r="H26" s="202">
        <v>15</v>
      </c>
      <c r="I26" s="203">
        <v>0.2</v>
      </c>
      <c r="J26" s="203">
        <v>0</v>
      </c>
      <c r="K26" s="203">
        <v>82.5</v>
      </c>
      <c r="L26" s="203">
        <v>0</v>
      </c>
      <c r="M26" s="204">
        <v>2.2999999999999998</v>
      </c>
      <c r="N26" s="200" t="s">
        <v>2</v>
      </c>
      <c r="O26" s="200" t="s">
        <v>2</v>
      </c>
      <c r="P26" s="203" t="s">
        <v>2</v>
      </c>
      <c r="Q26" s="203" t="s">
        <v>2</v>
      </c>
      <c r="R26" s="200" t="s">
        <v>2</v>
      </c>
      <c r="S26" s="200" t="s">
        <v>2</v>
      </c>
      <c r="T26" s="200" t="s">
        <v>2</v>
      </c>
      <c r="U26" s="205" t="s">
        <v>2</v>
      </c>
      <c r="V26" s="205" t="s">
        <v>2</v>
      </c>
      <c r="W26" s="204" t="s">
        <v>2</v>
      </c>
      <c r="X26" s="203">
        <v>0</v>
      </c>
      <c r="Y26" s="205" t="s">
        <v>2</v>
      </c>
      <c r="Z26" s="205">
        <v>0.1</v>
      </c>
      <c r="AA26" s="205">
        <v>0.2</v>
      </c>
      <c r="AB26" s="205" t="s">
        <v>2</v>
      </c>
      <c r="AC26" s="205" t="s">
        <v>2</v>
      </c>
      <c r="AD26" s="200" t="s">
        <v>2</v>
      </c>
      <c r="AE26" s="200" t="s">
        <v>2</v>
      </c>
      <c r="AF26" s="203" t="s">
        <v>2</v>
      </c>
      <c r="AG26" s="204" t="s">
        <v>2</v>
      </c>
      <c r="AH26" s="231" t="s">
        <v>2</v>
      </c>
      <c r="AI26" s="200">
        <v>0</v>
      </c>
      <c r="AJ26" s="203" t="s">
        <v>2</v>
      </c>
      <c r="AK26" s="203" t="s">
        <v>2</v>
      </c>
      <c r="AL26" s="204" t="s">
        <v>2</v>
      </c>
      <c r="AM26" s="200">
        <v>0</v>
      </c>
      <c r="AN26" s="200">
        <v>0</v>
      </c>
      <c r="AO26" s="201">
        <v>0</v>
      </c>
      <c r="AP26" s="203" t="s">
        <v>2</v>
      </c>
      <c r="AQ26" s="205" t="s">
        <v>2</v>
      </c>
      <c r="AR26" s="205" t="s">
        <v>2</v>
      </c>
      <c r="AS26" s="205" t="s">
        <v>2</v>
      </c>
      <c r="AT26" s="205" t="s">
        <v>2</v>
      </c>
      <c r="AU26" s="205" t="s">
        <v>2</v>
      </c>
      <c r="AV26" s="206" t="s">
        <v>2</v>
      </c>
      <c r="AW26" s="203" t="s">
        <v>2</v>
      </c>
      <c r="AX26" s="205" t="s">
        <v>2</v>
      </c>
      <c r="AY26" s="205" t="s">
        <v>2</v>
      </c>
      <c r="AZ26" s="205" t="s">
        <v>2</v>
      </c>
      <c r="BA26" s="282" t="s">
        <v>2</v>
      </c>
      <c r="BB26" s="245" t="s">
        <v>2</v>
      </c>
      <c r="BC26" s="245" t="s">
        <v>2</v>
      </c>
      <c r="BD26" s="245" t="s">
        <v>2</v>
      </c>
      <c r="BE26" s="245" t="s">
        <v>2</v>
      </c>
      <c r="BF26" s="206" t="s">
        <v>2</v>
      </c>
      <c r="BG26" s="204" t="s">
        <v>2</v>
      </c>
      <c r="BH26" s="199">
        <v>0</v>
      </c>
      <c r="BI26" s="249" t="s">
        <v>2</v>
      </c>
      <c r="BJ26" s="244" t="s">
        <v>2</v>
      </c>
      <c r="BK26" s="244" t="s">
        <v>2</v>
      </c>
      <c r="BL26" s="244" t="s">
        <v>2</v>
      </c>
      <c r="BM26" s="244" t="s">
        <v>2</v>
      </c>
      <c r="BN26" s="244" t="s">
        <v>2</v>
      </c>
      <c r="BO26" s="244" t="s">
        <v>2</v>
      </c>
      <c r="BP26" s="244" t="s">
        <v>2</v>
      </c>
      <c r="BQ26" s="244" t="s">
        <v>2</v>
      </c>
      <c r="BR26" s="244" t="s">
        <v>2</v>
      </c>
      <c r="BS26" s="244" t="s">
        <v>2</v>
      </c>
      <c r="BT26" s="244" t="s">
        <v>2</v>
      </c>
      <c r="BU26" s="244" t="s">
        <v>2</v>
      </c>
      <c r="BV26" s="244" t="s">
        <v>2</v>
      </c>
      <c r="BW26" s="244" t="s">
        <v>2</v>
      </c>
      <c r="BX26" s="244" t="s">
        <v>2</v>
      </c>
      <c r="BY26" s="244" t="s">
        <v>2</v>
      </c>
      <c r="BZ26" s="201" t="s">
        <v>2</v>
      </c>
      <c r="CA26" s="203" t="s">
        <v>2</v>
      </c>
      <c r="CB26" s="203" t="s">
        <v>2</v>
      </c>
      <c r="CC26" s="203" t="s">
        <v>2</v>
      </c>
      <c r="CD26" s="203" t="s">
        <v>2</v>
      </c>
      <c r="CE26" s="203" t="s">
        <v>2</v>
      </c>
      <c r="CF26" s="203" t="s">
        <v>2</v>
      </c>
      <c r="CG26" s="204" t="s">
        <v>2</v>
      </c>
      <c r="CH26" s="200">
        <v>0</v>
      </c>
      <c r="CI26" s="201">
        <v>0</v>
      </c>
      <c r="CJ26" s="200">
        <v>0</v>
      </c>
      <c r="CK26" s="200">
        <v>0</v>
      </c>
      <c r="CL26" s="200">
        <v>0</v>
      </c>
      <c r="CM26" s="201">
        <v>0</v>
      </c>
      <c r="CN26" s="231" t="s">
        <v>2</v>
      </c>
      <c r="CO26" s="231" t="s">
        <v>2</v>
      </c>
    </row>
    <row r="27" spans="1:93" s="207" customFormat="1" ht="15" x14ac:dyDescent="0.25">
      <c r="A27" s="254">
        <v>12026</v>
      </c>
      <c r="B27" s="280" t="s">
        <v>345</v>
      </c>
      <c r="C27" s="281" t="s">
        <v>1768</v>
      </c>
      <c r="D27" s="294">
        <v>12</v>
      </c>
      <c r="E27" s="204">
        <v>0</v>
      </c>
      <c r="F27" s="231">
        <v>327</v>
      </c>
      <c r="G27" s="231">
        <v>1366.86</v>
      </c>
      <c r="H27" s="202">
        <v>18</v>
      </c>
      <c r="I27" s="203">
        <v>0.4</v>
      </c>
      <c r="J27" s="203">
        <v>0</v>
      </c>
      <c r="K27" s="203">
        <v>81.3</v>
      </c>
      <c r="L27" s="203">
        <v>0</v>
      </c>
      <c r="M27" s="204">
        <v>0.3</v>
      </c>
      <c r="N27" s="200">
        <v>5</v>
      </c>
      <c r="O27" s="200">
        <v>16</v>
      </c>
      <c r="P27" s="203">
        <v>0.9</v>
      </c>
      <c r="Q27" s="203">
        <v>0.22</v>
      </c>
      <c r="R27" s="200">
        <v>4</v>
      </c>
      <c r="S27" s="200">
        <v>52</v>
      </c>
      <c r="T27" s="200">
        <v>2</v>
      </c>
      <c r="U27" s="205">
        <v>0.08</v>
      </c>
      <c r="V27" s="205">
        <v>36</v>
      </c>
      <c r="W27" s="204">
        <v>0.8</v>
      </c>
      <c r="X27" s="203">
        <v>4</v>
      </c>
      <c r="Y27" s="205">
        <v>0</v>
      </c>
      <c r="Z27" s="205">
        <v>0.04</v>
      </c>
      <c r="AA27" s="205">
        <v>0.2</v>
      </c>
      <c r="AB27" s="205">
        <v>6.8000000000000005E-2</v>
      </c>
      <c r="AC27" s="205">
        <v>2.4E-2</v>
      </c>
      <c r="AD27" s="200">
        <v>2</v>
      </c>
      <c r="AE27" s="200">
        <v>0</v>
      </c>
      <c r="AF27" s="203">
        <v>0</v>
      </c>
      <c r="AG27" s="204">
        <v>0</v>
      </c>
      <c r="AH27" s="231">
        <v>0</v>
      </c>
      <c r="AI27" s="200">
        <v>0</v>
      </c>
      <c r="AJ27" s="203">
        <v>0</v>
      </c>
      <c r="AK27" s="203">
        <v>0</v>
      </c>
      <c r="AL27" s="204">
        <v>0</v>
      </c>
      <c r="AM27" s="200">
        <v>0</v>
      </c>
      <c r="AN27" s="200">
        <v>0</v>
      </c>
      <c r="AO27" s="201">
        <v>0</v>
      </c>
      <c r="AP27" s="203">
        <v>0</v>
      </c>
      <c r="AQ27" s="205">
        <v>0</v>
      </c>
      <c r="AR27" s="205">
        <v>0</v>
      </c>
      <c r="AS27" s="205">
        <v>0</v>
      </c>
      <c r="AT27" s="205">
        <v>0</v>
      </c>
      <c r="AU27" s="205">
        <v>0</v>
      </c>
      <c r="AV27" s="206">
        <v>0</v>
      </c>
      <c r="AW27" s="203">
        <v>0</v>
      </c>
      <c r="AX27" s="205">
        <v>0</v>
      </c>
      <c r="AY27" s="205">
        <v>0</v>
      </c>
      <c r="AZ27" s="205">
        <v>0</v>
      </c>
      <c r="BA27" s="282">
        <v>0</v>
      </c>
      <c r="BB27" s="245">
        <v>0</v>
      </c>
      <c r="BC27" s="245">
        <v>0</v>
      </c>
      <c r="BD27" s="245">
        <v>0</v>
      </c>
      <c r="BE27" s="245">
        <v>0</v>
      </c>
      <c r="BF27" s="206">
        <v>0</v>
      </c>
      <c r="BG27" s="204">
        <v>0</v>
      </c>
      <c r="BH27" s="199">
        <v>0</v>
      </c>
      <c r="BI27" s="249">
        <v>8</v>
      </c>
      <c r="BJ27" s="244">
        <v>1</v>
      </c>
      <c r="BK27" s="244">
        <v>4</v>
      </c>
      <c r="BL27" s="244">
        <v>11</v>
      </c>
      <c r="BM27" s="244">
        <v>4</v>
      </c>
      <c r="BN27" s="244">
        <v>9</v>
      </c>
      <c r="BO27" s="244">
        <v>10</v>
      </c>
      <c r="BP27" s="244">
        <v>8</v>
      </c>
      <c r="BQ27" s="244">
        <v>5</v>
      </c>
      <c r="BR27" s="244">
        <v>1</v>
      </c>
      <c r="BS27" s="244">
        <v>3</v>
      </c>
      <c r="BT27" s="244">
        <v>8</v>
      </c>
      <c r="BU27" s="244">
        <v>6</v>
      </c>
      <c r="BV27" s="244">
        <v>27</v>
      </c>
      <c r="BW27" s="244">
        <v>18</v>
      </c>
      <c r="BX27" s="244">
        <v>7</v>
      </c>
      <c r="BY27" s="244">
        <v>90</v>
      </c>
      <c r="BZ27" s="201">
        <v>6</v>
      </c>
      <c r="CA27" s="203">
        <v>82.12</v>
      </c>
      <c r="CB27" s="203">
        <v>3.1</v>
      </c>
      <c r="CC27" s="203">
        <v>1.44</v>
      </c>
      <c r="CD27" s="203">
        <v>0</v>
      </c>
      <c r="CE27" s="203">
        <v>40.94</v>
      </c>
      <c r="CF27" s="203">
        <v>35.75</v>
      </c>
      <c r="CG27" s="204">
        <v>0.89</v>
      </c>
      <c r="CH27" s="200">
        <v>0</v>
      </c>
      <c r="CI27" s="201">
        <v>0</v>
      </c>
      <c r="CJ27" s="200">
        <v>0</v>
      </c>
      <c r="CK27" s="200">
        <v>0</v>
      </c>
      <c r="CL27" s="200">
        <v>0</v>
      </c>
      <c r="CM27" s="200">
        <v>0</v>
      </c>
      <c r="CN27" s="231">
        <v>0</v>
      </c>
      <c r="CO27" s="231">
        <v>0</v>
      </c>
    </row>
    <row r="28" spans="1:93" s="207" customFormat="1" thickBot="1" x14ac:dyDescent="0.3">
      <c r="A28" s="267">
        <v>12027</v>
      </c>
      <c r="B28" s="283" t="s">
        <v>346</v>
      </c>
      <c r="C28" s="284" t="s">
        <v>1769</v>
      </c>
      <c r="D28" s="295">
        <v>12</v>
      </c>
      <c r="E28" s="216">
        <v>0</v>
      </c>
      <c r="F28" s="238">
        <v>433</v>
      </c>
      <c r="G28" s="238">
        <v>1809.9399999999998</v>
      </c>
      <c r="H28" s="214">
        <v>1.8</v>
      </c>
      <c r="I28" s="215">
        <v>5.4</v>
      </c>
      <c r="J28" s="215">
        <v>8.6</v>
      </c>
      <c r="K28" s="215">
        <v>83.6</v>
      </c>
      <c r="L28" s="215">
        <v>0.7</v>
      </c>
      <c r="M28" s="216">
        <v>0.6</v>
      </c>
      <c r="N28" s="212" t="s">
        <v>2</v>
      </c>
      <c r="O28" s="212" t="s">
        <v>2</v>
      </c>
      <c r="P28" s="215" t="s">
        <v>2</v>
      </c>
      <c r="Q28" s="215" t="s">
        <v>2</v>
      </c>
      <c r="R28" s="212" t="s">
        <v>2</v>
      </c>
      <c r="S28" s="212" t="s">
        <v>2</v>
      </c>
      <c r="T28" s="212" t="s">
        <v>2</v>
      </c>
      <c r="U28" s="217" t="s">
        <v>2</v>
      </c>
      <c r="V28" s="217" t="s">
        <v>2</v>
      </c>
      <c r="W28" s="216" t="s">
        <v>2</v>
      </c>
      <c r="X28" s="215">
        <v>0</v>
      </c>
      <c r="Y28" s="217">
        <v>0.16</v>
      </c>
      <c r="Z28" s="217">
        <v>0.03</v>
      </c>
      <c r="AA28" s="217">
        <v>3</v>
      </c>
      <c r="AB28" s="217" t="s">
        <v>2</v>
      </c>
      <c r="AC28" s="217" t="s">
        <v>2</v>
      </c>
      <c r="AD28" s="212" t="s">
        <v>2</v>
      </c>
      <c r="AE28" s="212" t="s">
        <v>2</v>
      </c>
      <c r="AF28" s="215" t="s">
        <v>2</v>
      </c>
      <c r="AG28" s="216" t="s">
        <v>2</v>
      </c>
      <c r="AH28" s="238" t="s">
        <v>2</v>
      </c>
      <c r="AI28" s="212" t="s">
        <v>2</v>
      </c>
      <c r="AJ28" s="215" t="s">
        <v>2</v>
      </c>
      <c r="AK28" s="215" t="s">
        <v>2</v>
      </c>
      <c r="AL28" s="216" t="s">
        <v>2</v>
      </c>
      <c r="AM28" s="212">
        <v>0</v>
      </c>
      <c r="AN28" s="212">
        <v>0</v>
      </c>
      <c r="AO28" s="213">
        <v>0</v>
      </c>
      <c r="AP28" s="215" t="s">
        <v>2</v>
      </c>
      <c r="AQ28" s="217" t="s">
        <v>2</v>
      </c>
      <c r="AR28" s="217" t="s">
        <v>2</v>
      </c>
      <c r="AS28" s="217" t="s">
        <v>2</v>
      </c>
      <c r="AT28" s="217" t="s">
        <v>2</v>
      </c>
      <c r="AU28" s="217" t="s">
        <v>2</v>
      </c>
      <c r="AV28" s="219" t="s">
        <v>2</v>
      </c>
      <c r="AW28" s="215" t="s">
        <v>2</v>
      </c>
      <c r="AX28" s="217" t="s">
        <v>2</v>
      </c>
      <c r="AY28" s="217" t="s">
        <v>2</v>
      </c>
      <c r="AZ28" s="217" t="s">
        <v>2</v>
      </c>
      <c r="BA28" s="285" t="s">
        <v>2</v>
      </c>
      <c r="BB28" s="217" t="s">
        <v>2</v>
      </c>
      <c r="BC28" s="217" t="s">
        <v>2</v>
      </c>
      <c r="BD28" s="217" t="s">
        <v>2</v>
      </c>
      <c r="BE28" s="217" t="s">
        <v>2</v>
      </c>
      <c r="BF28" s="219" t="s">
        <v>2</v>
      </c>
      <c r="BG28" s="216" t="s">
        <v>2</v>
      </c>
      <c r="BH28" s="211">
        <v>0</v>
      </c>
      <c r="BI28" s="277" t="s">
        <v>2</v>
      </c>
      <c r="BJ28" s="212" t="s">
        <v>2</v>
      </c>
      <c r="BK28" s="212" t="s">
        <v>2</v>
      </c>
      <c r="BL28" s="212" t="s">
        <v>2</v>
      </c>
      <c r="BM28" s="212" t="s">
        <v>2</v>
      </c>
      <c r="BN28" s="212" t="s">
        <v>2</v>
      </c>
      <c r="BO28" s="212" t="s">
        <v>2</v>
      </c>
      <c r="BP28" s="212" t="s">
        <v>2</v>
      </c>
      <c r="BQ28" s="212" t="s">
        <v>2</v>
      </c>
      <c r="BR28" s="212" t="s">
        <v>2</v>
      </c>
      <c r="BS28" s="212" t="s">
        <v>2</v>
      </c>
      <c r="BT28" s="212" t="s">
        <v>2</v>
      </c>
      <c r="BU28" s="212" t="s">
        <v>2</v>
      </c>
      <c r="BV28" s="212" t="s">
        <v>2</v>
      </c>
      <c r="BW28" s="212" t="s">
        <v>2</v>
      </c>
      <c r="BX28" s="212" t="s">
        <v>2</v>
      </c>
      <c r="BY28" s="212" t="s">
        <v>2</v>
      </c>
      <c r="BZ28" s="213" t="s">
        <v>2</v>
      </c>
      <c r="CA28" s="215" t="s">
        <v>2</v>
      </c>
      <c r="CB28" s="215" t="s">
        <v>2</v>
      </c>
      <c r="CC28" s="215" t="s">
        <v>2</v>
      </c>
      <c r="CD28" s="215" t="s">
        <v>2</v>
      </c>
      <c r="CE28" s="215" t="s">
        <v>2</v>
      </c>
      <c r="CF28" s="215" t="s">
        <v>2</v>
      </c>
      <c r="CG28" s="216" t="s">
        <v>2</v>
      </c>
      <c r="CH28" s="212">
        <v>0</v>
      </c>
      <c r="CI28" s="213">
        <v>0</v>
      </c>
      <c r="CJ28" s="212">
        <v>0</v>
      </c>
      <c r="CK28" s="212">
        <v>0</v>
      </c>
      <c r="CL28" s="212">
        <v>0</v>
      </c>
      <c r="CM28" s="213">
        <v>0</v>
      </c>
      <c r="CN28" s="238" t="s">
        <v>2</v>
      </c>
      <c r="CO28" s="238" t="s">
        <v>2</v>
      </c>
    </row>
    <row r="29" spans="1:93" ht="16.5" thickTop="1" x14ac:dyDescent="0.25">
      <c r="A29" s="154">
        <v>13001</v>
      </c>
      <c r="B29" s="46" t="s">
        <v>1</v>
      </c>
      <c r="C29" s="1" t="s">
        <v>1770</v>
      </c>
      <c r="D29" s="291">
        <v>13</v>
      </c>
      <c r="E29" s="23">
        <v>0</v>
      </c>
      <c r="F29" s="156">
        <v>318</v>
      </c>
      <c r="G29" s="59">
        <v>1329.24</v>
      </c>
      <c r="H29" s="157">
        <v>10</v>
      </c>
      <c r="I29" s="3">
        <v>8.1999999999999993</v>
      </c>
      <c r="J29" s="3">
        <v>7.3</v>
      </c>
      <c r="K29" s="2">
        <v>54.9</v>
      </c>
      <c r="L29" s="3">
        <v>8.9</v>
      </c>
      <c r="M29" s="7">
        <v>19.600000000000001</v>
      </c>
      <c r="N29" s="65">
        <v>906</v>
      </c>
      <c r="O29" s="65">
        <v>421</v>
      </c>
      <c r="P29" s="3" t="s">
        <v>2</v>
      </c>
      <c r="Q29" s="3" t="s">
        <v>2</v>
      </c>
      <c r="R29" s="65" t="s">
        <v>2</v>
      </c>
      <c r="S29" s="65" t="s">
        <v>2</v>
      </c>
      <c r="T29" s="65" t="s">
        <v>2</v>
      </c>
      <c r="U29" s="61" t="s">
        <v>2</v>
      </c>
      <c r="V29" s="61" t="s">
        <v>2</v>
      </c>
      <c r="W29" s="7" t="s">
        <v>2</v>
      </c>
      <c r="X29" s="3" t="s">
        <v>2</v>
      </c>
      <c r="Y29" s="63">
        <v>0.03</v>
      </c>
      <c r="Z29" s="63">
        <v>0.4</v>
      </c>
      <c r="AA29" s="61">
        <v>2.2999999999999998</v>
      </c>
      <c r="AB29" s="61" t="s">
        <v>2</v>
      </c>
      <c r="AC29" s="61" t="s">
        <v>2</v>
      </c>
      <c r="AD29" s="65" t="s">
        <v>2</v>
      </c>
      <c r="AE29" s="65" t="s">
        <v>2</v>
      </c>
      <c r="AF29" s="3" t="s">
        <v>2</v>
      </c>
      <c r="AG29" s="7" t="s">
        <v>2</v>
      </c>
      <c r="AH29" s="162" t="s">
        <v>2</v>
      </c>
      <c r="AI29" s="65">
        <v>32</v>
      </c>
      <c r="AJ29" s="3" t="s">
        <v>2</v>
      </c>
      <c r="AK29" s="3" t="s">
        <v>2</v>
      </c>
      <c r="AL29" s="7" t="s">
        <v>2</v>
      </c>
      <c r="AM29" s="65">
        <v>380</v>
      </c>
      <c r="AN29" s="65" t="s">
        <v>2</v>
      </c>
      <c r="AO29" s="59" t="s">
        <v>2</v>
      </c>
      <c r="AP29" s="3" t="s">
        <v>2</v>
      </c>
      <c r="AQ29" s="61" t="s">
        <v>2</v>
      </c>
      <c r="AR29" s="61" t="s">
        <v>2</v>
      </c>
      <c r="AS29" s="61" t="s">
        <v>2</v>
      </c>
      <c r="AT29" s="61" t="s">
        <v>2</v>
      </c>
      <c r="AU29" s="61" t="s">
        <v>2</v>
      </c>
      <c r="AV29" s="62" t="s">
        <v>2</v>
      </c>
      <c r="AW29" s="3" t="s">
        <v>2</v>
      </c>
      <c r="AX29" s="61" t="s">
        <v>2</v>
      </c>
      <c r="AY29" s="61" t="s">
        <v>2</v>
      </c>
      <c r="AZ29" s="62" t="s">
        <v>2</v>
      </c>
      <c r="BA29" s="3" t="s">
        <v>2</v>
      </c>
      <c r="BB29" s="61" t="s">
        <v>2</v>
      </c>
      <c r="BC29" s="61" t="s">
        <v>2</v>
      </c>
      <c r="BD29" s="61" t="s">
        <v>2</v>
      </c>
      <c r="BE29" s="61" t="s">
        <v>2</v>
      </c>
      <c r="BF29" s="62" t="s">
        <v>2</v>
      </c>
      <c r="BG29" s="3" t="s">
        <v>2</v>
      </c>
      <c r="BH29" s="11">
        <v>0</v>
      </c>
      <c r="BI29" s="65" t="s">
        <v>2</v>
      </c>
      <c r="BJ29" s="65" t="s">
        <v>2</v>
      </c>
      <c r="BK29" s="65" t="s">
        <v>2</v>
      </c>
      <c r="BL29" s="65" t="s">
        <v>2</v>
      </c>
      <c r="BM29" s="65" t="s">
        <v>2</v>
      </c>
      <c r="BN29" s="65" t="s">
        <v>2</v>
      </c>
      <c r="BO29" s="65" t="s">
        <v>2</v>
      </c>
      <c r="BP29" s="65" t="s">
        <v>2</v>
      </c>
      <c r="BQ29" s="65" t="s">
        <v>2</v>
      </c>
      <c r="BR29" s="65" t="s">
        <v>2</v>
      </c>
      <c r="BS29" s="65" t="s">
        <v>2</v>
      </c>
      <c r="BT29" s="65" t="s">
        <v>2</v>
      </c>
      <c r="BU29" s="65" t="s">
        <v>2</v>
      </c>
      <c r="BV29" s="65" t="s">
        <v>2</v>
      </c>
      <c r="BW29" s="65" t="s">
        <v>2</v>
      </c>
      <c r="BX29" s="65" t="s">
        <v>2</v>
      </c>
      <c r="BY29" s="65" t="s">
        <v>2</v>
      </c>
      <c r="BZ29" s="59" t="s">
        <v>2</v>
      </c>
      <c r="CA29" s="3" t="s">
        <v>2</v>
      </c>
      <c r="CB29" s="3" t="s">
        <v>2</v>
      </c>
      <c r="CC29" s="3" t="s">
        <v>2</v>
      </c>
      <c r="CD29" s="3" t="s">
        <v>2</v>
      </c>
      <c r="CE29" s="3" t="s">
        <v>2</v>
      </c>
      <c r="CF29" s="3" t="s">
        <v>2</v>
      </c>
      <c r="CG29" s="7" t="s">
        <v>2</v>
      </c>
      <c r="CH29" s="65" t="s">
        <v>2</v>
      </c>
      <c r="CI29" s="59" t="s">
        <v>2</v>
      </c>
      <c r="CJ29" s="65">
        <v>0</v>
      </c>
      <c r="CK29" s="65">
        <v>0</v>
      </c>
      <c r="CL29" s="65">
        <v>0</v>
      </c>
      <c r="CM29" s="59">
        <v>0</v>
      </c>
      <c r="CN29" s="156" t="s">
        <v>2</v>
      </c>
      <c r="CO29" s="59" t="s">
        <v>2</v>
      </c>
    </row>
    <row r="30" spans="1:93" x14ac:dyDescent="0.25">
      <c r="A30" s="154">
        <v>13002</v>
      </c>
      <c r="B30" s="46" t="s">
        <v>3</v>
      </c>
      <c r="C30" s="1" t="s">
        <v>1771</v>
      </c>
      <c r="D30" s="291">
        <v>13</v>
      </c>
      <c r="E30" s="23">
        <v>0</v>
      </c>
      <c r="F30" s="156">
        <v>346</v>
      </c>
      <c r="G30" s="59">
        <v>1446.28</v>
      </c>
      <c r="H30" s="68">
        <v>10.199999999999999</v>
      </c>
      <c r="I30" s="3">
        <v>7.6</v>
      </c>
      <c r="J30" s="3">
        <v>2.9</v>
      </c>
      <c r="K30" s="2">
        <v>72.400000000000006</v>
      </c>
      <c r="L30" s="3">
        <v>12.5</v>
      </c>
      <c r="M30" s="7">
        <v>6.9</v>
      </c>
      <c r="N30" s="65">
        <v>180</v>
      </c>
      <c r="O30" s="65">
        <v>148</v>
      </c>
      <c r="P30" s="3">
        <v>11.52</v>
      </c>
      <c r="Q30" s="3">
        <v>4.72</v>
      </c>
      <c r="R30" s="65">
        <v>32</v>
      </c>
      <c r="S30" s="65">
        <v>1343</v>
      </c>
      <c r="T30" s="65">
        <v>184</v>
      </c>
      <c r="U30" s="61">
        <v>26.5</v>
      </c>
      <c r="V30" s="61">
        <v>480</v>
      </c>
      <c r="W30" s="7">
        <v>38.5</v>
      </c>
      <c r="X30" s="3">
        <v>7</v>
      </c>
      <c r="Y30" s="61">
        <v>0.16</v>
      </c>
      <c r="Z30" s="63">
        <v>0.27</v>
      </c>
      <c r="AA30" s="61">
        <v>8.4</v>
      </c>
      <c r="AB30" s="61" t="s">
        <v>2</v>
      </c>
      <c r="AC30" s="61">
        <v>0.84</v>
      </c>
      <c r="AD30" s="65">
        <v>39</v>
      </c>
      <c r="AE30" s="65">
        <v>0</v>
      </c>
      <c r="AF30" s="3" t="s">
        <v>2</v>
      </c>
      <c r="AG30" s="7">
        <v>0</v>
      </c>
      <c r="AH30" s="162" t="s">
        <v>2</v>
      </c>
      <c r="AI30" s="65">
        <v>7</v>
      </c>
      <c r="AJ30" s="3" t="s">
        <v>2</v>
      </c>
      <c r="AK30" s="3">
        <v>18.02</v>
      </c>
      <c r="AL30" s="7">
        <v>0.8</v>
      </c>
      <c r="AM30" s="65">
        <v>88</v>
      </c>
      <c r="AN30" s="65">
        <v>0</v>
      </c>
      <c r="AO30" s="59">
        <v>0</v>
      </c>
      <c r="AP30" s="3">
        <v>1.94</v>
      </c>
      <c r="AQ30" s="61">
        <v>1.02</v>
      </c>
      <c r="AR30" s="63">
        <v>0</v>
      </c>
      <c r="AS30" s="63">
        <v>0.14000000000000001</v>
      </c>
      <c r="AT30" s="63">
        <v>0</v>
      </c>
      <c r="AU30" s="63">
        <v>0</v>
      </c>
      <c r="AV30" s="64">
        <v>0</v>
      </c>
      <c r="AW30" s="3">
        <v>1</v>
      </c>
      <c r="AX30" s="61">
        <v>0</v>
      </c>
      <c r="AY30" s="61">
        <v>0</v>
      </c>
      <c r="AZ30" s="62">
        <v>1</v>
      </c>
      <c r="BA30" s="3">
        <v>1.31</v>
      </c>
      <c r="BB30" s="61">
        <v>1.02</v>
      </c>
      <c r="BC30" s="61">
        <v>0.28999999999999998</v>
      </c>
      <c r="BD30" s="61">
        <v>0</v>
      </c>
      <c r="BE30" s="61">
        <v>0</v>
      </c>
      <c r="BF30" s="62">
        <v>0</v>
      </c>
      <c r="BG30" s="7" t="s">
        <v>2</v>
      </c>
      <c r="BH30" s="11">
        <v>0</v>
      </c>
      <c r="BI30" s="65">
        <v>299</v>
      </c>
      <c r="BJ30" s="65">
        <v>67</v>
      </c>
      <c r="BK30" s="65">
        <v>63</v>
      </c>
      <c r="BL30" s="65">
        <v>236</v>
      </c>
      <c r="BM30" s="65">
        <v>187</v>
      </c>
      <c r="BN30" s="65">
        <v>382</v>
      </c>
      <c r="BO30" s="65">
        <v>387</v>
      </c>
      <c r="BP30" s="65">
        <v>266</v>
      </c>
      <c r="BQ30" s="65">
        <v>226</v>
      </c>
      <c r="BR30" s="65">
        <v>158</v>
      </c>
      <c r="BS30" s="65">
        <v>42</v>
      </c>
      <c r="BT30" s="65">
        <v>102</v>
      </c>
      <c r="BU30" s="65">
        <v>163</v>
      </c>
      <c r="BV30" s="65">
        <v>1090</v>
      </c>
      <c r="BW30" s="65">
        <v>848</v>
      </c>
      <c r="BX30" s="65">
        <v>226</v>
      </c>
      <c r="BY30" s="65">
        <v>216</v>
      </c>
      <c r="BZ30" s="59">
        <v>236</v>
      </c>
      <c r="CA30" s="3">
        <v>3.4</v>
      </c>
      <c r="CB30" s="3">
        <v>0.19</v>
      </c>
      <c r="CC30" s="3">
        <v>0</v>
      </c>
      <c r="CD30" s="3">
        <v>0</v>
      </c>
      <c r="CE30" s="3">
        <v>1.78</v>
      </c>
      <c r="CF30" s="3">
        <v>1.22</v>
      </c>
      <c r="CG30" s="7">
        <v>0.2</v>
      </c>
      <c r="CH30" s="65">
        <v>0</v>
      </c>
      <c r="CI30" s="59">
        <v>0</v>
      </c>
      <c r="CJ30" s="65">
        <v>0</v>
      </c>
      <c r="CK30" s="65">
        <v>0</v>
      </c>
      <c r="CL30" s="65">
        <v>0</v>
      </c>
      <c r="CM30" s="59">
        <v>0</v>
      </c>
      <c r="CN30" s="156">
        <v>83</v>
      </c>
      <c r="CO30" s="59" t="s">
        <v>2</v>
      </c>
    </row>
    <row r="31" spans="1:93" x14ac:dyDescent="0.25">
      <c r="A31" s="154">
        <v>13003</v>
      </c>
      <c r="B31" s="46" t="s">
        <v>4</v>
      </c>
      <c r="C31" s="1" t="s">
        <v>1772</v>
      </c>
      <c r="D31" s="291">
        <v>13</v>
      </c>
      <c r="E31" s="23">
        <v>10</v>
      </c>
      <c r="F31" s="156">
        <v>41</v>
      </c>
      <c r="G31" s="59">
        <v>171.38</v>
      </c>
      <c r="H31" s="157">
        <v>90</v>
      </c>
      <c r="I31" s="3">
        <v>0.4</v>
      </c>
      <c r="J31" s="3">
        <v>0.51</v>
      </c>
      <c r="K31" s="2">
        <v>8.59</v>
      </c>
      <c r="L31" s="3">
        <v>3.3</v>
      </c>
      <c r="M31" s="7">
        <v>0.5</v>
      </c>
      <c r="N31" s="65">
        <v>60</v>
      </c>
      <c r="O31" s="65">
        <v>8</v>
      </c>
      <c r="P31" s="2">
        <v>2.5</v>
      </c>
      <c r="Q31" s="2">
        <v>0.34</v>
      </c>
      <c r="R31" s="65">
        <v>7</v>
      </c>
      <c r="S31" s="65">
        <v>316</v>
      </c>
      <c r="T31" s="65">
        <v>43</v>
      </c>
      <c r="U31" s="63">
        <v>0.22900000000000001</v>
      </c>
      <c r="V31" s="61">
        <v>226</v>
      </c>
      <c r="W31" s="24">
        <v>0.7</v>
      </c>
      <c r="X31" s="3">
        <v>5.3</v>
      </c>
      <c r="Y31" s="61">
        <v>0.04</v>
      </c>
      <c r="Z31" s="63">
        <v>0.04</v>
      </c>
      <c r="AA31" s="63">
        <v>0.7</v>
      </c>
      <c r="AB31" s="61">
        <v>0.20300000000000001</v>
      </c>
      <c r="AC31" s="61">
        <v>0.16</v>
      </c>
      <c r="AD31" s="65">
        <v>11</v>
      </c>
      <c r="AE31" s="65">
        <v>0</v>
      </c>
      <c r="AF31" s="3" t="s">
        <v>2</v>
      </c>
      <c r="AG31" s="7">
        <v>0</v>
      </c>
      <c r="AH31" s="162" t="s">
        <v>2</v>
      </c>
      <c r="AI31" s="65">
        <v>0</v>
      </c>
      <c r="AJ31" s="3" t="s">
        <v>2</v>
      </c>
      <c r="AK31" s="3">
        <v>0.26</v>
      </c>
      <c r="AL31" s="7">
        <v>0.1</v>
      </c>
      <c r="AM31" s="65">
        <v>0</v>
      </c>
      <c r="AN31" s="65">
        <v>0</v>
      </c>
      <c r="AO31" s="59">
        <v>0</v>
      </c>
      <c r="AP31" s="3">
        <v>0.20300000000000001</v>
      </c>
      <c r="AQ31" s="61">
        <v>0.12</v>
      </c>
      <c r="AR31" s="63">
        <v>0</v>
      </c>
      <c r="AS31" s="63">
        <v>1.7000000000000001E-2</v>
      </c>
      <c r="AT31" s="63">
        <v>0</v>
      </c>
      <c r="AU31" s="63">
        <v>0</v>
      </c>
      <c r="AV31" s="64">
        <v>0</v>
      </c>
      <c r="AW31" s="3">
        <v>0.154</v>
      </c>
      <c r="AX31" s="61">
        <v>0</v>
      </c>
      <c r="AY31" s="61">
        <v>2.1000000000000001E-2</v>
      </c>
      <c r="AZ31" s="62">
        <v>0.11899999999999999</v>
      </c>
      <c r="BA31" s="2">
        <v>0.154</v>
      </c>
      <c r="BB31" s="63">
        <v>0.12</v>
      </c>
      <c r="BC31" s="63">
        <v>3.4000000000000002E-2</v>
      </c>
      <c r="BD31" s="63">
        <v>0</v>
      </c>
      <c r="BE31" s="63">
        <v>0</v>
      </c>
      <c r="BF31" s="64">
        <v>0</v>
      </c>
      <c r="BG31" s="7" t="s">
        <v>2</v>
      </c>
      <c r="BH31" s="11">
        <v>0</v>
      </c>
      <c r="BI31" s="65">
        <v>57</v>
      </c>
      <c r="BJ31" s="65">
        <v>13</v>
      </c>
      <c r="BK31" s="65">
        <v>12</v>
      </c>
      <c r="BL31" s="65">
        <v>45</v>
      </c>
      <c r="BM31" s="65">
        <v>36</v>
      </c>
      <c r="BN31" s="65">
        <v>73</v>
      </c>
      <c r="BO31" s="65">
        <v>74</v>
      </c>
      <c r="BP31" s="65">
        <v>51</v>
      </c>
      <c r="BQ31" s="65">
        <v>43</v>
      </c>
      <c r="BR31" s="65">
        <v>30</v>
      </c>
      <c r="BS31" s="65">
        <v>8</v>
      </c>
      <c r="BT31" s="65">
        <v>20</v>
      </c>
      <c r="BU31" s="65">
        <v>31</v>
      </c>
      <c r="BV31" s="65">
        <v>208</v>
      </c>
      <c r="BW31" s="65">
        <v>162</v>
      </c>
      <c r="BX31" s="65">
        <v>43</v>
      </c>
      <c r="BY31" s="65">
        <v>41</v>
      </c>
      <c r="BZ31" s="59">
        <v>45</v>
      </c>
      <c r="CA31" s="3">
        <v>1.7</v>
      </c>
      <c r="CB31" s="3" t="s">
        <v>2</v>
      </c>
      <c r="CC31" s="3" t="s">
        <v>2</v>
      </c>
      <c r="CD31" s="3" t="s">
        <v>2</v>
      </c>
      <c r="CE31" s="3" t="s">
        <v>2</v>
      </c>
      <c r="CF31" s="3" t="s">
        <v>2</v>
      </c>
      <c r="CG31" s="7" t="s">
        <v>2</v>
      </c>
      <c r="CH31" s="65">
        <v>0</v>
      </c>
      <c r="CI31" s="59">
        <v>0</v>
      </c>
      <c r="CJ31" s="65">
        <v>0</v>
      </c>
      <c r="CK31" s="65">
        <v>0</v>
      </c>
      <c r="CL31" s="65">
        <v>0</v>
      </c>
      <c r="CM31" s="59">
        <v>0</v>
      </c>
      <c r="CN31" s="156">
        <v>15</v>
      </c>
      <c r="CO31" s="59" t="s">
        <v>2</v>
      </c>
    </row>
    <row r="32" spans="1:93" x14ac:dyDescent="0.25">
      <c r="A32" s="154">
        <v>13004</v>
      </c>
      <c r="B32" s="46" t="s">
        <v>5</v>
      </c>
      <c r="C32" s="1" t="s">
        <v>1773</v>
      </c>
      <c r="D32" s="291">
        <v>13</v>
      </c>
      <c r="E32" s="23">
        <v>0</v>
      </c>
      <c r="F32" s="156">
        <v>365</v>
      </c>
      <c r="G32" s="59">
        <v>1525.6999999999998</v>
      </c>
      <c r="H32" s="68">
        <v>13.5</v>
      </c>
      <c r="I32" s="2">
        <v>7</v>
      </c>
      <c r="J32" s="3">
        <v>7.4</v>
      </c>
      <c r="K32" s="2">
        <v>67.599999999999994</v>
      </c>
      <c r="L32" s="3">
        <v>33.5</v>
      </c>
      <c r="M32" s="7">
        <v>4.5</v>
      </c>
      <c r="N32" s="65">
        <v>732</v>
      </c>
      <c r="O32" s="65">
        <v>44</v>
      </c>
      <c r="P32" s="2">
        <v>4.5999999999999996</v>
      </c>
      <c r="Q32" s="2">
        <v>0.3</v>
      </c>
      <c r="R32" s="65">
        <v>44</v>
      </c>
      <c r="S32" s="65">
        <v>1259</v>
      </c>
      <c r="T32" s="65">
        <v>19</v>
      </c>
      <c r="U32" s="63">
        <v>0.1</v>
      </c>
      <c r="V32" s="61">
        <v>100</v>
      </c>
      <c r="W32" s="24">
        <v>0.7</v>
      </c>
      <c r="X32" s="3">
        <v>0</v>
      </c>
      <c r="Y32" s="61">
        <v>0.05</v>
      </c>
      <c r="Z32" s="63">
        <v>0.06</v>
      </c>
      <c r="AA32" s="61">
        <v>2.6</v>
      </c>
      <c r="AB32" s="61" t="s">
        <v>2</v>
      </c>
      <c r="AC32" s="61">
        <v>0.34</v>
      </c>
      <c r="AD32" s="65">
        <v>10</v>
      </c>
      <c r="AE32" s="65">
        <v>0</v>
      </c>
      <c r="AF32" s="3" t="s">
        <v>2</v>
      </c>
      <c r="AG32" s="7" t="s">
        <v>2</v>
      </c>
      <c r="AH32" s="162" t="s">
        <v>2</v>
      </c>
      <c r="AI32" s="65">
        <v>15</v>
      </c>
      <c r="AJ32" s="3" t="s">
        <v>2</v>
      </c>
      <c r="AK32" s="3">
        <v>0.72</v>
      </c>
      <c r="AL32" s="7">
        <v>163.69999999999999</v>
      </c>
      <c r="AM32" s="65">
        <v>156</v>
      </c>
      <c r="AN32" s="65">
        <v>0</v>
      </c>
      <c r="AO32" s="59">
        <v>48</v>
      </c>
      <c r="AP32" s="3">
        <v>0.98</v>
      </c>
      <c r="AQ32" s="61">
        <v>0.9</v>
      </c>
      <c r="AR32" s="63">
        <v>0</v>
      </c>
      <c r="AS32" s="63">
        <v>0</v>
      </c>
      <c r="AT32" s="63">
        <v>0</v>
      </c>
      <c r="AU32" s="63">
        <v>0</v>
      </c>
      <c r="AV32" s="64">
        <v>0</v>
      </c>
      <c r="AW32" s="3">
        <v>1.01</v>
      </c>
      <c r="AX32" s="61">
        <v>0</v>
      </c>
      <c r="AY32" s="61">
        <v>0</v>
      </c>
      <c r="AZ32" s="62">
        <v>1.01</v>
      </c>
      <c r="BA32" s="2">
        <v>1.1299999999999999</v>
      </c>
      <c r="BB32" s="63">
        <v>0.97</v>
      </c>
      <c r="BC32" s="63">
        <v>0.16</v>
      </c>
      <c r="BD32" s="63">
        <v>0</v>
      </c>
      <c r="BE32" s="63">
        <v>0</v>
      </c>
      <c r="BF32" s="63">
        <v>0</v>
      </c>
      <c r="BG32" s="11">
        <v>0</v>
      </c>
      <c r="BH32" s="11">
        <v>0</v>
      </c>
      <c r="BI32" s="65" t="s">
        <v>2</v>
      </c>
      <c r="BJ32" s="65" t="s">
        <v>2</v>
      </c>
      <c r="BK32" s="65" t="s">
        <v>2</v>
      </c>
      <c r="BL32" s="65" t="s">
        <v>2</v>
      </c>
      <c r="BM32" s="65" t="s">
        <v>2</v>
      </c>
      <c r="BN32" s="65" t="s">
        <v>2</v>
      </c>
      <c r="BO32" s="65" t="s">
        <v>2</v>
      </c>
      <c r="BP32" s="65" t="s">
        <v>2</v>
      </c>
      <c r="BQ32" s="65" t="s">
        <v>2</v>
      </c>
      <c r="BR32" s="65" t="s">
        <v>2</v>
      </c>
      <c r="BS32" s="65" t="s">
        <v>2</v>
      </c>
      <c r="BT32" s="65" t="s">
        <v>2</v>
      </c>
      <c r="BU32" s="65" t="s">
        <v>2</v>
      </c>
      <c r="BV32" s="65" t="s">
        <v>2</v>
      </c>
      <c r="BW32" s="65" t="s">
        <v>2</v>
      </c>
      <c r="BX32" s="65" t="s">
        <v>2</v>
      </c>
      <c r="BY32" s="65" t="s">
        <v>2</v>
      </c>
      <c r="BZ32" s="59" t="s">
        <v>2</v>
      </c>
      <c r="CA32" s="2">
        <v>0.64</v>
      </c>
      <c r="CB32" s="3" t="s">
        <v>2</v>
      </c>
      <c r="CC32" s="3" t="s">
        <v>2</v>
      </c>
      <c r="CD32" s="3" t="s">
        <v>2</v>
      </c>
      <c r="CE32" s="3" t="s">
        <v>2</v>
      </c>
      <c r="CF32" s="3" t="s">
        <v>2</v>
      </c>
      <c r="CG32" s="7" t="s">
        <v>2</v>
      </c>
      <c r="CH32" s="65">
        <v>6</v>
      </c>
      <c r="CI32" s="59">
        <v>205</v>
      </c>
      <c r="CJ32" s="65">
        <v>0</v>
      </c>
      <c r="CK32" s="65">
        <v>0</v>
      </c>
      <c r="CL32" s="65">
        <v>0</v>
      </c>
      <c r="CM32" s="59">
        <v>0</v>
      </c>
      <c r="CN32" s="156">
        <v>92</v>
      </c>
      <c r="CO32" s="156">
        <v>0</v>
      </c>
    </row>
    <row r="33" spans="1:93" x14ac:dyDescent="0.25">
      <c r="A33" s="154">
        <v>13005</v>
      </c>
      <c r="B33" s="46" t="s">
        <v>6</v>
      </c>
      <c r="C33" s="1" t="s">
        <v>1774</v>
      </c>
      <c r="D33" s="291">
        <v>13</v>
      </c>
      <c r="E33" s="23">
        <v>0</v>
      </c>
      <c r="F33" s="156">
        <v>0</v>
      </c>
      <c r="G33" s="160">
        <v>0</v>
      </c>
      <c r="H33" s="157">
        <v>1</v>
      </c>
      <c r="I33" s="2">
        <v>0</v>
      </c>
      <c r="J33" s="2">
        <v>0</v>
      </c>
      <c r="K33" s="2">
        <v>0</v>
      </c>
      <c r="L33" s="2">
        <v>0</v>
      </c>
      <c r="M33" s="24">
        <v>99</v>
      </c>
      <c r="N33" s="65">
        <v>150</v>
      </c>
      <c r="O33" s="65">
        <v>70</v>
      </c>
      <c r="P33" s="3">
        <v>0.81</v>
      </c>
      <c r="Q33" s="2">
        <v>0</v>
      </c>
      <c r="R33" s="65">
        <v>38758</v>
      </c>
      <c r="S33" s="65">
        <v>4</v>
      </c>
      <c r="T33" s="65">
        <v>0</v>
      </c>
      <c r="U33" s="63">
        <v>0</v>
      </c>
      <c r="V33" s="61">
        <v>0</v>
      </c>
      <c r="W33" s="7">
        <v>0</v>
      </c>
      <c r="X33" s="3">
        <v>0</v>
      </c>
      <c r="Y33" s="63">
        <v>0</v>
      </c>
      <c r="Z33" s="63">
        <v>0</v>
      </c>
      <c r="AA33" s="63">
        <v>0</v>
      </c>
      <c r="AB33" s="61">
        <v>0</v>
      </c>
      <c r="AC33" s="61">
        <v>0</v>
      </c>
      <c r="AD33" s="65">
        <v>0</v>
      </c>
      <c r="AE33" s="65">
        <v>0</v>
      </c>
      <c r="AF33" s="3">
        <v>0</v>
      </c>
      <c r="AG33" s="7">
        <v>0</v>
      </c>
      <c r="AH33" s="162">
        <v>0</v>
      </c>
      <c r="AI33" s="65">
        <v>0</v>
      </c>
      <c r="AJ33" s="3">
        <v>0</v>
      </c>
      <c r="AK33" s="3">
        <v>0</v>
      </c>
      <c r="AL33" s="7">
        <v>0</v>
      </c>
      <c r="AM33" s="65">
        <v>0</v>
      </c>
      <c r="AN33" s="65">
        <v>0</v>
      </c>
      <c r="AO33" s="59">
        <v>0</v>
      </c>
      <c r="AP33" s="3">
        <v>0</v>
      </c>
      <c r="AQ33" s="61">
        <v>0</v>
      </c>
      <c r="AR33" s="63">
        <v>0</v>
      </c>
      <c r="AS33" s="63">
        <v>0</v>
      </c>
      <c r="AT33" s="63">
        <v>0</v>
      </c>
      <c r="AU33" s="63">
        <v>0</v>
      </c>
      <c r="AV33" s="64">
        <v>0</v>
      </c>
      <c r="AW33" s="3">
        <v>0</v>
      </c>
      <c r="AX33" s="61">
        <v>0</v>
      </c>
      <c r="AY33" s="61">
        <v>0</v>
      </c>
      <c r="AZ33" s="62">
        <v>0</v>
      </c>
      <c r="BA33" s="2">
        <v>0</v>
      </c>
      <c r="BB33" s="63">
        <v>0</v>
      </c>
      <c r="BC33" s="63">
        <v>0</v>
      </c>
      <c r="BD33" s="63">
        <v>0</v>
      </c>
      <c r="BE33" s="63">
        <v>0</v>
      </c>
      <c r="BF33" s="64">
        <v>0</v>
      </c>
      <c r="BG33" s="7">
        <v>0</v>
      </c>
      <c r="BH33" s="11">
        <v>0</v>
      </c>
      <c r="BI33" s="65">
        <v>0</v>
      </c>
      <c r="BJ33" s="65">
        <v>0</v>
      </c>
      <c r="BK33" s="65">
        <v>0</v>
      </c>
      <c r="BL33" s="65">
        <v>0</v>
      </c>
      <c r="BM33" s="65">
        <v>0</v>
      </c>
      <c r="BN33" s="65">
        <v>0</v>
      </c>
      <c r="BO33" s="65">
        <v>0</v>
      </c>
      <c r="BP33" s="65">
        <v>0</v>
      </c>
      <c r="BQ33" s="65">
        <v>0</v>
      </c>
      <c r="BR33" s="65">
        <v>0</v>
      </c>
      <c r="BS33" s="65">
        <v>0</v>
      </c>
      <c r="BT33" s="65">
        <v>0</v>
      </c>
      <c r="BU33" s="65">
        <v>0</v>
      </c>
      <c r="BV33" s="65">
        <v>0</v>
      </c>
      <c r="BW33" s="65">
        <v>0</v>
      </c>
      <c r="BX33" s="65">
        <v>0</v>
      </c>
      <c r="BY33" s="65">
        <v>0</v>
      </c>
      <c r="BZ33" s="59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7">
        <v>0</v>
      </c>
      <c r="CH33" s="65">
        <v>0</v>
      </c>
      <c r="CI33" s="59">
        <v>0</v>
      </c>
      <c r="CJ33" s="65">
        <v>0</v>
      </c>
      <c r="CK33" s="65">
        <v>0</v>
      </c>
      <c r="CL33" s="65">
        <v>0</v>
      </c>
      <c r="CM33" s="59">
        <v>0</v>
      </c>
      <c r="CN33" s="156">
        <v>0</v>
      </c>
      <c r="CO33" s="156">
        <v>0</v>
      </c>
    </row>
    <row r="34" spans="1:93" x14ac:dyDescent="0.25">
      <c r="A34" s="154">
        <v>13006</v>
      </c>
      <c r="B34" s="46" t="s">
        <v>7</v>
      </c>
      <c r="C34" s="1" t="s">
        <v>1775</v>
      </c>
      <c r="D34" s="291">
        <v>13</v>
      </c>
      <c r="E34" s="23">
        <v>0</v>
      </c>
      <c r="F34" s="156">
        <v>360</v>
      </c>
      <c r="G34" s="59">
        <v>1504.8</v>
      </c>
      <c r="H34" s="68">
        <v>13</v>
      </c>
      <c r="I34" s="3">
        <v>6.3</v>
      </c>
      <c r="J34" s="3">
        <v>5.0999999999999996</v>
      </c>
      <c r="K34" s="2">
        <v>72.099999999999994</v>
      </c>
      <c r="L34" s="3">
        <v>21.1</v>
      </c>
      <c r="M34" s="24">
        <v>3.5</v>
      </c>
      <c r="N34" s="65">
        <v>146</v>
      </c>
      <c r="O34" s="65">
        <v>284</v>
      </c>
      <c r="P34" s="2">
        <v>18.600000000000001</v>
      </c>
      <c r="Q34" s="3">
        <v>4.3499999999999996</v>
      </c>
      <c r="R34" s="65">
        <v>38</v>
      </c>
      <c r="S34" s="65">
        <v>2525</v>
      </c>
      <c r="T34" s="65">
        <v>193</v>
      </c>
      <c r="U34" s="63">
        <v>7.8330000000000002</v>
      </c>
      <c r="V34" s="61">
        <v>603</v>
      </c>
      <c r="W34" s="7">
        <v>4.5</v>
      </c>
      <c r="X34" s="3">
        <v>25.9</v>
      </c>
      <c r="Y34" s="61">
        <v>0.03</v>
      </c>
      <c r="Z34" s="63">
        <v>0.12</v>
      </c>
      <c r="AA34" s="63">
        <v>2.2999999999999998</v>
      </c>
      <c r="AB34" s="61" t="s">
        <v>2</v>
      </c>
      <c r="AC34" s="61">
        <v>1.8</v>
      </c>
      <c r="AD34" s="65">
        <v>39</v>
      </c>
      <c r="AE34" s="65">
        <v>0</v>
      </c>
      <c r="AF34" s="3" t="s">
        <v>2</v>
      </c>
      <c r="AG34" s="7">
        <v>0</v>
      </c>
      <c r="AH34" s="162" t="s">
        <v>2</v>
      </c>
      <c r="AI34" s="65">
        <v>0</v>
      </c>
      <c r="AJ34" s="3" t="s">
        <v>2</v>
      </c>
      <c r="AK34" s="3">
        <v>3.1</v>
      </c>
      <c r="AL34" s="7">
        <v>13.4</v>
      </c>
      <c r="AM34" s="65">
        <v>0</v>
      </c>
      <c r="AN34" s="65">
        <v>0</v>
      </c>
      <c r="AO34" s="59">
        <v>0</v>
      </c>
      <c r="AP34" s="3">
        <v>3.12</v>
      </c>
      <c r="AQ34" s="61">
        <v>1.6930000000000001</v>
      </c>
      <c r="AR34" s="63">
        <v>0</v>
      </c>
      <c r="AS34" s="63">
        <v>0.23200000000000001</v>
      </c>
      <c r="AT34" s="63">
        <v>0</v>
      </c>
      <c r="AU34" s="63">
        <v>0</v>
      </c>
      <c r="AV34" s="64">
        <v>0</v>
      </c>
      <c r="AW34" s="3">
        <v>1.66</v>
      </c>
      <c r="AX34" s="61">
        <v>0</v>
      </c>
      <c r="AY34" s="61">
        <v>0</v>
      </c>
      <c r="AZ34" s="62">
        <v>1.66</v>
      </c>
      <c r="BA34" s="2">
        <v>2.1800000000000002</v>
      </c>
      <c r="BB34" s="63">
        <v>1.694</v>
      </c>
      <c r="BC34" s="63">
        <v>0.48199999999999998</v>
      </c>
      <c r="BD34" s="63">
        <v>0</v>
      </c>
      <c r="BE34" s="63">
        <v>0</v>
      </c>
      <c r="BF34" s="64">
        <v>0</v>
      </c>
      <c r="BG34" s="7" t="s">
        <v>2</v>
      </c>
      <c r="BH34" s="11">
        <v>0</v>
      </c>
      <c r="BI34" s="65" t="s">
        <v>2</v>
      </c>
      <c r="BJ34" s="65" t="s">
        <v>2</v>
      </c>
      <c r="BK34" s="65" t="s">
        <v>2</v>
      </c>
      <c r="BL34" s="65" t="s">
        <v>2</v>
      </c>
      <c r="BM34" s="65" t="s">
        <v>2</v>
      </c>
      <c r="BN34" s="65" t="s">
        <v>2</v>
      </c>
      <c r="BO34" s="65" t="s">
        <v>2</v>
      </c>
      <c r="BP34" s="65" t="s">
        <v>2</v>
      </c>
      <c r="BQ34" s="65" t="s">
        <v>2</v>
      </c>
      <c r="BR34" s="65" t="s">
        <v>2</v>
      </c>
      <c r="BS34" s="65" t="s">
        <v>2</v>
      </c>
      <c r="BT34" s="65" t="s">
        <v>2</v>
      </c>
      <c r="BU34" s="65" t="s">
        <v>2</v>
      </c>
      <c r="BV34" s="65" t="s">
        <v>2</v>
      </c>
      <c r="BW34" s="65" t="s">
        <v>2</v>
      </c>
      <c r="BX34" s="65" t="s">
        <v>2</v>
      </c>
      <c r="BY34" s="65" t="s">
        <v>2</v>
      </c>
      <c r="BZ34" s="59" t="s">
        <v>2</v>
      </c>
      <c r="CA34" s="3">
        <v>3.21</v>
      </c>
      <c r="CB34" s="3">
        <v>0</v>
      </c>
      <c r="CC34" s="3">
        <v>0</v>
      </c>
      <c r="CD34" s="3">
        <v>0</v>
      </c>
      <c r="CE34" s="3">
        <v>0.45</v>
      </c>
      <c r="CF34" s="3">
        <v>0.38</v>
      </c>
      <c r="CG34" s="7">
        <v>2.38</v>
      </c>
      <c r="CH34" s="65">
        <v>0</v>
      </c>
      <c r="CI34" s="59">
        <v>0</v>
      </c>
      <c r="CJ34" s="65">
        <v>0</v>
      </c>
      <c r="CK34" s="65">
        <v>0</v>
      </c>
      <c r="CL34" s="65">
        <v>0</v>
      </c>
      <c r="CM34" s="59">
        <v>0</v>
      </c>
      <c r="CN34" s="156">
        <v>82</v>
      </c>
      <c r="CO34" s="59" t="s">
        <v>2</v>
      </c>
    </row>
    <row r="35" spans="1:93" x14ac:dyDescent="0.25">
      <c r="A35" s="154">
        <v>13007</v>
      </c>
      <c r="B35" s="46" t="s">
        <v>8</v>
      </c>
      <c r="C35" s="1" t="s">
        <v>1776</v>
      </c>
      <c r="D35" s="291">
        <v>13</v>
      </c>
      <c r="E35" s="23">
        <v>10</v>
      </c>
      <c r="F35" s="156">
        <v>25</v>
      </c>
      <c r="G35" s="59">
        <v>104.5</v>
      </c>
      <c r="H35" s="68">
        <v>86.7</v>
      </c>
      <c r="I35" s="3">
        <v>1.1000000000000001</v>
      </c>
      <c r="J35" s="3">
        <v>0.3</v>
      </c>
      <c r="K35" s="2">
        <v>4.4000000000000004</v>
      </c>
      <c r="L35" s="3">
        <v>6.5</v>
      </c>
      <c r="M35" s="24">
        <v>1</v>
      </c>
      <c r="N35" s="65">
        <v>12</v>
      </c>
      <c r="O35" s="65">
        <v>22</v>
      </c>
      <c r="P35" s="3" t="s">
        <v>2</v>
      </c>
      <c r="Q35" s="3" t="s">
        <v>2</v>
      </c>
      <c r="R35" s="65">
        <v>52</v>
      </c>
      <c r="S35" s="65">
        <v>587</v>
      </c>
      <c r="T35" s="65" t="s">
        <v>2</v>
      </c>
      <c r="U35" s="61" t="s">
        <v>2</v>
      </c>
      <c r="V35" s="61" t="s">
        <v>2</v>
      </c>
      <c r="W35" s="7" t="s">
        <v>2</v>
      </c>
      <c r="X35" s="3">
        <v>4</v>
      </c>
      <c r="Y35" s="61">
        <v>0.03</v>
      </c>
      <c r="Z35" s="63">
        <v>0.03</v>
      </c>
      <c r="AA35" s="63">
        <v>0.4</v>
      </c>
      <c r="AB35" s="61" t="s">
        <v>2</v>
      </c>
      <c r="AC35" s="61" t="s">
        <v>2</v>
      </c>
      <c r="AD35" s="65" t="s">
        <v>2</v>
      </c>
      <c r="AE35" s="65" t="s">
        <v>2</v>
      </c>
      <c r="AF35" s="3" t="s">
        <v>2</v>
      </c>
      <c r="AG35" s="7" t="s">
        <v>2</v>
      </c>
      <c r="AH35" s="162" t="s">
        <v>2</v>
      </c>
      <c r="AI35" s="65">
        <v>0</v>
      </c>
      <c r="AJ35" s="3" t="s">
        <v>2</v>
      </c>
      <c r="AK35" s="3" t="s">
        <v>2</v>
      </c>
      <c r="AL35" s="7" t="s">
        <v>2</v>
      </c>
      <c r="AM35" s="65" t="s">
        <v>2</v>
      </c>
      <c r="AN35" s="65" t="s">
        <v>2</v>
      </c>
      <c r="AO35" s="59" t="s">
        <v>2</v>
      </c>
      <c r="AP35" s="3" t="s">
        <v>2</v>
      </c>
      <c r="AQ35" s="61" t="s">
        <v>2</v>
      </c>
      <c r="AR35" s="61" t="s">
        <v>2</v>
      </c>
      <c r="AS35" s="61" t="s">
        <v>2</v>
      </c>
      <c r="AT35" s="61" t="s">
        <v>2</v>
      </c>
      <c r="AU35" s="61" t="s">
        <v>2</v>
      </c>
      <c r="AV35" s="62" t="s">
        <v>2</v>
      </c>
      <c r="AW35" s="3" t="s">
        <v>2</v>
      </c>
      <c r="AX35" s="61" t="s">
        <v>2</v>
      </c>
      <c r="AY35" s="61" t="s">
        <v>2</v>
      </c>
      <c r="AZ35" s="62" t="s">
        <v>2</v>
      </c>
      <c r="BA35" s="3" t="s">
        <v>2</v>
      </c>
      <c r="BB35" s="61" t="s">
        <v>2</v>
      </c>
      <c r="BC35" s="61" t="s">
        <v>2</v>
      </c>
      <c r="BD35" s="61" t="s">
        <v>2</v>
      </c>
      <c r="BE35" s="61" t="s">
        <v>2</v>
      </c>
      <c r="BF35" s="62" t="s">
        <v>2</v>
      </c>
      <c r="BG35" s="3" t="s">
        <v>2</v>
      </c>
      <c r="BH35" s="11">
        <v>0</v>
      </c>
      <c r="BI35" s="65" t="s">
        <v>2</v>
      </c>
      <c r="BJ35" s="65" t="s">
        <v>2</v>
      </c>
      <c r="BK35" s="65" t="s">
        <v>2</v>
      </c>
      <c r="BL35" s="65" t="s">
        <v>2</v>
      </c>
      <c r="BM35" s="65" t="s">
        <v>2</v>
      </c>
      <c r="BN35" s="65" t="s">
        <v>2</v>
      </c>
      <c r="BO35" s="65" t="s">
        <v>2</v>
      </c>
      <c r="BP35" s="65" t="s">
        <v>2</v>
      </c>
      <c r="BQ35" s="65" t="s">
        <v>2</v>
      </c>
      <c r="BR35" s="65" t="s">
        <v>2</v>
      </c>
      <c r="BS35" s="65" t="s">
        <v>2</v>
      </c>
      <c r="BT35" s="65" t="s">
        <v>2</v>
      </c>
      <c r="BU35" s="65" t="s">
        <v>2</v>
      </c>
      <c r="BV35" s="65" t="s">
        <v>2</v>
      </c>
      <c r="BW35" s="65" t="s">
        <v>2</v>
      </c>
      <c r="BX35" s="65" t="s">
        <v>2</v>
      </c>
      <c r="BY35" s="65" t="s">
        <v>2</v>
      </c>
      <c r="BZ35" s="59" t="s">
        <v>2</v>
      </c>
      <c r="CA35" s="3" t="s">
        <v>2</v>
      </c>
      <c r="CB35" s="3" t="s">
        <v>2</v>
      </c>
      <c r="CC35" s="3" t="s">
        <v>2</v>
      </c>
      <c r="CD35" s="3" t="s">
        <v>2</v>
      </c>
      <c r="CE35" s="3" t="s">
        <v>2</v>
      </c>
      <c r="CF35" s="3" t="s">
        <v>2</v>
      </c>
      <c r="CG35" s="7" t="s">
        <v>2</v>
      </c>
      <c r="CH35" s="65" t="s">
        <v>2</v>
      </c>
      <c r="CI35" s="59" t="s">
        <v>2</v>
      </c>
      <c r="CJ35" s="65" t="s">
        <v>2</v>
      </c>
      <c r="CK35" s="65" t="s">
        <v>2</v>
      </c>
      <c r="CL35" s="65" t="s">
        <v>2</v>
      </c>
      <c r="CM35" s="59" t="s">
        <v>2</v>
      </c>
      <c r="CN35" s="156" t="s">
        <v>2</v>
      </c>
      <c r="CO35" s="156" t="s">
        <v>2</v>
      </c>
    </row>
    <row r="36" spans="1:93" x14ac:dyDescent="0.25">
      <c r="A36" s="154">
        <v>13008</v>
      </c>
      <c r="B36" s="46" t="s">
        <v>9</v>
      </c>
      <c r="C36" s="1" t="s">
        <v>1777</v>
      </c>
      <c r="D36" s="291">
        <v>13</v>
      </c>
      <c r="E36" s="23">
        <v>0</v>
      </c>
      <c r="F36" s="156">
        <v>322</v>
      </c>
      <c r="G36" s="59">
        <v>1345.9599999999998</v>
      </c>
      <c r="H36" s="157">
        <v>12</v>
      </c>
      <c r="I36" s="3">
        <v>15.6</v>
      </c>
      <c r="J36" s="3">
        <v>4.2</v>
      </c>
      <c r="K36" s="2">
        <v>55.4</v>
      </c>
      <c r="L36" s="3">
        <v>23.6</v>
      </c>
      <c r="M36" s="7">
        <v>12.8</v>
      </c>
      <c r="N36" s="65">
        <v>85</v>
      </c>
      <c r="O36" s="158">
        <v>380</v>
      </c>
      <c r="P36" s="2">
        <v>17</v>
      </c>
      <c r="Q36" s="3" t="s">
        <v>2</v>
      </c>
      <c r="R36" s="65" t="s">
        <v>2</v>
      </c>
      <c r="S36" s="65" t="s">
        <v>2</v>
      </c>
      <c r="T36" s="65" t="s">
        <v>2</v>
      </c>
      <c r="U36" s="61" t="s">
        <v>2</v>
      </c>
      <c r="V36" s="61" t="s">
        <v>2</v>
      </c>
      <c r="W36" s="7" t="s">
        <v>2</v>
      </c>
      <c r="X36" s="3">
        <v>0</v>
      </c>
      <c r="Y36" s="61">
        <v>0.61</v>
      </c>
      <c r="Z36" s="63">
        <v>0.9</v>
      </c>
      <c r="AA36" s="63">
        <v>8.1</v>
      </c>
      <c r="AB36" s="61" t="s">
        <v>2</v>
      </c>
      <c r="AC36" s="61" t="s">
        <v>2</v>
      </c>
      <c r="AD36" s="65" t="s">
        <v>2</v>
      </c>
      <c r="AE36" s="65" t="s">
        <v>2</v>
      </c>
      <c r="AF36" s="3" t="s">
        <v>2</v>
      </c>
      <c r="AG36" s="7" t="s">
        <v>2</v>
      </c>
      <c r="AH36" s="162" t="s">
        <v>2</v>
      </c>
      <c r="AI36" s="65">
        <v>704</v>
      </c>
      <c r="AJ36" s="3" t="s">
        <v>2</v>
      </c>
      <c r="AK36" s="3" t="s">
        <v>2</v>
      </c>
      <c r="AL36" s="7" t="s">
        <v>2</v>
      </c>
      <c r="AM36" s="65">
        <v>8442</v>
      </c>
      <c r="AN36" s="65" t="s">
        <v>2</v>
      </c>
      <c r="AO36" s="59" t="s">
        <v>2</v>
      </c>
      <c r="AP36" s="3" t="s">
        <v>2</v>
      </c>
      <c r="AQ36" s="61" t="s">
        <v>2</v>
      </c>
      <c r="AR36" s="61" t="s">
        <v>2</v>
      </c>
      <c r="AS36" s="61" t="s">
        <v>2</v>
      </c>
      <c r="AT36" s="61" t="s">
        <v>2</v>
      </c>
      <c r="AU36" s="61" t="s">
        <v>2</v>
      </c>
      <c r="AV36" s="62" t="s">
        <v>2</v>
      </c>
      <c r="AW36" s="3" t="s">
        <v>2</v>
      </c>
      <c r="AX36" s="61" t="s">
        <v>2</v>
      </c>
      <c r="AY36" s="61" t="s">
        <v>2</v>
      </c>
      <c r="AZ36" s="62" t="s">
        <v>2</v>
      </c>
      <c r="BA36" s="3" t="s">
        <v>2</v>
      </c>
      <c r="BB36" s="61" t="s">
        <v>2</v>
      </c>
      <c r="BC36" s="61" t="s">
        <v>2</v>
      </c>
      <c r="BD36" s="61" t="s">
        <v>2</v>
      </c>
      <c r="BE36" s="61" t="s">
        <v>2</v>
      </c>
      <c r="BF36" s="62" t="s">
        <v>2</v>
      </c>
      <c r="BG36" s="3" t="s">
        <v>2</v>
      </c>
      <c r="BH36" s="11">
        <v>0</v>
      </c>
      <c r="BI36" s="65" t="s">
        <v>2</v>
      </c>
      <c r="BJ36" s="65" t="s">
        <v>2</v>
      </c>
      <c r="BK36" s="65" t="s">
        <v>2</v>
      </c>
      <c r="BL36" s="65" t="s">
        <v>2</v>
      </c>
      <c r="BM36" s="65" t="s">
        <v>2</v>
      </c>
      <c r="BN36" s="65" t="s">
        <v>2</v>
      </c>
      <c r="BO36" s="65" t="s">
        <v>2</v>
      </c>
      <c r="BP36" s="65" t="s">
        <v>2</v>
      </c>
      <c r="BQ36" s="65" t="s">
        <v>2</v>
      </c>
      <c r="BR36" s="65" t="s">
        <v>2</v>
      </c>
      <c r="BS36" s="65" t="s">
        <v>2</v>
      </c>
      <c r="BT36" s="65" t="s">
        <v>2</v>
      </c>
      <c r="BU36" s="65" t="s">
        <v>2</v>
      </c>
      <c r="BV36" s="65" t="s">
        <v>2</v>
      </c>
      <c r="BW36" s="65" t="s">
        <v>2</v>
      </c>
      <c r="BX36" s="65" t="s">
        <v>2</v>
      </c>
      <c r="BY36" s="65" t="s">
        <v>2</v>
      </c>
      <c r="BZ36" s="59" t="s">
        <v>2</v>
      </c>
      <c r="CA36" s="3" t="s">
        <v>2</v>
      </c>
      <c r="CB36" s="3" t="s">
        <v>2</v>
      </c>
      <c r="CC36" s="3" t="s">
        <v>2</v>
      </c>
      <c r="CD36" s="3" t="s">
        <v>2</v>
      </c>
      <c r="CE36" s="3" t="s">
        <v>2</v>
      </c>
      <c r="CF36" s="3" t="s">
        <v>2</v>
      </c>
      <c r="CG36" s="7" t="s">
        <v>2</v>
      </c>
      <c r="CH36" s="65" t="s">
        <v>2</v>
      </c>
      <c r="CI36" s="59" t="s">
        <v>2</v>
      </c>
      <c r="CJ36" s="65">
        <v>0</v>
      </c>
      <c r="CK36" s="65">
        <v>0</v>
      </c>
      <c r="CL36" s="65">
        <v>0</v>
      </c>
      <c r="CM36" s="59">
        <v>0</v>
      </c>
      <c r="CN36" s="156" t="s">
        <v>2</v>
      </c>
      <c r="CO36" s="156" t="s">
        <v>2</v>
      </c>
    </row>
    <row r="37" spans="1:93" x14ac:dyDescent="0.25">
      <c r="A37" s="154">
        <v>13009</v>
      </c>
      <c r="B37" s="46" t="s">
        <v>10</v>
      </c>
      <c r="C37" s="1" t="s">
        <v>1778</v>
      </c>
      <c r="D37" s="291">
        <v>13</v>
      </c>
      <c r="E37" s="23">
        <v>10</v>
      </c>
      <c r="F37" s="156">
        <v>26</v>
      </c>
      <c r="G37" s="59">
        <v>108.67999999999999</v>
      </c>
      <c r="H37" s="68">
        <v>91.7</v>
      </c>
      <c r="I37" s="3">
        <v>0.3</v>
      </c>
      <c r="J37" s="3" t="s">
        <v>2</v>
      </c>
      <c r="K37" s="2">
        <v>6.2</v>
      </c>
      <c r="L37" s="3">
        <v>3.7</v>
      </c>
      <c r="M37" s="7">
        <v>1.8</v>
      </c>
      <c r="N37" s="65">
        <v>24</v>
      </c>
      <c r="O37" s="65">
        <v>28</v>
      </c>
      <c r="P37" s="3" t="s">
        <v>2</v>
      </c>
      <c r="Q37" s="3" t="s">
        <v>2</v>
      </c>
      <c r="R37" s="65" t="s">
        <v>2</v>
      </c>
      <c r="S37" s="65" t="s">
        <v>2</v>
      </c>
      <c r="T37" s="65" t="s">
        <v>2</v>
      </c>
      <c r="U37" s="61" t="s">
        <v>2</v>
      </c>
      <c r="V37" s="61" t="s">
        <v>2</v>
      </c>
      <c r="W37" s="7" t="s">
        <v>2</v>
      </c>
      <c r="X37" s="3">
        <v>0</v>
      </c>
      <c r="Y37" s="61" t="s">
        <v>2</v>
      </c>
      <c r="Z37" s="61" t="s">
        <v>2</v>
      </c>
      <c r="AA37" s="61" t="s">
        <v>2</v>
      </c>
      <c r="AB37" s="61" t="s">
        <v>2</v>
      </c>
      <c r="AC37" s="61" t="s">
        <v>2</v>
      </c>
      <c r="AD37" s="65" t="s">
        <v>2</v>
      </c>
      <c r="AE37" s="65" t="s">
        <v>2</v>
      </c>
      <c r="AF37" s="3" t="s">
        <v>2</v>
      </c>
      <c r="AG37" s="7" t="s">
        <v>2</v>
      </c>
      <c r="AH37" s="162" t="s">
        <v>2</v>
      </c>
      <c r="AI37" s="65">
        <v>0</v>
      </c>
      <c r="AJ37" s="3" t="s">
        <v>2</v>
      </c>
      <c r="AK37" s="3" t="s">
        <v>2</v>
      </c>
      <c r="AL37" s="7" t="s">
        <v>2</v>
      </c>
      <c r="AM37" s="65">
        <v>0</v>
      </c>
      <c r="AN37" s="65">
        <v>0</v>
      </c>
      <c r="AO37" s="59">
        <v>0</v>
      </c>
      <c r="AP37" s="3" t="s">
        <v>2</v>
      </c>
      <c r="AQ37" s="61" t="s">
        <v>2</v>
      </c>
      <c r="AR37" s="61" t="s">
        <v>2</v>
      </c>
      <c r="AS37" s="61" t="s">
        <v>2</v>
      </c>
      <c r="AT37" s="61" t="s">
        <v>2</v>
      </c>
      <c r="AU37" s="61" t="s">
        <v>2</v>
      </c>
      <c r="AV37" s="62" t="s">
        <v>2</v>
      </c>
      <c r="AW37" s="3" t="s">
        <v>2</v>
      </c>
      <c r="AX37" s="61" t="s">
        <v>2</v>
      </c>
      <c r="AY37" s="61" t="s">
        <v>2</v>
      </c>
      <c r="AZ37" s="62" t="s">
        <v>2</v>
      </c>
      <c r="BA37" s="3" t="s">
        <v>2</v>
      </c>
      <c r="BB37" s="61" t="s">
        <v>2</v>
      </c>
      <c r="BC37" s="61" t="s">
        <v>2</v>
      </c>
      <c r="BD37" s="61" t="s">
        <v>2</v>
      </c>
      <c r="BE37" s="61" t="s">
        <v>2</v>
      </c>
      <c r="BF37" s="62" t="s">
        <v>2</v>
      </c>
      <c r="BG37" s="3" t="s">
        <v>2</v>
      </c>
      <c r="BH37" s="11">
        <v>0</v>
      </c>
      <c r="BI37" s="65" t="s">
        <v>2</v>
      </c>
      <c r="BJ37" s="65" t="s">
        <v>2</v>
      </c>
      <c r="BK37" s="65" t="s">
        <v>2</v>
      </c>
      <c r="BL37" s="65" t="s">
        <v>2</v>
      </c>
      <c r="BM37" s="65" t="s">
        <v>2</v>
      </c>
      <c r="BN37" s="65" t="s">
        <v>2</v>
      </c>
      <c r="BO37" s="65" t="s">
        <v>2</v>
      </c>
      <c r="BP37" s="65" t="s">
        <v>2</v>
      </c>
      <c r="BQ37" s="65" t="s">
        <v>2</v>
      </c>
      <c r="BR37" s="65" t="s">
        <v>2</v>
      </c>
      <c r="BS37" s="65" t="s">
        <v>2</v>
      </c>
      <c r="BT37" s="65" t="s">
        <v>2</v>
      </c>
      <c r="BU37" s="65" t="s">
        <v>2</v>
      </c>
      <c r="BV37" s="65" t="s">
        <v>2</v>
      </c>
      <c r="BW37" s="65" t="s">
        <v>2</v>
      </c>
      <c r="BX37" s="65" t="s">
        <v>2</v>
      </c>
      <c r="BY37" s="65" t="s">
        <v>2</v>
      </c>
      <c r="BZ37" s="59" t="s">
        <v>2</v>
      </c>
      <c r="CA37" s="3" t="s">
        <v>2</v>
      </c>
      <c r="CB37" s="3" t="s">
        <v>2</v>
      </c>
      <c r="CC37" s="3" t="s">
        <v>2</v>
      </c>
      <c r="CD37" s="3" t="s">
        <v>2</v>
      </c>
      <c r="CE37" s="3" t="s">
        <v>2</v>
      </c>
      <c r="CF37" s="3" t="s">
        <v>2</v>
      </c>
      <c r="CG37" s="7" t="s">
        <v>2</v>
      </c>
      <c r="CH37" s="65">
        <v>0</v>
      </c>
      <c r="CI37" s="59">
        <v>0</v>
      </c>
      <c r="CJ37" s="65">
        <v>0</v>
      </c>
      <c r="CK37" s="65">
        <v>0</v>
      </c>
      <c r="CL37" s="65">
        <v>0</v>
      </c>
      <c r="CM37" s="59">
        <v>0</v>
      </c>
      <c r="CN37" s="156" t="s">
        <v>2</v>
      </c>
      <c r="CO37" s="156" t="s">
        <v>2</v>
      </c>
    </row>
    <row r="38" spans="1:93" x14ac:dyDescent="0.25">
      <c r="A38" s="154">
        <v>13010</v>
      </c>
      <c r="B38" s="46" t="s">
        <v>11</v>
      </c>
      <c r="C38" s="1" t="s">
        <v>1779</v>
      </c>
      <c r="D38" s="291">
        <v>13</v>
      </c>
      <c r="E38" s="23">
        <v>0</v>
      </c>
      <c r="F38" s="156">
        <v>65</v>
      </c>
      <c r="G38" s="59">
        <v>271.7</v>
      </c>
      <c r="H38" s="157">
        <v>66</v>
      </c>
      <c r="I38" s="3">
        <v>10</v>
      </c>
      <c r="J38" s="3">
        <v>0.1</v>
      </c>
      <c r="K38" s="2">
        <v>6.1</v>
      </c>
      <c r="L38" s="2">
        <v>0</v>
      </c>
      <c r="M38" s="7">
        <v>17.8</v>
      </c>
      <c r="N38" s="65">
        <v>20</v>
      </c>
      <c r="O38" s="65">
        <v>130</v>
      </c>
      <c r="P38" s="2">
        <v>2.38</v>
      </c>
      <c r="Q38" s="2">
        <v>0.43</v>
      </c>
      <c r="R38" s="65">
        <v>5586</v>
      </c>
      <c r="S38" s="65">
        <v>212</v>
      </c>
      <c r="T38" s="65">
        <v>40</v>
      </c>
      <c r="U38" s="63">
        <v>0.499</v>
      </c>
      <c r="V38" s="61">
        <v>135</v>
      </c>
      <c r="W38" s="24">
        <v>0.8</v>
      </c>
      <c r="X38" s="3">
        <v>0</v>
      </c>
      <c r="Y38" s="61">
        <v>5.8999999999999997E-2</v>
      </c>
      <c r="Z38" s="63">
        <v>0.152</v>
      </c>
      <c r="AA38" s="63">
        <v>3.9510000000000001</v>
      </c>
      <c r="AB38" s="61">
        <v>0.376</v>
      </c>
      <c r="AC38" s="61">
        <v>0.2</v>
      </c>
      <c r="AD38" s="65">
        <v>18</v>
      </c>
      <c r="AE38" s="65">
        <v>0</v>
      </c>
      <c r="AF38" s="3" t="s">
        <v>2</v>
      </c>
      <c r="AG38" s="7">
        <v>0</v>
      </c>
      <c r="AH38" s="162">
        <v>0</v>
      </c>
      <c r="AI38" s="65">
        <v>0</v>
      </c>
      <c r="AJ38" s="3">
        <v>0</v>
      </c>
      <c r="AK38" s="3">
        <v>0</v>
      </c>
      <c r="AL38" s="7">
        <v>0</v>
      </c>
      <c r="AM38" s="65">
        <v>0</v>
      </c>
      <c r="AN38" s="65">
        <v>0</v>
      </c>
      <c r="AO38" s="59">
        <v>0</v>
      </c>
      <c r="AP38" s="3">
        <v>1.0999999999999999E-2</v>
      </c>
      <c r="AQ38" s="61">
        <v>8.0000000000000002E-3</v>
      </c>
      <c r="AR38" s="63">
        <v>0</v>
      </c>
      <c r="AS38" s="63">
        <v>3.0000000000000001E-3</v>
      </c>
      <c r="AT38" s="63">
        <v>0</v>
      </c>
      <c r="AU38" s="63">
        <v>0</v>
      </c>
      <c r="AV38" s="64">
        <v>0</v>
      </c>
      <c r="AW38" s="3">
        <v>1.7000000000000001E-2</v>
      </c>
      <c r="AX38" s="61">
        <v>0</v>
      </c>
      <c r="AY38" s="61">
        <v>0</v>
      </c>
      <c r="AZ38" s="62">
        <v>1.7000000000000001E-2</v>
      </c>
      <c r="BA38" s="2">
        <v>4.3999999999999997E-2</v>
      </c>
      <c r="BB38" s="63">
        <v>3.9E-2</v>
      </c>
      <c r="BC38" s="63">
        <v>5.0000000000000001E-3</v>
      </c>
      <c r="BD38" s="63">
        <v>0</v>
      </c>
      <c r="BE38" s="63">
        <v>0</v>
      </c>
      <c r="BF38" s="64">
        <v>0</v>
      </c>
      <c r="BG38" s="3" t="s">
        <v>2</v>
      </c>
      <c r="BH38" s="11">
        <v>0</v>
      </c>
      <c r="BI38" s="65">
        <v>731</v>
      </c>
      <c r="BJ38" s="65">
        <v>167</v>
      </c>
      <c r="BK38" s="65">
        <v>181</v>
      </c>
      <c r="BL38" s="65">
        <v>534</v>
      </c>
      <c r="BM38" s="65">
        <v>407</v>
      </c>
      <c r="BN38" s="65">
        <v>524</v>
      </c>
      <c r="BO38" s="65">
        <v>735</v>
      </c>
      <c r="BP38" s="65">
        <v>487</v>
      </c>
      <c r="BQ38" s="65">
        <v>405</v>
      </c>
      <c r="BR38" s="65">
        <v>215</v>
      </c>
      <c r="BS38" s="65">
        <v>107</v>
      </c>
      <c r="BT38" s="65">
        <v>342</v>
      </c>
      <c r="BU38" s="65">
        <v>536</v>
      </c>
      <c r="BV38" s="65">
        <v>882</v>
      </c>
      <c r="BW38" s="65">
        <v>2411</v>
      </c>
      <c r="BX38" s="65">
        <v>435</v>
      </c>
      <c r="BY38" s="65">
        <v>806</v>
      </c>
      <c r="BZ38" s="59">
        <v>483</v>
      </c>
      <c r="CA38" s="3">
        <v>1.7</v>
      </c>
      <c r="CB38" s="3" t="s">
        <v>2</v>
      </c>
      <c r="CC38" s="3" t="s">
        <v>2</v>
      </c>
      <c r="CD38" s="3" t="s">
        <v>2</v>
      </c>
      <c r="CE38" s="3" t="s">
        <v>2</v>
      </c>
      <c r="CF38" s="3" t="s">
        <v>2</v>
      </c>
      <c r="CG38" s="7" t="s">
        <v>2</v>
      </c>
      <c r="CH38" s="65">
        <v>0</v>
      </c>
      <c r="CI38" s="59">
        <v>0</v>
      </c>
      <c r="CJ38" s="65">
        <v>0</v>
      </c>
      <c r="CK38" s="65">
        <v>0</v>
      </c>
      <c r="CL38" s="65">
        <v>0</v>
      </c>
      <c r="CM38" s="59">
        <v>0</v>
      </c>
      <c r="CN38" s="156" t="s">
        <v>2</v>
      </c>
      <c r="CO38" s="156" t="s">
        <v>2</v>
      </c>
    </row>
    <row r="39" spans="1:93" x14ac:dyDescent="0.25">
      <c r="A39" s="154">
        <v>13011</v>
      </c>
      <c r="B39" s="46" t="s">
        <v>12</v>
      </c>
      <c r="C39" s="1" t="s">
        <v>1780</v>
      </c>
      <c r="D39" s="291">
        <v>13</v>
      </c>
      <c r="E39" s="23">
        <v>0</v>
      </c>
      <c r="F39" s="156">
        <v>73</v>
      </c>
      <c r="G39" s="59">
        <v>305.14</v>
      </c>
      <c r="H39" s="157">
        <v>48</v>
      </c>
      <c r="I39" s="3">
        <v>14.8</v>
      </c>
      <c r="J39" s="3">
        <v>1.5</v>
      </c>
      <c r="K39" s="2">
        <v>0</v>
      </c>
      <c r="L39" s="2">
        <v>0</v>
      </c>
      <c r="M39" s="7">
        <v>35.700000000000003</v>
      </c>
      <c r="N39" s="65">
        <v>646</v>
      </c>
      <c r="O39" s="65" t="s">
        <v>2</v>
      </c>
      <c r="P39" s="3" t="s">
        <v>2</v>
      </c>
      <c r="Q39" s="3" t="s">
        <v>2</v>
      </c>
      <c r="R39" s="65">
        <v>4045</v>
      </c>
      <c r="S39" s="65">
        <v>333</v>
      </c>
      <c r="T39" s="65">
        <v>321</v>
      </c>
      <c r="U39" s="61" t="s">
        <v>2</v>
      </c>
      <c r="V39" s="61" t="s">
        <v>2</v>
      </c>
      <c r="W39" s="3" t="s">
        <v>2</v>
      </c>
      <c r="X39" s="25">
        <v>0</v>
      </c>
      <c r="Y39" s="61" t="s">
        <v>2</v>
      </c>
      <c r="Z39" s="61" t="s">
        <v>2</v>
      </c>
      <c r="AA39" s="61" t="s">
        <v>2</v>
      </c>
      <c r="AB39" s="61" t="s">
        <v>2</v>
      </c>
      <c r="AC39" s="61" t="s">
        <v>2</v>
      </c>
      <c r="AD39" s="65" t="s">
        <v>2</v>
      </c>
      <c r="AE39" s="65" t="s">
        <v>2</v>
      </c>
      <c r="AF39" s="3" t="s">
        <v>2</v>
      </c>
      <c r="AG39" s="7" t="s">
        <v>2</v>
      </c>
      <c r="AH39" s="162" t="s">
        <v>2</v>
      </c>
      <c r="AI39" s="65">
        <v>0</v>
      </c>
      <c r="AJ39" s="3" t="s">
        <v>2</v>
      </c>
      <c r="AK39" s="3" t="s">
        <v>2</v>
      </c>
      <c r="AL39" s="7" t="s">
        <v>2</v>
      </c>
      <c r="AM39" s="65">
        <v>0</v>
      </c>
      <c r="AN39" s="65">
        <v>0</v>
      </c>
      <c r="AO39" s="59">
        <v>0</v>
      </c>
      <c r="AP39" s="3" t="s">
        <v>2</v>
      </c>
      <c r="AQ39" s="61" t="s">
        <v>2</v>
      </c>
      <c r="AR39" s="61" t="s">
        <v>2</v>
      </c>
      <c r="AS39" s="61" t="s">
        <v>2</v>
      </c>
      <c r="AT39" s="61" t="s">
        <v>2</v>
      </c>
      <c r="AU39" s="61" t="s">
        <v>2</v>
      </c>
      <c r="AV39" s="62" t="s">
        <v>2</v>
      </c>
      <c r="AW39" s="3" t="s">
        <v>2</v>
      </c>
      <c r="AX39" s="61" t="s">
        <v>2</v>
      </c>
      <c r="AY39" s="61" t="s">
        <v>2</v>
      </c>
      <c r="AZ39" s="62" t="s">
        <v>2</v>
      </c>
      <c r="BA39" s="3" t="s">
        <v>2</v>
      </c>
      <c r="BB39" s="61" t="s">
        <v>2</v>
      </c>
      <c r="BC39" s="61" t="s">
        <v>2</v>
      </c>
      <c r="BD39" s="61" t="s">
        <v>2</v>
      </c>
      <c r="BE39" s="61" t="s">
        <v>2</v>
      </c>
      <c r="BF39" s="62" t="s">
        <v>2</v>
      </c>
      <c r="BG39" s="11" t="s">
        <v>2</v>
      </c>
      <c r="BH39" s="11" t="s">
        <v>2</v>
      </c>
      <c r="BI39" s="65" t="s">
        <v>2</v>
      </c>
      <c r="BJ39" s="65" t="s">
        <v>2</v>
      </c>
      <c r="BK39" s="65" t="s">
        <v>2</v>
      </c>
      <c r="BL39" s="65" t="s">
        <v>2</v>
      </c>
      <c r="BM39" s="65" t="s">
        <v>2</v>
      </c>
      <c r="BN39" s="65" t="s">
        <v>2</v>
      </c>
      <c r="BO39" s="65" t="s">
        <v>2</v>
      </c>
      <c r="BP39" s="65" t="s">
        <v>2</v>
      </c>
      <c r="BQ39" s="65" t="s">
        <v>2</v>
      </c>
      <c r="BR39" s="65" t="s">
        <v>2</v>
      </c>
      <c r="BS39" s="65" t="s">
        <v>2</v>
      </c>
      <c r="BT39" s="65" t="s">
        <v>2</v>
      </c>
      <c r="BU39" s="65" t="s">
        <v>2</v>
      </c>
      <c r="BV39" s="65" t="s">
        <v>2</v>
      </c>
      <c r="BW39" s="65" t="s">
        <v>2</v>
      </c>
      <c r="BX39" s="65" t="s">
        <v>2</v>
      </c>
      <c r="BY39" s="65" t="s">
        <v>2</v>
      </c>
      <c r="BZ39" s="59" t="s">
        <v>2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7">
        <v>0</v>
      </c>
      <c r="CH39" s="65">
        <v>0</v>
      </c>
      <c r="CI39" s="59">
        <v>0</v>
      </c>
      <c r="CJ39" s="65">
        <v>0</v>
      </c>
      <c r="CK39" s="65">
        <v>0</v>
      </c>
      <c r="CL39" s="65">
        <v>0</v>
      </c>
      <c r="CM39" s="59">
        <v>0</v>
      </c>
      <c r="CN39" s="156" t="s">
        <v>2</v>
      </c>
      <c r="CO39" s="156" t="s">
        <v>2</v>
      </c>
    </row>
    <row r="40" spans="1:93" x14ac:dyDescent="0.25">
      <c r="A40" s="154">
        <v>13012</v>
      </c>
      <c r="B40" s="46" t="s">
        <v>13</v>
      </c>
      <c r="C40" s="1" t="s">
        <v>1781</v>
      </c>
      <c r="D40" s="291">
        <v>13</v>
      </c>
      <c r="E40" s="23">
        <v>0</v>
      </c>
      <c r="F40" s="156">
        <v>44</v>
      </c>
      <c r="G40" s="59">
        <v>183.92</v>
      </c>
      <c r="H40" s="68">
        <v>68.599999999999994</v>
      </c>
      <c r="I40" s="2">
        <v>7</v>
      </c>
      <c r="J40" s="3">
        <v>0.8</v>
      </c>
      <c r="K40" s="2">
        <v>2.1</v>
      </c>
      <c r="L40" s="2">
        <v>0</v>
      </c>
      <c r="M40" s="7">
        <v>21.5</v>
      </c>
      <c r="N40" s="65">
        <v>645</v>
      </c>
      <c r="O40" s="65">
        <v>226</v>
      </c>
      <c r="P40" s="3" t="s">
        <v>2</v>
      </c>
      <c r="Q40" s="3" t="s">
        <v>2</v>
      </c>
      <c r="R40" s="65" t="s">
        <v>2</v>
      </c>
      <c r="S40" s="65" t="s">
        <v>2</v>
      </c>
      <c r="T40" s="65" t="s">
        <v>2</v>
      </c>
      <c r="U40" s="61" t="s">
        <v>2</v>
      </c>
      <c r="V40" s="61" t="s">
        <v>2</v>
      </c>
      <c r="W40" s="7" t="s">
        <v>2</v>
      </c>
      <c r="X40" s="3">
        <v>0</v>
      </c>
      <c r="Y40" s="61" t="s">
        <v>2</v>
      </c>
      <c r="Z40" s="61" t="s">
        <v>2</v>
      </c>
      <c r="AA40" s="61" t="s">
        <v>2</v>
      </c>
      <c r="AB40" s="61" t="s">
        <v>2</v>
      </c>
      <c r="AC40" s="61" t="s">
        <v>2</v>
      </c>
      <c r="AD40" s="65" t="s">
        <v>2</v>
      </c>
      <c r="AE40" s="65" t="s">
        <v>2</v>
      </c>
      <c r="AF40" s="3" t="s">
        <v>2</v>
      </c>
      <c r="AG40" s="7" t="s">
        <v>2</v>
      </c>
      <c r="AH40" s="162" t="s">
        <v>2</v>
      </c>
      <c r="AI40" s="65">
        <v>0</v>
      </c>
      <c r="AJ40" s="3" t="s">
        <v>2</v>
      </c>
      <c r="AK40" s="3" t="s">
        <v>2</v>
      </c>
      <c r="AL40" s="7" t="s">
        <v>2</v>
      </c>
      <c r="AM40" s="65">
        <v>0</v>
      </c>
      <c r="AN40" s="65">
        <v>0</v>
      </c>
      <c r="AO40" s="59">
        <v>0</v>
      </c>
      <c r="AP40" s="3" t="s">
        <v>2</v>
      </c>
      <c r="AQ40" s="61" t="s">
        <v>2</v>
      </c>
      <c r="AR40" s="61" t="s">
        <v>2</v>
      </c>
      <c r="AS40" s="61" t="s">
        <v>2</v>
      </c>
      <c r="AT40" s="61" t="s">
        <v>2</v>
      </c>
      <c r="AU40" s="61" t="s">
        <v>2</v>
      </c>
      <c r="AV40" s="62" t="s">
        <v>2</v>
      </c>
      <c r="AW40" s="3" t="s">
        <v>2</v>
      </c>
      <c r="AX40" s="61" t="s">
        <v>2</v>
      </c>
      <c r="AY40" s="61" t="s">
        <v>2</v>
      </c>
      <c r="AZ40" s="62" t="s">
        <v>2</v>
      </c>
      <c r="BA40" s="3" t="s">
        <v>2</v>
      </c>
      <c r="BB40" s="61" t="s">
        <v>2</v>
      </c>
      <c r="BC40" s="61" t="s">
        <v>2</v>
      </c>
      <c r="BD40" s="61" t="s">
        <v>2</v>
      </c>
      <c r="BE40" s="61" t="s">
        <v>2</v>
      </c>
      <c r="BF40" s="62" t="s">
        <v>2</v>
      </c>
      <c r="BG40" s="11" t="s">
        <v>2</v>
      </c>
      <c r="BH40" s="11" t="s">
        <v>2</v>
      </c>
      <c r="BI40" s="65" t="s">
        <v>2</v>
      </c>
      <c r="BJ40" s="65" t="s">
        <v>2</v>
      </c>
      <c r="BK40" s="65" t="s">
        <v>2</v>
      </c>
      <c r="BL40" s="65" t="s">
        <v>2</v>
      </c>
      <c r="BM40" s="65" t="s">
        <v>2</v>
      </c>
      <c r="BN40" s="65" t="s">
        <v>2</v>
      </c>
      <c r="BO40" s="65" t="s">
        <v>2</v>
      </c>
      <c r="BP40" s="65" t="s">
        <v>2</v>
      </c>
      <c r="BQ40" s="65" t="s">
        <v>2</v>
      </c>
      <c r="BR40" s="65" t="s">
        <v>2</v>
      </c>
      <c r="BS40" s="65" t="s">
        <v>2</v>
      </c>
      <c r="BT40" s="65" t="s">
        <v>2</v>
      </c>
      <c r="BU40" s="65" t="s">
        <v>2</v>
      </c>
      <c r="BV40" s="65" t="s">
        <v>2</v>
      </c>
      <c r="BW40" s="65" t="s">
        <v>2</v>
      </c>
      <c r="BX40" s="65" t="s">
        <v>2</v>
      </c>
      <c r="BY40" s="65" t="s">
        <v>2</v>
      </c>
      <c r="BZ40" s="59" t="s">
        <v>2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7">
        <v>0</v>
      </c>
      <c r="CH40" s="65">
        <v>0</v>
      </c>
      <c r="CI40" s="59">
        <v>0</v>
      </c>
      <c r="CJ40" s="65">
        <v>0</v>
      </c>
      <c r="CK40" s="65">
        <v>0</v>
      </c>
      <c r="CL40" s="65">
        <v>0</v>
      </c>
      <c r="CM40" s="59">
        <v>0</v>
      </c>
      <c r="CN40" s="156" t="s">
        <v>2</v>
      </c>
      <c r="CO40" s="156" t="s">
        <v>2</v>
      </c>
    </row>
    <row r="41" spans="1:93" x14ac:dyDescent="0.25">
      <c r="A41" s="154">
        <v>13013</v>
      </c>
      <c r="B41" s="47" t="s">
        <v>14</v>
      </c>
      <c r="C41" s="4" t="s">
        <v>1782</v>
      </c>
      <c r="D41" s="291">
        <v>13</v>
      </c>
      <c r="E41" s="23">
        <v>0</v>
      </c>
      <c r="F41" s="156">
        <v>68</v>
      </c>
      <c r="G41" s="59">
        <v>284.24</v>
      </c>
      <c r="H41" s="68">
        <v>55.5</v>
      </c>
      <c r="I41" s="3">
        <v>8.6999999999999993</v>
      </c>
      <c r="J41" s="3">
        <v>1.2</v>
      </c>
      <c r="K41" s="2">
        <v>5.5</v>
      </c>
      <c r="L41" s="2">
        <v>0</v>
      </c>
      <c r="M41" s="7">
        <v>29.1</v>
      </c>
      <c r="N41" s="65">
        <v>586</v>
      </c>
      <c r="O41" s="65" t="s">
        <v>2</v>
      </c>
      <c r="P41" s="3" t="s">
        <v>2</v>
      </c>
      <c r="Q41" s="3" t="s">
        <v>2</v>
      </c>
      <c r="R41" s="65">
        <v>1087</v>
      </c>
      <c r="S41" s="65">
        <v>104</v>
      </c>
      <c r="T41" s="65">
        <v>121</v>
      </c>
      <c r="U41" s="61" t="s">
        <v>2</v>
      </c>
      <c r="V41" s="61" t="s">
        <v>2</v>
      </c>
      <c r="W41" s="7" t="s">
        <v>2</v>
      </c>
      <c r="X41" s="3">
        <v>0</v>
      </c>
      <c r="Y41" s="61" t="s">
        <v>2</v>
      </c>
      <c r="Z41" s="61" t="s">
        <v>2</v>
      </c>
      <c r="AA41" s="61" t="s">
        <v>2</v>
      </c>
      <c r="AB41" s="61" t="s">
        <v>2</v>
      </c>
      <c r="AC41" s="61" t="s">
        <v>2</v>
      </c>
      <c r="AD41" s="65" t="s">
        <v>2</v>
      </c>
      <c r="AE41" s="65" t="s">
        <v>2</v>
      </c>
      <c r="AF41" s="3" t="s">
        <v>2</v>
      </c>
      <c r="AG41" s="7" t="s">
        <v>2</v>
      </c>
      <c r="AH41" s="162" t="s">
        <v>2</v>
      </c>
      <c r="AI41" s="65">
        <v>0</v>
      </c>
      <c r="AJ41" s="3" t="s">
        <v>2</v>
      </c>
      <c r="AK41" s="3" t="s">
        <v>2</v>
      </c>
      <c r="AL41" s="7" t="s">
        <v>2</v>
      </c>
      <c r="AM41" s="65">
        <v>0</v>
      </c>
      <c r="AN41" s="65">
        <v>0</v>
      </c>
      <c r="AO41" s="59">
        <v>0</v>
      </c>
      <c r="AP41" s="3" t="s">
        <v>2</v>
      </c>
      <c r="AQ41" s="61" t="s">
        <v>2</v>
      </c>
      <c r="AR41" s="61" t="s">
        <v>2</v>
      </c>
      <c r="AS41" s="61" t="s">
        <v>2</v>
      </c>
      <c r="AT41" s="61" t="s">
        <v>2</v>
      </c>
      <c r="AU41" s="61" t="s">
        <v>2</v>
      </c>
      <c r="AV41" s="62" t="s">
        <v>2</v>
      </c>
      <c r="AW41" s="3" t="s">
        <v>2</v>
      </c>
      <c r="AX41" s="61" t="s">
        <v>2</v>
      </c>
      <c r="AY41" s="61" t="s">
        <v>2</v>
      </c>
      <c r="AZ41" s="62" t="s">
        <v>2</v>
      </c>
      <c r="BA41" s="3" t="s">
        <v>2</v>
      </c>
      <c r="BB41" s="61" t="s">
        <v>2</v>
      </c>
      <c r="BC41" s="61" t="s">
        <v>2</v>
      </c>
      <c r="BD41" s="61" t="s">
        <v>2</v>
      </c>
      <c r="BE41" s="61" t="s">
        <v>2</v>
      </c>
      <c r="BF41" s="62" t="s">
        <v>2</v>
      </c>
      <c r="BG41" s="11" t="s">
        <v>2</v>
      </c>
      <c r="BH41" s="11" t="s">
        <v>2</v>
      </c>
      <c r="BI41" s="65" t="s">
        <v>2</v>
      </c>
      <c r="BJ41" s="65" t="s">
        <v>2</v>
      </c>
      <c r="BK41" s="65" t="s">
        <v>2</v>
      </c>
      <c r="BL41" s="65" t="s">
        <v>2</v>
      </c>
      <c r="BM41" s="65" t="s">
        <v>2</v>
      </c>
      <c r="BN41" s="65" t="s">
        <v>2</v>
      </c>
      <c r="BO41" s="65" t="s">
        <v>2</v>
      </c>
      <c r="BP41" s="65" t="s">
        <v>2</v>
      </c>
      <c r="BQ41" s="65" t="s">
        <v>2</v>
      </c>
      <c r="BR41" s="65" t="s">
        <v>2</v>
      </c>
      <c r="BS41" s="65" t="s">
        <v>2</v>
      </c>
      <c r="BT41" s="65" t="s">
        <v>2</v>
      </c>
      <c r="BU41" s="65" t="s">
        <v>2</v>
      </c>
      <c r="BV41" s="65" t="s">
        <v>2</v>
      </c>
      <c r="BW41" s="65" t="s">
        <v>2</v>
      </c>
      <c r="BX41" s="65" t="s">
        <v>2</v>
      </c>
      <c r="BY41" s="65" t="s">
        <v>2</v>
      </c>
      <c r="BZ41" s="59" t="s">
        <v>2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7">
        <v>0</v>
      </c>
      <c r="CH41" s="65">
        <v>0</v>
      </c>
      <c r="CI41" s="59">
        <v>0</v>
      </c>
      <c r="CJ41" s="65">
        <v>0</v>
      </c>
      <c r="CK41" s="65">
        <v>0</v>
      </c>
      <c r="CL41" s="65">
        <v>0</v>
      </c>
      <c r="CM41" s="59">
        <v>0</v>
      </c>
      <c r="CN41" s="156" t="s">
        <v>2</v>
      </c>
      <c r="CO41" s="156" t="s">
        <v>2</v>
      </c>
    </row>
    <row r="42" spans="1:93" x14ac:dyDescent="0.25">
      <c r="A42" s="154">
        <v>13014</v>
      </c>
      <c r="B42" s="46" t="s">
        <v>15</v>
      </c>
      <c r="C42" s="1" t="s">
        <v>1783</v>
      </c>
      <c r="D42" s="291">
        <v>13</v>
      </c>
      <c r="E42" s="23">
        <v>0</v>
      </c>
      <c r="F42" s="156">
        <v>60</v>
      </c>
      <c r="G42" s="59">
        <v>250.79999999999998</v>
      </c>
      <c r="H42" s="157">
        <v>60</v>
      </c>
      <c r="I42" s="2">
        <v>15</v>
      </c>
      <c r="J42" s="2">
        <v>0</v>
      </c>
      <c r="K42" s="2">
        <v>0</v>
      </c>
      <c r="L42" s="2">
        <v>0</v>
      </c>
      <c r="M42" s="24">
        <v>25</v>
      </c>
      <c r="N42" s="65">
        <v>387</v>
      </c>
      <c r="O42" s="65">
        <v>247</v>
      </c>
      <c r="P42" s="2">
        <v>2.7</v>
      </c>
      <c r="Q42" s="3" t="s">
        <v>2</v>
      </c>
      <c r="R42" s="65" t="s">
        <v>2</v>
      </c>
      <c r="S42" s="65" t="s">
        <v>2</v>
      </c>
      <c r="T42" s="65" t="s">
        <v>2</v>
      </c>
      <c r="U42" s="61" t="s">
        <v>2</v>
      </c>
      <c r="V42" s="61" t="s">
        <v>2</v>
      </c>
      <c r="W42" s="7" t="s">
        <v>2</v>
      </c>
      <c r="X42" s="3">
        <v>0</v>
      </c>
      <c r="Y42" s="63">
        <v>0.09</v>
      </c>
      <c r="Z42" s="63">
        <v>0.86</v>
      </c>
      <c r="AA42" s="61" t="s">
        <v>2</v>
      </c>
      <c r="AB42" s="61" t="s">
        <v>2</v>
      </c>
      <c r="AC42" s="61" t="s">
        <v>2</v>
      </c>
      <c r="AD42" s="65" t="s">
        <v>2</v>
      </c>
      <c r="AE42" s="65" t="s">
        <v>2</v>
      </c>
      <c r="AF42" s="3" t="s">
        <v>2</v>
      </c>
      <c r="AG42" s="7" t="s">
        <v>2</v>
      </c>
      <c r="AH42" s="162" t="s">
        <v>2</v>
      </c>
      <c r="AI42" s="65" t="s">
        <v>2</v>
      </c>
      <c r="AJ42" s="3" t="s">
        <v>2</v>
      </c>
      <c r="AK42" s="3" t="s">
        <v>2</v>
      </c>
      <c r="AL42" s="7" t="s">
        <v>2</v>
      </c>
      <c r="AM42" s="65">
        <v>0</v>
      </c>
      <c r="AN42" s="65">
        <v>0</v>
      </c>
      <c r="AO42" s="59">
        <v>0</v>
      </c>
      <c r="AP42" s="3">
        <v>0</v>
      </c>
      <c r="AQ42" s="61" t="s">
        <v>2</v>
      </c>
      <c r="AR42" s="61" t="s">
        <v>2</v>
      </c>
      <c r="AS42" s="61" t="s">
        <v>2</v>
      </c>
      <c r="AT42" s="61" t="s">
        <v>2</v>
      </c>
      <c r="AU42" s="61" t="s">
        <v>2</v>
      </c>
      <c r="AV42" s="62" t="s">
        <v>2</v>
      </c>
      <c r="AW42" s="3" t="s">
        <v>2</v>
      </c>
      <c r="AX42" s="61" t="s">
        <v>2</v>
      </c>
      <c r="AY42" s="61" t="s">
        <v>2</v>
      </c>
      <c r="AZ42" s="62" t="s">
        <v>2</v>
      </c>
      <c r="BA42" s="3" t="s">
        <v>2</v>
      </c>
      <c r="BB42" s="61" t="s">
        <v>2</v>
      </c>
      <c r="BC42" s="61" t="s">
        <v>2</v>
      </c>
      <c r="BD42" s="61" t="s">
        <v>2</v>
      </c>
      <c r="BE42" s="61" t="s">
        <v>2</v>
      </c>
      <c r="BF42" s="62" t="s">
        <v>2</v>
      </c>
      <c r="BG42" s="11" t="s">
        <v>2</v>
      </c>
      <c r="BH42" s="11" t="s">
        <v>2</v>
      </c>
      <c r="BI42" s="65" t="s">
        <v>2</v>
      </c>
      <c r="BJ42" s="65" t="s">
        <v>2</v>
      </c>
      <c r="BK42" s="65" t="s">
        <v>2</v>
      </c>
      <c r="BL42" s="65" t="s">
        <v>2</v>
      </c>
      <c r="BM42" s="65" t="s">
        <v>2</v>
      </c>
      <c r="BN42" s="65" t="s">
        <v>2</v>
      </c>
      <c r="BO42" s="65" t="s">
        <v>2</v>
      </c>
      <c r="BP42" s="65" t="s">
        <v>2</v>
      </c>
      <c r="BQ42" s="65" t="s">
        <v>2</v>
      </c>
      <c r="BR42" s="65" t="s">
        <v>2</v>
      </c>
      <c r="BS42" s="65" t="s">
        <v>2</v>
      </c>
      <c r="BT42" s="65" t="s">
        <v>2</v>
      </c>
      <c r="BU42" s="65" t="s">
        <v>2</v>
      </c>
      <c r="BV42" s="65" t="s">
        <v>2</v>
      </c>
      <c r="BW42" s="65" t="s">
        <v>2</v>
      </c>
      <c r="BX42" s="65" t="s">
        <v>2</v>
      </c>
      <c r="BY42" s="65" t="s">
        <v>2</v>
      </c>
      <c r="BZ42" s="59" t="s">
        <v>2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7">
        <v>0</v>
      </c>
      <c r="CH42" s="65">
        <v>0</v>
      </c>
      <c r="CI42" s="59">
        <v>0</v>
      </c>
      <c r="CJ42" s="65">
        <v>0</v>
      </c>
      <c r="CK42" s="65">
        <v>0</v>
      </c>
      <c r="CL42" s="65">
        <v>0</v>
      </c>
      <c r="CM42" s="59">
        <v>0</v>
      </c>
      <c r="CN42" s="156" t="s">
        <v>2</v>
      </c>
      <c r="CO42" s="156" t="s">
        <v>2</v>
      </c>
    </row>
    <row r="43" spans="1:93" x14ac:dyDescent="0.25">
      <c r="A43" s="154">
        <v>13015</v>
      </c>
      <c r="B43" s="46" t="s">
        <v>17</v>
      </c>
      <c r="C43" s="1" t="s">
        <v>1784</v>
      </c>
      <c r="D43" s="291">
        <v>13</v>
      </c>
      <c r="E43" s="23">
        <v>0</v>
      </c>
      <c r="F43" s="156">
        <v>28</v>
      </c>
      <c r="G43" s="59">
        <v>117.03999999999999</v>
      </c>
      <c r="H43" s="68">
        <v>67.900000000000006</v>
      </c>
      <c r="I43" s="3">
        <v>7.1</v>
      </c>
      <c r="J43" s="2">
        <v>0</v>
      </c>
      <c r="K43" s="2">
        <v>0</v>
      </c>
      <c r="L43" s="2">
        <v>0</v>
      </c>
      <c r="M43" s="24">
        <v>25</v>
      </c>
      <c r="N43" s="65">
        <v>387</v>
      </c>
      <c r="O43" s="65">
        <v>247</v>
      </c>
      <c r="P43" s="2">
        <v>2.7</v>
      </c>
      <c r="Q43" s="3" t="s">
        <v>2</v>
      </c>
      <c r="R43" s="65" t="s">
        <v>2</v>
      </c>
      <c r="S43" s="65" t="s">
        <v>2</v>
      </c>
      <c r="T43" s="65" t="s">
        <v>2</v>
      </c>
      <c r="U43" s="61" t="s">
        <v>2</v>
      </c>
      <c r="V43" s="61" t="s">
        <v>2</v>
      </c>
      <c r="W43" s="7" t="s">
        <v>2</v>
      </c>
      <c r="X43" s="3">
        <v>0</v>
      </c>
      <c r="Y43" s="63">
        <v>0.03</v>
      </c>
      <c r="Z43" s="63">
        <v>0.27</v>
      </c>
      <c r="AA43" s="61" t="s">
        <v>2</v>
      </c>
      <c r="AB43" s="61" t="s">
        <v>2</v>
      </c>
      <c r="AC43" s="61" t="s">
        <v>2</v>
      </c>
      <c r="AD43" s="65" t="s">
        <v>2</v>
      </c>
      <c r="AE43" s="65" t="s">
        <v>2</v>
      </c>
      <c r="AF43" s="3" t="s">
        <v>2</v>
      </c>
      <c r="AG43" s="7" t="s">
        <v>2</v>
      </c>
      <c r="AH43" s="162" t="s">
        <v>2</v>
      </c>
      <c r="AI43" s="65" t="s">
        <v>2</v>
      </c>
      <c r="AJ43" s="3" t="s">
        <v>2</v>
      </c>
      <c r="AK43" s="3" t="s">
        <v>2</v>
      </c>
      <c r="AL43" s="7" t="s">
        <v>2</v>
      </c>
      <c r="AM43" s="65">
        <v>0</v>
      </c>
      <c r="AN43" s="65">
        <v>0</v>
      </c>
      <c r="AO43" s="59">
        <v>0</v>
      </c>
      <c r="AP43" s="3" t="s">
        <v>2</v>
      </c>
      <c r="AQ43" s="61" t="s">
        <v>2</v>
      </c>
      <c r="AR43" s="61" t="s">
        <v>2</v>
      </c>
      <c r="AS43" s="61" t="s">
        <v>2</v>
      </c>
      <c r="AT43" s="61" t="s">
        <v>2</v>
      </c>
      <c r="AU43" s="61" t="s">
        <v>2</v>
      </c>
      <c r="AV43" s="62" t="s">
        <v>2</v>
      </c>
      <c r="AW43" s="3" t="s">
        <v>2</v>
      </c>
      <c r="AX43" s="61" t="s">
        <v>2</v>
      </c>
      <c r="AY43" s="61" t="s">
        <v>2</v>
      </c>
      <c r="AZ43" s="62" t="s">
        <v>2</v>
      </c>
      <c r="BA43" s="3" t="s">
        <v>2</v>
      </c>
      <c r="BB43" s="61" t="s">
        <v>2</v>
      </c>
      <c r="BC43" s="61" t="s">
        <v>2</v>
      </c>
      <c r="BD43" s="61" t="s">
        <v>2</v>
      </c>
      <c r="BE43" s="61" t="s">
        <v>2</v>
      </c>
      <c r="BF43" s="62" t="s">
        <v>2</v>
      </c>
      <c r="BG43" s="11" t="s">
        <v>2</v>
      </c>
      <c r="BH43" s="11">
        <v>0</v>
      </c>
      <c r="BI43" s="65" t="s">
        <v>2</v>
      </c>
      <c r="BJ43" s="65" t="s">
        <v>2</v>
      </c>
      <c r="BK43" s="65" t="s">
        <v>2</v>
      </c>
      <c r="BL43" s="65" t="s">
        <v>2</v>
      </c>
      <c r="BM43" s="65" t="s">
        <v>2</v>
      </c>
      <c r="BN43" s="65" t="s">
        <v>2</v>
      </c>
      <c r="BO43" s="65" t="s">
        <v>2</v>
      </c>
      <c r="BP43" s="65" t="s">
        <v>2</v>
      </c>
      <c r="BQ43" s="65" t="s">
        <v>2</v>
      </c>
      <c r="BR43" s="65" t="s">
        <v>2</v>
      </c>
      <c r="BS43" s="65" t="s">
        <v>2</v>
      </c>
      <c r="BT43" s="65" t="s">
        <v>2</v>
      </c>
      <c r="BU43" s="65" t="s">
        <v>2</v>
      </c>
      <c r="BV43" s="65" t="s">
        <v>2</v>
      </c>
      <c r="BW43" s="65" t="s">
        <v>2</v>
      </c>
      <c r="BX43" s="65" t="s">
        <v>2</v>
      </c>
      <c r="BY43" s="65" t="s">
        <v>2</v>
      </c>
      <c r="BZ43" s="59" t="s">
        <v>2</v>
      </c>
      <c r="CA43" s="3" t="s">
        <v>2</v>
      </c>
      <c r="CB43" s="3" t="s">
        <v>2</v>
      </c>
      <c r="CC43" s="3" t="s">
        <v>2</v>
      </c>
      <c r="CD43" s="3" t="s">
        <v>2</v>
      </c>
      <c r="CE43" s="3" t="s">
        <v>2</v>
      </c>
      <c r="CF43" s="3" t="s">
        <v>2</v>
      </c>
      <c r="CG43" s="7" t="s">
        <v>2</v>
      </c>
      <c r="CH43" s="65">
        <v>0</v>
      </c>
      <c r="CI43" s="59">
        <v>0</v>
      </c>
      <c r="CJ43" s="65" t="s">
        <v>2</v>
      </c>
      <c r="CK43" s="65" t="s">
        <v>2</v>
      </c>
      <c r="CL43" s="65" t="s">
        <v>2</v>
      </c>
      <c r="CM43" s="59" t="s">
        <v>2</v>
      </c>
      <c r="CN43" s="156" t="s">
        <v>2</v>
      </c>
      <c r="CO43" s="156" t="s">
        <v>2</v>
      </c>
    </row>
    <row r="44" spans="1:93" x14ac:dyDescent="0.25">
      <c r="A44" s="154">
        <v>13016</v>
      </c>
      <c r="B44" s="46" t="s">
        <v>16</v>
      </c>
      <c r="C44" s="1" t="s">
        <v>1785</v>
      </c>
      <c r="D44" s="291">
        <v>13</v>
      </c>
      <c r="E44" s="23">
        <v>0</v>
      </c>
      <c r="F44" s="156">
        <v>21</v>
      </c>
      <c r="G44" s="59">
        <v>87.78</v>
      </c>
      <c r="H44" s="68">
        <v>66.8</v>
      </c>
      <c r="I44" s="3">
        <v>5.2</v>
      </c>
      <c r="J44" s="2">
        <v>0</v>
      </c>
      <c r="K44" s="2">
        <v>0</v>
      </c>
      <c r="L44" s="2">
        <v>0</v>
      </c>
      <c r="M44" s="24">
        <v>28</v>
      </c>
      <c r="N44" s="65">
        <v>314</v>
      </c>
      <c r="O44" s="65">
        <v>116</v>
      </c>
      <c r="P44" s="2">
        <v>1.9</v>
      </c>
      <c r="Q44" s="3" t="s">
        <v>2</v>
      </c>
      <c r="R44" s="65" t="s">
        <v>2</v>
      </c>
      <c r="S44" s="65" t="s">
        <v>2</v>
      </c>
      <c r="T44" s="65" t="s">
        <v>2</v>
      </c>
      <c r="U44" s="61" t="s">
        <v>2</v>
      </c>
      <c r="V44" s="61" t="s">
        <v>2</v>
      </c>
      <c r="W44" s="7" t="s">
        <v>2</v>
      </c>
      <c r="X44" s="3">
        <v>0</v>
      </c>
      <c r="Y44" s="61" t="s">
        <v>2</v>
      </c>
      <c r="Z44" s="61" t="s">
        <v>2</v>
      </c>
      <c r="AA44" s="61" t="s">
        <v>2</v>
      </c>
      <c r="AB44" s="61" t="s">
        <v>2</v>
      </c>
      <c r="AC44" s="61" t="s">
        <v>2</v>
      </c>
      <c r="AD44" s="65" t="s">
        <v>2</v>
      </c>
      <c r="AE44" s="65" t="s">
        <v>2</v>
      </c>
      <c r="AF44" s="3" t="s">
        <v>2</v>
      </c>
      <c r="AG44" s="7" t="s">
        <v>2</v>
      </c>
      <c r="AH44" s="162" t="s">
        <v>2</v>
      </c>
      <c r="AI44" s="65" t="s">
        <v>2</v>
      </c>
      <c r="AJ44" s="3" t="s">
        <v>2</v>
      </c>
      <c r="AK44" s="3" t="s">
        <v>2</v>
      </c>
      <c r="AL44" s="7" t="s">
        <v>2</v>
      </c>
      <c r="AM44" s="65">
        <v>0</v>
      </c>
      <c r="AN44" s="65">
        <v>0</v>
      </c>
      <c r="AO44" s="59">
        <v>0</v>
      </c>
      <c r="AP44" s="3" t="s">
        <v>2</v>
      </c>
      <c r="AQ44" s="61" t="s">
        <v>2</v>
      </c>
      <c r="AR44" s="61" t="s">
        <v>2</v>
      </c>
      <c r="AS44" s="61" t="s">
        <v>2</v>
      </c>
      <c r="AT44" s="61" t="s">
        <v>2</v>
      </c>
      <c r="AU44" s="61" t="s">
        <v>2</v>
      </c>
      <c r="AV44" s="62" t="s">
        <v>2</v>
      </c>
      <c r="AW44" s="3" t="s">
        <v>2</v>
      </c>
      <c r="AX44" s="61" t="s">
        <v>2</v>
      </c>
      <c r="AY44" s="61" t="s">
        <v>2</v>
      </c>
      <c r="AZ44" s="62" t="s">
        <v>2</v>
      </c>
      <c r="BA44" s="3" t="s">
        <v>2</v>
      </c>
      <c r="BB44" s="61" t="s">
        <v>2</v>
      </c>
      <c r="BC44" s="61" t="s">
        <v>2</v>
      </c>
      <c r="BD44" s="61" t="s">
        <v>2</v>
      </c>
      <c r="BE44" s="61" t="s">
        <v>2</v>
      </c>
      <c r="BF44" s="62" t="s">
        <v>2</v>
      </c>
      <c r="BG44" s="11" t="s">
        <v>2</v>
      </c>
      <c r="BH44" s="11">
        <v>0</v>
      </c>
      <c r="BI44" s="65" t="s">
        <v>2</v>
      </c>
      <c r="BJ44" s="65" t="s">
        <v>2</v>
      </c>
      <c r="BK44" s="65" t="s">
        <v>2</v>
      </c>
      <c r="BL44" s="65" t="s">
        <v>2</v>
      </c>
      <c r="BM44" s="65" t="s">
        <v>2</v>
      </c>
      <c r="BN44" s="65" t="s">
        <v>2</v>
      </c>
      <c r="BO44" s="65" t="s">
        <v>2</v>
      </c>
      <c r="BP44" s="65" t="s">
        <v>2</v>
      </c>
      <c r="BQ44" s="65" t="s">
        <v>2</v>
      </c>
      <c r="BR44" s="65" t="s">
        <v>2</v>
      </c>
      <c r="BS44" s="65" t="s">
        <v>2</v>
      </c>
      <c r="BT44" s="65" t="s">
        <v>2</v>
      </c>
      <c r="BU44" s="65" t="s">
        <v>2</v>
      </c>
      <c r="BV44" s="65" t="s">
        <v>2</v>
      </c>
      <c r="BW44" s="65" t="s">
        <v>2</v>
      </c>
      <c r="BX44" s="65" t="s">
        <v>2</v>
      </c>
      <c r="BY44" s="65" t="s">
        <v>2</v>
      </c>
      <c r="BZ44" s="59" t="s">
        <v>2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7">
        <v>0</v>
      </c>
      <c r="CH44" s="65">
        <v>0</v>
      </c>
      <c r="CI44" s="59">
        <v>0</v>
      </c>
      <c r="CJ44" s="65">
        <v>0</v>
      </c>
      <c r="CK44" s="65">
        <v>0</v>
      </c>
      <c r="CL44" s="65">
        <v>0</v>
      </c>
      <c r="CM44" s="59">
        <v>0</v>
      </c>
      <c r="CN44" s="156" t="s">
        <v>2</v>
      </c>
      <c r="CO44" s="156" t="s">
        <v>2</v>
      </c>
    </row>
    <row r="45" spans="1:93" x14ac:dyDescent="0.25">
      <c r="A45" s="154">
        <v>13017</v>
      </c>
      <c r="B45" s="46" t="s">
        <v>18</v>
      </c>
      <c r="C45" s="1" t="s">
        <v>1786</v>
      </c>
      <c r="D45" s="291">
        <v>13</v>
      </c>
      <c r="E45" s="23">
        <v>0</v>
      </c>
      <c r="F45" s="156">
        <v>35</v>
      </c>
      <c r="G45" s="59">
        <v>146.29999999999998</v>
      </c>
      <c r="H45" s="68">
        <v>71.099999999999994</v>
      </c>
      <c r="I45" s="3">
        <v>5.0599999999999996</v>
      </c>
      <c r="J45" s="2">
        <v>0.01</v>
      </c>
      <c r="K45" s="2">
        <v>3.64</v>
      </c>
      <c r="L45" s="2">
        <v>0</v>
      </c>
      <c r="M45" s="7">
        <v>20.22</v>
      </c>
      <c r="N45" s="65">
        <v>43</v>
      </c>
      <c r="O45" s="65">
        <v>7</v>
      </c>
      <c r="P45" s="2">
        <v>0.78</v>
      </c>
      <c r="Q45" s="2">
        <v>0.2</v>
      </c>
      <c r="R45" s="65">
        <v>7720</v>
      </c>
      <c r="S45" s="65">
        <v>288</v>
      </c>
      <c r="T45" s="65">
        <v>175</v>
      </c>
      <c r="U45" s="63">
        <v>0.23300000000000001</v>
      </c>
      <c r="V45" s="61">
        <v>50</v>
      </c>
      <c r="W45" s="7">
        <v>9.1</v>
      </c>
      <c r="X45" s="3">
        <v>0.5</v>
      </c>
      <c r="Y45" s="63">
        <v>1.2E-2</v>
      </c>
      <c r="Z45" s="63">
        <v>5.7000000000000002E-2</v>
      </c>
      <c r="AA45" s="63">
        <v>2.3130000000000002</v>
      </c>
      <c r="AB45" s="63">
        <v>0.11799999999999999</v>
      </c>
      <c r="AC45" s="63">
        <v>0.39600000000000002</v>
      </c>
      <c r="AD45" s="65">
        <v>51</v>
      </c>
      <c r="AE45" s="65">
        <v>0</v>
      </c>
      <c r="AF45" s="3" t="s">
        <v>2</v>
      </c>
      <c r="AG45" s="24">
        <v>0.48</v>
      </c>
      <c r="AH45" s="159">
        <v>4</v>
      </c>
      <c r="AI45" s="65">
        <v>4</v>
      </c>
      <c r="AJ45" s="2">
        <v>0</v>
      </c>
      <c r="AK45" s="3">
        <v>0</v>
      </c>
      <c r="AL45" s="7">
        <v>0</v>
      </c>
      <c r="AM45" s="65">
        <v>0</v>
      </c>
      <c r="AN45" s="65">
        <v>0</v>
      </c>
      <c r="AO45" s="59">
        <v>0</v>
      </c>
      <c r="AP45" s="3">
        <v>3.0000000000000001E-3</v>
      </c>
      <c r="AQ45" s="61">
        <v>1E-3</v>
      </c>
      <c r="AR45" s="63">
        <v>0</v>
      </c>
      <c r="AS45" s="63">
        <v>1E-3</v>
      </c>
      <c r="AT45" s="63">
        <v>0</v>
      </c>
      <c r="AU45" s="63">
        <v>0</v>
      </c>
      <c r="AV45" s="64">
        <v>0</v>
      </c>
      <c r="AW45" s="3">
        <v>2E-3</v>
      </c>
      <c r="AX45" s="61">
        <v>0</v>
      </c>
      <c r="AY45" s="61">
        <v>1E-3</v>
      </c>
      <c r="AZ45" s="62">
        <v>1E-3</v>
      </c>
      <c r="BA45" s="2">
        <v>3.0000000000000001E-3</v>
      </c>
      <c r="BB45" s="63">
        <v>0</v>
      </c>
      <c r="BC45" s="63">
        <v>0</v>
      </c>
      <c r="BD45" s="63">
        <v>0</v>
      </c>
      <c r="BE45" s="63">
        <v>1E-3</v>
      </c>
      <c r="BF45" s="64">
        <v>2E-3</v>
      </c>
      <c r="BG45" s="11" t="s">
        <v>2</v>
      </c>
      <c r="BH45" s="7">
        <v>0</v>
      </c>
      <c r="BI45" s="65" t="s">
        <v>2</v>
      </c>
      <c r="BJ45" s="65" t="s">
        <v>2</v>
      </c>
      <c r="BK45" s="65" t="s">
        <v>2</v>
      </c>
      <c r="BL45" s="65" t="s">
        <v>2</v>
      </c>
      <c r="BM45" s="65" t="s">
        <v>2</v>
      </c>
      <c r="BN45" s="65" t="s">
        <v>2</v>
      </c>
      <c r="BO45" s="65" t="s">
        <v>2</v>
      </c>
      <c r="BP45" s="65" t="s">
        <v>2</v>
      </c>
      <c r="BQ45" s="65" t="s">
        <v>2</v>
      </c>
      <c r="BR45" s="65" t="s">
        <v>2</v>
      </c>
      <c r="BS45" s="65" t="s">
        <v>2</v>
      </c>
      <c r="BT45" s="65" t="s">
        <v>2</v>
      </c>
      <c r="BU45" s="65" t="s">
        <v>2</v>
      </c>
      <c r="BV45" s="65" t="s">
        <v>2</v>
      </c>
      <c r="BW45" s="65" t="s">
        <v>2</v>
      </c>
      <c r="BX45" s="65" t="s">
        <v>2</v>
      </c>
      <c r="BY45" s="65" t="s">
        <v>2</v>
      </c>
      <c r="BZ45" s="59" t="s">
        <v>2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7">
        <v>0</v>
      </c>
      <c r="CH45" s="65">
        <v>0</v>
      </c>
      <c r="CI45" s="59">
        <v>0</v>
      </c>
      <c r="CJ45" s="65">
        <v>0</v>
      </c>
      <c r="CK45" s="65">
        <v>0</v>
      </c>
      <c r="CL45" s="65">
        <v>0</v>
      </c>
      <c r="CM45" s="59">
        <v>0</v>
      </c>
      <c r="CN45" s="156" t="s">
        <v>2</v>
      </c>
      <c r="CO45" s="156" t="s">
        <v>2</v>
      </c>
    </row>
    <row r="46" spans="1:93" x14ac:dyDescent="0.25">
      <c r="A46" s="154">
        <v>13018</v>
      </c>
      <c r="B46" s="46" t="s">
        <v>19</v>
      </c>
      <c r="C46" s="1" t="s">
        <v>1787</v>
      </c>
      <c r="D46" s="291">
        <v>13</v>
      </c>
      <c r="E46" s="23">
        <v>0</v>
      </c>
      <c r="F46" s="156">
        <v>131</v>
      </c>
      <c r="G46" s="59">
        <v>547.57999999999993</v>
      </c>
      <c r="H46" s="68">
        <v>20.2</v>
      </c>
      <c r="I46" s="3">
        <v>32.799999999999997</v>
      </c>
      <c r="J46" s="2">
        <v>0</v>
      </c>
      <c r="K46" s="2">
        <v>0</v>
      </c>
      <c r="L46" s="2">
        <v>0</v>
      </c>
      <c r="M46" s="24">
        <v>47</v>
      </c>
      <c r="N46" s="65" t="s">
        <v>2</v>
      </c>
      <c r="O46" s="65" t="s">
        <v>2</v>
      </c>
      <c r="P46" s="3" t="s">
        <v>2</v>
      </c>
      <c r="Q46" s="3" t="s">
        <v>2</v>
      </c>
      <c r="R46" s="65" t="s">
        <v>2</v>
      </c>
      <c r="S46" s="65" t="s">
        <v>2</v>
      </c>
      <c r="T46" s="65" t="s">
        <v>2</v>
      </c>
      <c r="U46" s="61" t="s">
        <v>2</v>
      </c>
      <c r="V46" s="61" t="s">
        <v>2</v>
      </c>
      <c r="W46" s="7" t="s">
        <v>2</v>
      </c>
      <c r="X46" s="3">
        <v>0</v>
      </c>
      <c r="Y46" s="61" t="s">
        <v>2</v>
      </c>
      <c r="Z46" s="61" t="s">
        <v>2</v>
      </c>
      <c r="AA46" s="61" t="s">
        <v>2</v>
      </c>
      <c r="AB46" s="61" t="s">
        <v>2</v>
      </c>
      <c r="AC46" s="61" t="s">
        <v>2</v>
      </c>
      <c r="AD46" s="65" t="s">
        <v>2</v>
      </c>
      <c r="AE46" s="65" t="s">
        <v>2</v>
      </c>
      <c r="AF46" s="3" t="s">
        <v>2</v>
      </c>
      <c r="AG46" s="7" t="s">
        <v>2</v>
      </c>
      <c r="AH46" s="162" t="s">
        <v>2</v>
      </c>
      <c r="AI46" s="65" t="s">
        <v>2</v>
      </c>
      <c r="AJ46" s="3" t="s">
        <v>2</v>
      </c>
      <c r="AK46" s="3" t="s">
        <v>2</v>
      </c>
      <c r="AL46" s="7" t="s">
        <v>2</v>
      </c>
      <c r="AM46" s="65">
        <v>0</v>
      </c>
      <c r="AN46" s="65">
        <v>0</v>
      </c>
      <c r="AO46" s="59">
        <v>0</v>
      </c>
      <c r="AP46" s="3" t="s">
        <v>2</v>
      </c>
      <c r="AQ46" s="61" t="s">
        <v>2</v>
      </c>
      <c r="AR46" s="61" t="s">
        <v>2</v>
      </c>
      <c r="AS46" s="61" t="s">
        <v>2</v>
      </c>
      <c r="AT46" s="61" t="s">
        <v>2</v>
      </c>
      <c r="AU46" s="61" t="s">
        <v>2</v>
      </c>
      <c r="AV46" s="62" t="s">
        <v>2</v>
      </c>
      <c r="AW46" s="3" t="s">
        <v>2</v>
      </c>
      <c r="AX46" s="61" t="s">
        <v>2</v>
      </c>
      <c r="AY46" s="61" t="s">
        <v>2</v>
      </c>
      <c r="AZ46" s="62" t="s">
        <v>2</v>
      </c>
      <c r="BA46" s="3" t="s">
        <v>2</v>
      </c>
      <c r="BB46" s="61" t="s">
        <v>2</v>
      </c>
      <c r="BC46" s="61" t="s">
        <v>2</v>
      </c>
      <c r="BD46" s="61" t="s">
        <v>2</v>
      </c>
      <c r="BE46" s="61" t="s">
        <v>2</v>
      </c>
      <c r="BF46" s="62" t="s">
        <v>2</v>
      </c>
      <c r="BG46" s="11" t="s">
        <v>2</v>
      </c>
      <c r="BH46" s="11">
        <v>0</v>
      </c>
      <c r="BI46" s="65" t="s">
        <v>2</v>
      </c>
      <c r="BJ46" s="65" t="s">
        <v>2</v>
      </c>
      <c r="BK46" s="65" t="s">
        <v>2</v>
      </c>
      <c r="BL46" s="65" t="s">
        <v>2</v>
      </c>
      <c r="BM46" s="65" t="s">
        <v>2</v>
      </c>
      <c r="BN46" s="65" t="s">
        <v>2</v>
      </c>
      <c r="BO46" s="65" t="s">
        <v>2</v>
      </c>
      <c r="BP46" s="65" t="s">
        <v>2</v>
      </c>
      <c r="BQ46" s="65" t="s">
        <v>2</v>
      </c>
      <c r="BR46" s="65" t="s">
        <v>2</v>
      </c>
      <c r="BS46" s="65" t="s">
        <v>2</v>
      </c>
      <c r="BT46" s="65" t="s">
        <v>2</v>
      </c>
      <c r="BU46" s="65" t="s">
        <v>2</v>
      </c>
      <c r="BV46" s="65" t="s">
        <v>2</v>
      </c>
      <c r="BW46" s="65" t="s">
        <v>2</v>
      </c>
      <c r="BX46" s="65" t="s">
        <v>2</v>
      </c>
      <c r="BY46" s="65" t="s">
        <v>2</v>
      </c>
      <c r="BZ46" s="59" t="s">
        <v>2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7">
        <v>0</v>
      </c>
      <c r="CH46" s="65">
        <v>0</v>
      </c>
      <c r="CI46" s="59">
        <v>0</v>
      </c>
      <c r="CJ46" s="65">
        <v>0</v>
      </c>
      <c r="CK46" s="65">
        <v>0</v>
      </c>
      <c r="CL46" s="65">
        <v>0</v>
      </c>
      <c r="CM46" s="59">
        <v>0</v>
      </c>
      <c r="CN46" s="156" t="s">
        <v>2</v>
      </c>
      <c r="CO46" s="156" t="s">
        <v>2</v>
      </c>
    </row>
    <row r="47" spans="1:93" x14ac:dyDescent="0.25">
      <c r="A47" s="154">
        <v>13019</v>
      </c>
      <c r="B47" s="46" t="s">
        <v>20</v>
      </c>
      <c r="C47" s="1" t="s">
        <v>1788</v>
      </c>
      <c r="D47" s="291">
        <v>13</v>
      </c>
      <c r="E47" s="23">
        <v>0</v>
      </c>
      <c r="F47" s="156">
        <v>75</v>
      </c>
      <c r="G47" s="59">
        <v>313.5</v>
      </c>
      <c r="H47" s="68">
        <v>70.3</v>
      </c>
      <c r="I47" s="3">
        <v>3.9</v>
      </c>
      <c r="J47" s="2">
        <v>0.1</v>
      </c>
      <c r="K47" s="2">
        <v>14.5</v>
      </c>
      <c r="L47" s="2">
        <v>0</v>
      </c>
      <c r="M47" s="7">
        <v>11.2</v>
      </c>
      <c r="N47" s="65" t="s">
        <v>2</v>
      </c>
      <c r="O47" s="65" t="s">
        <v>2</v>
      </c>
      <c r="P47" s="3" t="s">
        <v>2</v>
      </c>
      <c r="Q47" s="3" t="s">
        <v>2</v>
      </c>
      <c r="R47" s="65" t="s">
        <v>2</v>
      </c>
      <c r="S47" s="65" t="s">
        <v>2</v>
      </c>
      <c r="T47" s="65" t="s">
        <v>2</v>
      </c>
      <c r="U47" s="61" t="s">
        <v>2</v>
      </c>
      <c r="V47" s="61" t="s">
        <v>2</v>
      </c>
      <c r="W47" s="7" t="s">
        <v>2</v>
      </c>
      <c r="X47" s="3">
        <v>0</v>
      </c>
      <c r="Y47" s="61" t="s">
        <v>2</v>
      </c>
      <c r="Z47" s="61" t="s">
        <v>2</v>
      </c>
      <c r="AA47" s="61" t="s">
        <v>2</v>
      </c>
      <c r="AB47" s="61" t="s">
        <v>2</v>
      </c>
      <c r="AC47" s="61" t="s">
        <v>2</v>
      </c>
      <c r="AD47" s="65" t="s">
        <v>2</v>
      </c>
      <c r="AE47" s="65" t="s">
        <v>2</v>
      </c>
      <c r="AF47" s="3" t="s">
        <v>2</v>
      </c>
      <c r="AG47" s="7" t="s">
        <v>2</v>
      </c>
      <c r="AH47" s="162" t="s">
        <v>2</v>
      </c>
      <c r="AI47" s="65" t="s">
        <v>2</v>
      </c>
      <c r="AJ47" s="3" t="s">
        <v>2</v>
      </c>
      <c r="AK47" s="3" t="s">
        <v>2</v>
      </c>
      <c r="AL47" s="7" t="s">
        <v>2</v>
      </c>
      <c r="AM47" s="65" t="s">
        <v>2</v>
      </c>
      <c r="AN47" s="65" t="s">
        <v>2</v>
      </c>
      <c r="AO47" s="59" t="s">
        <v>2</v>
      </c>
      <c r="AP47" s="3" t="s">
        <v>2</v>
      </c>
      <c r="AQ47" s="61" t="s">
        <v>2</v>
      </c>
      <c r="AR47" s="61" t="s">
        <v>2</v>
      </c>
      <c r="AS47" s="61" t="s">
        <v>2</v>
      </c>
      <c r="AT47" s="61" t="s">
        <v>2</v>
      </c>
      <c r="AU47" s="61" t="s">
        <v>2</v>
      </c>
      <c r="AV47" s="62" t="s">
        <v>2</v>
      </c>
      <c r="AW47" s="3" t="s">
        <v>2</v>
      </c>
      <c r="AX47" s="61" t="s">
        <v>2</v>
      </c>
      <c r="AY47" s="61" t="s">
        <v>2</v>
      </c>
      <c r="AZ47" s="62" t="s">
        <v>2</v>
      </c>
      <c r="BA47" s="3" t="s">
        <v>2</v>
      </c>
      <c r="BB47" s="61" t="s">
        <v>2</v>
      </c>
      <c r="BC47" s="61" t="s">
        <v>2</v>
      </c>
      <c r="BD47" s="61" t="s">
        <v>2</v>
      </c>
      <c r="BE47" s="61" t="s">
        <v>2</v>
      </c>
      <c r="BF47" s="62" t="s">
        <v>2</v>
      </c>
      <c r="BG47" s="11" t="s">
        <v>2</v>
      </c>
      <c r="BH47" s="11">
        <v>0</v>
      </c>
      <c r="BI47" s="65" t="s">
        <v>2</v>
      </c>
      <c r="BJ47" s="65" t="s">
        <v>2</v>
      </c>
      <c r="BK47" s="65" t="s">
        <v>2</v>
      </c>
      <c r="BL47" s="65" t="s">
        <v>2</v>
      </c>
      <c r="BM47" s="65" t="s">
        <v>2</v>
      </c>
      <c r="BN47" s="65" t="s">
        <v>2</v>
      </c>
      <c r="BO47" s="65" t="s">
        <v>2</v>
      </c>
      <c r="BP47" s="65" t="s">
        <v>2</v>
      </c>
      <c r="BQ47" s="65" t="s">
        <v>2</v>
      </c>
      <c r="BR47" s="65" t="s">
        <v>2</v>
      </c>
      <c r="BS47" s="65" t="s">
        <v>2</v>
      </c>
      <c r="BT47" s="65" t="s">
        <v>2</v>
      </c>
      <c r="BU47" s="65" t="s">
        <v>2</v>
      </c>
      <c r="BV47" s="65" t="s">
        <v>2</v>
      </c>
      <c r="BW47" s="65" t="s">
        <v>2</v>
      </c>
      <c r="BX47" s="65" t="s">
        <v>2</v>
      </c>
      <c r="BY47" s="65" t="s">
        <v>2</v>
      </c>
      <c r="BZ47" s="59" t="s">
        <v>2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7">
        <v>0</v>
      </c>
      <c r="CH47" s="65" t="s">
        <v>2</v>
      </c>
      <c r="CI47" s="59" t="s">
        <v>2</v>
      </c>
      <c r="CJ47" s="65" t="s">
        <v>2</v>
      </c>
      <c r="CK47" s="65" t="s">
        <v>2</v>
      </c>
      <c r="CL47" s="65" t="s">
        <v>2</v>
      </c>
      <c r="CM47" s="59" t="s">
        <v>2</v>
      </c>
      <c r="CN47" s="156" t="s">
        <v>2</v>
      </c>
      <c r="CO47" s="156" t="s">
        <v>2</v>
      </c>
    </row>
    <row r="48" spans="1:93" x14ac:dyDescent="0.25">
      <c r="A48" s="154">
        <v>13020</v>
      </c>
      <c r="B48" s="46" t="s">
        <v>21</v>
      </c>
      <c r="C48" s="1" t="s">
        <v>1789</v>
      </c>
      <c r="D48" s="291">
        <v>13</v>
      </c>
      <c r="E48" s="23">
        <v>0</v>
      </c>
      <c r="F48" s="156">
        <v>86</v>
      </c>
      <c r="G48" s="59">
        <v>359.47999999999996</v>
      </c>
      <c r="H48" s="68">
        <v>68.3</v>
      </c>
      <c r="I48" s="3">
        <v>4.3</v>
      </c>
      <c r="J48" s="2">
        <v>0.7</v>
      </c>
      <c r="K48" s="2">
        <v>15.7</v>
      </c>
      <c r="L48" s="2">
        <v>0</v>
      </c>
      <c r="M48" s="24">
        <v>11</v>
      </c>
      <c r="N48" s="65" t="s">
        <v>2</v>
      </c>
      <c r="O48" s="65" t="s">
        <v>2</v>
      </c>
      <c r="P48" s="3" t="s">
        <v>2</v>
      </c>
      <c r="Q48" s="3" t="s">
        <v>2</v>
      </c>
      <c r="R48" s="65" t="s">
        <v>2</v>
      </c>
      <c r="S48" s="65" t="s">
        <v>2</v>
      </c>
      <c r="T48" s="65" t="s">
        <v>2</v>
      </c>
      <c r="U48" s="61" t="s">
        <v>2</v>
      </c>
      <c r="V48" s="61" t="s">
        <v>2</v>
      </c>
      <c r="W48" s="7" t="s">
        <v>2</v>
      </c>
      <c r="X48" s="3">
        <v>0</v>
      </c>
      <c r="Y48" s="61" t="s">
        <v>2</v>
      </c>
      <c r="Z48" s="61" t="s">
        <v>2</v>
      </c>
      <c r="AA48" s="61" t="s">
        <v>2</v>
      </c>
      <c r="AB48" s="61" t="s">
        <v>2</v>
      </c>
      <c r="AC48" s="61" t="s">
        <v>2</v>
      </c>
      <c r="AD48" s="65" t="s">
        <v>2</v>
      </c>
      <c r="AE48" s="65" t="s">
        <v>2</v>
      </c>
      <c r="AF48" s="3" t="s">
        <v>2</v>
      </c>
      <c r="AG48" s="7" t="s">
        <v>2</v>
      </c>
      <c r="AH48" s="162" t="s">
        <v>2</v>
      </c>
      <c r="AI48" s="65" t="s">
        <v>2</v>
      </c>
      <c r="AJ48" s="3" t="s">
        <v>2</v>
      </c>
      <c r="AK48" s="3" t="s">
        <v>2</v>
      </c>
      <c r="AL48" s="7" t="s">
        <v>2</v>
      </c>
      <c r="AM48" s="65">
        <v>0</v>
      </c>
      <c r="AN48" s="65">
        <v>0</v>
      </c>
      <c r="AO48" s="59">
        <v>0</v>
      </c>
      <c r="AP48" s="3" t="s">
        <v>2</v>
      </c>
      <c r="AQ48" s="61" t="s">
        <v>2</v>
      </c>
      <c r="AR48" s="61" t="s">
        <v>2</v>
      </c>
      <c r="AS48" s="61" t="s">
        <v>2</v>
      </c>
      <c r="AT48" s="61" t="s">
        <v>2</v>
      </c>
      <c r="AU48" s="61" t="s">
        <v>2</v>
      </c>
      <c r="AV48" s="62" t="s">
        <v>2</v>
      </c>
      <c r="AW48" s="3" t="s">
        <v>2</v>
      </c>
      <c r="AX48" s="61" t="s">
        <v>2</v>
      </c>
      <c r="AY48" s="61" t="s">
        <v>2</v>
      </c>
      <c r="AZ48" s="62" t="s">
        <v>2</v>
      </c>
      <c r="BA48" s="3" t="s">
        <v>2</v>
      </c>
      <c r="BB48" s="61" t="s">
        <v>2</v>
      </c>
      <c r="BC48" s="61" t="s">
        <v>2</v>
      </c>
      <c r="BD48" s="61" t="s">
        <v>2</v>
      </c>
      <c r="BE48" s="61" t="s">
        <v>2</v>
      </c>
      <c r="BF48" s="62" t="s">
        <v>2</v>
      </c>
      <c r="BG48" s="11" t="s">
        <v>2</v>
      </c>
      <c r="BH48" s="11">
        <v>0</v>
      </c>
      <c r="BI48" s="65" t="s">
        <v>2</v>
      </c>
      <c r="BJ48" s="65" t="s">
        <v>2</v>
      </c>
      <c r="BK48" s="65" t="s">
        <v>2</v>
      </c>
      <c r="BL48" s="65" t="s">
        <v>2</v>
      </c>
      <c r="BM48" s="65" t="s">
        <v>2</v>
      </c>
      <c r="BN48" s="65" t="s">
        <v>2</v>
      </c>
      <c r="BO48" s="65" t="s">
        <v>2</v>
      </c>
      <c r="BP48" s="65" t="s">
        <v>2</v>
      </c>
      <c r="BQ48" s="65" t="s">
        <v>2</v>
      </c>
      <c r="BR48" s="65" t="s">
        <v>2</v>
      </c>
      <c r="BS48" s="65" t="s">
        <v>2</v>
      </c>
      <c r="BT48" s="65" t="s">
        <v>2</v>
      </c>
      <c r="BU48" s="65" t="s">
        <v>2</v>
      </c>
      <c r="BV48" s="65" t="s">
        <v>2</v>
      </c>
      <c r="BW48" s="65" t="s">
        <v>2</v>
      </c>
      <c r="BX48" s="65" t="s">
        <v>2</v>
      </c>
      <c r="BY48" s="65" t="s">
        <v>2</v>
      </c>
      <c r="BZ48" s="59" t="s">
        <v>2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7">
        <v>0</v>
      </c>
      <c r="CH48" s="65">
        <v>0</v>
      </c>
      <c r="CI48" s="59">
        <v>0</v>
      </c>
      <c r="CJ48" s="65">
        <v>0</v>
      </c>
      <c r="CK48" s="65">
        <v>0</v>
      </c>
      <c r="CL48" s="65">
        <v>0</v>
      </c>
      <c r="CM48" s="59">
        <v>0</v>
      </c>
      <c r="CN48" s="156" t="s">
        <v>2</v>
      </c>
      <c r="CO48" s="156" t="s">
        <v>2</v>
      </c>
    </row>
    <row r="49" spans="1:93" x14ac:dyDescent="0.25">
      <c r="A49" s="154">
        <v>13021</v>
      </c>
      <c r="B49" s="46" t="s">
        <v>22</v>
      </c>
      <c r="C49" s="1" t="s">
        <v>1790</v>
      </c>
      <c r="D49" s="291">
        <v>13</v>
      </c>
      <c r="E49" s="23">
        <v>0</v>
      </c>
      <c r="F49" s="156">
        <v>41</v>
      </c>
      <c r="G49" s="59">
        <v>171.38</v>
      </c>
      <c r="H49" s="157">
        <v>84</v>
      </c>
      <c r="I49" s="2">
        <v>0.5</v>
      </c>
      <c r="J49" s="2">
        <v>0.5</v>
      </c>
      <c r="K49" s="2">
        <v>8.5</v>
      </c>
      <c r="L49" s="2">
        <v>0.9</v>
      </c>
      <c r="M49" s="7">
        <v>6.5</v>
      </c>
      <c r="N49" s="65">
        <v>9</v>
      </c>
      <c r="O49" s="65">
        <v>16</v>
      </c>
      <c r="P49" s="2">
        <v>0.5</v>
      </c>
      <c r="Q49" s="2">
        <v>0.15</v>
      </c>
      <c r="R49" s="65">
        <v>25</v>
      </c>
      <c r="S49" s="65">
        <v>564</v>
      </c>
      <c r="T49" s="65">
        <v>12</v>
      </c>
      <c r="U49" s="61" t="s">
        <v>2</v>
      </c>
      <c r="V49" s="61">
        <v>87</v>
      </c>
      <c r="W49" s="24">
        <v>0.2</v>
      </c>
      <c r="X49" s="3">
        <v>30</v>
      </c>
      <c r="Y49" s="63">
        <v>0.01</v>
      </c>
      <c r="Z49" s="63">
        <v>0.09</v>
      </c>
      <c r="AA49" s="63">
        <v>0.6</v>
      </c>
      <c r="AB49" s="61" t="s">
        <v>2</v>
      </c>
      <c r="AC49" s="63">
        <v>0.14000000000000001</v>
      </c>
      <c r="AD49" s="65">
        <v>11</v>
      </c>
      <c r="AE49" s="65">
        <v>0</v>
      </c>
      <c r="AF49" s="3" t="s">
        <v>2</v>
      </c>
      <c r="AG49" s="7">
        <v>0</v>
      </c>
      <c r="AH49" s="162" t="s">
        <v>2</v>
      </c>
      <c r="AI49" s="65">
        <v>23</v>
      </c>
      <c r="AJ49" s="3" t="s">
        <v>2</v>
      </c>
      <c r="AK49" s="2">
        <v>0.36</v>
      </c>
      <c r="AL49" s="7">
        <v>6.7</v>
      </c>
      <c r="AM49" s="65">
        <v>257</v>
      </c>
      <c r="AN49" s="65">
        <v>17</v>
      </c>
      <c r="AO49" s="59">
        <v>19</v>
      </c>
      <c r="AP49" s="3">
        <v>0.08</v>
      </c>
      <c r="AQ49" s="61">
        <v>6.5000000000000002E-2</v>
      </c>
      <c r="AR49" s="63">
        <v>0</v>
      </c>
      <c r="AS49" s="63">
        <v>1.2999999999999999E-2</v>
      </c>
      <c r="AT49" s="63">
        <v>0</v>
      </c>
      <c r="AU49" s="63">
        <v>0</v>
      </c>
      <c r="AV49" s="64">
        <v>0</v>
      </c>
      <c r="AW49" s="2">
        <v>0.41099999999999998</v>
      </c>
      <c r="AX49" s="63">
        <v>0</v>
      </c>
      <c r="AY49" s="63">
        <v>5.0000000000000001E-3</v>
      </c>
      <c r="AZ49" s="64">
        <v>0.40300000000000002</v>
      </c>
      <c r="BA49" s="2">
        <v>7.3999999999999996E-2</v>
      </c>
      <c r="BB49" s="63">
        <v>6.9000000000000006E-2</v>
      </c>
      <c r="BC49" s="63">
        <v>4.0000000000000001E-3</v>
      </c>
      <c r="BD49" s="63">
        <v>0</v>
      </c>
      <c r="BE49" s="63">
        <v>0</v>
      </c>
      <c r="BF49" s="64">
        <v>0</v>
      </c>
      <c r="BG49" s="3" t="s">
        <v>2</v>
      </c>
      <c r="BH49" s="11">
        <v>0</v>
      </c>
      <c r="BI49" s="65" t="s">
        <v>2</v>
      </c>
      <c r="BJ49" s="65" t="s">
        <v>2</v>
      </c>
      <c r="BK49" s="65" t="s">
        <v>2</v>
      </c>
      <c r="BL49" s="65" t="s">
        <v>2</v>
      </c>
      <c r="BM49" s="65" t="s">
        <v>2</v>
      </c>
      <c r="BN49" s="65" t="s">
        <v>2</v>
      </c>
      <c r="BO49" s="65" t="s">
        <v>2</v>
      </c>
      <c r="BP49" s="65" t="s">
        <v>2</v>
      </c>
      <c r="BQ49" s="65" t="s">
        <v>2</v>
      </c>
      <c r="BR49" s="65" t="s">
        <v>2</v>
      </c>
      <c r="BS49" s="65" t="s">
        <v>2</v>
      </c>
      <c r="BT49" s="65" t="s">
        <v>2</v>
      </c>
      <c r="BU49" s="65" t="s">
        <v>2</v>
      </c>
      <c r="BV49" s="65" t="s">
        <v>2</v>
      </c>
      <c r="BW49" s="65" t="s">
        <v>2</v>
      </c>
      <c r="BX49" s="65" t="s">
        <v>2</v>
      </c>
      <c r="BY49" s="65" t="s">
        <v>2</v>
      </c>
      <c r="BZ49" s="59" t="s">
        <v>2</v>
      </c>
      <c r="CA49" s="3">
        <v>2.5499999999999998</v>
      </c>
      <c r="CB49" s="3" t="s">
        <v>2</v>
      </c>
      <c r="CC49" s="3" t="s">
        <v>2</v>
      </c>
      <c r="CD49" s="3" t="s">
        <v>2</v>
      </c>
      <c r="CE49" s="3" t="s">
        <v>2</v>
      </c>
      <c r="CF49" s="3" t="s">
        <v>2</v>
      </c>
      <c r="CG49" s="7" t="s">
        <v>2</v>
      </c>
      <c r="CH49" s="65">
        <v>0</v>
      </c>
      <c r="CI49" s="59">
        <v>341</v>
      </c>
      <c r="CJ49" s="65" t="s">
        <v>2</v>
      </c>
      <c r="CK49" s="65" t="s">
        <v>2</v>
      </c>
      <c r="CL49" s="65" t="s">
        <v>2</v>
      </c>
      <c r="CM49" s="59" t="s">
        <v>2</v>
      </c>
      <c r="CN49" s="156" t="s">
        <v>2</v>
      </c>
      <c r="CO49" s="156" t="s">
        <v>2</v>
      </c>
    </row>
    <row r="50" spans="1:93" x14ac:dyDescent="0.25">
      <c r="A50" s="154">
        <v>13022</v>
      </c>
      <c r="B50" s="46" t="s">
        <v>23</v>
      </c>
      <c r="C50" s="1" t="s">
        <v>1779</v>
      </c>
      <c r="D50" s="291">
        <v>13</v>
      </c>
      <c r="E50" s="23">
        <v>0</v>
      </c>
      <c r="F50" s="156">
        <v>55</v>
      </c>
      <c r="G50" s="59">
        <v>229.89999999999998</v>
      </c>
      <c r="H50" s="68">
        <v>70.8</v>
      </c>
      <c r="I50" s="3">
        <v>6.3</v>
      </c>
      <c r="J50" s="2">
        <v>0.04</v>
      </c>
      <c r="K50" s="2">
        <v>7.46</v>
      </c>
      <c r="L50" s="2">
        <v>0.8</v>
      </c>
      <c r="M50" s="7">
        <v>15.4</v>
      </c>
      <c r="N50" s="65">
        <v>19</v>
      </c>
      <c r="O50" s="65">
        <v>125</v>
      </c>
      <c r="P50" s="2">
        <v>1.93</v>
      </c>
      <c r="Q50" s="2">
        <v>0.52</v>
      </c>
      <c r="R50" s="65">
        <v>5637</v>
      </c>
      <c r="S50" s="65">
        <v>217</v>
      </c>
      <c r="T50" s="65">
        <v>43</v>
      </c>
      <c r="U50" s="63">
        <v>0.42399999999999999</v>
      </c>
      <c r="V50" s="61">
        <v>104</v>
      </c>
      <c r="W50" s="24">
        <v>0.5</v>
      </c>
      <c r="X50" s="3">
        <v>0</v>
      </c>
      <c r="Y50" s="63">
        <v>0.03</v>
      </c>
      <c r="Z50" s="63">
        <v>0.17</v>
      </c>
      <c r="AA50" s="63">
        <v>2.1960000000000002</v>
      </c>
      <c r="AB50" s="63">
        <v>0.29699999999999999</v>
      </c>
      <c r="AC50" s="63">
        <v>0.14799999999999999</v>
      </c>
      <c r="AD50" s="65">
        <v>14</v>
      </c>
      <c r="AE50" s="65">
        <v>0</v>
      </c>
      <c r="AF50" s="3" t="s">
        <v>2</v>
      </c>
      <c r="AG50" s="7">
        <v>0</v>
      </c>
      <c r="AH50" s="162" t="s">
        <v>2</v>
      </c>
      <c r="AI50" s="65">
        <v>0</v>
      </c>
      <c r="AJ50" s="3" t="s">
        <v>2</v>
      </c>
      <c r="AK50" s="3">
        <v>0</v>
      </c>
      <c r="AL50" s="7">
        <v>0</v>
      </c>
      <c r="AM50" s="65">
        <v>0</v>
      </c>
      <c r="AN50" s="65">
        <v>0</v>
      </c>
      <c r="AO50" s="59">
        <v>0</v>
      </c>
      <c r="AP50" s="3">
        <v>5.0000000000000001E-3</v>
      </c>
      <c r="AQ50" s="61">
        <v>4.0000000000000001E-3</v>
      </c>
      <c r="AR50" s="63">
        <v>0</v>
      </c>
      <c r="AS50" s="63">
        <v>1E-3</v>
      </c>
      <c r="AT50" s="63">
        <v>0</v>
      </c>
      <c r="AU50" s="63">
        <v>0</v>
      </c>
      <c r="AV50" s="64">
        <v>0</v>
      </c>
      <c r="AW50" s="2">
        <v>6.0000000000000001E-3</v>
      </c>
      <c r="AX50" s="63">
        <v>0</v>
      </c>
      <c r="AY50" s="63">
        <v>0</v>
      </c>
      <c r="AZ50" s="64">
        <v>6.0000000000000001E-3</v>
      </c>
      <c r="BA50" s="2">
        <v>1.9E-2</v>
      </c>
      <c r="BB50" s="63">
        <v>1.6E-2</v>
      </c>
      <c r="BC50" s="63">
        <v>2E-3</v>
      </c>
      <c r="BD50" s="63">
        <v>0</v>
      </c>
      <c r="BE50" s="63">
        <v>0</v>
      </c>
      <c r="BF50" s="64">
        <v>0</v>
      </c>
      <c r="BG50" s="3" t="s">
        <v>2</v>
      </c>
      <c r="BH50" s="11">
        <v>0</v>
      </c>
      <c r="BI50" s="65">
        <v>357</v>
      </c>
      <c r="BJ50" s="65">
        <v>91</v>
      </c>
      <c r="BK50" s="65">
        <v>90</v>
      </c>
      <c r="BL50" s="65">
        <v>330</v>
      </c>
      <c r="BM50" s="65">
        <v>254</v>
      </c>
      <c r="BN50" s="65">
        <v>311</v>
      </c>
      <c r="BO50" s="65">
        <v>503</v>
      </c>
      <c r="BP50" s="65">
        <v>297</v>
      </c>
      <c r="BQ50" s="65">
        <v>433</v>
      </c>
      <c r="BR50" s="65">
        <v>163</v>
      </c>
      <c r="BS50" s="65">
        <v>110</v>
      </c>
      <c r="BT50" s="65">
        <v>228</v>
      </c>
      <c r="BU50" s="65">
        <v>276</v>
      </c>
      <c r="BV50" s="65">
        <v>674</v>
      </c>
      <c r="BW50" s="65">
        <v>1479</v>
      </c>
      <c r="BX50" s="65">
        <v>278</v>
      </c>
      <c r="BY50" s="65">
        <v>461</v>
      </c>
      <c r="BZ50" s="59">
        <v>363</v>
      </c>
      <c r="CA50" s="3">
        <v>1.7</v>
      </c>
      <c r="CB50" s="3" t="s">
        <v>2</v>
      </c>
      <c r="CC50" s="3" t="s">
        <v>2</v>
      </c>
      <c r="CD50" s="3" t="s">
        <v>2</v>
      </c>
      <c r="CE50" s="3" t="s">
        <v>2</v>
      </c>
      <c r="CF50" s="3" t="s">
        <v>2</v>
      </c>
      <c r="CG50" s="7" t="s">
        <v>2</v>
      </c>
      <c r="CH50" s="65">
        <v>0</v>
      </c>
      <c r="CI50" s="59">
        <v>0</v>
      </c>
      <c r="CJ50" s="65">
        <v>0</v>
      </c>
      <c r="CK50" s="65">
        <v>0</v>
      </c>
      <c r="CL50" s="65">
        <v>0</v>
      </c>
      <c r="CM50" s="59">
        <v>0</v>
      </c>
      <c r="CN50" s="156" t="s">
        <v>2</v>
      </c>
      <c r="CO50" s="156" t="s">
        <v>2</v>
      </c>
    </row>
    <row r="51" spans="1:93" ht="16.5" thickBot="1" x14ac:dyDescent="0.3">
      <c r="A51" s="154">
        <v>13023</v>
      </c>
      <c r="B51" s="48" t="s">
        <v>24</v>
      </c>
      <c r="C51" s="14" t="s">
        <v>1791</v>
      </c>
      <c r="D51" s="291">
        <v>13</v>
      </c>
      <c r="E51" s="26">
        <v>0</v>
      </c>
      <c r="F51" s="163">
        <v>701</v>
      </c>
      <c r="G51" s="67">
        <v>2930.18</v>
      </c>
      <c r="H51" s="69">
        <v>21.7</v>
      </c>
      <c r="I51" s="17">
        <v>0</v>
      </c>
      <c r="J51" s="15">
        <v>77.8</v>
      </c>
      <c r="K51" s="17">
        <v>0.1</v>
      </c>
      <c r="L51" s="17">
        <v>0</v>
      </c>
      <c r="M51" s="20">
        <v>0.4</v>
      </c>
      <c r="N51" s="66">
        <v>7</v>
      </c>
      <c r="O51" s="66">
        <v>25</v>
      </c>
      <c r="P51" s="17">
        <v>0.23</v>
      </c>
      <c r="Q51" s="17">
        <v>0.13</v>
      </c>
      <c r="R51" s="66">
        <v>486</v>
      </c>
      <c r="S51" s="66">
        <v>14</v>
      </c>
      <c r="T51" s="66">
        <v>1</v>
      </c>
      <c r="U51" s="70" t="s">
        <v>2</v>
      </c>
      <c r="V51" s="70">
        <v>0</v>
      </c>
      <c r="W51" s="19">
        <v>1.6</v>
      </c>
      <c r="X51" s="15">
        <v>0</v>
      </c>
      <c r="Y51" s="191">
        <v>0.01</v>
      </c>
      <c r="Z51" s="191">
        <v>0.06</v>
      </c>
      <c r="AA51" s="191">
        <v>0.01</v>
      </c>
      <c r="AB51" s="70" t="s">
        <v>2</v>
      </c>
      <c r="AC51" s="191">
        <v>0.01</v>
      </c>
      <c r="AD51" s="66">
        <v>0</v>
      </c>
      <c r="AE51" s="66">
        <v>0</v>
      </c>
      <c r="AF51" s="15" t="s">
        <v>2</v>
      </c>
      <c r="AG51" s="19">
        <v>0</v>
      </c>
      <c r="AH51" s="66" t="s">
        <v>2</v>
      </c>
      <c r="AI51" s="66" t="s">
        <v>2</v>
      </c>
      <c r="AJ51" s="15" t="s">
        <v>2</v>
      </c>
      <c r="AK51" s="15">
        <v>11.79</v>
      </c>
      <c r="AL51" s="19">
        <v>24.7</v>
      </c>
      <c r="AM51" s="66">
        <v>0</v>
      </c>
      <c r="AN51" s="66">
        <v>0</v>
      </c>
      <c r="AO51" s="67">
        <v>0</v>
      </c>
      <c r="AP51" s="15">
        <v>10.784000000000001</v>
      </c>
      <c r="AQ51" s="70">
        <v>7.3570000000000002</v>
      </c>
      <c r="AR51" s="191">
        <v>0</v>
      </c>
      <c r="AS51" s="191">
        <v>1.952</v>
      </c>
      <c r="AT51" s="191">
        <v>0</v>
      </c>
      <c r="AU51" s="191">
        <v>0</v>
      </c>
      <c r="AV51" s="85">
        <v>0</v>
      </c>
      <c r="AW51" s="15">
        <v>18.026</v>
      </c>
      <c r="AX51" s="191">
        <v>0</v>
      </c>
      <c r="AY51" s="191">
        <v>0</v>
      </c>
      <c r="AZ51" s="78">
        <v>18.026</v>
      </c>
      <c r="BA51" s="17">
        <v>45.539000000000001</v>
      </c>
      <c r="BB51" s="191">
        <v>40.569000000000003</v>
      </c>
      <c r="BC51" s="191">
        <v>4.97</v>
      </c>
      <c r="BD51" s="70">
        <v>0</v>
      </c>
      <c r="BE51" s="191">
        <v>0</v>
      </c>
      <c r="BF51" s="78">
        <v>0</v>
      </c>
      <c r="BG51" s="15" t="s">
        <v>2</v>
      </c>
      <c r="BH51" s="18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0</v>
      </c>
      <c r="BO51" s="66">
        <v>0</v>
      </c>
      <c r="BP51" s="66">
        <v>0</v>
      </c>
      <c r="BQ51" s="66">
        <v>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7">
        <v>0</v>
      </c>
      <c r="CA51" s="17">
        <v>0.3</v>
      </c>
      <c r="CB51" s="15" t="s">
        <v>2</v>
      </c>
      <c r="CC51" s="15" t="s">
        <v>2</v>
      </c>
      <c r="CD51" s="15" t="s">
        <v>2</v>
      </c>
      <c r="CE51" s="15" t="s">
        <v>2</v>
      </c>
      <c r="CF51" s="15" t="s">
        <v>2</v>
      </c>
      <c r="CG51" s="19" t="s">
        <v>2</v>
      </c>
      <c r="CH51" s="66">
        <v>0</v>
      </c>
      <c r="CI51" s="67">
        <v>0</v>
      </c>
      <c r="CJ51" s="66">
        <v>0</v>
      </c>
      <c r="CK51" s="66">
        <v>0</v>
      </c>
      <c r="CL51" s="66">
        <v>0</v>
      </c>
      <c r="CM51" s="67">
        <v>0</v>
      </c>
      <c r="CN51" s="163" t="s">
        <v>2</v>
      </c>
      <c r="CO51" s="163" t="s">
        <v>2</v>
      </c>
    </row>
    <row r="52" spans="1:93" s="207" customFormat="1" thickTop="1" x14ac:dyDescent="0.25">
      <c r="A52" s="228">
        <v>14001</v>
      </c>
      <c r="B52" s="197" t="s">
        <v>25</v>
      </c>
      <c r="C52" s="198" t="s">
        <v>1792</v>
      </c>
      <c r="D52" s="289">
        <v>14</v>
      </c>
      <c r="E52" s="230">
        <v>0</v>
      </c>
      <c r="F52" s="231">
        <v>43</v>
      </c>
      <c r="G52" s="231">
        <v>179.73999999999998</v>
      </c>
      <c r="H52" s="202">
        <v>92.5</v>
      </c>
      <c r="I52" s="223">
        <v>0.5</v>
      </c>
      <c r="J52" s="223">
        <v>0</v>
      </c>
      <c r="K52" s="225">
        <v>2.2999999999999998</v>
      </c>
      <c r="L52" s="247">
        <v>0</v>
      </c>
      <c r="M52" s="233">
        <v>0.2</v>
      </c>
      <c r="N52" s="200">
        <v>6</v>
      </c>
      <c r="O52" s="200">
        <v>26</v>
      </c>
      <c r="P52" s="223">
        <v>0.1</v>
      </c>
      <c r="Q52" s="223">
        <v>0.01</v>
      </c>
      <c r="R52" s="200">
        <v>4</v>
      </c>
      <c r="S52" s="200">
        <v>27</v>
      </c>
      <c r="T52" s="200">
        <v>6</v>
      </c>
      <c r="U52" s="224">
        <v>8.0000000000000002E-3</v>
      </c>
      <c r="V52" s="245">
        <v>5</v>
      </c>
      <c r="W52" s="233">
        <v>0.6</v>
      </c>
      <c r="X52" s="203">
        <v>0</v>
      </c>
      <c r="Y52" s="224">
        <v>0.01</v>
      </c>
      <c r="Z52" s="224">
        <v>0.03</v>
      </c>
      <c r="AA52" s="224">
        <v>0.8</v>
      </c>
      <c r="AB52" s="224">
        <v>4.1000000000000002E-2</v>
      </c>
      <c r="AC52" s="224">
        <v>4.5999999999999999E-2</v>
      </c>
      <c r="AD52" s="200">
        <v>6</v>
      </c>
      <c r="AE52" s="200">
        <v>0</v>
      </c>
      <c r="AF52" s="225">
        <v>3</v>
      </c>
      <c r="AG52" s="233">
        <v>0.02</v>
      </c>
      <c r="AH52" s="200" t="s">
        <v>2</v>
      </c>
      <c r="AI52" s="200">
        <v>0</v>
      </c>
      <c r="AJ52" s="203" t="s">
        <v>2</v>
      </c>
      <c r="AK52" s="225" t="s">
        <v>2</v>
      </c>
      <c r="AL52" s="204" t="s">
        <v>2</v>
      </c>
      <c r="AM52" s="200">
        <v>0</v>
      </c>
      <c r="AN52" s="200">
        <v>0</v>
      </c>
      <c r="AO52" s="201">
        <v>0</v>
      </c>
      <c r="AP52" s="223">
        <v>0</v>
      </c>
      <c r="AQ52" s="224">
        <v>0</v>
      </c>
      <c r="AR52" s="224">
        <v>0</v>
      </c>
      <c r="AS52" s="224">
        <v>0</v>
      </c>
      <c r="AT52" s="224">
        <v>0</v>
      </c>
      <c r="AU52" s="224">
        <v>0</v>
      </c>
      <c r="AV52" s="236">
        <v>0</v>
      </c>
      <c r="AW52" s="223">
        <v>0</v>
      </c>
      <c r="AX52" s="224">
        <v>0</v>
      </c>
      <c r="AY52" s="248">
        <v>0</v>
      </c>
      <c r="AZ52" s="236">
        <v>0</v>
      </c>
      <c r="BA52" s="223">
        <v>0</v>
      </c>
      <c r="BB52" s="224">
        <v>0</v>
      </c>
      <c r="BC52" s="224">
        <v>0</v>
      </c>
      <c r="BD52" s="224">
        <v>0</v>
      </c>
      <c r="BE52" s="224">
        <v>0</v>
      </c>
      <c r="BF52" s="236">
        <v>0</v>
      </c>
      <c r="BG52" s="199" t="s">
        <v>2</v>
      </c>
      <c r="BH52" s="204">
        <v>0</v>
      </c>
      <c r="BI52" s="200">
        <v>14</v>
      </c>
      <c r="BJ52" s="200">
        <v>4</v>
      </c>
      <c r="BK52" s="200">
        <v>7</v>
      </c>
      <c r="BL52" s="200">
        <v>11</v>
      </c>
      <c r="BM52" s="200">
        <v>12</v>
      </c>
      <c r="BN52" s="200">
        <v>19</v>
      </c>
      <c r="BO52" s="200">
        <v>14</v>
      </c>
      <c r="BP52" s="200">
        <v>11</v>
      </c>
      <c r="BQ52" s="200">
        <v>14</v>
      </c>
      <c r="BR52" s="200">
        <v>10</v>
      </c>
      <c r="BS52" s="200">
        <v>14</v>
      </c>
      <c r="BT52" s="200">
        <v>7</v>
      </c>
      <c r="BU52" s="200">
        <v>23</v>
      </c>
      <c r="BV52" s="200">
        <v>27</v>
      </c>
      <c r="BW52" s="200">
        <v>74</v>
      </c>
      <c r="BX52" s="200">
        <v>22</v>
      </c>
      <c r="BY52" s="244">
        <v>69</v>
      </c>
      <c r="BZ52" s="201">
        <v>15</v>
      </c>
      <c r="CA52" s="203">
        <v>0.09</v>
      </c>
      <c r="CB52" s="203">
        <v>0</v>
      </c>
      <c r="CC52" s="203">
        <v>0</v>
      </c>
      <c r="CD52" s="203">
        <v>0</v>
      </c>
      <c r="CE52" s="203">
        <v>0</v>
      </c>
      <c r="CF52" s="225">
        <v>0.09</v>
      </c>
      <c r="CG52" s="204">
        <v>0</v>
      </c>
      <c r="CH52" s="200">
        <v>0</v>
      </c>
      <c r="CI52" s="201">
        <v>0</v>
      </c>
      <c r="CJ52" s="200">
        <v>0</v>
      </c>
      <c r="CK52" s="200">
        <v>0</v>
      </c>
      <c r="CL52" s="200">
        <v>0</v>
      </c>
      <c r="CM52" s="201">
        <v>0</v>
      </c>
      <c r="CN52" s="201" t="s">
        <v>2</v>
      </c>
      <c r="CO52" s="231" t="s">
        <v>2</v>
      </c>
    </row>
    <row r="53" spans="1:93" s="207" customFormat="1" ht="15" x14ac:dyDescent="0.25">
      <c r="A53" s="228">
        <v>14002</v>
      </c>
      <c r="B53" s="197" t="s">
        <v>26</v>
      </c>
      <c r="C53" s="198" t="s">
        <v>1793</v>
      </c>
      <c r="D53" s="289">
        <v>14</v>
      </c>
      <c r="E53" s="230">
        <v>0</v>
      </c>
      <c r="F53" s="231">
        <v>224</v>
      </c>
      <c r="G53" s="231">
        <v>936.31999999999994</v>
      </c>
      <c r="H53" s="202">
        <v>67.8</v>
      </c>
      <c r="I53" s="223">
        <v>0</v>
      </c>
      <c r="J53" s="223">
        <v>0</v>
      </c>
      <c r="K53" s="247">
        <v>0</v>
      </c>
      <c r="L53" s="247">
        <v>0</v>
      </c>
      <c r="M53" s="233">
        <v>0.2</v>
      </c>
      <c r="N53" s="200" t="s">
        <v>2</v>
      </c>
      <c r="O53" s="200" t="s">
        <v>2</v>
      </c>
      <c r="P53" s="203" t="s">
        <v>2</v>
      </c>
      <c r="Q53" s="203" t="s">
        <v>2</v>
      </c>
      <c r="R53" s="200" t="s">
        <v>2</v>
      </c>
      <c r="S53" s="200" t="s">
        <v>2</v>
      </c>
      <c r="T53" s="200" t="s">
        <v>2</v>
      </c>
      <c r="U53" s="205" t="s">
        <v>2</v>
      </c>
      <c r="V53" s="245" t="s">
        <v>2</v>
      </c>
      <c r="W53" s="204" t="s">
        <v>2</v>
      </c>
      <c r="X53" s="203">
        <v>0</v>
      </c>
      <c r="Y53" s="205" t="s">
        <v>2</v>
      </c>
      <c r="Z53" s="205" t="s">
        <v>2</v>
      </c>
      <c r="AA53" s="205" t="s">
        <v>2</v>
      </c>
      <c r="AB53" s="205" t="s">
        <v>2</v>
      </c>
      <c r="AC53" s="205" t="s">
        <v>2</v>
      </c>
      <c r="AD53" s="200" t="s">
        <v>2</v>
      </c>
      <c r="AE53" s="200" t="s">
        <v>2</v>
      </c>
      <c r="AF53" s="225" t="s">
        <v>2</v>
      </c>
      <c r="AG53" s="204" t="s">
        <v>2</v>
      </c>
      <c r="AH53" s="200" t="s">
        <v>2</v>
      </c>
      <c r="AI53" s="200">
        <v>0</v>
      </c>
      <c r="AJ53" s="203" t="s">
        <v>2</v>
      </c>
      <c r="AK53" s="225" t="s">
        <v>2</v>
      </c>
      <c r="AL53" s="204" t="s">
        <v>2</v>
      </c>
      <c r="AM53" s="200">
        <v>0</v>
      </c>
      <c r="AN53" s="200">
        <v>0</v>
      </c>
      <c r="AO53" s="201">
        <v>0</v>
      </c>
      <c r="AP53" s="223">
        <v>0</v>
      </c>
      <c r="AQ53" s="224">
        <v>0</v>
      </c>
      <c r="AR53" s="224">
        <v>0</v>
      </c>
      <c r="AS53" s="224">
        <v>0</v>
      </c>
      <c r="AT53" s="224">
        <v>0</v>
      </c>
      <c r="AU53" s="224">
        <v>0</v>
      </c>
      <c r="AV53" s="236">
        <v>0</v>
      </c>
      <c r="AW53" s="223">
        <v>0</v>
      </c>
      <c r="AX53" s="224">
        <v>0</v>
      </c>
      <c r="AY53" s="248">
        <v>0</v>
      </c>
      <c r="AZ53" s="236">
        <v>0</v>
      </c>
      <c r="BA53" s="223">
        <v>0</v>
      </c>
      <c r="BB53" s="224">
        <v>0</v>
      </c>
      <c r="BC53" s="224">
        <v>0</v>
      </c>
      <c r="BD53" s="224">
        <v>0</v>
      </c>
      <c r="BE53" s="224">
        <v>0</v>
      </c>
      <c r="BF53" s="236">
        <v>0</v>
      </c>
      <c r="BG53" s="199" t="s">
        <v>2</v>
      </c>
      <c r="BH53" s="204">
        <v>0</v>
      </c>
      <c r="BI53" s="200">
        <v>0</v>
      </c>
      <c r="BJ53" s="200">
        <v>0</v>
      </c>
      <c r="BK53" s="200">
        <v>0</v>
      </c>
      <c r="BL53" s="200">
        <v>0</v>
      </c>
      <c r="BM53" s="200">
        <v>0</v>
      </c>
      <c r="BN53" s="200">
        <v>0</v>
      </c>
      <c r="BO53" s="200">
        <v>0</v>
      </c>
      <c r="BP53" s="200">
        <v>0</v>
      </c>
      <c r="BQ53" s="200">
        <v>0</v>
      </c>
      <c r="BR53" s="200">
        <v>0</v>
      </c>
      <c r="BS53" s="200">
        <v>0</v>
      </c>
      <c r="BT53" s="200">
        <v>0</v>
      </c>
      <c r="BU53" s="200">
        <v>0</v>
      </c>
      <c r="BV53" s="200">
        <v>0</v>
      </c>
      <c r="BW53" s="200">
        <v>0</v>
      </c>
      <c r="BX53" s="200">
        <v>0</v>
      </c>
      <c r="BY53" s="244">
        <v>0</v>
      </c>
      <c r="BZ53" s="201">
        <v>0</v>
      </c>
      <c r="CA53" s="203">
        <v>0</v>
      </c>
      <c r="CB53" s="203">
        <v>0</v>
      </c>
      <c r="CC53" s="203">
        <v>0</v>
      </c>
      <c r="CD53" s="203">
        <v>0</v>
      </c>
      <c r="CE53" s="203">
        <v>0</v>
      </c>
      <c r="CF53" s="225">
        <v>0</v>
      </c>
      <c r="CG53" s="204">
        <v>0</v>
      </c>
      <c r="CH53" s="200">
        <v>0</v>
      </c>
      <c r="CI53" s="201">
        <v>0</v>
      </c>
      <c r="CJ53" s="200">
        <v>0</v>
      </c>
      <c r="CK53" s="200">
        <v>0</v>
      </c>
      <c r="CL53" s="200">
        <v>0</v>
      </c>
      <c r="CM53" s="201">
        <v>0</v>
      </c>
      <c r="CN53" s="201" t="s">
        <v>2</v>
      </c>
      <c r="CO53" s="231" t="s">
        <v>2</v>
      </c>
    </row>
    <row r="54" spans="1:93" s="207" customFormat="1" ht="15" x14ac:dyDescent="0.25">
      <c r="A54" s="228">
        <v>14003</v>
      </c>
      <c r="B54" s="197" t="s">
        <v>27</v>
      </c>
      <c r="C54" s="198" t="s">
        <v>1794</v>
      </c>
      <c r="D54" s="289">
        <v>14</v>
      </c>
      <c r="E54" s="230">
        <v>0</v>
      </c>
      <c r="F54" s="231">
        <v>155</v>
      </c>
      <c r="G54" s="231">
        <v>647.9</v>
      </c>
      <c r="H54" s="232">
        <v>71</v>
      </c>
      <c r="I54" s="223">
        <v>0</v>
      </c>
      <c r="J54" s="223">
        <v>0</v>
      </c>
      <c r="K54" s="225">
        <v>15.74</v>
      </c>
      <c r="L54" s="247">
        <v>0</v>
      </c>
      <c r="M54" s="233">
        <v>0.26</v>
      </c>
      <c r="N54" s="200">
        <v>6</v>
      </c>
      <c r="O54" s="200">
        <v>6</v>
      </c>
      <c r="P54" s="223">
        <v>0.36</v>
      </c>
      <c r="Q54" s="203" t="s">
        <v>2</v>
      </c>
      <c r="R54" s="200" t="s">
        <v>2</v>
      </c>
      <c r="S54" s="200" t="s">
        <v>2</v>
      </c>
      <c r="T54" s="200" t="s">
        <v>2</v>
      </c>
      <c r="U54" s="205" t="s">
        <v>2</v>
      </c>
      <c r="V54" s="245" t="s">
        <v>2</v>
      </c>
      <c r="W54" s="204" t="s">
        <v>2</v>
      </c>
      <c r="X54" s="203">
        <v>0</v>
      </c>
      <c r="Y54" s="205" t="s">
        <v>2</v>
      </c>
      <c r="Z54" s="205" t="s">
        <v>2</v>
      </c>
      <c r="AA54" s="224">
        <v>0</v>
      </c>
      <c r="AB54" s="205" t="s">
        <v>2</v>
      </c>
      <c r="AC54" s="205" t="s">
        <v>2</v>
      </c>
      <c r="AD54" s="200" t="s">
        <v>2</v>
      </c>
      <c r="AE54" s="200" t="s">
        <v>2</v>
      </c>
      <c r="AF54" s="225" t="s">
        <v>2</v>
      </c>
      <c r="AG54" s="204" t="s">
        <v>2</v>
      </c>
      <c r="AH54" s="200" t="s">
        <v>2</v>
      </c>
      <c r="AI54" s="200">
        <v>0</v>
      </c>
      <c r="AJ54" s="203" t="s">
        <v>2</v>
      </c>
      <c r="AK54" s="225" t="s">
        <v>2</v>
      </c>
      <c r="AL54" s="204" t="s">
        <v>2</v>
      </c>
      <c r="AM54" s="200">
        <v>0</v>
      </c>
      <c r="AN54" s="200">
        <v>0</v>
      </c>
      <c r="AO54" s="201">
        <v>0</v>
      </c>
      <c r="AP54" s="223">
        <v>0</v>
      </c>
      <c r="AQ54" s="224">
        <v>0</v>
      </c>
      <c r="AR54" s="224">
        <v>0</v>
      </c>
      <c r="AS54" s="224">
        <v>0</v>
      </c>
      <c r="AT54" s="224">
        <v>0</v>
      </c>
      <c r="AU54" s="224">
        <v>0</v>
      </c>
      <c r="AV54" s="236">
        <v>0</v>
      </c>
      <c r="AW54" s="223">
        <v>0</v>
      </c>
      <c r="AX54" s="224">
        <v>0</v>
      </c>
      <c r="AY54" s="248">
        <v>0</v>
      </c>
      <c r="AZ54" s="236">
        <v>0</v>
      </c>
      <c r="BA54" s="223">
        <v>0</v>
      </c>
      <c r="BB54" s="224">
        <v>0</v>
      </c>
      <c r="BC54" s="224">
        <v>0</v>
      </c>
      <c r="BD54" s="224">
        <v>0</v>
      </c>
      <c r="BE54" s="224">
        <v>0</v>
      </c>
      <c r="BF54" s="236">
        <v>0</v>
      </c>
      <c r="BG54" s="199" t="s">
        <v>2</v>
      </c>
      <c r="BH54" s="204">
        <v>0</v>
      </c>
      <c r="BI54" s="200">
        <v>0</v>
      </c>
      <c r="BJ54" s="200">
        <v>0</v>
      </c>
      <c r="BK54" s="200">
        <v>0</v>
      </c>
      <c r="BL54" s="200">
        <v>0</v>
      </c>
      <c r="BM54" s="200">
        <v>0</v>
      </c>
      <c r="BN54" s="200">
        <v>0</v>
      </c>
      <c r="BO54" s="200">
        <v>0</v>
      </c>
      <c r="BP54" s="200">
        <v>0</v>
      </c>
      <c r="BQ54" s="200">
        <v>0</v>
      </c>
      <c r="BR54" s="200">
        <v>0</v>
      </c>
      <c r="BS54" s="200">
        <v>0</v>
      </c>
      <c r="BT54" s="200">
        <v>0</v>
      </c>
      <c r="BU54" s="200">
        <v>0</v>
      </c>
      <c r="BV54" s="200">
        <v>0</v>
      </c>
      <c r="BW54" s="200">
        <v>0</v>
      </c>
      <c r="BX54" s="200">
        <v>0</v>
      </c>
      <c r="BY54" s="244">
        <v>0</v>
      </c>
      <c r="BZ54" s="201">
        <v>0</v>
      </c>
      <c r="CA54" s="203" t="s">
        <v>2</v>
      </c>
      <c r="CB54" s="203" t="s">
        <v>2</v>
      </c>
      <c r="CC54" s="203" t="s">
        <v>2</v>
      </c>
      <c r="CD54" s="203" t="s">
        <v>2</v>
      </c>
      <c r="CE54" s="203" t="s">
        <v>2</v>
      </c>
      <c r="CF54" s="225" t="s">
        <v>2</v>
      </c>
      <c r="CG54" s="204" t="s">
        <v>2</v>
      </c>
      <c r="CH54" s="200">
        <v>0</v>
      </c>
      <c r="CI54" s="201">
        <v>0</v>
      </c>
      <c r="CJ54" s="200">
        <v>0</v>
      </c>
      <c r="CK54" s="200">
        <v>0</v>
      </c>
      <c r="CL54" s="200">
        <v>0</v>
      </c>
      <c r="CM54" s="201">
        <v>0</v>
      </c>
      <c r="CN54" s="201" t="s">
        <v>2</v>
      </c>
      <c r="CO54" s="231" t="s">
        <v>2</v>
      </c>
    </row>
    <row r="55" spans="1:93" s="207" customFormat="1" ht="15" x14ac:dyDescent="0.25">
      <c r="A55" s="228">
        <v>14004</v>
      </c>
      <c r="B55" s="197" t="s">
        <v>28</v>
      </c>
      <c r="C55" s="198" t="s">
        <v>1795</v>
      </c>
      <c r="D55" s="289">
        <v>14</v>
      </c>
      <c r="E55" s="230">
        <v>0</v>
      </c>
      <c r="F55" s="231">
        <v>42</v>
      </c>
      <c r="G55" s="231">
        <v>175.56</v>
      </c>
      <c r="H55" s="202">
        <v>89.4</v>
      </c>
      <c r="I55" s="223">
        <v>0</v>
      </c>
      <c r="J55" s="223">
        <v>0</v>
      </c>
      <c r="K55" s="225">
        <v>10.4</v>
      </c>
      <c r="L55" s="247">
        <v>0</v>
      </c>
      <c r="M55" s="233">
        <v>0.2</v>
      </c>
      <c r="N55" s="200">
        <v>8</v>
      </c>
      <c r="O55" s="200">
        <v>15</v>
      </c>
      <c r="P55" s="223">
        <v>0</v>
      </c>
      <c r="Q55" s="203" t="s">
        <v>2</v>
      </c>
      <c r="R55" s="200" t="s">
        <v>2</v>
      </c>
      <c r="S55" s="200" t="s">
        <v>2</v>
      </c>
      <c r="T55" s="200" t="s">
        <v>2</v>
      </c>
      <c r="U55" s="205" t="s">
        <v>2</v>
      </c>
      <c r="V55" s="245" t="s">
        <v>2</v>
      </c>
      <c r="W55" s="204" t="s">
        <v>2</v>
      </c>
      <c r="X55" s="203">
        <v>0</v>
      </c>
      <c r="Y55" s="205" t="s">
        <v>2</v>
      </c>
      <c r="Z55" s="205" t="s">
        <v>2</v>
      </c>
      <c r="AA55" s="205" t="s">
        <v>2</v>
      </c>
      <c r="AB55" s="205" t="s">
        <v>2</v>
      </c>
      <c r="AC55" s="205" t="s">
        <v>2</v>
      </c>
      <c r="AD55" s="200" t="s">
        <v>2</v>
      </c>
      <c r="AE55" s="200" t="s">
        <v>2</v>
      </c>
      <c r="AF55" s="225" t="s">
        <v>2</v>
      </c>
      <c r="AG55" s="204" t="s">
        <v>2</v>
      </c>
      <c r="AH55" s="200" t="s">
        <v>2</v>
      </c>
      <c r="AI55" s="200">
        <v>0</v>
      </c>
      <c r="AJ55" s="203" t="s">
        <v>2</v>
      </c>
      <c r="AK55" s="225" t="s">
        <v>2</v>
      </c>
      <c r="AL55" s="204" t="s">
        <v>2</v>
      </c>
      <c r="AM55" s="200">
        <v>0</v>
      </c>
      <c r="AN55" s="200">
        <v>0</v>
      </c>
      <c r="AO55" s="201">
        <v>0</v>
      </c>
      <c r="AP55" s="223">
        <v>0</v>
      </c>
      <c r="AQ55" s="224">
        <v>0</v>
      </c>
      <c r="AR55" s="224">
        <v>0</v>
      </c>
      <c r="AS55" s="224">
        <v>0</v>
      </c>
      <c r="AT55" s="224">
        <v>0</v>
      </c>
      <c r="AU55" s="224">
        <v>0</v>
      </c>
      <c r="AV55" s="236">
        <v>0</v>
      </c>
      <c r="AW55" s="223">
        <v>0</v>
      </c>
      <c r="AX55" s="224">
        <v>0</v>
      </c>
      <c r="AY55" s="248">
        <v>0</v>
      </c>
      <c r="AZ55" s="236">
        <v>0</v>
      </c>
      <c r="BA55" s="223">
        <v>0</v>
      </c>
      <c r="BB55" s="224">
        <v>0</v>
      </c>
      <c r="BC55" s="224">
        <v>0</v>
      </c>
      <c r="BD55" s="224">
        <v>0</v>
      </c>
      <c r="BE55" s="224">
        <v>0</v>
      </c>
      <c r="BF55" s="236">
        <v>0</v>
      </c>
      <c r="BG55" s="199" t="s">
        <v>2</v>
      </c>
      <c r="BH55" s="204">
        <v>0</v>
      </c>
      <c r="BI55" s="200">
        <v>0</v>
      </c>
      <c r="BJ55" s="200">
        <v>0</v>
      </c>
      <c r="BK55" s="200">
        <v>0</v>
      </c>
      <c r="BL55" s="200">
        <v>0</v>
      </c>
      <c r="BM55" s="200">
        <v>0</v>
      </c>
      <c r="BN55" s="200">
        <v>0</v>
      </c>
      <c r="BO55" s="200">
        <v>0</v>
      </c>
      <c r="BP55" s="200">
        <v>0</v>
      </c>
      <c r="BQ55" s="200">
        <v>0</v>
      </c>
      <c r="BR55" s="200">
        <v>0</v>
      </c>
      <c r="BS55" s="200">
        <v>0</v>
      </c>
      <c r="BT55" s="200">
        <v>0</v>
      </c>
      <c r="BU55" s="200">
        <v>0</v>
      </c>
      <c r="BV55" s="200">
        <v>0</v>
      </c>
      <c r="BW55" s="200">
        <v>0</v>
      </c>
      <c r="BX55" s="200">
        <v>0</v>
      </c>
      <c r="BY55" s="244">
        <v>0</v>
      </c>
      <c r="BZ55" s="201">
        <v>0</v>
      </c>
      <c r="CA55" s="203">
        <v>10.6</v>
      </c>
      <c r="CB55" s="203" t="s">
        <v>2</v>
      </c>
      <c r="CC55" s="203" t="s">
        <v>2</v>
      </c>
      <c r="CD55" s="203" t="s">
        <v>2</v>
      </c>
      <c r="CE55" s="203" t="s">
        <v>2</v>
      </c>
      <c r="CF55" s="225" t="s">
        <v>2</v>
      </c>
      <c r="CG55" s="204" t="s">
        <v>2</v>
      </c>
      <c r="CH55" s="200">
        <v>0</v>
      </c>
      <c r="CI55" s="201">
        <v>0</v>
      </c>
      <c r="CJ55" s="200">
        <v>0</v>
      </c>
      <c r="CK55" s="200">
        <v>0</v>
      </c>
      <c r="CL55" s="200">
        <v>0</v>
      </c>
      <c r="CM55" s="201">
        <v>0</v>
      </c>
      <c r="CN55" s="201" t="s">
        <v>2</v>
      </c>
      <c r="CO55" s="231" t="s">
        <v>2</v>
      </c>
    </row>
    <row r="56" spans="1:93" s="207" customFormat="1" ht="15" x14ac:dyDescent="0.25">
      <c r="A56" s="228">
        <v>14005</v>
      </c>
      <c r="B56" s="197" t="s">
        <v>29</v>
      </c>
      <c r="C56" s="198" t="s">
        <v>1796</v>
      </c>
      <c r="D56" s="289">
        <v>14</v>
      </c>
      <c r="E56" s="230">
        <v>0</v>
      </c>
      <c r="F56" s="231">
        <v>23</v>
      </c>
      <c r="G56" s="235">
        <v>96.139999999999986</v>
      </c>
      <c r="H56" s="202">
        <v>94.1</v>
      </c>
      <c r="I56" s="223">
        <v>0.7</v>
      </c>
      <c r="J56" s="223">
        <v>0.2</v>
      </c>
      <c r="K56" s="247">
        <v>4.7</v>
      </c>
      <c r="L56" s="247">
        <v>0.2</v>
      </c>
      <c r="M56" s="233">
        <v>0.3</v>
      </c>
      <c r="N56" s="200">
        <v>26</v>
      </c>
      <c r="O56" s="200">
        <v>16</v>
      </c>
      <c r="P56" s="223">
        <v>0.3</v>
      </c>
      <c r="Q56" s="223">
        <v>0.05</v>
      </c>
      <c r="R56" s="200">
        <v>1</v>
      </c>
      <c r="S56" s="200">
        <v>200</v>
      </c>
      <c r="T56" s="200">
        <v>11</v>
      </c>
      <c r="U56" s="224">
        <v>1.4E-2</v>
      </c>
      <c r="V56" s="245">
        <v>44</v>
      </c>
      <c r="W56" s="233">
        <v>0.1</v>
      </c>
      <c r="X56" s="203">
        <v>54</v>
      </c>
      <c r="Y56" s="224">
        <v>0.09</v>
      </c>
      <c r="Z56" s="224">
        <v>0.03</v>
      </c>
      <c r="AA56" s="224">
        <v>0.4</v>
      </c>
      <c r="AB56" s="224">
        <v>0.19</v>
      </c>
      <c r="AC56" s="224">
        <v>0.04</v>
      </c>
      <c r="AD56" s="200">
        <v>30</v>
      </c>
      <c r="AE56" s="200">
        <v>0</v>
      </c>
      <c r="AF56" s="225" t="s">
        <v>2</v>
      </c>
      <c r="AG56" s="204">
        <v>0</v>
      </c>
      <c r="AH56" s="200" t="s">
        <v>2</v>
      </c>
      <c r="AI56" s="200">
        <v>10</v>
      </c>
      <c r="AJ56" s="203" t="s">
        <v>2</v>
      </c>
      <c r="AK56" s="247">
        <v>0.04</v>
      </c>
      <c r="AL56" s="233">
        <v>0.1</v>
      </c>
      <c r="AM56" s="200">
        <v>33</v>
      </c>
      <c r="AN56" s="200">
        <v>6</v>
      </c>
      <c r="AO56" s="201">
        <v>169</v>
      </c>
      <c r="AP56" s="203" t="s">
        <v>2</v>
      </c>
      <c r="AQ56" s="205" t="s">
        <v>2</v>
      </c>
      <c r="AR56" s="205" t="s">
        <v>2</v>
      </c>
      <c r="AS56" s="205" t="s">
        <v>2</v>
      </c>
      <c r="AT56" s="205" t="s">
        <v>2</v>
      </c>
      <c r="AU56" s="205" t="s">
        <v>2</v>
      </c>
      <c r="AV56" s="206" t="s">
        <v>2</v>
      </c>
      <c r="AW56" s="203" t="s">
        <v>2</v>
      </c>
      <c r="AX56" s="205" t="s">
        <v>2</v>
      </c>
      <c r="AY56" s="245" t="s">
        <v>2</v>
      </c>
      <c r="AZ56" s="206" t="s">
        <v>2</v>
      </c>
      <c r="BA56" s="203" t="s">
        <v>2</v>
      </c>
      <c r="BB56" s="205" t="s">
        <v>2</v>
      </c>
      <c r="BC56" s="205" t="s">
        <v>2</v>
      </c>
      <c r="BD56" s="205" t="s">
        <v>2</v>
      </c>
      <c r="BE56" s="205" t="s">
        <v>2</v>
      </c>
      <c r="BF56" s="206" t="s">
        <v>2</v>
      </c>
      <c r="BG56" s="199" t="s">
        <v>2</v>
      </c>
      <c r="BH56" s="204">
        <v>0</v>
      </c>
      <c r="BI56" s="200">
        <v>9</v>
      </c>
      <c r="BJ56" s="200">
        <v>3</v>
      </c>
      <c r="BK56" s="200">
        <v>2</v>
      </c>
      <c r="BL56" s="200">
        <v>9</v>
      </c>
      <c r="BM56" s="200">
        <v>8</v>
      </c>
      <c r="BN56" s="200">
        <v>11</v>
      </c>
      <c r="BO56" s="200">
        <v>13</v>
      </c>
      <c r="BP56" s="200">
        <v>8</v>
      </c>
      <c r="BQ56" s="200">
        <v>47</v>
      </c>
      <c r="BR56" s="200">
        <v>3</v>
      </c>
      <c r="BS56" s="200">
        <v>5</v>
      </c>
      <c r="BT56" s="200">
        <v>4</v>
      </c>
      <c r="BU56" s="200">
        <v>15</v>
      </c>
      <c r="BV56" s="200">
        <v>75</v>
      </c>
      <c r="BW56" s="200">
        <v>33</v>
      </c>
      <c r="BX56" s="200">
        <v>9</v>
      </c>
      <c r="BY56" s="244">
        <v>44</v>
      </c>
      <c r="BZ56" s="201">
        <v>13</v>
      </c>
      <c r="CA56" s="203">
        <v>8.4</v>
      </c>
      <c r="CB56" s="203" t="s">
        <v>2</v>
      </c>
      <c r="CC56" s="203" t="s">
        <v>2</v>
      </c>
      <c r="CD56" s="203" t="s">
        <v>2</v>
      </c>
      <c r="CE56" s="203" t="s">
        <v>2</v>
      </c>
      <c r="CF56" s="225" t="s">
        <v>2</v>
      </c>
      <c r="CG56" s="204" t="s">
        <v>2</v>
      </c>
      <c r="CH56" s="200">
        <v>0</v>
      </c>
      <c r="CI56" s="201">
        <v>115</v>
      </c>
      <c r="CJ56" s="200">
        <v>0</v>
      </c>
      <c r="CK56" s="200">
        <v>0</v>
      </c>
      <c r="CL56" s="200">
        <v>0</v>
      </c>
      <c r="CM56" s="201">
        <v>0</v>
      </c>
      <c r="CN56" s="201" t="s">
        <v>2</v>
      </c>
      <c r="CO56" s="231" t="s">
        <v>2</v>
      </c>
    </row>
    <row r="57" spans="1:93" s="207" customFormat="1" ht="15" x14ac:dyDescent="0.25">
      <c r="A57" s="228">
        <v>14006</v>
      </c>
      <c r="B57" s="197" t="s">
        <v>30</v>
      </c>
      <c r="C57" s="198" t="s">
        <v>1797</v>
      </c>
      <c r="D57" s="289">
        <v>14</v>
      </c>
      <c r="E57" s="230">
        <v>0</v>
      </c>
      <c r="F57" s="231">
        <v>21</v>
      </c>
      <c r="G57" s="231">
        <v>87.78</v>
      </c>
      <c r="H57" s="202">
        <v>94.4</v>
      </c>
      <c r="I57" s="223">
        <v>0.4</v>
      </c>
      <c r="J57" s="223">
        <v>0.1</v>
      </c>
      <c r="K57" s="225">
        <v>4.7</v>
      </c>
      <c r="L57" s="247">
        <v>0</v>
      </c>
      <c r="M57" s="233">
        <v>0.4</v>
      </c>
      <c r="N57" s="200">
        <v>60</v>
      </c>
      <c r="O57" s="200">
        <v>29</v>
      </c>
      <c r="P57" s="223">
        <v>0.3</v>
      </c>
      <c r="Q57" s="203" t="s">
        <v>2</v>
      </c>
      <c r="R57" s="200" t="s">
        <v>2</v>
      </c>
      <c r="S57" s="200" t="s">
        <v>2</v>
      </c>
      <c r="T57" s="200" t="s">
        <v>2</v>
      </c>
      <c r="U57" s="205" t="s">
        <v>2</v>
      </c>
      <c r="V57" s="245" t="s">
        <v>2</v>
      </c>
      <c r="W57" s="204" t="s">
        <v>2</v>
      </c>
      <c r="X57" s="203">
        <v>1</v>
      </c>
      <c r="Y57" s="205" t="s">
        <v>2</v>
      </c>
      <c r="Z57" s="205" t="s">
        <v>2</v>
      </c>
      <c r="AA57" s="205" t="s">
        <v>2</v>
      </c>
      <c r="AB57" s="205" t="s">
        <v>2</v>
      </c>
      <c r="AC57" s="205" t="s">
        <v>2</v>
      </c>
      <c r="AD57" s="200" t="s">
        <v>2</v>
      </c>
      <c r="AE57" s="200" t="s">
        <v>2</v>
      </c>
      <c r="AF57" s="225" t="s">
        <v>2</v>
      </c>
      <c r="AG57" s="204" t="s">
        <v>2</v>
      </c>
      <c r="AH57" s="200" t="s">
        <v>2</v>
      </c>
      <c r="AI57" s="200">
        <v>0</v>
      </c>
      <c r="AJ57" s="203" t="s">
        <v>2</v>
      </c>
      <c r="AK57" s="225" t="s">
        <v>2</v>
      </c>
      <c r="AL57" s="204" t="s">
        <v>2</v>
      </c>
      <c r="AM57" s="200">
        <v>0</v>
      </c>
      <c r="AN57" s="200">
        <v>0</v>
      </c>
      <c r="AO57" s="201">
        <v>0</v>
      </c>
      <c r="AP57" s="223">
        <v>2.4E-2</v>
      </c>
      <c r="AQ57" s="224">
        <v>2.1000000000000001E-2</v>
      </c>
      <c r="AR57" s="224">
        <v>0</v>
      </c>
      <c r="AS57" s="224">
        <v>1E-3</v>
      </c>
      <c r="AT57" s="224">
        <v>0</v>
      </c>
      <c r="AU57" s="224">
        <v>0</v>
      </c>
      <c r="AV57" s="236">
        <v>0</v>
      </c>
      <c r="AW57" s="223">
        <v>3.5999999999999997E-2</v>
      </c>
      <c r="AX57" s="224">
        <v>0</v>
      </c>
      <c r="AY57" s="248">
        <v>5.0000000000000001E-3</v>
      </c>
      <c r="AZ57" s="236">
        <v>3.2000000000000001E-2</v>
      </c>
      <c r="BA57" s="223">
        <v>0.04</v>
      </c>
      <c r="BB57" s="224">
        <v>2.9000000000000001E-2</v>
      </c>
      <c r="BC57" s="224">
        <v>1.0999999999999999E-2</v>
      </c>
      <c r="BD57" s="224">
        <v>0</v>
      </c>
      <c r="BE57" s="224">
        <v>0</v>
      </c>
      <c r="BF57" s="236">
        <v>0</v>
      </c>
      <c r="BG57" s="199" t="s">
        <v>2</v>
      </c>
      <c r="BH57" s="204">
        <v>0</v>
      </c>
      <c r="BI57" s="200" t="s">
        <v>2</v>
      </c>
      <c r="BJ57" s="200" t="s">
        <v>2</v>
      </c>
      <c r="BK57" s="200" t="s">
        <v>2</v>
      </c>
      <c r="BL57" s="200" t="s">
        <v>2</v>
      </c>
      <c r="BM57" s="200" t="s">
        <v>2</v>
      </c>
      <c r="BN57" s="200" t="s">
        <v>2</v>
      </c>
      <c r="BO57" s="200" t="s">
        <v>2</v>
      </c>
      <c r="BP57" s="200" t="s">
        <v>2</v>
      </c>
      <c r="BQ57" s="200" t="s">
        <v>2</v>
      </c>
      <c r="BR57" s="200" t="s">
        <v>2</v>
      </c>
      <c r="BS57" s="200" t="s">
        <v>2</v>
      </c>
      <c r="BT57" s="200" t="s">
        <v>2</v>
      </c>
      <c r="BU57" s="200" t="s">
        <v>2</v>
      </c>
      <c r="BV57" s="200" t="s">
        <v>2</v>
      </c>
      <c r="BW57" s="200" t="s">
        <v>2</v>
      </c>
      <c r="BX57" s="200" t="s">
        <v>2</v>
      </c>
      <c r="BY57" s="244" t="s">
        <v>2</v>
      </c>
      <c r="BZ57" s="201" t="s">
        <v>2</v>
      </c>
      <c r="CA57" s="203">
        <v>2.61</v>
      </c>
      <c r="CB57" s="203" t="s">
        <v>2</v>
      </c>
      <c r="CC57" s="203" t="s">
        <v>2</v>
      </c>
      <c r="CD57" s="203" t="s">
        <v>2</v>
      </c>
      <c r="CE57" s="203" t="s">
        <v>2</v>
      </c>
      <c r="CF57" s="225" t="s">
        <v>2</v>
      </c>
      <c r="CG57" s="204" t="s">
        <v>2</v>
      </c>
      <c r="CH57" s="200">
        <v>0</v>
      </c>
      <c r="CI57" s="201">
        <v>0</v>
      </c>
      <c r="CJ57" s="200">
        <v>0</v>
      </c>
      <c r="CK57" s="200">
        <v>0</v>
      </c>
      <c r="CL57" s="200">
        <v>0</v>
      </c>
      <c r="CM57" s="201">
        <v>0</v>
      </c>
      <c r="CN57" s="201" t="s">
        <v>2</v>
      </c>
      <c r="CO57" s="231" t="s">
        <v>2</v>
      </c>
    </row>
    <row r="58" spans="1:93" s="207" customFormat="1" ht="15" x14ac:dyDescent="0.25">
      <c r="A58" s="228">
        <v>14007</v>
      </c>
      <c r="B58" s="197" t="s">
        <v>31</v>
      </c>
      <c r="C58" s="198" t="s">
        <v>1798</v>
      </c>
      <c r="D58" s="289">
        <v>14</v>
      </c>
      <c r="E58" s="230">
        <v>0</v>
      </c>
      <c r="F58" s="231">
        <v>21</v>
      </c>
      <c r="G58" s="231">
        <v>87.78</v>
      </c>
      <c r="H58" s="202">
        <v>94.6</v>
      </c>
      <c r="I58" s="223">
        <v>0.8</v>
      </c>
      <c r="J58" s="223">
        <v>0.6</v>
      </c>
      <c r="K58" s="225">
        <v>3</v>
      </c>
      <c r="L58" s="247">
        <v>0.4</v>
      </c>
      <c r="M58" s="233">
        <v>1</v>
      </c>
      <c r="N58" s="200">
        <v>8</v>
      </c>
      <c r="O58" s="200">
        <v>13</v>
      </c>
      <c r="P58" s="223">
        <v>0.3</v>
      </c>
      <c r="Q58" s="223">
        <v>0.15</v>
      </c>
      <c r="R58" s="200">
        <v>10</v>
      </c>
      <c r="S58" s="200">
        <v>229</v>
      </c>
      <c r="T58" s="200">
        <v>11</v>
      </c>
      <c r="U58" s="224">
        <v>7.0000000000000007E-2</v>
      </c>
      <c r="V58" s="245">
        <v>61</v>
      </c>
      <c r="W58" s="233">
        <v>0.3</v>
      </c>
      <c r="X58" s="203">
        <v>6.5</v>
      </c>
      <c r="Y58" s="224">
        <v>0.03</v>
      </c>
      <c r="Z58" s="224">
        <v>0.03</v>
      </c>
      <c r="AA58" s="224">
        <v>0.7</v>
      </c>
      <c r="AB58" s="224">
        <v>0.25</v>
      </c>
      <c r="AC58" s="224">
        <v>0.111</v>
      </c>
      <c r="AD58" s="200">
        <v>20</v>
      </c>
      <c r="AE58" s="200">
        <v>0</v>
      </c>
      <c r="AF58" s="225" t="s">
        <v>2</v>
      </c>
      <c r="AG58" s="204" t="s">
        <v>2</v>
      </c>
      <c r="AH58" s="200" t="s">
        <v>2</v>
      </c>
      <c r="AI58" s="200">
        <v>23</v>
      </c>
      <c r="AJ58" s="203" t="s">
        <v>2</v>
      </c>
      <c r="AK58" s="247">
        <v>0.32</v>
      </c>
      <c r="AL58" s="204">
        <v>2.2999999999999998</v>
      </c>
      <c r="AM58" s="200">
        <v>270</v>
      </c>
      <c r="AN58" s="200">
        <v>0</v>
      </c>
      <c r="AO58" s="201">
        <v>0</v>
      </c>
      <c r="AP58" s="203">
        <v>8.0000000000000002E-3</v>
      </c>
      <c r="AQ58" s="205">
        <v>6.0000000000000001E-3</v>
      </c>
      <c r="AR58" s="205">
        <v>0</v>
      </c>
      <c r="AS58" s="205">
        <v>2E-3</v>
      </c>
      <c r="AT58" s="205">
        <v>0</v>
      </c>
      <c r="AU58" s="205">
        <v>0</v>
      </c>
      <c r="AV58" s="206">
        <v>0</v>
      </c>
      <c r="AW58" s="203">
        <v>8.9999999999999993E-3</v>
      </c>
      <c r="AX58" s="205">
        <v>0</v>
      </c>
      <c r="AY58" s="245">
        <v>0</v>
      </c>
      <c r="AZ58" s="206">
        <v>8.9999999999999993E-3</v>
      </c>
      <c r="BA58" s="203">
        <v>2.4E-2</v>
      </c>
      <c r="BB58" s="205">
        <v>2.3E-2</v>
      </c>
      <c r="BC58" s="205">
        <v>1E-3</v>
      </c>
      <c r="BD58" s="205">
        <v>0</v>
      </c>
      <c r="BE58" s="205">
        <v>0</v>
      </c>
      <c r="BF58" s="206">
        <v>0</v>
      </c>
      <c r="BG58" s="199">
        <v>0</v>
      </c>
      <c r="BH58" s="204">
        <v>0</v>
      </c>
      <c r="BI58" s="200">
        <v>31</v>
      </c>
      <c r="BJ58" s="200">
        <v>2</v>
      </c>
      <c r="BK58" s="200">
        <v>6</v>
      </c>
      <c r="BL58" s="200">
        <v>21</v>
      </c>
      <c r="BM58" s="200">
        <v>21</v>
      </c>
      <c r="BN58" s="200">
        <v>21</v>
      </c>
      <c r="BO58" s="200">
        <v>31</v>
      </c>
      <c r="BP58" s="200">
        <v>19</v>
      </c>
      <c r="BQ58" s="200">
        <v>19</v>
      </c>
      <c r="BR58" s="200">
        <v>20</v>
      </c>
      <c r="BS58" s="200">
        <v>12</v>
      </c>
      <c r="BT58" s="200">
        <v>11</v>
      </c>
      <c r="BU58" s="200">
        <v>14</v>
      </c>
      <c r="BV58" s="200">
        <v>23</v>
      </c>
      <c r="BW58" s="200">
        <v>114</v>
      </c>
      <c r="BX58" s="200">
        <v>229</v>
      </c>
      <c r="BY58" s="244">
        <v>20</v>
      </c>
      <c r="BZ58" s="201">
        <v>15</v>
      </c>
      <c r="CA58" s="203" t="s">
        <v>2</v>
      </c>
      <c r="CB58" s="203" t="s">
        <v>2</v>
      </c>
      <c r="CC58" s="203" t="s">
        <v>2</v>
      </c>
      <c r="CD58" s="203" t="s">
        <v>2</v>
      </c>
      <c r="CE58" s="203" t="s">
        <v>2</v>
      </c>
      <c r="CF58" s="225" t="s">
        <v>2</v>
      </c>
      <c r="CG58" s="204" t="s">
        <v>2</v>
      </c>
      <c r="CH58" s="200">
        <v>9037</v>
      </c>
      <c r="CI58" s="201">
        <v>60</v>
      </c>
      <c r="CJ58" s="200">
        <v>0</v>
      </c>
      <c r="CK58" s="200">
        <v>0</v>
      </c>
      <c r="CL58" s="200">
        <v>0</v>
      </c>
      <c r="CM58" s="201">
        <v>0</v>
      </c>
      <c r="CN58" s="201" t="s">
        <v>2</v>
      </c>
      <c r="CO58" s="231" t="s">
        <v>2</v>
      </c>
    </row>
    <row r="59" spans="1:93" s="207" customFormat="1" ht="15" x14ac:dyDescent="0.25">
      <c r="A59" s="228">
        <v>14008</v>
      </c>
      <c r="B59" s="197" t="s">
        <v>32</v>
      </c>
      <c r="C59" s="198" t="s">
        <v>1799</v>
      </c>
      <c r="D59" s="289">
        <v>14</v>
      </c>
      <c r="E59" s="230">
        <v>0</v>
      </c>
      <c r="F59" s="231">
        <v>0</v>
      </c>
      <c r="G59" s="231">
        <v>0</v>
      </c>
      <c r="H59" s="202">
        <v>99.7</v>
      </c>
      <c r="I59" s="223">
        <v>0</v>
      </c>
      <c r="J59" s="223">
        <v>0</v>
      </c>
      <c r="K59" s="247">
        <v>0.02</v>
      </c>
      <c r="L59" s="247">
        <v>0</v>
      </c>
      <c r="M59" s="233">
        <v>0.28000000000000003</v>
      </c>
      <c r="N59" s="200">
        <v>5</v>
      </c>
      <c r="O59" s="200">
        <v>0</v>
      </c>
      <c r="P59" s="223">
        <v>0.01</v>
      </c>
      <c r="Q59" s="203" t="s">
        <v>2</v>
      </c>
      <c r="R59" s="200" t="s">
        <v>2</v>
      </c>
      <c r="S59" s="200" t="s">
        <v>2</v>
      </c>
      <c r="T59" s="200" t="s">
        <v>2</v>
      </c>
      <c r="U59" s="205" t="s">
        <v>2</v>
      </c>
      <c r="V59" s="245" t="s">
        <v>2</v>
      </c>
      <c r="W59" s="204" t="s">
        <v>2</v>
      </c>
      <c r="X59" s="203">
        <v>0</v>
      </c>
      <c r="Y59" s="205" t="s">
        <v>2</v>
      </c>
      <c r="Z59" s="205" t="s">
        <v>2</v>
      </c>
      <c r="AA59" s="205" t="s">
        <v>2</v>
      </c>
      <c r="AB59" s="205" t="s">
        <v>2</v>
      </c>
      <c r="AC59" s="205" t="s">
        <v>2</v>
      </c>
      <c r="AD59" s="200" t="s">
        <v>2</v>
      </c>
      <c r="AE59" s="200" t="s">
        <v>2</v>
      </c>
      <c r="AF59" s="225" t="s">
        <v>2</v>
      </c>
      <c r="AG59" s="204" t="s">
        <v>2</v>
      </c>
      <c r="AH59" s="200" t="s">
        <v>2</v>
      </c>
      <c r="AI59" s="200">
        <v>0</v>
      </c>
      <c r="AJ59" s="203" t="s">
        <v>2</v>
      </c>
      <c r="AK59" s="225" t="s">
        <v>2</v>
      </c>
      <c r="AL59" s="204" t="s">
        <v>2</v>
      </c>
      <c r="AM59" s="200">
        <v>0</v>
      </c>
      <c r="AN59" s="200">
        <v>0</v>
      </c>
      <c r="AO59" s="201">
        <v>0</v>
      </c>
      <c r="AP59" s="203" t="s">
        <v>2</v>
      </c>
      <c r="AQ59" s="205" t="s">
        <v>2</v>
      </c>
      <c r="AR59" s="205" t="s">
        <v>2</v>
      </c>
      <c r="AS59" s="205" t="s">
        <v>2</v>
      </c>
      <c r="AT59" s="205" t="s">
        <v>2</v>
      </c>
      <c r="AU59" s="205" t="s">
        <v>2</v>
      </c>
      <c r="AV59" s="206" t="s">
        <v>2</v>
      </c>
      <c r="AW59" s="203" t="s">
        <v>2</v>
      </c>
      <c r="AX59" s="205" t="s">
        <v>2</v>
      </c>
      <c r="AY59" s="245" t="s">
        <v>2</v>
      </c>
      <c r="AZ59" s="206" t="s">
        <v>2</v>
      </c>
      <c r="BA59" s="203" t="s">
        <v>2</v>
      </c>
      <c r="BB59" s="205" t="s">
        <v>2</v>
      </c>
      <c r="BC59" s="205" t="s">
        <v>2</v>
      </c>
      <c r="BD59" s="205" t="s">
        <v>2</v>
      </c>
      <c r="BE59" s="205" t="s">
        <v>2</v>
      </c>
      <c r="BF59" s="206" t="s">
        <v>2</v>
      </c>
      <c r="BG59" s="199" t="s">
        <v>2</v>
      </c>
      <c r="BH59" s="204">
        <v>0</v>
      </c>
      <c r="BI59" s="200">
        <v>0</v>
      </c>
      <c r="BJ59" s="200">
        <v>0</v>
      </c>
      <c r="BK59" s="200">
        <v>0</v>
      </c>
      <c r="BL59" s="200">
        <v>0</v>
      </c>
      <c r="BM59" s="200">
        <v>0</v>
      </c>
      <c r="BN59" s="200">
        <v>0</v>
      </c>
      <c r="BO59" s="200">
        <v>0</v>
      </c>
      <c r="BP59" s="200">
        <v>0</v>
      </c>
      <c r="BQ59" s="200">
        <v>0</v>
      </c>
      <c r="BR59" s="200">
        <v>0</v>
      </c>
      <c r="BS59" s="200">
        <v>0</v>
      </c>
      <c r="BT59" s="200">
        <v>0</v>
      </c>
      <c r="BU59" s="200">
        <v>0</v>
      </c>
      <c r="BV59" s="200">
        <v>0</v>
      </c>
      <c r="BW59" s="200">
        <v>0</v>
      </c>
      <c r="BX59" s="200">
        <v>0</v>
      </c>
      <c r="BY59" s="244">
        <v>0</v>
      </c>
      <c r="BZ59" s="201">
        <v>0</v>
      </c>
      <c r="CA59" s="203">
        <v>0</v>
      </c>
      <c r="CB59" s="203">
        <v>0</v>
      </c>
      <c r="CC59" s="203">
        <v>0</v>
      </c>
      <c r="CD59" s="203">
        <v>0</v>
      </c>
      <c r="CE59" s="203">
        <v>0</v>
      </c>
      <c r="CF59" s="225">
        <v>0</v>
      </c>
      <c r="CG59" s="204">
        <v>0</v>
      </c>
      <c r="CH59" s="200">
        <v>0</v>
      </c>
      <c r="CI59" s="201">
        <v>0</v>
      </c>
      <c r="CJ59" s="200">
        <v>0</v>
      </c>
      <c r="CK59" s="200">
        <v>0</v>
      </c>
      <c r="CL59" s="200">
        <v>0</v>
      </c>
      <c r="CM59" s="201">
        <v>0</v>
      </c>
      <c r="CN59" s="201" t="s">
        <v>2</v>
      </c>
      <c r="CO59" s="231" t="s">
        <v>2</v>
      </c>
    </row>
    <row r="60" spans="1:93" s="207" customFormat="1" ht="15" x14ac:dyDescent="0.25">
      <c r="A60" s="228">
        <v>14009</v>
      </c>
      <c r="B60" s="197" t="s">
        <v>33</v>
      </c>
      <c r="C60" s="198" t="s">
        <v>1800</v>
      </c>
      <c r="D60" s="289">
        <v>14</v>
      </c>
      <c r="E60" s="230">
        <v>0</v>
      </c>
      <c r="F60" s="231">
        <v>25</v>
      </c>
      <c r="G60" s="231">
        <v>104.5</v>
      </c>
      <c r="H60" s="202">
        <v>93.8</v>
      </c>
      <c r="I60" s="223">
        <v>0.4</v>
      </c>
      <c r="J60" s="223">
        <v>0.2</v>
      </c>
      <c r="K60" s="225">
        <v>5.3</v>
      </c>
      <c r="L60" s="247">
        <v>0.2</v>
      </c>
      <c r="M60" s="233">
        <v>0.3</v>
      </c>
      <c r="N60" s="200">
        <v>20</v>
      </c>
      <c r="O60" s="200">
        <v>24</v>
      </c>
      <c r="P60" s="223">
        <v>0.2</v>
      </c>
      <c r="Q60" s="223">
        <v>0.03</v>
      </c>
      <c r="R60" s="200">
        <v>1</v>
      </c>
      <c r="S60" s="200">
        <v>178</v>
      </c>
      <c r="T60" s="200">
        <v>8</v>
      </c>
      <c r="U60" s="224">
        <v>3.6999999999999998E-2</v>
      </c>
      <c r="V60" s="245">
        <v>25</v>
      </c>
      <c r="W60" s="233">
        <v>0.1</v>
      </c>
      <c r="X60" s="203">
        <v>47</v>
      </c>
      <c r="Y60" s="224">
        <v>0.06</v>
      </c>
      <c r="Z60" s="224">
        <v>0.02</v>
      </c>
      <c r="AA60" s="224">
        <v>0.1</v>
      </c>
      <c r="AB60" s="224">
        <v>0.125</v>
      </c>
      <c r="AC60" s="224">
        <v>4.2000000000000003E-2</v>
      </c>
      <c r="AD60" s="200">
        <v>5</v>
      </c>
      <c r="AE60" s="200">
        <v>0</v>
      </c>
      <c r="AF60" s="225" t="s">
        <v>2</v>
      </c>
      <c r="AG60" s="204">
        <v>0</v>
      </c>
      <c r="AH60" s="200" t="s">
        <v>2</v>
      </c>
      <c r="AI60" s="200">
        <v>13</v>
      </c>
      <c r="AJ60" s="203" t="s">
        <v>2</v>
      </c>
      <c r="AK60" s="247">
        <v>0.13</v>
      </c>
      <c r="AL60" s="204">
        <v>0</v>
      </c>
      <c r="AM60" s="200">
        <v>38</v>
      </c>
      <c r="AN60" s="200">
        <v>14</v>
      </c>
      <c r="AO60" s="201">
        <v>214</v>
      </c>
      <c r="AP60" s="203" t="s">
        <v>2</v>
      </c>
      <c r="AQ60" s="205" t="s">
        <v>2</v>
      </c>
      <c r="AR60" s="205" t="s">
        <v>2</v>
      </c>
      <c r="AS60" s="205" t="s">
        <v>2</v>
      </c>
      <c r="AT60" s="205" t="s">
        <v>2</v>
      </c>
      <c r="AU60" s="205" t="s">
        <v>2</v>
      </c>
      <c r="AV60" s="206" t="s">
        <v>2</v>
      </c>
      <c r="AW60" s="203" t="s">
        <v>2</v>
      </c>
      <c r="AX60" s="205" t="s">
        <v>2</v>
      </c>
      <c r="AY60" s="245" t="s">
        <v>2</v>
      </c>
      <c r="AZ60" s="206" t="s">
        <v>2</v>
      </c>
      <c r="BA60" s="203" t="s">
        <v>2</v>
      </c>
      <c r="BB60" s="205" t="s">
        <v>2</v>
      </c>
      <c r="BC60" s="205" t="s">
        <v>2</v>
      </c>
      <c r="BD60" s="205" t="s">
        <v>2</v>
      </c>
      <c r="BE60" s="205" t="s">
        <v>2</v>
      </c>
      <c r="BF60" s="206" t="s">
        <v>2</v>
      </c>
      <c r="BG60" s="199" t="s">
        <v>2</v>
      </c>
      <c r="BH60" s="204">
        <v>0</v>
      </c>
      <c r="BI60" s="200">
        <v>7</v>
      </c>
      <c r="BJ60" s="200">
        <v>2</v>
      </c>
      <c r="BK60" s="200">
        <v>1</v>
      </c>
      <c r="BL60" s="200">
        <v>6</v>
      </c>
      <c r="BM60" s="200">
        <v>6</v>
      </c>
      <c r="BN60" s="200">
        <v>8</v>
      </c>
      <c r="BO60" s="200">
        <v>10</v>
      </c>
      <c r="BP60" s="200">
        <v>5</v>
      </c>
      <c r="BQ60" s="200">
        <v>34</v>
      </c>
      <c r="BR60" s="200">
        <v>2</v>
      </c>
      <c r="BS60" s="200">
        <v>4</v>
      </c>
      <c r="BT60" s="200">
        <v>3</v>
      </c>
      <c r="BU60" s="200">
        <v>11</v>
      </c>
      <c r="BV60" s="200">
        <v>53</v>
      </c>
      <c r="BW60" s="200">
        <v>24</v>
      </c>
      <c r="BX60" s="200">
        <v>7</v>
      </c>
      <c r="BY60" s="244">
        <v>31</v>
      </c>
      <c r="BZ60" s="201">
        <v>9</v>
      </c>
      <c r="CA60" s="203">
        <v>9.9</v>
      </c>
      <c r="CB60" s="203" t="s">
        <v>2</v>
      </c>
      <c r="CC60" s="203" t="s">
        <v>2</v>
      </c>
      <c r="CD60" s="203" t="s">
        <v>2</v>
      </c>
      <c r="CE60" s="203" t="s">
        <v>2</v>
      </c>
      <c r="CF60" s="225" t="s">
        <v>2</v>
      </c>
      <c r="CG60" s="204" t="s">
        <v>2</v>
      </c>
      <c r="CH60" s="200">
        <v>0</v>
      </c>
      <c r="CI60" s="201">
        <v>166</v>
      </c>
      <c r="CJ60" s="200">
        <v>0</v>
      </c>
      <c r="CK60" s="200">
        <v>0</v>
      </c>
      <c r="CL60" s="200">
        <v>0</v>
      </c>
      <c r="CM60" s="201">
        <v>0</v>
      </c>
      <c r="CN60" s="201" t="s">
        <v>2</v>
      </c>
      <c r="CO60" s="231" t="s">
        <v>2</v>
      </c>
    </row>
    <row r="61" spans="1:93" s="207" customFormat="1" ht="15" x14ac:dyDescent="0.25">
      <c r="A61" s="228">
        <v>14010</v>
      </c>
      <c r="B61" s="197" t="s">
        <v>34</v>
      </c>
      <c r="C61" s="198" t="s">
        <v>1801</v>
      </c>
      <c r="D61" s="289">
        <v>14</v>
      </c>
      <c r="E61" s="230">
        <v>0</v>
      </c>
      <c r="F61" s="231">
        <v>241</v>
      </c>
      <c r="G61" s="231">
        <v>1007.3799999999999</v>
      </c>
      <c r="H61" s="202">
        <v>75.8</v>
      </c>
      <c r="I61" s="223">
        <v>0</v>
      </c>
      <c r="J61" s="223">
        <v>0</v>
      </c>
      <c r="K61" s="247">
        <v>0</v>
      </c>
      <c r="L61" s="247">
        <v>0</v>
      </c>
      <c r="M61" s="233">
        <v>0</v>
      </c>
      <c r="N61" s="200" t="s">
        <v>2</v>
      </c>
      <c r="O61" s="200" t="s">
        <v>2</v>
      </c>
      <c r="P61" s="203" t="s">
        <v>2</v>
      </c>
      <c r="Q61" s="203" t="s">
        <v>2</v>
      </c>
      <c r="R61" s="200" t="s">
        <v>2</v>
      </c>
      <c r="S61" s="200" t="s">
        <v>2</v>
      </c>
      <c r="T61" s="200" t="s">
        <v>2</v>
      </c>
      <c r="U61" s="205" t="s">
        <v>2</v>
      </c>
      <c r="V61" s="245" t="s">
        <v>2</v>
      </c>
      <c r="W61" s="204" t="s">
        <v>2</v>
      </c>
      <c r="X61" s="203">
        <v>0</v>
      </c>
      <c r="Y61" s="205" t="s">
        <v>2</v>
      </c>
      <c r="Z61" s="205" t="s">
        <v>2</v>
      </c>
      <c r="AA61" s="205" t="s">
        <v>2</v>
      </c>
      <c r="AB61" s="205" t="s">
        <v>2</v>
      </c>
      <c r="AC61" s="205" t="s">
        <v>2</v>
      </c>
      <c r="AD61" s="200" t="s">
        <v>2</v>
      </c>
      <c r="AE61" s="200" t="s">
        <v>2</v>
      </c>
      <c r="AF61" s="225" t="s">
        <v>2</v>
      </c>
      <c r="AG61" s="204" t="s">
        <v>2</v>
      </c>
      <c r="AH61" s="200" t="s">
        <v>2</v>
      </c>
      <c r="AI61" s="200">
        <v>0</v>
      </c>
      <c r="AJ61" s="203" t="s">
        <v>2</v>
      </c>
      <c r="AK61" s="225" t="s">
        <v>2</v>
      </c>
      <c r="AL61" s="204" t="s">
        <v>2</v>
      </c>
      <c r="AM61" s="200">
        <v>0</v>
      </c>
      <c r="AN61" s="200">
        <v>0</v>
      </c>
      <c r="AO61" s="201">
        <v>0</v>
      </c>
      <c r="AP61" s="223">
        <v>0.02</v>
      </c>
      <c r="AQ61" s="224">
        <v>0.02</v>
      </c>
      <c r="AR61" s="224">
        <v>0</v>
      </c>
      <c r="AS61" s="224">
        <v>0</v>
      </c>
      <c r="AT61" s="224">
        <v>0</v>
      </c>
      <c r="AU61" s="224">
        <v>0</v>
      </c>
      <c r="AV61" s="236">
        <v>0</v>
      </c>
      <c r="AW61" s="223">
        <v>0.04</v>
      </c>
      <c r="AX61" s="224">
        <v>0</v>
      </c>
      <c r="AY61" s="248">
        <v>0.01</v>
      </c>
      <c r="AZ61" s="236">
        <v>0.03</v>
      </c>
      <c r="BA61" s="223">
        <v>0.04</v>
      </c>
      <c r="BB61" s="224">
        <v>0.03</v>
      </c>
      <c r="BC61" s="224">
        <v>0.01</v>
      </c>
      <c r="BD61" s="224">
        <v>0</v>
      </c>
      <c r="BE61" s="224">
        <v>0</v>
      </c>
      <c r="BF61" s="236">
        <v>0</v>
      </c>
      <c r="BG61" s="199" t="s">
        <v>2</v>
      </c>
      <c r="BH61" s="204">
        <v>0</v>
      </c>
      <c r="BI61" s="200">
        <v>0</v>
      </c>
      <c r="BJ61" s="200">
        <v>0</v>
      </c>
      <c r="BK61" s="200">
        <v>0</v>
      </c>
      <c r="BL61" s="200">
        <v>0</v>
      </c>
      <c r="BM61" s="200">
        <v>0</v>
      </c>
      <c r="BN61" s="200">
        <v>0</v>
      </c>
      <c r="BO61" s="200">
        <v>0</v>
      </c>
      <c r="BP61" s="200">
        <v>0</v>
      </c>
      <c r="BQ61" s="200">
        <v>0</v>
      </c>
      <c r="BR61" s="200">
        <v>0</v>
      </c>
      <c r="BS61" s="200">
        <v>0</v>
      </c>
      <c r="BT61" s="200">
        <v>0</v>
      </c>
      <c r="BU61" s="200">
        <v>0</v>
      </c>
      <c r="BV61" s="200">
        <v>0</v>
      </c>
      <c r="BW61" s="200">
        <v>0</v>
      </c>
      <c r="BX61" s="200">
        <v>0</v>
      </c>
      <c r="BY61" s="244">
        <v>0</v>
      </c>
      <c r="BZ61" s="201">
        <v>0</v>
      </c>
      <c r="CA61" s="203" t="s">
        <v>2</v>
      </c>
      <c r="CB61" s="203" t="s">
        <v>2</v>
      </c>
      <c r="CC61" s="203" t="s">
        <v>2</v>
      </c>
      <c r="CD61" s="203" t="s">
        <v>2</v>
      </c>
      <c r="CE61" s="203" t="s">
        <v>2</v>
      </c>
      <c r="CF61" s="225" t="s">
        <v>2</v>
      </c>
      <c r="CG61" s="204" t="s">
        <v>2</v>
      </c>
      <c r="CH61" s="200">
        <v>0</v>
      </c>
      <c r="CI61" s="201">
        <v>0</v>
      </c>
      <c r="CJ61" s="200">
        <v>0</v>
      </c>
      <c r="CK61" s="200">
        <v>0</v>
      </c>
      <c r="CL61" s="200">
        <v>0</v>
      </c>
      <c r="CM61" s="201">
        <v>0</v>
      </c>
      <c r="CN61" s="201" t="s">
        <v>2</v>
      </c>
      <c r="CO61" s="231" t="s">
        <v>2</v>
      </c>
    </row>
    <row r="62" spans="1:93" s="207" customFormat="1" ht="15" x14ac:dyDescent="0.25">
      <c r="A62" s="228">
        <v>14011</v>
      </c>
      <c r="B62" s="197" t="s">
        <v>35</v>
      </c>
      <c r="C62" s="198" t="s">
        <v>1802</v>
      </c>
      <c r="D62" s="289">
        <v>14</v>
      </c>
      <c r="E62" s="230">
        <v>0</v>
      </c>
      <c r="F62" s="231">
        <v>202</v>
      </c>
      <c r="G62" s="231">
        <v>844.3599999999999</v>
      </c>
      <c r="H62" s="202">
        <v>52.4</v>
      </c>
      <c r="I62" s="223">
        <v>4</v>
      </c>
      <c r="J62" s="223">
        <v>0</v>
      </c>
      <c r="K62" s="225">
        <v>37.9</v>
      </c>
      <c r="L62" s="247">
        <v>0.2</v>
      </c>
      <c r="M62" s="233">
        <v>0.7</v>
      </c>
      <c r="N62" s="200" t="s">
        <v>2</v>
      </c>
      <c r="O62" s="200" t="s">
        <v>2</v>
      </c>
      <c r="P62" s="203" t="s">
        <v>2</v>
      </c>
      <c r="Q62" s="203" t="s">
        <v>2</v>
      </c>
      <c r="R62" s="200" t="s">
        <v>2</v>
      </c>
      <c r="S62" s="200" t="s">
        <v>2</v>
      </c>
      <c r="T62" s="200" t="s">
        <v>2</v>
      </c>
      <c r="U62" s="205" t="s">
        <v>2</v>
      </c>
      <c r="V62" s="245" t="s">
        <v>2</v>
      </c>
      <c r="W62" s="204" t="s">
        <v>2</v>
      </c>
      <c r="X62" s="203">
        <v>0</v>
      </c>
      <c r="Y62" s="205" t="s">
        <v>2</v>
      </c>
      <c r="Z62" s="205" t="s">
        <v>2</v>
      </c>
      <c r="AA62" s="205" t="s">
        <v>2</v>
      </c>
      <c r="AB62" s="205" t="s">
        <v>2</v>
      </c>
      <c r="AC62" s="205" t="s">
        <v>2</v>
      </c>
      <c r="AD62" s="200" t="s">
        <v>2</v>
      </c>
      <c r="AE62" s="200" t="s">
        <v>2</v>
      </c>
      <c r="AF62" s="225" t="s">
        <v>2</v>
      </c>
      <c r="AG62" s="204" t="s">
        <v>2</v>
      </c>
      <c r="AH62" s="200" t="s">
        <v>2</v>
      </c>
      <c r="AI62" s="200">
        <v>0</v>
      </c>
      <c r="AJ62" s="203" t="s">
        <v>2</v>
      </c>
      <c r="AK62" s="225" t="s">
        <v>2</v>
      </c>
      <c r="AL62" s="204" t="s">
        <v>2</v>
      </c>
      <c r="AM62" s="200">
        <v>0</v>
      </c>
      <c r="AN62" s="200">
        <v>0</v>
      </c>
      <c r="AO62" s="201">
        <v>0</v>
      </c>
      <c r="AP62" s="223">
        <v>0</v>
      </c>
      <c r="AQ62" s="224">
        <v>0</v>
      </c>
      <c r="AR62" s="224">
        <v>0</v>
      </c>
      <c r="AS62" s="224">
        <v>0</v>
      </c>
      <c r="AT62" s="224">
        <v>0</v>
      </c>
      <c r="AU62" s="224">
        <v>0</v>
      </c>
      <c r="AV62" s="236">
        <v>0</v>
      </c>
      <c r="AW62" s="223">
        <v>0</v>
      </c>
      <c r="AX62" s="224">
        <v>0</v>
      </c>
      <c r="AY62" s="248">
        <v>0</v>
      </c>
      <c r="AZ62" s="236">
        <v>0</v>
      </c>
      <c r="BA62" s="223">
        <v>0</v>
      </c>
      <c r="BB62" s="224">
        <v>0</v>
      </c>
      <c r="BC62" s="224">
        <v>0</v>
      </c>
      <c r="BD62" s="224">
        <v>0</v>
      </c>
      <c r="BE62" s="224">
        <v>0</v>
      </c>
      <c r="BF62" s="236">
        <v>0</v>
      </c>
      <c r="BG62" s="199" t="s">
        <v>2</v>
      </c>
      <c r="BH62" s="204">
        <v>0</v>
      </c>
      <c r="BI62" s="200" t="s">
        <v>2</v>
      </c>
      <c r="BJ62" s="200" t="s">
        <v>2</v>
      </c>
      <c r="BK62" s="200" t="s">
        <v>2</v>
      </c>
      <c r="BL62" s="200" t="s">
        <v>2</v>
      </c>
      <c r="BM62" s="200" t="s">
        <v>2</v>
      </c>
      <c r="BN62" s="200" t="s">
        <v>2</v>
      </c>
      <c r="BO62" s="200" t="s">
        <v>2</v>
      </c>
      <c r="BP62" s="200" t="s">
        <v>2</v>
      </c>
      <c r="BQ62" s="200" t="s">
        <v>2</v>
      </c>
      <c r="BR62" s="200" t="s">
        <v>2</v>
      </c>
      <c r="BS62" s="200" t="s">
        <v>2</v>
      </c>
      <c r="BT62" s="200" t="s">
        <v>2</v>
      </c>
      <c r="BU62" s="200" t="s">
        <v>2</v>
      </c>
      <c r="BV62" s="200" t="s">
        <v>2</v>
      </c>
      <c r="BW62" s="200" t="s">
        <v>2</v>
      </c>
      <c r="BX62" s="200" t="s">
        <v>2</v>
      </c>
      <c r="BY62" s="244" t="s">
        <v>2</v>
      </c>
      <c r="BZ62" s="201" t="s">
        <v>2</v>
      </c>
      <c r="CA62" s="203">
        <v>0</v>
      </c>
      <c r="CB62" s="203">
        <v>0</v>
      </c>
      <c r="CC62" s="203">
        <v>0</v>
      </c>
      <c r="CD62" s="203">
        <v>0</v>
      </c>
      <c r="CE62" s="203">
        <v>0</v>
      </c>
      <c r="CF62" s="203">
        <v>0</v>
      </c>
      <c r="CG62" s="204">
        <v>0</v>
      </c>
      <c r="CH62" s="200">
        <v>0</v>
      </c>
      <c r="CI62" s="201">
        <v>0</v>
      </c>
      <c r="CJ62" s="200">
        <v>0</v>
      </c>
      <c r="CK62" s="200">
        <v>0</v>
      </c>
      <c r="CL62" s="200">
        <v>0</v>
      </c>
      <c r="CM62" s="201">
        <v>0</v>
      </c>
      <c r="CN62" s="201" t="s">
        <v>2</v>
      </c>
      <c r="CO62" s="231" t="s">
        <v>2</v>
      </c>
    </row>
    <row r="63" spans="1:93" s="207" customFormat="1" ht="15" x14ac:dyDescent="0.25">
      <c r="A63" s="228">
        <v>14012</v>
      </c>
      <c r="B63" s="197" t="s">
        <v>36</v>
      </c>
      <c r="C63" s="198" t="s">
        <v>1803</v>
      </c>
      <c r="D63" s="289">
        <v>14</v>
      </c>
      <c r="E63" s="230">
        <v>0</v>
      </c>
      <c r="F63" s="231">
        <v>273</v>
      </c>
      <c r="G63" s="231">
        <v>1141.1399999999999</v>
      </c>
      <c r="H63" s="232">
        <v>61</v>
      </c>
      <c r="I63" s="203" t="s">
        <v>2</v>
      </c>
      <c r="J63" s="223">
        <v>0</v>
      </c>
      <c r="K63" s="247">
        <v>0</v>
      </c>
      <c r="L63" s="247">
        <v>0</v>
      </c>
      <c r="M63" s="204" t="s">
        <v>2</v>
      </c>
      <c r="N63" s="200" t="s">
        <v>2</v>
      </c>
      <c r="O63" s="200" t="s">
        <v>2</v>
      </c>
      <c r="P63" s="203" t="s">
        <v>2</v>
      </c>
      <c r="Q63" s="203" t="s">
        <v>2</v>
      </c>
      <c r="R63" s="244" t="s">
        <v>2</v>
      </c>
      <c r="S63" s="200" t="s">
        <v>2</v>
      </c>
      <c r="T63" s="200" t="s">
        <v>2</v>
      </c>
      <c r="U63" s="205" t="s">
        <v>2</v>
      </c>
      <c r="V63" s="245" t="s">
        <v>2</v>
      </c>
      <c r="W63" s="204" t="s">
        <v>2</v>
      </c>
      <c r="X63" s="203">
        <v>0</v>
      </c>
      <c r="Y63" s="205" t="s">
        <v>2</v>
      </c>
      <c r="Z63" s="205" t="s">
        <v>2</v>
      </c>
      <c r="AA63" s="205" t="s">
        <v>2</v>
      </c>
      <c r="AB63" s="205" t="s">
        <v>2</v>
      </c>
      <c r="AC63" s="205" t="s">
        <v>2</v>
      </c>
      <c r="AD63" s="200" t="s">
        <v>2</v>
      </c>
      <c r="AE63" s="200" t="s">
        <v>2</v>
      </c>
      <c r="AF63" s="225" t="s">
        <v>2</v>
      </c>
      <c r="AG63" s="204" t="s">
        <v>2</v>
      </c>
      <c r="AH63" s="200" t="s">
        <v>2</v>
      </c>
      <c r="AI63" s="200">
        <v>0</v>
      </c>
      <c r="AJ63" s="203" t="s">
        <v>2</v>
      </c>
      <c r="AK63" s="225" t="s">
        <v>2</v>
      </c>
      <c r="AL63" s="204" t="s">
        <v>2</v>
      </c>
      <c r="AM63" s="200">
        <v>0</v>
      </c>
      <c r="AN63" s="200">
        <v>0</v>
      </c>
      <c r="AO63" s="201">
        <v>0</v>
      </c>
      <c r="AP63" s="223">
        <v>0</v>
      </c>
      <c r="AQ63" s="224">
        <v>0</v>
      </c>
      <c r="AR63" s="224">
        <v>0</v>
      </c>
      <c r="AS63" s="224">
        <v>0</v>
      </c>
      <c r="AT63" s="224">
        <v>0</v>
      </c>
      <c r="AU63" s="224">
        <v>0</v>
      </c>
      <c r="AV63" s="236">
        <v>0</v>
      </c>
      <c r="AW63" s="223">
        <v>0</v>
      </c>
      <c r="AX63" s="224">
        <v>0</v>
      </c>
      <c r="AY63" s="248">
        <v>0</v>
      </c>
      <c r="AZ63" s="236">
        <v>0</v>
      </c>
      <c r="BA63" s="223">
        <v>0</v>
      </c>
      <c r="BB63" s="224">
        <v>0</v>
      </c>
      <c r="BC63" s="224">
        <v>0</v>
      </c>
      <c r="BD63" s="224">
        <v>0</v>
      </c>
      <c r="BE63" s="224">
        <v>0</v>
      </c>
      <c r="BF63" s="236">
        <v>0</v>
      </c>
      <c r="BG63" s="199" t="s">
        <v>2</v>
      </c>
      <c r="BH63" s="204">
        <v>0</v>
      </c>
      <c r="BI63" s="200" t="s">
        <v>2</v>
      </c>
      <c r="BJ63" s="200" t="s">
        <v>2</v>
      </c>
      <c r="BK63" s="200" t="s">
        <v>2</v>
      </c>
      <c r="BL63" s="200" t="s">
        <v>2</v>
      </c>
      <c r="BM63" s="200" t="s">
        <v>2</v>
      </c>
      <c r="BN63" s="200" t="s">
        <v>2</v>
      </c>
      <c r="BO63" s="200" t="s">
        <v>2</v>
      </c>
      <c r="BP63" s="200" t="s">
        <v>2</v>
      </c>
      <c r="BQ63" s="200" t="s">
        <v>2</v>
      </c>
      <c r="BR63" s="200" t="s">
        <v>2</v>
      </c>
      <c r="BS63" s="200" t="s">
        <v>2</v>
      </c>
      <c r="BT63" s="200" t="s">
        <v>2</v>
      </c>
      <c r="BU63" s="200" t="s">
        <v>2</v>
      </c>
      <c r="BV63" s="200" t="s">
        <v>2</v>
      </c>
      <c r="BW63" s="200" t="s">
        <v>2</v>
      </c>
      <c r="BX63" s="200" t="s">
        <v>2</v>
      </c>
      <c r="BY63" s="244" t="s">
        <v>2</v>
      </c>
      <c r="BZ63" s="201" t="s">
        <v>2</v>
      </c>
      <c r="CA63" s="203">
        <v>0</v>
      </c>
      <c r="CB63" s="203">
        <v>0</v>
      </c>
      <c r="CC63" s="203">
        <v>0</v>
      </c>
      <c r="CD63" s="203">
        <v>0</v>
      </c>
      <c r="CE63" s="203">
        <v>0</v>
      </c>
      <c r="CF63" s="203">
        <v>0</v>
      </c>
      <c r="CG63" s="204">
        <v>0</v>
      </c>
      <c r="CH63" s="200">
        <v>0</v>
      </c>
      <c r="CI63" s="201">
        <v>0</v>
      </c>
      <c r="CJ63" s="200">
        <v>0</v>
      </c>
      <c r="CK63" s="200">
        <v>0</v>
      </c>
      <c r="CL63" s="200">
        <v>0</v>
      </c>
      <c r="CM63" s="201">
        <v>0</v>
      </c>
      <c r="CN63" s="201" t="s">
        <v>2</v>
      </c>
      <c r="CO63" s="231" t="s">
        <v>2</v>
      </c>
    </row>
    <row r="64" spans="1:93" s="207" customFormat="1" ht="15" x14ac:dyDescent="0.25">
      <c r="A64" s="228">
        <v>14013</v>
      </c>
      <c r="B64" s="197" t="s">
        <v>37</v>
      </c>
      <c r="C64" s="198" t="s">
        <v>1804</v>
      </c>
      <c r="D64" s="289">
        <v>14</v>
      </c>
      <c r="E64" s="230">
        <v>0</v>
      </c>
      <c r="F64" s="231">
        <v>69</v>
      </c>
      <c r="G64" s="231">
        <v>288.41999999999996</v>
      </c>
      <c r="H64" s="232">
        <v>88</v>
      </c>
      <c r="I64" s="223">
        <v>0.2</v>
      </c>
      <c r="J64" s="223">
        <v>0</v>
      </c>
      <c r="K64" s="247">
        <v>2.02</v>
      </c>
      <c r="L64" s="247">
        <v>0</v>
      </c>
      <c r="M64" s="233">
        <v>0.28000000000000003</v>
      </c>
      <c r="N64" s="200">
        <v>8</v>
      </c>
      <c r="O64" s="200">
        <v>10</v>
      </c>
      <c r="P64" s="223">
        <v>0.82</v>
      </c>
      <c r="Q64" s="203" t="s">
        <v>2</v>
      </c>
      <c r="R64" s="200" t="s">
        <v>2</v>
      </c>
      <c r="S64" s="200" t="s">
        <v>2</v>
      </c>
      <c r="T64" s="200" t="s">
        <v>2</v>
      </c>
      <c r="U64" s="205" t="s">
        <v>2</v>
      </c>
      <c r="V64" s="245" t="s">
        <v>2</v>
      </c>
      <c r="W64" s="204" t="s">
        <v>2</v>
      </c>
      <c r="X64" s="203">
        <v>0</v>
      </c>
      <c r="Y64" s="205" t="s">
        <v>2</v>
      </c>
      <c r="Z64" s="224">
        <v>0.02</v>
      </c>
      <c r="AA64" s="224">
        <v>0.1</v>
      </c>
      <c r="AB64" s="205" t="s">
        <v>2</v>
      </c>
      <c r="AC64" s="205" t="s">
        <v>2</v>
      </c>
      <c r="AD64" s="200" t="s">
        <v>2</v>
      </c>
      <c r="AE64" s="200" t="s">
        <v>2</v>
      </c>
      <c r="AF64" s="225" t="s">
        <v>2</v>
      </c>
      <c r="AG64" s="204" t="s">
        <v>2</v>
      </c>
      <c r="AH64" s="200" t="s">
        <v>2</v>
      </c>
      <c r="AI64" s="200">
        <v>0</v>
      </c>
      <c r="AJ64" s="203" t="s">
        <v>2</v>
      </c>
      <c r="AK64" s="225" t="s">
        <v>2</v>
      </c>
      <c r="AL64" s="204" t="s">
        <v>2</v>
      </c>
      <c r="AM64" s="200">
        <v>0</v>
      </c>
      <c r="AN64" s="200">
        <v>0</v>
      </c>
      <c r="AO64" s="201">
        <v>0</v>
      </c>
      <c r="AP64" s="223">
        <v>0</v>
      </c>
      <c r="AQ64" s="224">
        <v>0</v>
      </c>
      <c r="AR64" s="224">
        <v>0</v>
      </c>
      <c r="AS64" s="224">
        <v>0</v>
      </c>
      <c r="AT64" s="224">
        <v>0</v>
      </c>
      <c r="AU64" s="224">
        <v>0</v>
      </c>
      <c r="AV64" s="236">
        <v>0</v>
      </c>
      <c r="AW64" s="223">
        <v>0</v>
      </c>
      <c r="AX64" s="224">
        <v>0</v>
      </c>
      <c r="AY64" s="248">
        <v>0</v>
      </c>
      <c r="AZ64" s="236">
        <v>0</v>
      </c>
      <c r="BA64" s="223">
        <v>0</v>
      </c>
      <c r="BB64" s="224">
        <v>0</v>
      </c>
      <c r="BC64" s="224">
        <v>0</v>
      </c>
      <c r="BD64" s="224">
        <v>0</v>
      </c>
      <c r="BE64" s="224">
        <v>0</v>
      </c>
      <c r="BF64" s="236">
        <v>0</v>
      </c>
      <c r="BG64" s="199" t="s">
        <v>2</v>
      </c>
      <c r="BH64" s="204">
        <v>0</v>
      </c>
      <c r="BI64" s="200" t="s">
        <v>2</v>
      </c>
      <c r="BJ64" s="200" t="s">
        <v>2</v>
      </c>
      <c r="BK64" s="200" t="s">
        <v>2</v>
      </c>
      <c r="BL64" s="200" t="s">
        <v>2</v>
      </c>
      <c r="BM64" s="200" t="s">
        <v>2</v>
      </c>
      <c r="BN64" s="200" t="s">
        <v>2</v>
      </c>
      <c r="BO64" s="200" t="s">
        <v>2</v>
      </c>
      <c r="BP64" s="200" t="s">
        <v>2</v>
      </c>
      <c r="BQ64" s="200" t="s">
        <v>2</v>
      </c>
      <c r="BR64" s="200" t="s">
        <v>2</v>
      </c>
      <c r="BS64" s="200" t="s">
        <v>2</v>
      </c>
      <c r="BT64" s="200" t="s">
        <v>2</v>
      </c>
      <c r="BU64" s="200" t="s">
        <v>2</v>
      </c>
      <c r="BV64" s="200" t="s">
        <v>2</v>
      </c>
      <c r="BW64" s="200" t="s">
        <v>2</v>
      </c>
      <c r="BX64" s="200" t="s">
        <v>2</v>
      </c>
      <c r="BY64" s="244" t="s">
        <v>2</v>
      </c>
      <c r="BZ64" s="201" t="s">
        <v>2</v>
      </c>
      <c r="CA64" s="203">
        <v>0.79</v>
      </c>
      <c r="CB64" s="203" t="s">
        <v>2</v>
      </c>
      <c r="CC64" s="203" t="s">
        <v>2</v>
      </c>
      <c r="CD64" s="203" t="s">
        <v>2</v>
      </c>
      <c r="CE64" s="203" t="s">
        <v>2</v>
      </c>
      <c r="CF64" s="225" t="s">
        <v>2</v>
      </c>
      <c r="CG64" s="204" t="s">
        <v>2</v>
      </c>
      <c r="CH64" s="200">
        <v>0</v>
      </c>
      <c r="CI64" s="201">
        <v>0</v>
      </c>
      <c r="CJ64" s="200">
        <v>0</v>
      </c>
      <c r="CK64" s="200">
        <v>0</v>
      </c>
      <c r="CL64" s="200">
        <v>0</v>
      </c>
      <c r="CM64" s="201">
        <v>0</v>
      </c>
      <c r="CN64" s="201" t="s">
        <v>2</v>
      </c>
      <c r="CO64" s="231" t="s">
        <v>2</v>
      </c>
    </row>
    <row r="65" spans="1:93" s="207" customFormat="1" ht="15" x14ac:dyDescent="0.25">
      <c r="A65" s="228">
        <v>14014</v>
      </c>
      <c r="B65" s="197" t="s">
        <v>38</v>
      </c>
      <c r="C65" s="198" t="s">
        <v>1805</v>
      </c>
      <c r="D65" s="289">
        <v>14</v>
      </c>
      <c r="E65" s="230">
        <v>0</v>
      </c>
      <c r="F65" s="231">
        <v>66</v>
      </c>
      <c r="G65" s="231">
        <v>275.88</v>
      </c>
      <c r="H65" s="202">
        <v>89.9</v>
      </c>
      <c r="I65" s="223">
        <v>0.1</v>
      </c>
      <c r="J65" s="223">
        <v>0</v>
      </c>
      <c r="K65" s="247">
        <v>0.2</v>
      </c>
      <c r="L65" s="247">
        <v>0</v>
      </c>
      <c r="M65" s="233">
        <v>0.3</v>
      </c>
      <c r="N65" s="200">
        <v>9</v>
      </c>
      <c r="O65" s="200">
        <v>6</v>
      </c>
      <c r="P65" s="223">
        <v>0.5</v>
      </c>
      <c r="Q65" s="223">
        <v>0.06</v>
      </c>
      <c r="R65" s="200">
        <v>4</v>
      </c>
      <c r="S65" s="200">
        <v>61</v>
      </c>
      <c r="T65" s="200">
        <v>8</v>
      </c>
      <c r="U65" s="224">
        <v>2.1999999999999999E-2</v>
      </c>
      <c r="V65" s="245">
        <v>40</v>
      </c>
      <c r="W65" s="204">
        <v>0</v>
      </c>
      <c r="X65" s="203">
        <v>0</v>
      </c>
      <c r="Y65" s="205" t="s">
        <v>2</v>
      </c>
      <c r="Z65" s="224">
        <v>0.01</v>
      </c>
      <c r="AA65" s="224">
        <v>0.1</v>
      </c>
      <c r="AB65" s="224">
        <v>0.03</v>
      </c>
      <c r="AC65" s="224">
        <v>0.02</v>
      </c>
      <c r="AD65" s="200">
        <v>0</v>
      </c>
      <c r="AE65" s="200">
        <v>0</v>
      </c>
      <c r="AF65" s="225" t="s">
        <v>2</v>
      </c>
      <c r="AG65" s="204">
        <v>0</v>
      </c>
      <c r="AH65" s="200">
        <v>0</v>
      </c>
      <c r="AI65" s="200">
        <v>0</v>
      </c>
      <c r="AJ65" s="223">
        <v>0</v>
      </c>
      <c r="AK65" s="225">
        <v>0</v>
      </c>
      <c r="AL65" s="204">
        <v>0</v>
      </c>
      <c r="AM65" s="200">
        <v>0</v>
      </c>
      <c r="AN65" s="200">
        <v>0</v>
      </c>
      <c r="AO65" s="201">
        <v>0</v>
      </c>
      <c r="AP65" s="223">
        <v>0</v>
      </c>
      <c r="AQ65" s="224">
        <v>0</v>
      </c>
      <c r="AR65" s="224">
        <v>0</v>
      </c>
      <c r="AS65" s="224">
        <v>0</v>
      </c>
      <c r="AT65" s="224">
        <v>0</v>
      </c>
      <c r="AU65" s="224">
        <v>0</v>
      </c>
      <c r="AV65" s="236">
        <v>0</v>
      </c>
      <c r="AW65" s="223">
        <v>0</v>
      </c>
      <c r="AX65" s="224">
        <v>0</v>
      </c>
      <c r="AY65" s="248">
        <v>0</v>
      </c>
      <c r="AZ65" s="236">
        <v>0</v>
      </c>
      <c r="BA65" s="223">
        <v>0</v>
      </c>
      <c r="BB65" s="224">
        <v>0</v>
      </c>
      <c r="BC65" s="224">
        <v>0</v>
      </c>
      <c r="BD65" s="224">
        <v>0</v>
      </c>
      <c r="BE65" s="224">
        <v>0</v>
      </c>
      <c r="BF65" s="236">
        <v>0</v>
      </c>
      <c r="BG65" s="199" t="s">
        <v>2</v>
      </c>
      <c r="BH65" s="204">
        <v>0</v>
      </c>
      <c r="BI65" s="200" t="s">
        <v>2</v>
      </c>
      <c r="BJ65" s="200" t="s">
        <v>2</v>
      </c>
      <c r="BK65" s="200" t="s">
        <v>2</v>
      </c>
      <c r="BL65" s="200" t="s">
        <v>2</v>
      </c>
      <c r="BM65" s="200" t="s">
        <v>2</v>
      </c>
      <c r="BN65" s="200" t="s">
        <v>2</v>
      </c>
      <c r="BO65" s="200" t="s">
        <v>2</v>
      </c>
      <c r="BP65" s="200" t="s">
        <v>2</v>
      </c>
      <c r="BQ65" s="200" t="s">
        <v>2</v>
      </c>
      <c r="BR65" s="200" t="s">
        <v>2</v>
      </c>
      <c r="BS65" s="200" t="s">
        <v>2</v>
      </c>
      <c r="BT65" s="200" t="s">
        <v>2</v>
      </c>
      <c r="BU65" s="200" t="s">
        <v>2</v>
      </c>
      <c r="BV65" s="200" t="s">
        <v>2</v>
      </c>
      <c r="BW65" s="200" t="s">
        <v>2</v>
      </c>
      <c r="BX65" s="200" t="s">
        <v>2</v>
      </c>
      <c r="BY65" s="244" t="s">
        <v>2</v>
      </c>
      <c r="BZ65" s="201" t="s">
        <v>2</v>
      </c>
      <c r="CA65" s="223">
        <v>0.2</v>
      </c>
      <c r="CB65" s="203">
        <v>0</v>
      </c>
      <c r="CC65" s="203">
        <v>0</v>
      </c>
      <c r="CD65" s="203">
        <v>0</v>
      </c>
      <c r="CE65" s="223">
        <v>0.1</v>
      </c>
      <c r="CF65" s="247">
        <v>0.1</v>
      </c>
      <c r="CG65" s="204">
        <v>0</v>
      </c>
      <c r="CH65" s="200">
        <v>0</v>
      </c>
      <c r="CI65" s="201">
        <v>0</v>
      </c>
      <c r="CJ65" s="200" t="s">
        <v>2</v>
      </c>
      <c r="CK65" s="200" t="s">
        <v>2</v>
      </c>
      <c r="CL65" s="200" t="s">
        <v>2</v>
      </c>
      <c r="CM65" s="201" t="s">
        <v>2</v>
      </c>
      <c r="CN65" s="201" t="s">
        <v>2</v>
      </c>
      <c r="CO65" s="231" t="s">
        <v>2</v>
      </c>
    </row>
    <row r="66" spans="1:93" s="207" customFormat="1" ht="15" x14ac:dyDescent="0.25">
      <c r="A66" s="228">
        <v>14015</v>
      </c>
      <c r="B66" s="197" t="s">
        <v>39</v>
      </c>
      <c r="C66" s="198" t="s">
        <v>1806</v>
      </c>
      <c r="D66" s="289">
        <v>14</v>
      </c>
      <c r="E66" s="230">
        <v>0</v>
      </c>
      <c r="F66" s="231">
        <v>96</v>
      </c>
      <c r="G66" s="231">
        <v>401.28</v>
      </c>
      <c r="H66" s="202">
        <v>83.4</v>
      </c>
      <c r="I66" s="223">
        <v>0.2</v>
      </c>
      <c r="J66" s="223">
        <v>0</v>
      </c>
      <c r="K66" s="225">
        <v>5.9</v>
      </c>
      <c r="L66" s="247">
        <v>0</v>
      </c>
      <c r="M66" s="233">
        <v>0.3</v>
      </c>
      <c r="N66" s="200">
        <v>14</v>
      </c>
      <c r="O66" s="200">
        <v>13</v>
      </c>
      <c r="P66" s="223">
        <v>0.57999999999999996</v>
      </c>
      <c r="Q66" s="223">
        <v>0.06</v>
      </c>
      <c r="R66" s="200">
        <v>13</v>
      </c>
      <c r="S66" s="200">
        <v>110</v>
      </c>
      <c r="T66" s="200">
        <v>11</v>
      </c>
      <c r="U66" s="224">
        <v>2.1999999999999999E-2</v>
      </c>
      <c r="V66" s="245">
        <v>40</v>
      </c>
      <c r="W66" s="204">
        <v>0</v>
      </c>
      <c r="X66" s="203">
        <v>0</v>
      </c>
      <c r="Y66" s="224">
        <v>0</v>
      </c>
      <c r="Z66" s="224">
        <v>0.01</v>
      </c>
      <c r="AA66" s="224">
        <v>0.1</v>
      </c>
      <c r="AB66" s="224">
        <v>0.03</v>
      </c>
      <c r="AC66" s="224">
        <v>1.2E-2</v>
      </c>
      <c r="AD66" s="200">
        <v>0</v>
      </c>
      <c r="AE66" s="200">
        <v>0</v>
      </c>
      <c r="AF66" s="225" t="s">
        <v>2</v>
      </c>
      <c r="AG66" s="204">
        <v>0</v>
      </c>
      <c r="AH66" s="200">
        <v>0</v>
      </c>
      <c r="AI66" s="200">
        <v>0</v>
      </c>
      <c r="AJ66" s="223">
        <v>0</v>
      </c>
      <c r="AK66" s="225">
        <v>0</v>
      </c>
      <c r="AL66" s="204">
        <v>0</v>
      </c>
      <c r="AM66" s="200">
        <v>0</v>
      </c>
      <c r="AN66" s="200">
        <v>0</v>
      </c>
      <c r="AO66" s="201">
        <v>0</v>
      </c>
      <c r="AP66" s="223">
        <v>0</v>
      </c>
      <c r="AQ66" s="224">
        <v>0</v>
      </c>
      <c r="AR66" s="224">
        <v>0</v>
      </c>
      <c r="AS66" s="224">
        <v>0</v>
      </c>
      <c r="AT66" s="224">
        <v>0</v>
      </c>
      <c r="AU66" s="224">
        <v>0</v>
      </c>
      <c r="AV66" s="236">
        <v>0</v>
      </c>
      <c r="AW66" s="223">
        <v>0</v>
      </c>
      <c r="AX66" s="224">
        <v>0</v>
      </c>
      <c r="AY66" s="248">
        <v>0</v>
      </c>
      <c r="AZ66" s="236">
        <v>0</v>
      </c>
      <c r="BA66" s="223">
        <v>0</v>
      </c>
      <c r="BB66" s="224">
        <v>0</v>
      </c>
      <c r="BC66" s="224">
        <v>0</v>
      </c>
      <c r="BD66" s="224">
        <v>0</v>
      </c>
      <c r="BE66" s="224">
        <v>0</v>
      </c>
      <c r="BF66" s="236">
        <v>0</v>
      </c>
      <c r="BG66" s="199" t="s">
        <v>2</v>
      </c>
      <c r="BH66" s="204">
        <v>0</v>
      </c>
      <c r="BI66" s="200" t="s">
        <v>2</v>
      </c>
      <c r="BJ66" s="200" t="s">
        <v>2</v>
      </c>
      <c r="BK66" s="200" t="s">
        <v>2</v>
      </c>
      <c r="BL66" s="200" t="s">
        <v>2</v>
      </c>
      <c r="BM66" s="200" t="s">
        <v>2</v>
      </c>
      <c r="BN66" s="200" t="s">
        <v>2</v>
      </c>
      <c r="BO66" s="200" t="s">
        <v>2</v>
      </c>
      <c r="BP66" s="200" t="s">
        <v>2</v>
      </c>
      <c r="BQ66" s="200" t="s">
        <v>2</v>
      </c>
      <c r="BR66" s="200" t="s">
        <v>2</v>
      </c>
      <c r="BS66" s="200" t="s">
        <v>2</v>
      </c>
      <c r="BT66" s="200" t="s">
        <v>2</v>
      </c>
      <c r="BU66" s="200" t="s">
        <v>2</v>
      </c>
      <c r="BV66" s="200" t="s">
        <v>2</v>
      </c>
      <c r="BW66" s="200" t="s">
        <v>2</v>
      </c>
      <c r="BX66" s="200" t="s">
        <v>2</v>
      </c>
      <c r="BY66" s="244" t="s">
        <v>2</v>
      </c>
      <c r="BZ66" s="201" t="s">
        <v>2</v>
      </c>
      <c r="CA66" s="203">
        <v>5.9</v>
      </c>
      <c r="CB66" s="203">
        <v>0</v>
      </c>
      <c r="CC66" s="203">
        <v>0</v>
      </c>
      <c r="CD66" s="203">
        <v>0</v>
      </c>
      <c r="CE66" s="203">
        <v>3</v>
      </c>
      <c r="CF66" s="225">
        <v>2.9</v>
      </c>
      <c r="CG66" s="204">
        <v>0</v>
      </c>
      <c r="CH66" s="200">
        <v>0</v>
      </c>
      <c r="CI66" s="201">
        <v>0</v>
      </c>
      <c r="CJ66" s="200">
        <v>0</v>
      </c>
      <c r="CK66" s="200">
        <v>0</v>
      </c>
      <c r="CL66" s="200">
        <v>0</v>
      </c>
      <c r="CM66" s="201">
        <v>0</v>
      </c>
      <c r="CN66" s="201" t="s">
        <v>2</v>
      </c>
      <c r="CO66" s="231" t="s">
        <v>2</v>
      </c>
    </row>
    <row r="67" spans="1:93" s="207" customFormat="1" thickBot="1" x14ac:dyDescent="0.3">
      <c r="A67" s="228">
        <v>14016</v>
      </c>
      <c r="B67" s="209" t="s">
        <v>40</v>
      </c>
      <c r="C67" s="210" t="s">
        <v>1807</v>
      </c>
      <c r="D67" s="289">
        <v>14</v>
      </c>
      <c r="E67" s="275">
        <v>0</v>
      </c>
      <c r="F67" s="238">
        <v>246</v>
      </c>
      <c r="G67" s="238">
        <v>1028.28</v>
      </c>
      <c r="H67" s="214">
        <v>64.7</v>
      </c>
      <c r="I67" s="273">
        <v>0</v>
      </c>
      <c r="J67" s="273">
        <v>0</v>
      </c>
      <c r="K67" s="273">
        <v>0</v>
      </c>
      <c r="L67" s="273">
        <v>0</v>
      </c>
      <c r="M67" s="279">
        <v>0.1</v>
      </c>
      <c r="N67" s="212">
        <v>2</v>
      </c>
      <c r="O67" s="212" t="s">
        <v>2</v>
      </c>
      <c r="P67" s="215" t="s">
        <v>2</v>
      </c>
      <c r="Q67" s="215" t="s">
        <v>2</v>
      </c>
      <c r="R67" s="212" t="s">
        <v>2</v>
      </c>
      <c r="S67" s="212" t="s">
        <v>2</v>
      </c>
      <c r="T67" s="212" t="s">
        <v>2</v>
      </c>
      <c r="U67" s="217" t="s">
        <v>2</v>
      </c>
      <c r="V67" s="217" t="s">
        <v>2</v>
      </c>
      <c r="W67" s="216" t="s">
        <v>2</v>
      </c>
      <c r="X67" s="215">
        <v>0</v>
      </c>
      <c r="Y67" s="217" t="s">
        <v>2</v>
      </c>
      <c r="Z67" s="217" t="s">
        <v>2</v>
      </c>
      <c r="AA67" s="217" t="s">
        <v>2</v>
      </c>
      <c r="AB67" s="217" t="s">
        <v>2</v>
      </c>
      <c r="AC67" s="217" t="s">
        <v>2</v>
      </c>
      <c r="AD67" s="212" t="s">
        <v>2</v>
      </c>
      <c r="AE67" s="212" t="s">
        <v>2</v>
      </c>
      <c r="AF67" s="215" t="s">
        <v>2</v>
      </c>
      <c r="AG67" s="216" t="s">
        <v>2</v>
      </c>
      <c r="AH67" s="277" t="s">
        <v>2</v>
      </c>
      <c r="AI67" s="212">
        <v>0</v>
      </c>
      <c r="AJ67" s="215" t="s">
        <v>2</v>
      </c>
      <c r="AK67" s="215" t="s">
        <v>2</v>
      </c>
      <c r="AL67" s="216" t="s">
        <v>2</v>
      </c>
      <c r="AM67" s="212">
        <v>0</v>
      </c>
      <c r="AN67" s="212">
        <v>0</v>
      </c>
      <c r="AO67" s="213">
        <v>0</v>
      </c>
      <c r="AP67" s="273">
        <v>0</v>
      </c>
      <c r="AQ67" s="274">
        <v>0</v>
      </c>
      <c r="AR67" s="274">
        <v>0</v>
      </c>
      <c r="AS67" s="274">
        <v>0</v>
      </c>
      <c r="AT67" s="274">
        <v>0</v>
      </c>
      <c r="AU67" s="274">
        <v>0</v>
      </c>
      <c r="AV67" s="218">
        <v>0</v>
      </c>
      <c r="AW67" s="273">
        <v>0</v>
      </c>
      <c r="AX67" s="274">
        <v>0</v>
      </c>
      <c r="AY67" s="274">
        <v>0</v>
      </c>
      <c r="AZ67" s="218">
        <v>0</v>
      </c>
      <c r="BA67" s="273">
        <v>0</v>
      </c>
      <c r="BB67" s="274">
        <v>0</v>
      </c>
      <c r="BC67" s="274">
        <v>0</v>
      </c>
      <c r="BD67" s="274">
        <v>0</v>
      </c>
      <c r="BE67" s="274">
        <v>0</v>
      </c>
      <c r="BF67" s="218">
        <v>0</v>
      </c>
      <c r="BG67" s="211" t="s">
        <v>2</v>
      </c>
      <c r="BH67" s="216">
        <v>0</v>
      </c>
      <c r="BI67" s="212">
        <v>0</v>
      </c>
      <c r="BJ67" s="212">
        <v>0</v>
      </c>
      <c r="BK67" s="212">
        <v>0</v>
      </c>
      <c r="BL67" s="212">
        <v>0</v>
      </c>
      <c r="BM67" s="212">
        <v>0</v>
      </c>
      <c r="BN67" s="212">
        <v>0</v>
      </c>
      <c r="BO67" s="212">
        <v>0</v>
      </c>
      <c r="BP67" s="212">
        <v>0</v>
      </c>
      <c r="BQ67" s="212">
        <v>0</v>
      </c>
      <c r="BR67" s="212">
        <v>0</v>
      </c>
      <c r="BS67" s="212">
        <v>0</v>
      </c>
      <c r="BT67" s="212">
        <v>0</v>
      </c>
      <c r="BU67" s="212">
        <v>0</v>
      </c>
      <c r="BV67" s="212">
        <v>0</v>
      </c>
      <c r="BW67" s="212">
        <v>0</v>
      </c>
      <c r="BX67" s="212">
        <v>0</v>
      </c>
      <c r="BY67" s="212">
        <v>0</v>
      </c>
      <c r="BZ67" s="213">
        <v>0</v>
      </c>
      <c r="CA67" s="273">
        <v>0</v>
      </c>
      <c r="CB67" s="215">
        <v>0</v>
      </c>
      <c r="CC67" s="215">
        <v>0</v>
      </c>
      <c r="CD67" s="215">
        <v>0</v>
      </c>
      <c r="CE67" s="215">
        <v>0</v>
      </c>
      <c r="CF67" s="215">
        <v>0</v>
      </c>
      <c r="CG67" s="216">
        <v>0</v>
      </c>
      <c r="CH67" s="212">
        <v>0</v>
      </c>
      <c r="CI67" s="213">
        <v>0</v>
      </c>
      <c r="CJ67" s="212">
        <v>0</v>
      </c>
      <c r="CK67" s="212">
        <v>0</v>
      </c>
      <c r="CL67" s="212">
        <v>0</v>
      </c>
      <c r="CM67" s="213">
        <v>0</v>
      </c>
      <c r="CN67" s="213" t="s">
        <v>2</v>
      </c>
      <c r="CO67" s="238" t="s">
        <v>2</v>
      </c>
    </row>
    <row r="68" spans="1:93" s="102" customFormat="1" ht="16.5" thickTop="1" x14ac:dyDescent="0.25">
      <c r="A68" s="107" t="s">
        <v>1808</v>
      </c>
      <c r="B68" s="54" t="s">
        <v>1192</v>
      </c>
      <c r="C68" s="5" t="s">
        <v>1265</v>
      </c>
      <c r="D68" s="287">
        <v>15</v>
      </c>
      <c r="E68" s="21">
        <v>0</v>
      </c>
      <c r="F68" s="73">
        <v>177</v>
      </c>
      <c r="G68" s="71">
        <v>739.8599999999999</v>
      </c>
      <c r="H68" s="74">
        <v>66.900000000000006</v>
      </c>
      <c r="I68" s="6">
        <v>2.2999999999999998</v>
      </c>
      <c r="J68" s="6">
        <v>10.1</v>
      </c>
      <c r="K68" s="6">
        <v>19.309999999999999</v>
      </c>
      <c r="L68" s="6">
        <v>1.7</v>
      </c>
      <c r="M68" s="22">
        <v>1.39</v>
      </c>
      <c r="N68" s="73">
        <v>108</v>
      </c>
      <c r="O68" s="73">
        <v>62</v>
      </c>
      <c r="P68" s="6">
        <v>1.55</v>
      </c>
      <c r="Q68" s="6">
        <v>0.4</v>
      </c>
      <c r="R68" s="73" t="s">
        <v>2</v>
      </c>
      <c r="S68" s="73" t="s">
        <v>2</v>
      </c>
      <c r="T68" s="73" t="s">
        <v>2</v>
      </c>
      <c r="U68" s="75" t="s">
        <v>2</v>
      </c>
      <c r="V68" s="75" t="s">
        <v>2</v>
      </c>
      <c r="W68" s="22" t="s">
        <v>2</v>
      </c>
      <c r="X68" s="6" t="s">
        <v>2</v>
      </c>
      <c r="Y68" s="75" t="s">
        <v>2</v>
      </c>
      <c r="Z68" s="75" t="s">
        <v>2</v>
      </c>
      <c r="AA68" s="75" t="s">
        <v>2</v>
      </c>
      <c r="AB68" s="75" t="s">
        <v>2</v>
      </c>
      <c r="AC68" s="75" t="s">
        <v>2</v>
      </c>
      <c r="AD68" s="73" t="s">
        <v>2</v>
      </c>
      <c r="AE68" s="73" t="s">
        <v>2</v>
      </c>
      <c r="AF68" s="6" t="s">
        <v>2</v>
      </c>
      <c r="AG68" s="22" t="s">
        <v>2</v>
      </c>
      <c r="AH68" s="73" t="s">
        <v>2</v>
      </c>
      <c r="AI68" s="73" t="s">
        <v>2</v>
      </c>
      <c r="AJ68" s="6" t="s">
        <v>2</v>
      </c>
      <c r="AK68" s="6" t="s">
        <v>2</v>
      </c>
      <c r="AL68" s="22" t="s">
        <v>2</v>
      </c>
      <c r="AM68" s="73" t="s">
        <v>2</v>
      </c>
      <c r="AN68" s="73" t="s">
        <v>2</v>
      </c>
      <c r="AO68" s="71" t="s">
        <v>2</v>
      </c>
      <c r="AP68" s="6" t="s">
        <v>2</v>
      </c>
      <c r="AQ68" s="75" t="s">
        <v>2</v>
      </c>
      <c r="AR68" s="75" t="s">
        <v>2</v>
      </c>
      <c r="AS68" s="75" t="s">
        <v>2</v>
      </c>
      <c r="AT68" s="75" t="s">
        <v>2</v>
      </c>
      <c r="AU68" s="75" t="s">
        <v>2</v>
      </c>
      <c r="AV68" s="77" t="s">
        <v>2</v>
      </c>
      <c r="AW68" s="6" t="s">
        <v>2</v>
      </c>
      <c r="AX68" s="75" t="s">
        <v>2</v>
      </c>
      <c r="AY68" s="75" t="s">
        <v>2</v>
      </c>
      <c r="AZ68" s="77" t="s">
        <v>2</v>
      </c>
      <c r="BA68" s="6" t="s">
        <v>2</v>
      </c>
      <c r="BB68" s="75" t="s">
        <v>2</v>
      </c>
      <c r="BC68" s="75" t="s">
        <v>2</v>
      </c>
      <c r="BD68" s="75" t="s">
        <v>2</v>
      </c>
      <c r="BE68" s="75" t="s">
        <v>2</v>
      </c>
      <c r="BF68" s="77" t="s">
        <v>2</v>
      </c>
      <c r="BG68" s="21" t="s">
        <v>2</v>
      </c>
      <c r="BH68" s="21" t="s">
        <v>2</v>
      </c>
      <c r="BI68" s="73" t="s">
        <v>2</v>
      </c>
      <c r="BJ68" s="73" t="s">
        <v>2</v>
      </c>
      <c r="BK68" s="73" t="s">
        <v>2</v>
      </c>
      <c r="BL68" s="73" t="s">
        <v>2</v>
      </c>
      <c r="BM68" s="73" t="s">
        <v>2</v>
      </c>
      <c r="BN68" s="73" t="s">
        <v>2</v>
      </c>
      <c r="BO68" s="73" t="s">
        <v>2</v>
      </c>
      <c r="BP68" s="73" t="s">
        <v>2</v>
      </c>
      <c r="BQ68" s="73" t="s">
        <v>2</v>
      </c>
      <c r="BR68" s="73" t="s">
        <v>2</v>
      </c>
      <c r="BS68" s="73" t="s">
        <v>2</v>
      </c>
      <c r="BT68" s="73" t="s">
        <v>2</v>
      </c>
      <c r="BU68" s="73" t="s">
        <v>2</v>
      </c>
      <c r="BV68" s="73" t="s">
        <v>2</v>
      </c>
      <c r="BW68" s="73" t="s">
        <v>2</v>
      </c>
      <c r="BX68" s="73" t="s">
        <v>2</v>
      </c>
      <c r="BY68" s="73" t="s">
        <v>2</v>
      </c>
      <c r="BZ68" s="71" t="s">
        <v>2</v>
      </c>
      <c r="CA68" s="6" t="s">
        <v>2</v>
      </c>
      <c r="CB68" s="6" t="s">
        <v>2</v>
      </c>
      <c r="CC68" s="6" t="s">
        <v>2</v>
      </c>
      <c r="CD68" s="6" t="s">
        <v>2</v>
      </c>
      <c r="CE68" s="6" t="s">
        <v>2</v>
      </c>
      <c r="CF68" s="6" t="s">
        <v>2</v>
      </c>
      <c r="CG68" s="22" t="s">
        <v>2</v>
      </c>
      <c r="CH68" s="73" t="s">
        <v>2</v>
      </c>
      <c r="CI68" s="71" t="s">
        <v>2</v>
      </c>
      <c r="CJ68" s="6" t="s">
        <v>2</v>
      </c>
      <c r="CK68" s="6" t="s">
        <v>2</v>
      </c>
      <c r="CL68" s="6" t="s">
        <v>2</v>
      </c>
      <c r="CM68" s="22" t="s">
        <v>2</v>
      </c>
      <c r="CN68" s="21" t="s">
        <v>2</v>
      </c>
      <c r="CO68" s="21" t="s">
        <v>2</v>
      </c>
    </row>
    <row r="69" spans="1:93" s="102" customFormat="1" x14ac:dyDescent="0.25">
      <c r="A69" s="107" t="s">
        <v>1120</v>
      </c>
      <c r="B69" s="54" t="s">
        <v>1193</v>
      </c>
      <c r="C69" s="5" t="s">
        <v>1266</v>
      </c>
      <c r="D69" s="287">
        <v>15</v>
      </c>
      <c r="E69" s="21">
        <v>0</v>
      </c>
      <c r="F69" s="73">
        <v>118</v>
      </c>
      <c r="G69" s="71">
        <v>493.23999999999995</v>
      </c>
      <c r="H69" s="83">
        <v>75.3</v>
      </c>
      <c r="I69" s="6">
        <v>1.8</v>
      </c>
      <c r="J69" s="6">
        <v>4.2</v>
      </c>
      <c r="K69" s="6">
        <v>18.149999999999999</v>
      </c>
      <c r="L69" s="6">
        <v>0.6</v>
      </c>
      <c r="M69" s="22">
        <v>0.55000000000000004</v>
      </c>
      <c r="N69" s="73">
        <v>85</v>
      </c>
      <c r="O69" s="73">
        <v>26</v>
      </c>
      <c r="P69" s="6">
        <v>2.4500000000000002</v>
      </c>
      <c r="Q69" s="6">
        <v>0.52</v>
      </c>
      <c r="R69" s="73" t="s">
        <v>2</v>
      </c>
      <c r="S69" s="73" t="s">
        <v>2</v>
      </c>
      <c r="T69" s="73" t="s">
        <v>2</v>
      </c>
      <c r="U69" s="75" t="s">
        <v>2</v>
      </c>
      <c r="V69" s="75" t="s">
        <v>2</v>
      </c>
      <c r="W69" s="22" t="s">
        <v>2</v>
      </c>
      <c r="X69" s="6" t="s">
        <v>2</v>
      </c>
      <c r="Y69" s="75" t="s">
        <v>2</v>
      </c>
      <c r="Z69" s="75" t="s">
        <v>2</v>
      </c>
      <c r="AA69" s="75" t="s">
        <v>2</v>
      </c>
      <c r="AB69" s="75" t="s">
        <v>2</v>
      </c>
      <c r="AC69" s="75" t="s">
        <v>2</v>
      </c>
      <c r="AD69" s="73" t="s">
        <v>2</v>
      </c>
      <c r="AE69" s="73" t="s">
        <v>2</v>
      </c>
      <c r="AF69" s="6" t="s">
        <v>2</v>
      </c>
      <c r="AG69" s="22" t="s">
        <v>2</v>
      </c>
      <c r="AH69" s="73" t="s">
        <v>2</v>
      </c>
      <c r="AI69" s="73" t="s">
        <v>2</v>
      </c>
      <c r="AJ69" s="6" t="s">
        <v>2</v>
      </c>
      <c r="AK69" s="6" t="s">
        <v>2</v>
      </c>
      <c r="AL69" s="22" t="s">
        <v>2</v>
      </c>
      <c r="AM69" s="73" t="s">
        <v>2</v>
      </c>
      <c r="AN69" s="73" t="s">
        <v>2</v>
      </c>
      <c r="AO69" s="71" t="s">
        <v>2</v>
      </c>
      <c r="AP69" s="6" t="s">
        <v>2</v>
      </c>
      <c r="AQ69" s="75" t="s">
        <v>2</v>
      </c>
      <c r="AR69" s="75" t="s">
        <v>2</v>
      </c>
      <c r="AS69" s="75" t="s">
        <v>2</v>
      </c>
      <c r="AT69" s="75" t="s">
        <v>2</v>
      </c>
      <c r="AU69" s="75" t="s">
        <v>2</v>
      </c>
      <c r="AV69" s="77" t="s">
        <v>2</v>
      </c>
      <c r="AW69" s="6" t="s">
        <v>2</v>
      </c>
      <c r="AX69" s="75" t="s">
        <v>2</v>
      </c>
      <c r="AY69" s="75" t="s">
        <v>2</v>
      </c>
      <c r="AZ69" s="77" t="s">
        <v>2</v>
      </c>
      <c r="BA69" s="6" t="s">
        <v>2</v>
      </c>
      <c r="BB69" s="75" t="s">
        <v>2</v>
      </c>
      <c r="BC69" s="75" t="s">
        <v>2</v>
      </c>
      <c r="BD69" s="75" t="s">
        <v>2</v>
      </c>
      <c r="BE69" s="75" t="s">
        <v>2</v>
      </c>
      <c r="BF69" s="77" t="s">
        <v>2</v>
      </c>
      <c r="BG69" s="21" t="s">
        <v>2</v>
      </c>
      <c r="BH69" s="21" t="s">
        <v>2</v>
      </c>
      <c r="BI69" s="73" t="s">
        <v>2</v>
      </c>
      <c r="BJ69" s="73" t="s">
        <v>2</v>
      </c>
      <c r="BK69" s="73" t="s">
        <v>2</v>
      </c>
      <c r="BL69" s="73" t="s">
        <v>2</v>
      </c>
      <c r="BM69" s="73" t="s">
        <v>2</v>
      </c>
      <c r="BN69" s="73" t="s">
        <v>2</v>
      </c>
      <c r="BO69" s="73" t="s">
        <v>2</v>
      </c>
      <c r="BP69" s="73" t="s">
        <v>2</v>
      </c>
      <c r="BQ69" s="73" t="s">
        <v>2</v>
      </c>
      <c r="BR69" s="73" t="s">
        <v>2</v>
      </c>
      <c r="BS69" s="73" t="s">
        <v>2</v>
      </c>
      <c r="BT69" s="73" t="s">
        <v>2</v>
      </c>
      <c r="BU69" s="73" t="s">
        <v>2</v>
      </c>
      <c r="BV69" s="73" t="s">
        <v>2</v>
      </c>
      <c r="BW69" s="73" t="s">
        <v>2</v>
      </c>
      <c r="BX69" s="73" t="s">
        <v>2</v>
      </c>
      <c r="BY69" s="73" t="s">
        <v>2</v>
      </c>
      <c r="BZ69" s="71" t="s">
        <v>2</v>
      </c>
      <c r="CA69" s="6" t="s">
        <v>2</v>
      </c>
      <c r="CB69" s="6" t="s">
        <v>2</v>
      </c>
      <c r="CC69" s="6" t="s">
        <v>2</v>
      </c>
      <c r="CD69" s="6" t="s">
        <v>2</v>
      </c>
      <c r="CE69" s="6" t="s">
        <v>2</v>
      </c>
      <c r="CF69" s="6" t="s">
        <v>2</v>
      </c>
      <c r="CG69" s="22" t="s">
        <v>2</v>
      </c>
      <c r="CH69" s="73" t="s">
        <v>2</v>
      </c>
      <c r="CI69" s="71" t="s">
        <v>2</v>
      </c>
      <c r="CJ69" s="6" t="s">
        <v>2</v>
      </c>
      <c r="CK69" s="6" t="s">
        <v>2</v>
      </c>
      <c r="CL69" s="6" t="s">
        <v>2</v>
      </c>
      <c r="CM69" s="22" t="s">
        <v>2</v>
      </c>
      <c r="CN69" s="21" t="s">
        <v>2</v>
      </c>
      <c r="CO69" s="21" t="s">
        <v>2</v>
      </c>
    </row>
    <row r="70" spans="1:93" s="102" customFormat="1" x14ac:dyDescent="0.25">
      <c r="A70" s="107" t="s">
        <v>1121</v>
      </c>
      <c r="B70" s="54" t="s">
        <v>1194</v>
      </c>
      <c r="C70" s="5" t="s">
        <v>1267</v>
      </c>
      <c r="D70" s="287">
        <v>15</v>
      </c>
      <c r="E70" s="21">
        <v>0</v>
      </c>
      <c r="F70" s="73">
        <v>137</v>
      </c>
      <c r="G70" s="71">
        <v>572.66</v>
      </c>
      <c r="H70" s="83">
        <v>69.900000000000006</v>
      </c>
      <c r="I70" s="6">
        <v>6.8</v>
      </c>
      <c r="J70" s="6">
        <v>4.3</v>
      </c>
      <c r="K70" s="6">
        <v>17.739999999999998</v>
      </c>
      <c r="L70" s="6">
        <v>0.6</v>
      </c>
      <c r="M70" s="22">
        <v>1.26</v>
      </c>
      <c r="N70" s="73">
        <v>105</v>
      </c>
      <c r="O70" s="73">
        <v>13</v>
      </c>
      <c r="P70" s="6">
        <v>1.88</v>
      </c>
      <c r="Q70" s="6">
        <v>0.45</v>
      </c>
      <c r="R70" s="73" t="s">
        <v>2</v>
      </c>
      <c r="S70" s="73" t="s">
        <v>2</v>
      </c>
      <c r="T70" s="73" t="s">
        <v>2</v>
      </c>
      <c r="U70" s="75" t="s">
        <v>2</v>
      </c>
      <c r="V70" s="75" t="s">
        <v>2</v>
      </c>
      <c r="W70" s="22" t="s">
        <v>2</v>
      </c>
      <c r="X70" s="6" t="s">
        <v>2</v>
      </c>
      <c r="Y70" s="75" t="s">
        <v>2</v>
      </c>
      <c r="Z70" s="75" t="s">
        <v>2</v>
      </c>
      <c r="AA70" s="75" t="s">
        <v>2</v>
      </c>
      <c r="AB70" s="75" t="s">
        <v>2</v>
      </c>
      <c r="AC70" s="75" t="s">
        <v>2</v>
      </c>
      <c r="AD70" s="73" t="s">
        <v>2</v>
      </c>
      <c r="AE70" s="73" t="s">
        <v>2</v>
      </c>
      <c r="AF70" s="6" t="s">
        <v>2</v>
      </c>
      <c r="AG70" s="22" t="s">
        <v>2</v>
      </c>
      <c r="AH70" s="73" t="s">
        <v>2</v>
      </c>
      <c r="AI70" s="73" t="s">
        <v>2</v>
      </c>
      <c r="AJ70" s="6" t="s">
        <v>2</v>
      </c>
      <c r="AK70" s="6" t="s">
        <v>2</v>
      </c>
      <c r="AL70" s="22" t="s">
        <v>2</v>
      </c>
      <c r="AM70" s="73" t="s">
        <v>2</v>
      </c>
      <c r="AN70" s="73" t="s">
        <v>2</v>
      </c>
      <c r="AO70" s="71" t="s">
        <v>2</v>
      </c>
      <c r="AP70" s="6" t="s">
        <v>2</v>
      </c>
      <c r="AQ70" s="75" t="s">
        <v>2</v>
      </c>
      <c r="AR70" s="75" t="s">
        <v>2</v>
      </c>
      <c r="AS70" s="75" t="s">
        <v>2</v>
      </c>
      <c r="AT70" s="75" t="s">
        <v>2</v>
      </c>
      <c r="AU70" s="75" t="s">
        <v>2</v>
      </c>
      <c r="AV70" s="77" t="s">
        <v>2</v>
      </c>
      <c r="AW70" s="6" t="s">
        <v>2</v>
      </c>
      <c r="AX70" s="75" t="s">
        <v>2</v>
      </c>
      <c r="AY70" s="75" t="s">
        <v>2</v>
      </c>
      <c r="AZ70" s="77" t="s">
        <v>2</v>
      </c>
      <c r="BA70" s="6" t="s">
        <v>2</v>
      </c>
      <c r="BB70" s="75" t="s">
        <v>2</v>
      </c>
      <c r="BC70" s="75" t="s">
        <v>2</v>
      </c>
      <c r="BD70" s="75" t="s">
        <v>2</v>
      </c>
      <c r="BE70" s="75" t="s">
        <v>2</v>
      </c>
      <c r="BF70" s="77" t="s">
        <v>2</v>
      </c>
      <c r="BG70" s="21" t="s">
        <v>2</v>
      </c>
      <c r="BH70" s="21" t="s">
        <v>2</v>
      </c>
      <c r="BI70" s="73" t="s">
        <v>2</v>
      </c>
      <c r="BJ70" s="73" t="s">
        <v>2</v>
      </c>
      <c r="BK70" s="73" t="s">
        <v>2</v>
      </c>
      <c r="BL70" s="73" t="s">
        <v>2</v>
      </c>
      <c r="BM70" s="73" t="s">
        <v>2</v>
      </c>
      <c r="BN70" s="73" t="s">
        <v>2</v>
      </c>
      <c r="BO70" s="73" t="s">
        <v>2</v>
      </c>
      <c r="BP70" s="73" t="s">
        <v>2</v>
      </c>
      <c r="BQ70" s="73" t="s">
        <v>2</v>
      </c>
      <c r="BR70" s="73" t="s">
        <v>2</v>
      </c>
      <c r="BS70" s="73" t="s">
        <v>2</v>
      </c>
      <c r="BT70" s="73" t="s">
        <v>2</v>
      </c>
      <c r="BU70" s="73" t="s">
        <v>2</v>
      </c>
      <c r="BV70" s="73" t="s">
        <v>2</v>
      </c>
      <c r="BW70" s="73" t="s">
        <v>2</v>
      </c>
      <c r="BX70" s="73" t="s">
        <v>2</v>
      </c>
      <c r="BY70" s="73" t="s">
        <v>2</v>
      </c>
      <c r="BZ70" s="71" t="s">
        <v>2</v>
      </c>
      <c r="CA70" s="6" t="s">
        <v>2</v>
      </c>
      <c r="CB70" s="6" t="s">
        <v>2</v>
      </c>
      <c r="CC70" s="6" t="s">
        <v>2</v>
      </c>
      <c r="CD70" s="6" t="s">
        <v>2</v>
      </c>
      <c r="CE70" s="6" t="s">
        <v>2</v>
      </c>
      <c r="CF70" s="6" t="s">
        <v>2</v>
      </c>
      <c r="CG70" s="22" t="s">
        <v>2</v>
      </c>
      <c r="CH70" s="73" t="s">
        <v>2</v>
      </c>
      <c r="CI70" s="71" t="s">
        <v>2</v>
      </c>
      <c r="CJ70" s="6" t="s">
        <v>2</v>
      </c>
      <c r="CK70" s="6" t="s">
        <v>2</v>
      </c>
      <c r="CL70" s="6" t="s">
        <v>2</v>
      </c>
      <c r="CM70" s="22" t="s">
        <v>2</v>
      </c>
      <c r="CN70" s="21" t="s">
        <v>2</v>
      </c>
      <c r="CO70" s="21" t="s">
        <v>2</v>
      </c>
    </row>
    <row r="71" spans="1:93" s="102" customFormat="1" x14ac:dyDescent="0.25">
      <c r="A71" s="107" t="s">
        <v>1122</v>
      </c>
      <c r="B71" s="54" t="s">
        <v>1195</v>
      </c>
      <c r="C71" s="5" t="s">
        <v>1275</v>
      </c>
      <c r="D71" s="287">
        <v>15</v>
      </c>
      <c r="E71" s="21">
        <v>0</v>
      </c>
      <c r="F71" s="73">
        <v>156</v>
      </c>
      <c r="G71" s="71">
        <v>652.07999999999993</v>
      </c>
      <c r="H71" s="83">
        <v>64.7</v>
      </c>
      <c r="I71" s="6">
        <v>3.3</v>
      </c>
      <c r="J71" s="6">
        <v>3.1</v>
      </c>
      <c r="K71" s="6">
        <v>28.71</v>
      </c>
      <c r="L71" s="6">
        <v>0.4</v>
      </c>
      <c r="M71" s="22">
        <v>0.19</v>
      </c>
      <c r="N71" s="73">
        <v>12</v>
      </c>
      <c r="O71" s="73">
        <v>26</v>
      </c>
      <c r="P71" s="6">
        <v>0.78</v>
      </c>
      <c r="Q71" s="6">
        <v>0.32</v>
      </c>
      <c r="R71" s="73" t="s">
        <v>2</v>
      </c>
      <c r="S71" s="73" t="s">
        <v>2</v>
      </c>
      <c r="T71" s="73" t="s">
        <v>2</v>
      </c>
      <c r="U71" s="75" t="s">
        <v>2</v>
      </c>
      <c r="V71" s="75" t="s">
        <v>2</v>
      </c>
      <c r="W71" s="22" t="s">
        <v>2</v>
      </c>
      <c r="X71" s="6" t="s">
        <v>2</v>
      </c>
      <c r="Y71" s="75" t="s">
        <v>2</v>
      </c>
      <c r="Z71" s="75" t="s">
        <v>2</v>
      </c>
      <c r="AA71" s="75" t="s">
        <v>2</v>
      </c>
      <c r="AB71" s="75" t="s">
        <v>2</v>
      </c>
      <c r="AC71" s="75" t="s">
        <v>2</v>
      </c>
      <c r="AD71" s="73" t="s">
        <v>2</v>
      </c>
      <c r="AE71" s="73" t="s">
        <v>2</v>
      </c>
      <c r="AF71" s="6" t="s">
        <v>2</v>
      </c>
      <c r="AG71" s="22" t="s">
        <v>2</v>
      </c>
      <c r="AH71" s="73" t="s">
        <v>2</v>
      </c>
      <c r="AI71" s="73" t="s">
        <v>2</v>
      </c>
      <c r="AJ71" s="6" t="s">
        <v>2</v>
      </c>
      <c r="AK71" s="6" t="s">
        <v>2</v>
      </c>
      <c r="AL71" s="22" t="s">
        <v>2</v>
      </c>
      <c r="AM71" s="73" t="s">
        <v>2</v>
      </c>
      <c r="AN71" s="73" t="s">
        <v>2</v>
      </c>
      <c r="AO71" s="71" t="s">
        <v>2</v>
      </c>
      <c r="AP71" s="6" t="s">
        <v>2</v>
      </c>
      <c r="AQ71" s="75" t="s">
        <v>2</v>
      </c>
      <c r="AR71" s="75" t="s">
        <v>2</v>
      </c>
      <c r="AS71" s="75" t="s">
        <v>2</v>
      </c>
      <c r="AT71" s="75" t="s">
        <v>2</v>
      </c>
      <c r="AU71" s="75" t="s">
        <v>2</v>
      </c>
      <c r="AV71" s="77" t="s">
        <v>2</v>
      </c>
      <c r="AW71" s="6" t="s">
        <v>2</v>
      </c>
      <c r="AX71" s="75" t="s">
        <v>2</v>
      </c>
      <c r="AY71" s="75" t="s">
        <v>2</v>
      </c>
      <c r="AZ71" s="77" t="s">
        <v>2</v>
      </c>
      <c r="BA71" s="6" t="s">
        <v>2</v>
      </c>
      <c r="BB71" s="75" t="s">
        <v>2</v>
      </c>
      <c r="BC71" s="75" t="s">
        <v>2</v>
      </c>
      <c r="BD71" s="75" t="s">
        <v>2</v>
      </c>
      <c r="BE71" s="75" t="s">
        <v>2</v>
      </c>
      <c r="BF71" s="77" t="s">
        <v>2</v>
      </c>
      <c r="BG71" s="21" t="s">
        <v>2</v>
      </c>
      <c r="BH71" s="21" t="s">
        <v>2</v>
      </c>
      <c r="BI71" s="73" t="s">
        <v>2</v>
      </c>
      <c r="BJ71" s="73" t="s">
        <v>2</v>
      </c>
      <c r="BK71" s="73" t="s">
        <v>2</v>
      </c>
      <c r="BL71" s="73" t="s">
        <v>2</v>
      </c>
      <c r="BM71" s="73" t="s">
        <v>2</v>
      </c>
      <c r="BN71" s="73" t="s">
        <v>2</v>
      </c>
      <c r="BO71" s="73" t="s">
        <v>2</v>
      </c>
      <c r="BP71" s="73" t="s">
        <v>2</v>
      </c>
      <c r="BQ71" s="73" t="s">
        <v>2</v>
      </c>
      <c r="BR71" s="73" t="s">
        <v>2</v>
      </c>
      <c r="BS71" s="73" t="s">
        <v>2</v>
      </c>
      <c r="BT71" s="73" t="s">
        <v>2</v>
      </c>
      <c r="BU71" s="73" t="s">
        <v>2</v>
      </c>
      <c r="BV71" s="73" t="s">
        <v>2</v>
      </c>
      <c r="BW71" s="73" t="s">
        <v>2</v>
      </c>
      <c r="BX71" s="73" t="s">
        <v>2</v>
      </c>
      <c r="BY71" s="73" t="s">
        <v>2</v>
      </c>
      <c r="BZ71" s="71" t="s">
        <v>2</v>
      </c>
      <c r="CA71" s="6" t="s">
        <v>2</v>
      </c>
      <c r="CB71" s="6" t="s">
        <v>2</v>
      </c>
      <c r="CC71" s="6" t="s">
        <v>2</v>
      </c>
      <c r="CD71" s="6" t="s">
        <v>2</v>
      </c>
      <c r="CE71" s="6" t="s">
        <v>2</v>
      </c>
      <c r="CF71" s="6" t="s">
        <v>2</v>
      </c>
      <c r="CG71" s="22" t="s">
        <v>2</v>
      </c>
      <c r="CH71" s="73" t="s">
        <v>2</v>
      </c>
      <c r="CI71" s="71" t="s">
        <v>2</v>
      </c>
      <c r="CJ71" s="6" t="s">
        <v>2</v>
      </c>
      <c r="CK71" s="6" t="s">
        <v>2</v>
      </c>
      <c r="CL71" s="6" t="s">
        <v>2</v>
      </c>
      <c r="CM71" s="22" t="s">
        <v>2</v>
      </c>
      <c r="CN71" s="21" t="s">
        <v>2</v>
      </c>
      <c r="CO71" s="21" t="s">
        <v>2</v>
      </c>
    </row>
    <row r="72" spans="1:93" s="102" customFormat="1" x14ac:dyDescent="0.25">
      <c r="A72" s="107" t="s">
        <v>1123</v>
      </c>
      <c r="B72" s="54" t="s">
        <v>1196</v>
      </c>
      <c r="C72" s="82" t="s">
        <v>2</v>
      </c>
      <c r="D72" s="287">
        <v>15</v>
      </c>
      <c r="E72" s="21">
        <v>0</v>
      </c>
      <c r="F72" s="73">
        <v>169</v>
      </c>
      <c r="G72" s="71">
        <v>706.42</v>
      </c>
      <c r="H72" s="83">
        <v>58.2</v>
      </c>
      <c r="I72" s="6">
        <v>0.2</v>
      </c>
      <c r="J72" s="6">
        <v>0.6</v>
      </c>
      <c r="K72" s="6">
        <v>40.770000000000003</v>
      </c>
      <c r="L72" s="6">
        <v>0.1</v>
      </c>
      <c r="M72" s="22">
        <v>0.23</v>
      </c>
      <c r="N72" s="73">
        <v>58</v>
      </c>
      <c r="O72" s="73">
        <v>8</v>
      </c>
      <c r="P72" s="6">
        <v>0.94</v>
      </c>
      <c r="Q72" s="6">
        <v>0.89</v>
      </c>
      <c r="R72" s="73" t="s">
        <v>2</v>
      </c>
      <c r="S72" s="73" t="s">
        <v>2</v>
      </c>
      <c r="T72" s="73" t="s">
        <v>2</v>
      </c>
      <c r="U72" s="75" t="s">
        <v>2</v>
      </c>
      <c r="V72" s="75" t="s">
        <v>2</v>
      </c>
      <c r="W72" s="22" t="s">
        <v>2</v>
      </c>
      <c r="X72" s="6" t="s">
        <v>2</v>
      </c>
      <c r="Y72" s="75" t="s">
        <v>2</v>
      </c>
      <c r="Z72" s="75" t="s">
        <v>2</v>
      </c>
      <c r="AA72" s="75" t="s">
        <v>2</v>
      </c>
      <c r="AB72" s="75" t="s">
        <v>2</v>
      </c>
      <c r="AC72" s="75" t="s">
        <v>2</v>
      </c>
      <c r="AD72" s="73" t="s">
        <v>2</v>
      </c>
      <c r="AE72" s="73" t="s">
        <v>2</v>
      </c>
      <c r="AF72" s="6" t="s">
        <v>2</v>
      </c>
      <c r="AG72" s="22" t="s">
        <v>2</v>
      </c>
      <c r="AH72" s="73" t="s">
        <v>2</v>
      </c>
      <c r="AI72" s="73" t="s">
        <v>2</v>
      </c>
      <c r="AJ72" s="6" t="s">
        <v>2</v>
      </c>
      <c r="AK72" s="6" t="s">
        <v>2</v>
      </c>
      <c r="AL72" s="22" t="s">
        <v>2</v>
      </c>
      <c r="AM72" s="73" t="s">
        <v>2</v>
      </c>
      <c r="AN72" s="73" t="s">
        <v>2</v>
      </c>
      <c r="AO72" s="71" t="s">
        <v>2</v>
      </c>
      <c r="AP72" s="6" t="s">
        <v>2</v>
      </c>
      <c r="AQ72" s="75" t="s">
        <v>2</v>
      </c>
      <c r="AR72" s="75" t="s">
        <v>2</v>
      </c>
      <c r="AS72" s="75" t="s">
        <v>2</v>
      </c>
      <c r="AT72" s="75" t="s">
        <v>2</v>
      </c>
      <c r="AU72" s="75" t="s">
        <v>2</v>
      </c>
      <c r="AV72" s="77" t="s">
        <v>2</v>
      </c>
      <c r="AW72" s="6" t="s">
        <v>2</v>
      </c>
      <c r="AX72" s="75" t="s">
        <v>2</v>
      </c>
      <c r="AY72" s="75" t="s">
        <v>2</v>
      </c>
      <c r="AZ72" s="77" t="s">
        <v>2</v>
      </c>
      <c r="BA72" s="6" t="s">
        <v>2</v>
      </c>
      <c r="BB72" s="75" t="s">
        <v>2</v>
      </c>
      <c r="BC72" s="75" t="s">
        <v>2</v>
      </c>
      <c r="BD72" s="75" t="s">
        <v>2</v>
      </c>
      <c r="BE72" s="75" t="s">
        <v>2</v>
      </c>
      <c r="BF72" s="77" t="s">
        <v>2</v>
      </c>
      <c r="BG72" s="21" t="s">
        <v>2</v>
      </c>
      <c r="BH72" s="21" t="s">
        <v>2</v>
      </c>
      <c r="BI72" s="73" t="s">
        <v>2</v>
      </c>
      <c r="BJ72" s="73" t="s">
        <v>2</v>
      </c>
      <c r="BK72" s="73" t="s">
        <v>2</v>
      </c>
      <c r="BL72" s="73" t="s">
        <v>2</v>
      </c>
      <c r="BM72" s="73" t="s">
        <v>2</v>
      </c>
      <c r="BN72" s="73" t="s">
        <v>2</v>
      </c>
      <c r="BO72" s="73" t="s">
        <v>2</v>
      </c>
      <c r="BP72" s="73" t="s">
        <v>2</v>
      </c>
      <c r="BQ72" s="73" t="s">
        <v>2</v>
      </c>
      <c r="BR72" s="73" t="s">
        <v>2</v>
      </c>
      <c r="BS72" s="73" t="s">
        <v>2</v>
      </c>
      <c r="BT72" s="73" t="s">
        <v>2</v>
      </c>
      <c r="BU72" s="73" t="s">
        <v>2</v>
      </c>
      <c r="BV72" s="73" t="s">
        <v>2</v>
      </c>
      <c r="BW72" s="73" t="s">
        <v>2</v>
      </c>
      <c r="BX72" s="73" t="s">
        <v>2</v>
      </c>
      <c r="BY72" s="73" t="s">
        <v>2</v>
      </c>
      <c r="BZ72" s="71" t="s">
        <v>2</v>
      </c>
      <c r="CA72" s="6" t="s">
        <v>2</v>
      </c>
      <c r="CB72" s="6" t="s">
        <v>2</v>
      </c>
      <c r="CC72" s="6" t="s">
        <v>2</v>
      </c>
      <c r="CD72" s="6" t="s">
        <v>2</v>
      </c>
      <c r="CE72" s="6" t="s">
        <v>2</v>
      </c>
      <c r="CF72" s="6" t="s">
        <v>2</v>
      </c>
      <c r="CG72" s="22" t="s">
        <v>2</v>
      </c>
      <c r="CH72" s="73" t="s">
        <v>2</v>
      </c>
      <c r="CI72" s="71" t="s">
        <v>2</v>
      </c>
      <c r="CJ72" s="6" t="s">
        <v>2</v>
      </c>
      <c r="CK72" s="6" t="s">
        <v>2</v>
      </c>
      <c r="CL72" s="6" t="s">
        <v>2</v>
      </c>
      <c r="CM72" s="22" t="s">
        <v>2</v>
      </c>
      <c r="CN72" s="21" t="s">
        <v>2</v>
      </c>
      <c r="CO72" s="21" t="s">
        <v>2</v>
      </c>
    </row>
    <row r="73" spans="1:93" s="102" customFormat="1" x14ac:dyDescent="0.25">
      <c r="A73" s="107" t="s">
        <v>1124</v>
      </c>
      <c r="B73" s="54" t="s">
        <v>1197</v>
      </c>
      <c r="C73" s="5" t="s">
        <v>1268</v>
      </c>
      <c r="D73" s="287">
        <v>15</v>
      </c>
      <c r="E73" s="21">
        <v>0</v>
      </c>
      <c r="F73" s="73">
        <v>181</v>
      </c>
      <c r="G73" s="71">
        <v>756.57999999999993</v>
      </c>
      <c r="H73" s="83">
        <v>59.1</v>
      </c>
      <c r="I73" s="6">
        <v>4.3</v>
      </c>
      <c r="J73" s="6">
        <v>4.2</v>
      </c>
      <c r="K73" s="6">
        <v>31.6</v>
      </c>
      <c r="L73" s="6">
        <v>0.6</v>
      </c>
      <c r="M73" s="22">
        <v>0.8</v>
      </c>
      <c r="N73" s="73">
        <v>26</v>
      </c>
      <c r="O73" s="73">
        <v>50</v>
      </c>
      <c r="P73" s="6">
        <v>0.94</v>
      </c>
      <c r="Q73" s="6">
        <v>1.4</v>
      </c>
      <c r="R73" s="73" t="s">
        <v>2</v>
      </c>
      <c r="S73" s="73" t="s">
        <v>2</v>
      </c>
      <c r="T73" s="73" t="s">
        <v>2</v>
      </c>
      <c r="U73" s="75" t="s">
        <v>2</v>
      </c>
      <c r="V73" s="75" t="s">
        <v>2</v>
      </c>
      <c r="W73" s="22" t="s">
        <v>2</v>
      </c>
      <c r="X73" s="6" t="s">
        <v>2</v>
      </c>
      <c r="Y73" s="75" t="s">
        <v>2</v>
      </c>
      <c r="Z73" s="75" t="s">
        <v>2</v>
      </c>
      <c r="AA73" s="75" t="s">
        <v>2</v>
      </c>
      <c r="AB73" s="75" t="s">
        <v>2</v>
      </c>
      <c r="AC73" s="75" t="s">
        <v>2</v>
      </c>
      <c r="AD73" s="73" t="s">
        <v>2</v>
      </c>
      <c r="AE73" s="73" t="s">
        <v>2</v>
      </c>
      <c r="AF73" s="6" t="s">
        <v>2</v>
      </c>
      <c r="AG73" s="22" t="s">
        <v>2</v>
      </c>
      <c r="AH73" s="73" t="s">
        <v>2</v>
      </c>
      <c r="AI73" s="73" t="s">
        <v>2</v>
      </c>
      <c r="AJ73" s="6" t="s">
        <v>2</v>
      </c>
      <c r="AK73" s="6" t="s">
        <v>2</v>
      </c>
      <c r="AL73" s="22" t="s">
        <v>2</v>
      </c>
      <c r="AM73" s="73" t="s">
        <v>2</v>
      </c>
      <c r="AN73" s="73" t="s">
        <v>2</v>
      </c>
      <c r="AO73" s="71" t="s">
        <v>2</v>
      </c>
      <c r="AP73" s="6" t="s">
        <v>2</v>
      </c>
      <c r="AQ73" s="75" t="s">
        <v>2</v>
      </c>
      <c r="AR73" s="75" t="s">
        <v>2</v>
      </c>
      <c r="AS73" s="75" t="s">
        <v>2</v>
      </c>
      <c r="AT73" s="75" t="s">
        <v>2</v>
      </c>
      <c r="AU73" s="75" t="s">
        <v>2</v>
      </c>
      <c r="AV73" s="77" t="s">
        <v>2</v>
      </c>
      <c r="AW73" s="6" t="s">
        <v>2</v>
      </c>
      <c r="AX73" s="75" t="s">
        <v>2</v>
      </c>
      <c r="AY73" s="75" t="s">
        <v>2</v>
      </c>
      <c r="AZ73" s="77" t="s">
        <v>2</v>
      </c>
      <c r="BA73" s="6" t="s">
        <v>2</v>
      </c>
      <c r="BB73" s="75" t="s">
        <v>2</v>
      </c>
      <c r="BC73" s="75" t="s">
        <v>2</v>
      </c>
      <c r="BD73" s="75" t="s">
        <v>2</v>
      </c>
      <c r="BE73" s="75" t="s">
        <v>2</v>
      </c>
      <c r="BF73" s="77" t="s">
        <v>2</v>
      </c>
      <c r="BG73" s="21" t="s">
        <v>2</v>
      </c>
      <c r="BH73" s="21" t="s">
        <v>2</v>
      </c>
      <c r="BI73" s="73" t="s">
        <v>2</v>
      </c>
      <c r="BJ73" s="73" t="s">
        <v>2</v>
      </c>
      <c r="BK73" s="73" t="s">
        <v>2</v>
      </c>
      <c r="BL73" s="73" t="s">
        <v>2</v>
      </c>
      <c r="BM73" s="73" t="s">
        <v>2</v>
      </c>
      <c r="BN73" s="73" t="s">
        <v>2</v>
      </c>
      <c r="BO73" s="73" t="s">
        <v>2</v>
      </c>
      <c r="BP73" s="73" t="s">
        <v>2</v>
      </c>
      <c r="BQ73" s="73" t="s">
        <v>2</v>
      </c>
      <c r="BR73" s="73" t="s">
        <v>2</v>
      </c>
      <c r="BS73" s="73" t="s">
        <v>2</v>
      </c>
      <c r="BT73" s="73" t="s">
        <v>2</v>
      </c>
      <c r="BU73" s="73" t="s">
        <v>2</v>
      </c>
      <c r="BV73" s="73" t="s">
        <v>2</v>
      </c>
      <c r="BW73" s="73" t="s">
        <v>2</v>
      </c>
      <c r="BX73" s="73" t="s">
        <v>2</v>
      </c>
      <c r="BY73" s="73" t="s">
        <v>2</v>
      </c>
      <c r="BZ73" s="71" t="s">
        <v>2</v>
      </c>
      <c r="CA73" s="6" t="s">
        <v>2</v>
      </c>
      <c r="CB73" s="6" t="s">
        <v>2</v>
      </c>
      <c r="CC73" s="6" t="s">
        <v>2</v>
      </c>
      <c r="CD73" s="6" t="s">
        <v>2</v>
      </c>
      <c r="CE73" s="6" t="s">
        <v>2</v>
      </c>
      <c r="CF73" s="6" t="s">
        <v>2</v>
      </c>
      <c r="CG73" s="22" t="s">
        <v>2</v>
      </c>
      <c r="CH73" s="73" t="s">
        <v>2</v>
      </c>
      <c r="CI73" s="71" t="s">
        <v>2</v>
      </c>
      <c r="CJ73" s="6" t="s">
        <v>2</v>
      </c>
      <c r="CK73" s="6" t="s">
        <v>2</v>
      </c>
      <c r="CL73" s="6" t="s">
        <v>2</v>
      </c>
      <c r="CM73" s="22" t="s">
        <v>2</v>
      </c>
      <c r="CN73" s="21" t="s">
        <v>2</v>
      </c>
      <c r="CO73" s="21" t="s">
        <v>2</v>
      </c>
    </row>
    <row r="74" spans="1:93" s="102" customFormat="1" x14ac:dyDescent="0.25">
      <c r="A74" s="107" t="s">
        <v>1125</v>
      </c>
      <c r="B74" s="54" t="s">
        <v>1198</v>
      </c>
      <c r="C74" s="5" t="s">
        <v>1269</v>
      </c>
      <c r="D74" s="287">
        <v>15</v>
      </c>
      <c r="E74" s="21">
        <v>0</v>
      </c>
      <c r="F74" s="73">
        <v>297</v>
      </c>
      <c r="G74" s="71">
        <v>1241.4599999999998</v>
      </c>
      <c r="H74" s="83">
        <v>42.9</v>
      </c>
      <c r="I74" s="6">
        <v>2</v>
      </c>
      <c r="J74" s="6">
        <v>14.2</v>
      </c>
      <c r="K74" s="6">
        <v>40.340000000000003</v>
      </c>
      <c r="L74" s="6">
        <v>0.1</v>
      </c>
      <c r="M74" s="22">
        <v>0.56000000000000005</v>
      </c>
      <c r="N74" s="73">
        <v>124</v>
      </c>
      <c r="O74" s="73">
        <v>13</v>
      </c>
      <c r="P74" s="6">
        <v>1.1000000000000001</v>
      </c>
      <c r="Q74" s="6">
        <v>0.45</v>
      </c>
      <c r="R74" s="73" t="s">
        <v>2</v>
      </c>
      <c r="S74" s="73" t="s">
        <v>2</v>
      </c>
      <c r="T74" s="73" t="s">
        <v>2</v>
      </c>
      <c r="U74" s="75" t="s">
        <v>2</v>
      </c>
      <c r="V74" s="75" t="s">
        <v>2</v>
      </c>
      <c r="W74" s="22" t="s">
        <v>2</v>
      </c>
      <c r="X74" s="6" t="s">
        <v>2</v>
      </c>
      <c r="Y74" s="75" t="s">
        <v>2</v>
      </c>
      <c r="Z74" s="75" t="s">
        <v>2</v>
      </c>
      <c r="AA74" s="75" t="s">
        <v>2</v>
      </c>
      <c r="AB74" s="75" t="s">
        <v>2</v>
      </c>
      <c r="AC74" s="75" t="s">
        <v>2</v>
      </c>
      <c r="AD74" s="73" t="s">
        <v>2</v>
      </c>
      <c r="AE74" s="73" t="s">
        <v>2</v>
      </c>
      <c r="AF74" s="6" t="s">
        <v>2</v>
      </c>
      <c r="AG74" s="22" t="s">
        <v>2</v>
      </c>
      <c r="AH74" s="73" t="s">
        <v>2</v>
      </c>
      <c r="AI74" s="73" t="s">
        <v>2</v>
      </c>
      <c r="AJ74" s="6" t="s">
        <v>2</v>
      </c>
      <c r="AK74" s="6" t="s">
        <v>2</v>
      </c>
      <c r="AL74" s="22" t="s">
        <v>2</v>
      </c>
      <c r="AM74" s="73" t="s">
        <v>2</v>
      </c>
      <c r="AN74" s="73" t="s">
        <v>2</v>
      </c>
      <c r="AO74" s="71" t="s">
        <v>2</v>
      </c>
      <c r="AP74" s="6" t="s">
        <v>2</v>
      </c>
      <c r="AQ74" s="75" t="s">
        <v>2</v>
      </c>
      <c r="AR74" s="75" t="s">
        <v>2</v>
      </c>
      <c r="AS74" s="75" t="s">
        <v>2</v>
      </c>
      <c r="AT74" s="75" t="s">
        <v>2</v>
      </c>
      <c r="AU74" s="75" t="s">
        <v>2</v>
      </c>
      <c r="AV74" s="77" t="s">
        <v>2</v>
      </c>
      <c r="AW74" s="6" t="s">
        <v>2</v>
      </c>
      <c r="AX74" s="75" t="s">
        <v>2</v>
      </c>
      <c r="AY74" s="75" t="s">
        <v>2</v>
      </c>
      <c r="AZ74" s="77" t="s">
        <v>2</v>
      </c>
      <c r="BA74" s="6" t="s">
        <v>2</v>
      </c>
      <c r="BB74" s="75" t="s">
        <v>2</v>
      </c>
      <c r="BC74" s="75" t="s">
        <v>2</v>
      </c>
      <c r="BD74" s="75" t="s">
        <v>2</v>
      </c>
      <c r="BE74" s="75" t="s">
        <v>2</v>
      </c>
      <c r="BF74" s="77" t="s">
        <v>2</v>
      </c>
      <c r="BG74" s="21" t="s">
        <v>2</v>
      </c>
      <c r="BH74" s="21" t="s">
        <v>2</v>
      </c>
      <c r="BI74" s="73" t="s">
        <v>2</v>
      </c>
      <c r="BJ74" s="73" t="s">
        <v>2</v>
      </c>
      <c r="BK74" s="73" t="s">
        <v>2</v>
      </c>
      <c r="BL74" s="73" t="s">
        <v>2</v>
      </c>
      <c r="BM74" s="73" t="s">
        <v>2</v>
      </c>
      <c r="BN74" s="73" t="s">
        <v>2</v>
      </c>
      <c r="BO74" s="73" t="s">
        <v>2</v>
      </c>
      <c r="BP74" s="73" t="s">
        <v>2</v>
      </c>
      <c r="BQ74" s="73" t="s">
        <v>2</v>
      </c>
      <c r="BR74" s="73" t="s">
        <v>2</v>
      </c>
      <c r="BS74" s="73" t="s">
        <v>2</v>
      </c>
      <c r="BT74" s="73" t="s">
        <v>2</v>
      </c>
      <c r="BU74" s="73" t="s">
        <v>2</v>
      </c>
      <c r="BV74" s="73" t="s">
        <v>2</v>
      </c>
      <c r="BW74" s="73" t="s">
        <v>2</v>
      </c>
      <c r="BX74" s="73" t="s">
        <v>2</v>
      </c>
      <c r="BY74" s="73" t="s">
        <v>2</v>
      </c>
      <c r="BZ74" s="71" t="s">
        <v>2</v>
      </c>
      <c r="CA74" s="6" t="s">
        <v>2</v>
      </c>
      <c r="CB74" s="6" t="s">
        <v>2</v>
      </c>
      <c r="CC74" s="6" t="s">
        <v>2</v>
      </c>
      <c r="CD74" s="6" t="s">
        <v>2</v>
      </c>
      <c r="CE74" s="6" t="s">
        <v>2</v>
      </c>
      <c r="CF74" s="6" t="s">
        <v>2</v>
      </c>
      <c r="CG74" s="22" t="s">
        <v>2</v>
      </c>
      <c r="CH74" s="73" t="s">
        <v>2</v>
      </c>
      <c r="CI74" s="71" t="s">
        <v>2</v>
      </c>
      <c r="CJ74" s="6" t="s">
        <v>2</v>
      </c>
      <c r="CK74" s="6" t="s">
        <v>2</v>
      </c>
      <c r="CL74" s="6" t="s">
        <v>2</v>
      </c>
      <c r="CM74" s="22" t="s">
        <v>2</v>
      </c>
      <c r="CN74" s="21" t="s">
        <v>2</v>
      </c>
      <c r="CO74" s="21" t="s">
        <v>2</v>
      </c>
    </row>
    <row r="75" spans="1:93" s="102" customFormat="1" x14ac:dyDescent="0.25">
      <c r="A75" s="107" t="s">
        <v>1126</v>
      </c>
      <c r="B75" s="54" t="s">
        <v>1199</v>
      </c>
      <c r="C75" s="5" t="s">
        <v>1270</v>
      </c>
      <c r="D75" s="287">
        <v>15</v>
      </c>
      <c r="E75" s="21">
        <v>0</v>
      </c>
      <c r="F75" s="73">
        <v>250</v>
      </c>
      <c r="G75" s="71">
        <v>1045</v>
      </c>
      <c r="H75" s="83">
        <v>37.1</v>
      </c>
      <c r="I75" s="6">
        <v>3.4</v>
      </c>
      <c r="J75" s="6">
        <v>0.3</v>
      </c>
      <c r="K75" s="6">
        <v>58.5</v>
      </c>
      <c r="L75" s="6">
        <v>1.1000000000000001</v>
      </c>
      <c r="M75" s="22">
        <v>0.7</v>
      </c>
      <c r="N75" s="73">
        <v>28</v>
      </c>
      <c r="O75" s="73">
        <v>105</v>
      </c>
      <c r="P75" s="6">
        <v>0.6</v>
      </c>
      <c r="Q75" s="6">
        <v>0.77</v>
      </c>
      <c r="R75" s="73" t="s">
        <v>2</v>
      </c>
      <c r="S75" s="73" t="s">
        <v>2</v>
      </c>
      <c r="T75" s="73" t="s">
        <v>2</v>
      </c>
      <c r="U75" s="75" t="s">
        <v>2</v>
      </c>
      <c r="V75" s="75" t="s">
        <v>2</v>
      </c>
      <c r="W75" s="22" t="s">
        <v>2</v>
      </c>
      <c r="X75" s="6" t="s">
        <v>2</v>
      </c>
      <c r="Y75" s="75" t="s">
        <v>2</v>
      </c>
      <c r="Z75" s="75" t="s">
        <v>2</v>
      </c>
      <c r="AA75" s="75" t="s">
        <v>2</v>
      </c>
      <c r="AB75" s="75" t="s">
        <v>2</v>
      </c>
      <c r="AC75" s="75" t="s">
        <v>2</v>
      </c>
      <c r="AD75" s="73" t="s">
        <v>2</v>
      </c>
      <c r="AE75" s="73" t="s">
        <v>2</v>
      </c>
      <c r="AF75" s="6" t="s">
        <v>2</v>
      </c>
      <c r="AG75" s="22" t="s">
        <v>2</v>
      </c>
      <c r="AH75" s="73" t="s">
        <v>2</v>
      </c>
      <c r="AI75" s="73" t="s">
        <v>2</v>
      </c>
      <c r="AJ75" s="6" t="s">
        <v>2</v>
      </c>
      <c r="AK75" s="6" t="s">
        <v>2</v>
      </c>
      <c r="AL75" s="22" t="s">
        <v>2</v>
      </c>
      <c r="AM75" s="73" t="s">
        <v>2</v>
      </c>
      <c r="AN75" s="73" t="s">
        <v>2</v>
      </c>
      <c r="AO75" s="71" t="s">
        <v>2</v>
      </c>
      <c r="AP75" s="6" t="s">
        <v>2</v>
      </c>
      <c r="AQ75" s="75" t="s">
        <v>2</v>
      </c>
      <c r="AR75" s="75" t="s">
        <v>2</v>
      </c>
      <c r="AS75" s="75" t="s">
        <v>2</v>
      </c>
      <c r="AT75" s="75" t="s">
        <v>2</v>
      </c>
      <c r="AU75" s="75" t="s">
        <v>2</v>
      </c>
      <c r="AV75" s="77" t="s">
        <v>2</v>
      </c>
      <c r="AW75" s="6" t="s">
        <v>2</v>
      </c>
      <c r="AX75" s="75" t="s">
        <v>2</v>
      </c>
      <c r="AY75" s="75" t="s">
        <v>2</v>
      </c>
      <c r="AZ75" s="77" t="s">
        <v>2</v>
      </c>
      <c r="BA75" s="6" t="s">
        <v>2</v>
      </c>
      <c r="BB75" s="75" t="s">
        <v>2</v>
      </c>
      <c r="BC75" s="75" t="s">
        <v>2</v>
      </c>
      <c r="BD75" s="75" t="s">
        <v>2</v>
      </c>
      <c r="BE75" s="75" t="s">
        <v>2</v>
      </c>
      <c r="BF75" s="77" t="s">
        <v>2</v>
      </c>
      <c r="BG75" s="21" t="s">
        <v>2</v>
      </c>
      <c r="BH75" s="21" t="s">
        <v>2</v>
      </c>
      <c r="BI75" s="73" t="s">
        <v>2</v>
      </c>
      <c r="BJ75" s="73" t="s">
        <v>2</v>
      </c>
      <c r="BK75" s="73" t="s">
        <v>2</v>
      </c>
      <c r="BL75" s="73" t="s">
        <v>2</v>
      </c>
      <c r="BM75" s="73" t="s">
        <v>2</v>
      </c>
      <c r="BN75" s="73" t="s">
        <v>2</v>
      </c>
      <c r="BO75" s="73" t="s">
        <v>2</v>
      </c>
      <c r="BP75" s="73" t="s">
        <v>2</v>
      </c>
      <c r="BQ75" s="73" t="s">
        <v>2</v>
      </c>
      <c r="BR75" s="73" t="s">
        <v>2</v>
      </c>
      <c r="BS75" s="73" t="s">
        <v>2</v>
      </c>
      <c r="BT75" s="73" t="s">
        <v>2</v>
      </c>
      <c r="BU75" s="73" t="s">
        <v>2</v>
      </c>
      <c r="BV75" s="73" t="s">
        <v>2</v>
      </c>
      <c r="BW75" s="73" t="s">
        <v>2</v>
      </c>
      <c r="BX75" s="73" t="s">
        <v>2</v>
      </c>
      <c r="BY75" s="73" t="s">
        <v>2</v>
      </c>
      <c r="BZ75" s="71" t="s">
        <v>2</v>
      </c>
      <c r="CA75" s="6" t="s">
        <v>2</v>
      </c>
      <c r="CB75" s="6" t="s">
        <v>2</v>
      </c>
      <c r="CC75" s="6" t="s">
        <v>2</v>
      </c>
      <c r="CD75" s="6" t="s">
        <v>2</v>
      </c>
      <c r="CE75" s="6" t="s">
        <v>2</v>
      </c>
      <c r="CF75" s="6" t="s">
        <v>2</v>
      </c>
      <c r="CG75" s="22" t="s">
        <v>2</v>
      </c>
      <c r="CH75" s="73" t="s">
        <v>2</v>
      </c>
      <c r="CI75" s="71" t="s">
        <v>2</v>
      </c>
      <c r="CJ75" s="6" t="s">
        <v>2</v>
      </c>
      <c r="CK75" s="6" t="s">
        <v>2</v>
      </c>
      <c r="CL75" s="6" t="s">
        <v>2</v>
      </c>
      <c r="CM75" s="22" t="s">
        <v>2</v>
      </c>
      <c r="CN75" s="21" t="s">
        <v>2</v>
      </c>
      <c r="CO75" s="21" t="s">
        <v>2</v>
      </c>
    </row>
    <row r="76" spans="1:93" s="102" customFormat="1" x14ac:dyDescent="0.25">
      <c r="A76" s="107" t="s">
        <v>1127</v>
      </c>
      <c r="B76" s="54" t="s">
        <v>1200</v>
      </c>
      <c r="C76" s="5" t="s">
        <v>1274</v>
      </c>
      <c r="D76" s="287">
        <v>15</v>
      </c>
      <c r="E76" s="21">
        <v>0</v>
      </c>
      <c r="F76" s="73">
        <v>129</v>
      </c>
      <c r="G76" s="71">
        <v>539.21999999999991</v>
      </c>
      <c r="H76" s="83">
        <v>73.2</v>
      </c>
      <c r="I76" s="6">
        <v>3</v>
      </c>
      <c r="J76" s="6">
        <v>5.3</v>
      </c>
      <c r="K76" s="6">
        <v>17.399999999999999</v>
      </c>
      <c r="L76" s="6">
        <v>0.6</v>
      </c>
      <c r="M76" s="22">
        <v>1.1000000000000001</v>
      </c>
      <c r="N76" s="73">
        <v>73</v>
      </c>
      <c r="O76" s="73">
        <v>30</v>
      </c>
      <c r="P76" s="6">
        <v>0.5</v>
      </c>
      <c r="Q76" s="6">
        <v>0.19</v>
      </c>
      <c r="R76" s="73" t="s">
        <v>2</v>
      </c>
      <c r="S76" s="73" t="s">
        <v>2</v>
      </c>
      <c r="T76" s="73" t="s">
        <v>2</v>
      </c>
      <c r="U76" s="75" t="s">
        <v>2</v>
      </c>
      <c r="V76" s="75" t="s">
        <v>2</v>
      </c>
      <c r="W76" s="22" t="s">
        <v>2</v>
      </c>
      <c r="X76" s="6" t="s">
        <v>2</v>
      </c>
      <c r="Y76" s="75" t="s">
        <v>2</v>
      </c>
      <c r="Z76" s="75" t="s">
        <v>2</v>
      </c>
      <c r="AA76" s="75" t="s">
        <v>2</v>
      </c>
      <c r="AB76" s="75" t="s">
        <v>2</v>
      </c>
      <c r="AC76" s="75" t="s">
        <v>2</v>
      </c>
      <c r="AD76" s="73" t="s">
        <v>2</v>
      </c>
      <c r="AE76" s="73" t="s">
        <v>2</v>
      </c>
      <c r="AF76" s="6" t="s">
        <v>2</v>
      </c>
      <c r="AG76" s="22" t="s">
        <v>2</v>
      </c>
      <c r="AH76" s="73" t="s">
        <v>2</v>
      </c>
      <c r="AI76" s="73" t="s">
        <v>2</v>
      </c>
      <c r="AJ76" s="6" t="s">
        <v>2</v>
      </c>
      <c r="AK76" s="6" t="s">
        <v>2</v>
      </c>
      <c r="AL76" s="22" t="s">
        <v>2</v>
      </c>
      <c r="AM76" s="73" t="s">
        <v>2</v>
      </c>
      <c r="AN76" s="73" t="s">
        <v>2</v>
      </c>
      <c r="AO76" s="71" t="s">
        <v>2</v>
      </c>
      <c r="AP76" s="6" t="s">
        <v>2</v>
      </c>
      <c r="AQ76" s="75" t="s">
        <v>2</v>
      </c>
      <c r="AR76" s="75" t="s">
        <v>2</v>
      </c>
      <c r="AS76" s="75" t="s">
        <v>2</v>
      </c>
      <c r="AT76" s="75" t="s">
        <v>2</v>
      </c>
      <c r="AU76" s="75" t="s">
        <v>2</v>
      </c>
      <c r="AV76" s="77" t="s">
        <v>2</v>
      </c>
      <c r="AW76" s="6" t="s">
        <v>2</v>
      </c>
      <c r="AX76" s="75" t="s">
        <v>2</v>
      </c>
      <c r="AY76" s="75" t="s">
        <v>2</v>
      </c>
      <c r="AZ76" s="77" t="s">
        <v>2</v>
      </c>
      <c r="BA76" s="6" t="s">
        <v>2</v>
      </c>
      <c r="BB76" s="75" t="s">
        <v>2</v>
      </c>
      <c r="BC76" s="75" t="s">
        <v>2</v>
      </c>
      <c r="BD76" s="75" t="s">
        <v>2</v>
      </c>
      <c r="BE76" s="75" t="s">
        <v>2</v>
      </c>
      <c r="BF76" s="77" t="s">
        <v>2</v>
      </c>
      <c r="BG76" s="21" t="s">
        <v>2</v>
      </c>
      <c r="BH76" s="21" t="s">
        <v>2</v>
      </c>
      <c r="BI76" s="73" t="s">
        <v>2</v>
      </c>
      <c r="BJ76" s="73" t="s">
        <v>2</v>
      </c>
      <c r="BK76" s="73" t="s">
        <v>2</v>
      </c>
      <c r="BL76" s="73" t="s">
        <v>2</v>
      </c>
      <c r="BM76" s="73" t="s">
        <v>2</v>
      </c>
      <c r="BN76" s="73" t="s">
        <v>2</v>
      </c>
      <c r="BO76" s="73" t="s">
        <v>2</v>
      </c>
      <c r="BP76" s="73" t="s">
        <v>2</v>
      </c>
      <c r="BQ76" s="73" t="s">
        <v>2</v>
      </c>
      <c r="BR76" s="73" t="s">
        <v>2</v>
      </c>
      <c r="BS76" s="73" t="s">
        <v>2</v>
      </c>
      <c r="BT76" s="73" t="s">
        <v>2</v>
      </c>
      <c r="BU76" s="73" t="s">
        <v>2</v>
      </c>
      <c r="BV76" s="73" t="s">
        <v>2</v>
      </c>
      <c r="BW76" s="73" t="s">
        <v>2</v>
      </c>
      <c r="BX76" s="73" t="s">
        <v>2</v>
      </c>
      <c r="BY76" s="73" t="s">
        <v>2</v>
      </c>
      <c r="BZ76" s="71" t="s">
        <v>2</v>
      </c>
      <c r="CA76" s="6" t="s">
        <v>2</v>
      </c>
      <c r="CB76" s="6" t="s">
        <v>2</v>
      </c>
      <c r="CC76" s="6" t="s">
        <v>2</v>
      </c>
      <c r="CD76" s="6" t="s">
        <v>2</v>
      </c>
      <c r="CE76" s="6" t="s">
        <v>2</v>
      </c>
      <c r="CF76" s="6" t="s">
        <v>2</v>
      </c>
      <c r="CG76" s="22" t="s">
        <v>2</v>
      </c>
      <c r="CH76" s="73" t="s">
        <v>2</v>
      </c>
      <c r="CI76" s="71" t="s">
        <v>2</v>
      </c>
      <c r="CJ76" s="6" t="s">
        <v>2</v>
      </c>
      <c r="CK76" s="6" t="s">
        <v>2</v>
      </c>
      <c r="CL76" s="6" t="s">
        <v>2</v>
      </c>
      <c r="CM76" s="22" t="s">
        <v>2</v>
      </c>
      <c r="CN76" s="21" t="s">
        <v>2</v>
      </c>
      <c r="CO76" s="21" t="s">
        <v>2</v>
      </c>
    </row>
    <row r="77" spans="1:93" s="102" customFormat="1" x14ac:dyDescent="0.25">
      <c r="A77" s="107" t="s">
        <v>1128</v>
      </c>
      <c r="B77" s="54" t="s">
        <v>1201</v>
      </c>
      <c r="C77" s="5" t="s">
        <v>1271</v>
      </c>
      <c r="D77" s="287">
        <v>15</v>
      </c>
      <c r="E77" s="21">
        <v>0</v>
      </c>
      <c r="F77" s="73">
        <v>102</v>
      </c>
      <c r="G77" s="71">
        <v>426.35999999999996</v>
      </c>
      <c r="H77" s="83">
        <v>76.599999999999994</v>
      </c>
      <c r="I77" s="6">
        <v>2.1</v>
      </c>
      <c r="J77" s="6">
        <v>2.6</v>
      </c>
      <c r="K77" s="6">
        <v>17.649999999999999</v>
      </c>
      <c r="L77" s="6">
        <v>0.3</v>
      </c>
      <c r="M77" s="22">
        <v>1.05</v>
      </c>
      <c r="N77" s="73">
        <v>70</v>
      </c>
      <c r="O77" s="73">
        <v>18</v>
      </c>
      <c r="P77" s="6">
        <v>0.92</v>
      </c>
      <c r="Q77" s="6">
        <v>0.44</v>
      </c>
      <c r="R77" s="73" t="s">
        <v>2</v>
      </c>
      <c r="S77" s="73" t="s">
        <v>2</v>
      </c>
      <c r="T77" s="73" t="s">
        <v>2</v>
      </c>
      <c r="U77" s="75" t="s">
        <v>2</v>
      </c>
      <c r="V77" s="75" t="s">
        <v>2</v>
      </c>
      <c r="W77" s="22" t="s">
        <v>2</v>
      </c>
      <c r="X77" s="6" t="s">
        <v>2</v>
      </c>
      <c r="Y77" s="75" t="s">
        <v>2</v>
      </c>
      <c r="Z77" s="75" t="s">
        <v>2</v>
      </c>
      <c r="AA77" s="75" t="s">
        <v>2</v>
      </c>
      <c r="AB77" s="75" t="s">
        <v>2</v>
      </c>
      <c r="AC77" s="75" t="s">
        <v>2</v>
      </c>
      <c r="AD77" s="73" t="s">
        <v>2</v>
      </c>
      <c r="AE77" s="73" t="s">
        <v>2</v>
      </c>
      <c r="AF77" s="6" t="s">
        <v>2</v>
      </c>
      <c r="AG77" s="22" t="s">
        <v>2</v>
      </c>
      <c r="AH77" s="73" t="s">
        <v>2</v>
      </c>
      <c r="AI77" s="73" t="s">
        <v>2</v>
      </c>
      <c r="AJ77" s="6" t="s">
        <v>2</v>
      </c>
      <c r="AK77" s="6" t="s">
        <v>2</v>
      </c>
      <c r="AL77" s="22" t="s">
        <v>2</v>
      </c>
      <c r="AM77" s="73" t="s">
        <v>2</v>
      </c>
      <c r="AN77" s="73" t="s">
        <v>2</v>
      </c>
      <c r="AO77" s="71" t="s">
        <v>2</v>
      </c>
      <c r="AP77" s="6" t="s">
        <v>2</v>
      </c>
      <c r="AQ77" s="75" t="s">
        <v>2</v>
      </c>
      <c r="AR77" s="75" t="s">
        <v>2</v>
      </c>
      <c r="AS77" s="75" t="s">
        <v>2</v>
      </c>
      <c r="AT77" s="75" t="s">
        <v>2</v>
      </c>
      <c r="AU77" s="75" t="s">
        <v>2</v>
      </c>
      <c r="AV77" s="77" t="s">
        <v>2</v>
      </c>
      <c r="AW77" s="6" t="s">
        <v>2</v>
      </c>
      <c r="AX77" s="75" t="s">
        <v>2</v>
      </c>
      <c r="AY77" s="75" t="s">
        <v>2</v>
      </c>
      <c r="AZ77" s="77" t="s">
        <v>2</v>
      </c>
      <c r="BA77" s="6" t="s">
        <v>2</v>
      </c>
      <c r="BB77" s="75" t="s">
        <v>2</v>
      </c>
      <c r="BC77" s="75" t="s">
        <v>2</v>
      </c>
      <c r="BD77" s="75" t="s">
        <v>2</v>
      </c>
      <c r="BE77" s="75" t="s">
        <v>2</v>
      </c>
      <c r="BF77" s="77" t="s">
        <v>2</v>
      </c>
      <c r="BG77" s="21" t="s">
        <v>2</v>
      </c>
      <c r="BH77" s="21" t="s">
        <v>2</v>
      </c>
      <c r="BI77" s="73" t="s">
        <v>2</v>
      </c>
      <c r="BJ77" s="73" t="s">
        <v>2</v>
      </c>
      <c r="BK77" s="73" t="s">
        <v>2</v>
      </c>
      <c r="BL77" s="73" t="s">
        <v>2</v>
      </c>
      <c r="BM77" s="73" t="s">
        <v>2</v>
      </c>
      <c r="BN77" s="73" t="s">
        <v>2</v>
      </c>
      <c r="BO77" s="73" t="s">
        <v>2</v>
      </c>
      <c r="BP77" s="73" t="s">
        <v>2</v>
      </c>
      <c r="BQ77" s="73" t="s">
        <v>2</v>
      </c>
      <c r="BR77" s="73" t="s">
        <v>2</v>
      </c>
      <c r="BS77" s="73" t="s">
        <v>2</v>
      </c>
      <c r="BT77" s="73" t="s">
        <v>2</v>
      </c>
      <c r="BU77" s="73" t="s">
        <v>2</v>
      </c>
      <c r="BV77" s="73" t="s">
        <v>2</v>
      </c>
      <c r="BW77" s="73" t="s">
        <v>2</v>
      </c>
      <c r="BX77" s="73" t="s">
        <v>2</v>
      </c>
      <c r="BY77" s="73" t="s">
        <v>2</v>
      </c>
      <c r="BZ77" s="71" t="s">
        <v>2</v>
      </c>
      <c r="CA77" s="6" t="s">
        <v>2</v>
      </c>
      <c r="CB77" s="6" t="s">
        <v>2</v>
      </c>
      <c r="CC77" s="6" t="s">
        <v>2</v>
      </c>
      <c r="CD77" s="6" t="s">
        <v>2</v>
      </c>
      <c r="CE77" s="6" t="s">
        <v>2</v>
      </c>
      <c r="CF77" s="6" t="s">
        <v>2</v>
      </c>
      <c r="CG77" s="22" t="s">
        <v>2</v>
      </c>
      <c r="CH77" s="73" t="s">
        <v>2</v>
      </c>
      <c r="CI77" s="71" t="s">
        <v>2</v>
      </c>
      <c r="CJ77" s="6" t="s">
        <v>2</v>
      </c>
      <c r="CK77" s="6" t="s">
        <v>2</v>
      </c>
      <c r="CL77" s="6" t="s">
        <v>2</v>
      </c>
      <c r="CM77" s="22" t="s">
        <v>2</v>
      </c>
      <c r="CN77" s="21" t="s">
        <v>2</v>
      </c>
      <c r="CO77" s="21" t="s">
        <v>2</v>
      </c>
    </row>
    <row r="78" spans="1:93" s="102" customFormat="1" x14ac:dyDescent="0.25">
      <c r="A78" s="107" t="s">
        <v>1129</v>
      </c>
      <c r="B78" s="54" t="s">
        <v>1202</v>
      </c>
      <c r="C78" s="5" t="s">
        <v>1272</v>
      </c>
      <c r="D78" s="287">
        <v>15</v>
      </c>
      <c r="E78" s="21">
        <v>0</v>
      </c>
      <c r="F78" s="73">
        <v>349</v>
      </c>
      <c r="G78" s="71">
        <v>1458.82</v>
      </c>
      <c r="H78" s="83">
        <v>24.6</v>
      </c>
      <c r="I78" s="6">
        <v>5</v>
      </c>
      <c r="J78" s="6">
        <v>9.8000000000000007</v>
      </c>
      <c r="K78" s="6">
        <v>60.3</v>
      </c>
      <c r="L78" s="6">
        <v>0.9</v>
      </c>
      <c r="M78" s="22">
        <v>0.3</v>
      </c>
      <c r="N78" s="73">
        <v>29</v>
      </c>
      <c r="O78" s="73">
        <v>58</v>
      </c>
      <c r="P78" s="6">
        <v>1.2</v>
      </c>
      <c r="Q78" s="6">
        <v>0.55000000000000004</v>
      </c>
      <c r="R78" s="73" t="s">
        <v>2</v>
      </c>
      <c r="S78" s="73" t="s">
        <v>2</v>
      </c>
      <c r="T78" s="73" t="s">
        <v>2</v>
      </c>
      <c r="U78" s="75" t="s">
        <v>2</v>
      </c>
      <c r="V78" s="75" t="s">
        <v>2</v>
      </c>
      <c r="W78" s="22" t="s">
        <v>2</v>
      </c>
      <c r="X78" s="6" t="s">
        <v>2</v>
      </c>
      <c r="Y78" s="75" t="s">
        <v>2</v>
      </c>
      <c r="Z78" s="75" t="s">
        <v>2</v>
      </c>
      <c r="AA78" s="75" t="s">
        <v>2</v>
      </c>
      <c r="AB78" s="75" t="s">
        <v>2</v>
      </c>
      <c r="AC78" s="75" t="s">
        <v>2</v>
      </c>
      <c r="AD78" s="73" t="s">
        <v>2</v>
      </c>
      <c r="AE78" s="73" t="s">
        <v>2</v>
      </c>
      <c r="AF78" s="6" t="s">
        <v>2</v>
      </c>
      <c r="AG78" s="22" t="s">
        <v>2</v>
      </c>
      <c r="AH78" s="73" t="s">
        <v>2</v>
      </c>
      <c r="AI78" s="73" t="s">
        <v>2</v>
      </c>
      <c r="AJ78" s="6" t="s">
        <v>2</v>
      </c>
      <c r="AK78" s="6" t="s">
        <v>2</v>
      </c>
      <c r="AL78" s="22" t="s">
        <v>2</v>
      </c>
      <c r="AM78" s="73" t="s">
        <v>2</v>
      </c>
      <c r="AN78" s="73" t="s">
        <v>2</v>
      </c>
      <c r="AO78" s="71" t="s">
        <v>2</v>
      </c>
      <c r="AP78" s="6" t="s">
        <v>2</v>
      </c>
      <c r="AQ78" s="75" t="s">
        <v>2</v>
      </c>
      <c r="AR78" s="75" t="s">
        <v>2</v>
      </c>
      <c r="AS78" s="75" t="s">
        <v>2</v>
      </c>
      <c r="AT78" s="75" t="s">
        <v>2</v>
      </c>
      <c r="AU78" s="75" t="s">
        <v>2</v>
      </c>
      <c r="AV78" s="77" t="s">
        <v>2</v>
      </c>
      <c r="AW78" s="6" t="s">
        <v>2</v>
      </c>
      <c r="AX78" s="75" t="s">
        <v>2</v>
      </c>
      <c r="AY78" s="75" t="s">
        <v>2</v>
      </c>
      <c r="AZ78" s="77" t="s">
        <v>2</v>
      </c>
      <c r="BA78" s="6" t="s">
        <v>2</v>
      </c>
      <c r="BB78" s="75" t="s">
        <v>2</v>
      </c>
      <c r="BC78" s="75" t="s">
        <v>2</v>
      </c>
      <c r="BD78" s="75" t="s">
        <v>2</v>
      </c>
      <c r="BE78" s="75" t="s">
        <v>2</v>
      </c>
      <c r="BF78" s="77" t="s">
        <v>2</v>
      </c>
      <c r="BG78" s="21" t="s">
        <v>2</v>
      </c>
      <c r="BH78" s="21" t="s">
        <v>2</v>
      </c>
      <c r="BI78" s="73" t="s">
        <v>2</v>
      </c>
      <c r="BJ78" s="73" t="s">
        <v>2</v>
      </c>
      <c r="BK78" s="73" t="s">
        <v>2</v>
      </c>
      <c r="BL78" s="73" t="s">
        <v>2</v>
      </c>
      <c r="BM78" s="73" t="s">
        <v>2</v>
      </c>
      <c r="BN78" s="73" t="s">
        <v>2</v>
      </c>
      <c r="BO78" s="73" t="s">
        <v>2</v>
      </c>
      <c r="BP78" s="73" t="s">
        <v>2</v>
      </c>
      <c r="BQ78" s="73" t="s">
        <v>2</v>
      </c>
      <c r="BR78" s="73" t="s">
        <v>2</v>
      </c>
      <c r="BS78" s="73" t="s">
        <v>2</v>
      </c>
      <c r="BT78" s="73" t="s">
        <v>2</v>
      </c>
      <c r="BU78" s="73" t="s">
        <v>2</v>
      </c>
      <c r="BV78" s="73" t="s">
        <v>2</v>
      </c>
      <c r="BW78" s="73" t="s">
        <v>2</v>
      </c>
      <c r="BX78" s="73" t="s">
        <v>2</v>
      </c>
      <c r="BY78" s="73" t="s">
        <v>2</v>
      </c>
      <c r="BZ78" s="71" t="s">
        <v>2</v>
      </c>
      <c r="CA78" s="6" t="s">
        <v>2</v>
      </c>
      <c r="CB78" s="6" t="s">
        <v>2</v>
      </c>
      <c r="CC78" s="6" t="s">
        <v>2</v>
      </c>
      <c r="CD78" s="6" t="s">
        <v>2</v>
      </c>
      <c r="CE78" s="6" t="s">
        <v>2</v>
      </c>
      <c r="CF78" s="6" t="s">
        <v>2</v>
      </c>
      <c r="CG78" s="22" t="s">
        <v>2</v>
      </c>
      <c r="CH78" s="73" t="s">
        <v>2</v>
      </c>
      <c r="CI78" s="71" t="s">
        <v>2</v>
      </c>
      <c r="CJ78" s="6" t="s">
        <v>2</v>
      </c>
      <c r="CK78" s="6" t="s">
        <v>2</v>
      </c>
      <c r="CL78" s="6" t="s">
        <v>2</v>
      </c>
      <c r="CM78" s="22" t="s">
        <v>2</v>
      </c>
      <c r="CN78" s="21" t="s">
        <v>2</v>
      </c>
      <c r="CO78" s="21" t="s">
        <v>2</v>
      </c>
    </row>
    <row r="79" spans="1:93" s="102" customFormat="1" x14ac:dyDescent="0.25">
      <c r="A79" s="107" t="s">
        <v>1130</v>
      </c>
      <c r="B79" s="54" t="s">
        <v>1203</v>
      </c>
      <c r="C79" s="5" t="s">
        <v>1273</v>
      </c>
      <c r="D79" s="287">
        <v>15</v>
      </c>
      <c r="E79" s="21">
        <v>0</v>
      </c>
      <c r="F79" s="73">
        <v>338</v>
      </c>
      <c r="G79" s="71">
        <v>1412.84</v>
      </c>
      <c r="H79" s="83">
        <v>25.4</v>
      </c>
      <c r="I79" s="6">
        <v>7.4</v>
      </c>
      <c r="J79" s="6">
        <v>8.1999999999999993</v>
      </c>
      <c r="K79" s="6">
        <v>58.6</v>
      </c>
      <c r="L79" s="6">
        <v>1.1000000000000001</v>
      </c>
      <c r="M79" s="22">
        <v>0.4</v>
      </c>
      <c r="N79" s="73">
        <v>32</v>
      </c>
      <c r="O79" s="73">
        <v>133</v>
      </c>
      <c r="P79" s="6">
        <v>1.5</v>
      </c>
      <c r="Q79" s="6">
        <v>0.8</v>
      </c>
      <c r="R79" s="73" t="s">
        <v>2</v>
      </c>
      <c r="S79" s="73" t="s">
        <v>2</v>
      </c>
      <c r="T79" s="73" t="s">
        <v>2</v>
      </c>
      <c r="U79" s="75" t="s">
        <v>2</v>
      </c>
      <c r="V79" s="75" t="s">
        <v>2</v>
      </c>
      <c r="W79" s="22" t="s">
        <v>2</v>
      </c>
      <c r="X79" s="6" t="s">
        <v>2</v>
      </c>
      <c r="Y79" s="75" t="s">
        <v>2</v>
      </c>
      <c r="Z79" s="75" t="s">
        <v>2</v>
      </c>
      <c r="AA79" s="75" t="s">
        <v>2</v>
      </c>
      <c r="AB79" s="75" t="s">
        <v>2</v>
      </c>
      <c r="AC79" s="75" t="s">
        <v>2</v>
      </c>
      <c r="AD79" s="73" t="s">
        <v>2</v>
      </c>
      <c r="AE79" s="73" t="s">
        <v>2</v>
      </c>
      <c r="AF79" s="6" t="s">
        <v>2</v>
      </c>
      <c r="AG79" s="22" t="s">
        <v>2</v>
      </c>
      <c r="AH79" s="73" t="s">
        <v>2</v>
      </c>
      <c r="AI79" s="73" t="s">
        <v>2</v>
      </c>
      <c r="AJ79" s="6" t="s">
        <v>2</v>
      </c>
      <c r="AK79" s="6" t="s">
        <v>2</v>
      </c>
      <c r="AL79" s="22" t="s">
        <v>2</v>
      </c>
      <c r="AM79" s="73" t="s">
        <v>2</v>
      </c>
      <c r="AN79" s="73" t="s">
        <v>2</v>
      </c>
      <c r="AO79" s="71" t="s">
        <v>2</v>
      </c>
      <c r="AP79" s="6" t="s">
        <v>2</v>
      </c>
      <c r="AQ79" s="75" t="s">
        <v>2</v>
      </c>
      <c r="AR79" s="75" t="s">
        <v>2</v>
      </c>
      <c r="AS79" s="75" t="s">
        <v>2</v>
      </c>
      <c r="AT79" s="75" t="s">
        <v>2</v>
      </c>
      <c r="AU79" s="75" t="s">
        <v>2</v>
      </c>
      <c r="AV79" s="77" t="s">
        <v>2</v>
      </c>
      <c r="AW79" s="6" t="s">
        <v>2</v>
      </c>
      <c r="AX79" s="75" t="s">
        <v>2</v>
      </c>
      <c r="AY79" s="75" t="s">
        <v>2</v>
      </c>
      <c r="AZ79" s="77" t="s">
        <v>2</v>
      </c>
      <c r="BA79" s="6" t="s">
        <v>2</v>
      </c>
      <c r="BB79" s="75" t="s">
        <v>2</v>
      </c>
      <c r="BC79" s="75" t="s">
        <v>2</v>
      </c>
      <c r="BD79" s="75" t="s">
        <v>2</v>
      </c>
      <c r="BE79" s="75" t="s">
        <v>2</v>
      </c>
      <c r="BF79" s="77" t="s">
        <v>2</v>
      </c>
      <c r="BG79" s="21" t="s">
        <v>2</v>
      </c>
      <c r="BH79" s="21" t="s">
        <v>2</v>
      </c>
      <c r="BI79" s="73" t="s">
        <v>2</v>
      </c>
      <c r="BJ79" s="73" t="s">
        <v>2</v>
      </c>
      <c r="BK79" s="73" t="s">
        <v>2</v>
      </c>
      <c r="BL79" s="73" t="s">
        <v>2</v>
      </c>
      <c r="BM79" s="73" t="s">
        <v>2</v>
      </c>
      <c r="BN79" s="73" t="s">
        <v>2</v>
      </c>
      <c r="BO79" s="73" t="s">
        <v>2</v>
      </c>
      <c r="BP79" s="73" t="s">
        <v>2</v>
      </c>
      <c r="BQ79" s="73" t="s">
        <v>2</v>
      </c>
      <c r="BR79" s="73" t="s">
        <v>2</v>
      </c>
      <c r="BS79" s="73" t="s">
        <v>2</v>
      </c>
      <c r="BT79" s="73" t="s">
        <v>2</v>
      </c>
      <c r="BU79" s="73" t="s">
        <v>2</v>
      </c>
      <c r="BV79" s="73" t="s">
        <v>2</v>
      </c>
      <c r="BW79" s="73" t="s">
        <v>2</v>
      </c>
      <c r="BX79" s="73" t="s">
        <v>2</v>
      </c>
      <c r="BY79" s="73" t="s">
        <v>2</v>
      </c>
      <c r="BZ79" s="71" t="s">
        <v>2</v>
      </c>
      <c r="CA79" s="6" t="s">
        <v>2</v>
      </c>
      <c r="CB79" s="6" t="s">
        <v>2</v>
      </c>
      <c r="CC79" s="6" t="s">
        <v>2</v>
      </c>
      <c r="CD79" s="6" t="s">
        <v>2</v>
      </c>
      <c r="CE79" s="6" t="s">
        <v>2</v>
      </c>
      <c r="CF79" s="6" t="s">
        <v>2</v>
      </c>
      <c r="CG79" s="22" t="s">
        <v>2</v>
      </c>
      <c r="CH79" s="73" t="s">
        <v>2</v>
      </c>
      <c r="CI79" s="71" t="s">
        <v>2</v>
      </c>
      <c r="CJ79" s="6" t="s">
        <v>2</v>
      </c>
      <c r="CK79" s="6" t="s">
        <v>2</v>
      </c>
      <c r="CL79" s="6" t="s">
        <v>2</v>
      </c>
      <c r="CM79" s="22" t="s">
        <v>2</v>
      </c>
      <c r="CN79" s="21" t="s">
        <v>2</v>
      </c>
      <c r="CO79" s="21" t="s">
        <v>2</v>
      </c>
    </row>
    <row r="80" spans="1:93" s="102" customFormat="1" x14ac:dyDescent="0.25">
      <c r="A80" s="107" t="s">
        <v>1131</v>
      </c>
      <c r="B80" s="54" t="s">
        <v>1204</v>
      </c>
      <c r="C80" s="5" t="s">
        <v>1276</v>
      </c>
      <c r="D80" s="287">
        <v>15</v>
      </c>
      <c r="E80" s="21">
        <v>0</v>
      </c>
      <c r="F80" s="73">
        <v>88</v>
      </c>
      <c r="G80" s="71">
        <f>F80*4.18</f>
        <v>367.84</v>
      </c>
      <c r="H80" s="83">
        <v>79</v>
      </c>
      <c r="I80" s="6">
        <v>2</v>
      </c>
      <c r="J80" s="6">
        <v>2.1</v>
      </c>
      <c r="K80" s="6">
        <v>15.36</v>
      </c>
      <c r="L80" s="6">
        <v>0.7</v>
      </c>
      <c r="M80" s="22">
        <v>1.54</v>
      </c>
      <c r="N80" s="73">
        <v>56</v>
      </c>
      <c r="O80" s="73">
        <v>18</v>
      </c>
      <c r="P80" s="6">
        <v>0.61</v>
      </c>
      <c r="Q80" s="6">
        <v>0.2</v>
      </c>
      <c r="R80" s="73" t="s">
        <v>2</v>
      </c>
      <c r="S80" s="73" t="s">
        <v>2</v>
      </c>
      <c r="T80" s="73" t="s">
        <v>2</v>
      </c>
      <c r="U80" s="75" t="s">
        <v>2</v>
      </c>
      <c r="V80" s="75" t="s">
        <v>2</v>
      </c>
      <c r="W80" s="22" t="s">
        <v>2</v>
      </c>
      <c r="X80" s="6" t="s">
        <v>2</v>
      </c>
      <c r="Y80" s="75" t="s">
        <v>2</v>
      </c>
      <c r="Z80" s="75" t="s">
        <v>2</v>
      </c>
      <c r="AA80" s="75" t="s">
        <v>2</v>
      </c>
      <c r="AB80" s="75" t="s">
        <v>2</v>
      </c>
      <c r="AC80" s="75" t="s">
        <v>2</v>
      </c>
      <c r="AD80" s="73" t="s">
        <v>2</v>
      </c>
      <c r="AE80" s="73" t="s">
        <v>2</v>
      </c>
      <c r="AF80" s="6" t="s">
        <v>2</v>
      </c>
      <c r="AG80" s="22" t="s">
        <v>2</v>
      </c>
      <c r="AH80" s="73" t="s">
        <v>2</v>
      </c>
      <c r="AI80" s="73" t="s">
        <v>2</v>
      </c>
      <c r="AJ80" s="6" t="s">
        <v>2</v>
      </c>
      <c r="AK80" s="6" t="s">
        <v>2</v>
      </c>
      <c r="AL80" s="22" t="s">
        <v>2</v>
      </c>
      <c r="AM80" s="73" t="s">
        <v>2</v>
      </c>
      <c r="AN80" s="73" t="s">
        <v>2</v>
      </c>
      <c r="AO80" s="71" t="s">
        <v>2</v>
      </c>
      <c r="AP80" s="6" t="s">
        <v>2</v>
      </c>
      <c r="AQ80" s="75" t="s">
        <v>2</v>
      </c>
      <c r="AR80" s="75" t="s">
        <v>2</v>
      </c>
      <c r="AS80" s="75" t="s">
        <v>2</v>
      </c>
      <c r="AT80" s="75" t="s">
        <v>2</v>
      </c>
      <c r="AU80" s="75" t="s">
        <v>2</v>
      </c>
      <c r="AV80" s="77" t="s">
        <v>2</v>
      </c>
      <c r="AW80" s="6" t="s">
        <v>2</v>
      </c>
      <c r="AX80" s="75" t="s">
        <v>2</v>
      </c>
      <c r="AY80" s="75" t="s">
        <v>2</v>
      </c>
      <c r="AZ80" s="77" t="s">
        <v>2</v>
      </c>
      <c r="BA80" s="6" t="s">
        <v>2</v>
      </c>
      <c r="BB80" s="75" t="s">
        <v>2</v>
      </c>
      <c r="BC80" s="75" t="s">
        <v>2</v>
      </c>
      <c r="BD80" s="75" t="s">
        <v>2</v>
      </c>
      <c r="BE80" s="75" t="s">
        <v>2</v>
      </c>
      <c r="BF80" s="77" t="s">
        <v>2</v>
      </c>
      <c r="BG80" s="21" t="s">
        <v>2</v>
      </c>
      <c r="BH80" s="21" t="s">
        <v>2</v>
      </c>
      <c r="BI80" s="73" t="s">
        <v>2</v>
      </c>
      <c r="BJ80" s="73" t="s">
        <v>2</v>
      </c>
      <c r="BK80" s="73" t="s">
        <v>2</v>
      </c>
      <c r="BL80" s="73" t="s">
        <v>2</v>
      </c>
      <c r="BM80" s="73" t="s">
        <v>2</v>
      </c>
      <c r="BN80" s="73" t="s">
        <v>2</v>
      </c>
      <c r="BO80" s="73" t="s">
        <v>2</v>
      </c>
      <c r="BP80" s="73" t="s">
        <v>2</v>
      </c>
      <c r="BQ80" s="73" t="s">
        <v>2</v>
      </c>
      <c r="BR80" s="73" t="s">
        <v>2</v>
      </c>
      <c r="BS80" s="73" t="s">
        <v>2</v>
      </c>
      <c r="BT80" s="73" t="s">
        <v>2</v>
      </c>
      <c r="BU80" s="73" t="s">
        <v>2</v>
      </c>
      <c r="BV80" s="73" t="s">
        <v>2</v>
      </c>
      <c r="BW80" s="73" t="s">
        <v>2</v>
      </c>
      <c r="BX80" s="73" t="s">
        <v>2</v>
      </c>
      <c r="BY80" s="73" t="s">
        <v>2</v>
      </c>
      <c r="BZ80" s="71" t="s">
        <v>2</v>
      </c>
      <c r="CA80" s="6" t="s">
        <v>2</v>
      </c>
      <c r="CB80" s="6" t="s">
        <v>2</v>
      </c>
      <c r="CC80" s="6" t="s">
        <v>2</v>
      </c>
      <c r="CD80" s="6" t="s">
        <v>2</v>
      </c>
      <c r="CE80" s="6" t="s">
        <v>2</v>
      </c>
      <c r="CF80" s="6" t="s">
        <v>2</v>
      </c>
      <c r="CG80" s="22" t="s">
        <v>2</v>
      </c>
      <c r="CH80" s="73" t="s">
        <v>2</v>
      </c>
      <c r="CI80" s="71" t="s">
        <v>2</v>
      </c>
      <c r="CJ80" s="6" t="s">
        <v>2</v>
      </c>
      <c r="CK80" s="6" t="s">
        <v>2</v>
      </c>
      <c r="CL80" s="6" t="s">
        <v>2</v>
      </c>
      <c r="CM80" s="22" t="s">
        <v>2</v>
      </c>
      <c r="CN80" s="21" t="s">
        <v>2</v>
      </c>
      <c r="CO80" s="21" t="s">
        <v>2</v>
      </c>
    </row>
    <row r="81" spans="1:93" s="102" customFormat="1" x14ac:dyDescent="0.25">
      <c r="A81" s="107" t="s">
        <v>1132</v>
      </c>
      <c r="B81" s="54" t="s">
        <v>1205</v>
      </c>
      <c r="C81" s="5" t="s">
        <v>1277</v>
      </c>
      <c r="D81" s="287">
        <v>15</v>
      </c>
      <c r="E81" s="21">
        <v>0</v>
      </c>
      <c r="F81" s="73">
        <v>108</v>
      </c>
      <c r="G81" s="71">
        <f t="shared" ref="G81:G87" si="0">F81*4.18</f>
        <v>451.43999999999994</v>
      </c>
      <c r="H81" s="83">
        <v>79.8</v>
      </c>
      <c r="I81" s="6">
        <v>3.9</v>
      </c>
      <c r="J81" s="6">
        <v>6.3</v>
      </c>
      <c r="K81" s="6">
        <v>8.9499999999999993</v>
      </c>
      <c r="L81" s="6">
        <v>0.1</v>
      </c>
      <c r="M81" s="22">
        <v>1.05</v>
      </c>
      <c r="N81" s="73">
        <v>61</v>
      </c>
      <c r="O81" s="73">
        <v>9</v>
      </c>
      <c r="P81" s="6">
        <v>1.48</v>
      </c>
      <c r="Q81" s="6">
        <v>0.33</v>
      </c>
      <c r="R81" s="73" t="s">
        <v>2</v>
      </c>
      <c r="S81" s="73" t="s">
        <v>2</v>
      </c>
      <c r="T81" s="73" t="s">
        <v>2</v>
      </c>
      <c r="U81" s="75" t="s">
        <v>2</v>
      </c>
      <c r="V81" s="75" t="s">
        <v>2</v>
      </c>
      <c r="W81" s="22" t="s">
        <v>2</v>
      </c>
      <c r="X81" s="6" t="s">
        <v>2</v>
      </c>
      <c r="Y81" s="75" t="s">
        <v>2</v>
      </c>
      <c r="Z81" s="75" t="s">
        <v>2</v>
      </c>
      <c r="AA81" s="75" t="s">
        <v>2</v>
      </c>
      <c r="AB81" s="75" t="s">
        <v>2</v>
      </c>
      <c r="AC81" s="75" t="s">
        <v>2</v>
      </c>
      <c r="AD81" s="73" t="s">
        <v>2</v>
      </c>
      <c r="AE81" s="73" t="s">
        <v>2</v>
      </c>
      <c r="AF81" s="6" t="s">
        <v>2</v>
      </c>
      <c r="AG81" s="22" t="s">
        <v>2</v>
      </c>
      <c r="AH81" s="73" t="s">
        <v>2</v>
      </c>
      <c r="AI81" s="73" t="s">
        <v>2</v>
      </c>
      <c r="AJ81" s="6" t="s">
        <v>2</v>
      </c>
      <c r="AK81" s="6" t="s">
        <v>2</v>
      </c>
      <c r="AL81" s="22" t="s">
        <v>2</v>
      </c>
      <c r="AM81" s="73" t="s">
        <v>2</v>
      </c>
      <c r="AN81" s="73" t="s">
        <v>2</v>
      </c>
      <c r="AO81" s="71" t="s">
        <v>2</v>
      </c>
      <c r="AP81" s="6" t="s">
        <v>2</v>
      </c>
      <c r="AQ81" s="75" t="s">
        <v>2</v>
      </c>
      <c r="AR81" s="75" t="s">
        <v>2</v>
      </c>
      <c r="AS81" s="75" t="s">
        <v>2</v>
      </c>
      <c r="AT81" s="75" t="s">
        <v>2</v>
      </c>
      <c r="AU81" s="75" t="s">
        <v>2</v>
      </c>
      <c r="AV81" s="77" t="s">
        <v>2</v>
      </c>
      <c r="AW81" s="6" t="s">
        <v>2</v>
      </c>
      <c r="AX81" s="75" t="s">
        <v>2</v>
      </c>
      <c r="AY81" s="75" t="s">
        <v>2</v>
      </c>
      <c r="AZ81" s="77" t="s">
        <v>2</v>
      </c>
      <c r="BA81" s="6" t="s">
        <v>2</v>
      </c>
      <c r="BB81" s="75" t="s">
        <v>2</v>
      </c>
      <c r="BC81" s="75" t="s">
        <v>2</v>
      </c>
      <c r="BD81" s="75" t="s">
        <v>2</v>
      </c>
      <c r="BE81" s="75" t="s">
        <v>2</v>
      </c>
      <c r="BF81" s="77" t="s">
        <v>2</v>
      </c>
      <c r="BG81" s="21" t="s">
        <v>2</v>
      </c>
      <c r="BH81" s="21" t="s">
        <v>2</v>
      </c>
      <c r="BI81" s="73" t="s">
        <v>2</v>
      </c>
      <c r="BJ81" s="73" t="s">
        <v>2</v>
      </c>
      <c r="BK81" s="73" t="s">
        <v>2</v>
      </c>
      <c r="BL81" s="73" t="s">
        <v>2</v>
      </c>
      <c r="BM81" s="73" t="s">
        <v>2</v>
      </c>
      <c r="BN81" s="73" t="s">
        <v>2</v>
      </c>
      <c r="BO81" s="73" t="s">
        <v>2</v>
      </c>
      <c r="BP81" s="73" t="s">
        <v>2</v>
      </c>
      <c r="BQ81" s="73" t="s">
        <v>2</v>
      </c>
      <c r="BR81" s="73" t="s">
        <v>2</v>
      </c>
      <c r="BS81" s="73" t="s">
        <v>2</v>
      </c>
      <c r="BT81" s="73" t="s">
        <v>2</v>
      </c>
      <c r="BU81" s="73" t="s">
        <v>2</v>
      </c>
      <c r="BV81" s="73" t="s">
        <v>2</v>
      </c>
      <c r="BW81" s="73" t="s">
        <v>2</v>
      </c>
      <c r="BX81" s="73" t="s">
        <v>2</v>
      </c>
      <c r="BY81" s="73" t="s">
        <v>2</v>
      </c>
      <c r="BZ81" s="71" t="s">
        <v>2</v>
      </c>
      <c r="CA81" s="6" t="s">
        <v>2</v>
      </c>
      <c r="CB81" s="6" t="s">
        <v>2</v>
      </c>
      <c r="CC81" s="6" t="s">
        <v>2</v>
      </c>
      <c r="CD81" s="6" t="s">
        <v>2</v>
      </c>
      <c r="CE81" s="6" t="s">
        <v>2</v>
      </c>
      <c r="CF81" s="6" t="s">
        <v>2</v>
      </c>
      <c r="CG81" s="22" t="s">
        <v>2</v>
      </c>
      <c r="CH81" s="73" t="s">
        <v>2</v>
      </c>
      <c r="CI81" s="71" t="s">
        <v>2</v>
      </c>
      <c r="CJ81" s="6" t="s">
        <v>2</v>
      </c>
      <c r="CK81" s="6" t="s">
        <v>2</v>
      </c>
      <c r="CL81" s="6" t="s">
        <v>2</v>
      </c>
      <c r="CM81" s="22" t="s">
        <v>2</v>
      </c>
      <c r="CN81" s="21" t="s">
        <v>2</v>
      </c>
      <c r="CO81" s="21" t="s">
        <v>2</v>
      </c>
    </row>
    <row r="82" spans="1:93" s="102" customFormat="1" x14ac:dyDescent="0.25">
      <c r="A82" s="107" t="s">
        <v>1133</v>
      </c>
      <c r="B82" s="54" t="s">
        <v>1206</v>
      </c>
      <c r="C82" s="5" t="s">
        <v>1278</v>
      </c>
      <c r="D82" s="287">
        <v>15</v>
      </c>
      <c r="E82" s="21">
        <v>0</v>
      </c>
      <c r="F82" s="73">
        <v>251</v>
      </c>
      <c r="G82" s="71">
        <f t="shared" si="0"/>
        <v>1049.1799999999998</v>
      </c>
      <c r="H82" s="83">
        <v>39.299999999999997</v>
      </c>
      <c r="I82" s="6">
        <v>4.7</v>
      </c>
      <c r="J82" s="6">
        <v>2.5</v>
      </c>
      <c r="K82" s="6">
        <v>52.3</v>
      </c>
      <c r="L82" s="6">
        <v>0.4</v>
      </c>
      <c r="M82" s="22">
        <v>1.2</v>
      </c>
      <c r="N82" s="73">
        <v>240</v>
      </c>
      <c r="O82" s="73">
        <v>44</v>
      </c>
      <c r="P82" s="6">
        <v>11.8</v>
      </c>
      <c r="Q82" s="6">
        <v>0.56000000000000005</v>
      </c>
      <c r="R82" s="73" t="s">
        <v>2</v>
      </c>
      <c r="S82" s="73" t="s">
        <v>2</v>
      </c>
      <c r="T82" s="73" t="s">
        <v>2</v>
      </c>
      <c r="U82" s="75" t="s">
        <v>2</v>
      </c>
      <c r="V82" s="75" t="s">
        <v>2</v>
      </c>
      <c r="W82" s="22" t="s">
        <v>2</v>
      </c>
      <c r="X82" s="6" t="s">
        <v>2</v>
      </c>
      <c r="Y82" s="75" t="s">
        <v>2</v>
      </c>
      <c r="Z82" s="75" t="s">
        <v>2</v>
      </c>
      <c r="AA82" s="75" t="s">
        <v>2</v>
      </c>
      <c r="AB82" s="75" t="s">
        <v>2</v>
      </c>
      <c r="AC82" s="75" t="s">
        <v>2</v>
      </c>
      <c r="AD82" s="73" t="s">
        <v>2</v>
      </c>
      <c r="AE82" s="73" t="s">
        <v>2</v>
      </c>
      <c r="AF82" s="6" t="s">
        <v>2</v>
      </c>
      <c r="AG82" s="22" t="s">
        <v>2</v>
      </c>
      <c r="AH82" s="73" t="s">
        <v>2</v>
      </c>
      <c r="AI82" s="73" t="s">
        <v>2</v>
      </c>
      <c r="AJ82" s="6" t="s">
        <v>2</v>
      </c>
      <c r="AK82" s="6" t="s">
        <v>2</v>
      </c>
      <c r="AL82" s="22" t="s">
        <v>2</v>
      </c>
      <c r="AM82" s="73" t="s">
        <v>2</v>
      </c>
      <c r="AN82" s="73" t="s">
        <v>2</v>
      </c>
      <c r="AO82" s="71" t="s">
        <v>2</v>
      </c>
      <c r="AP82" s="6" t="s">
        <v>2</v>
      </c>
      <c r="AQ82" s="75" t="s">
        <v>2</v>
      </c>
      <c r="AR82" s="75" t="s">
        <v>2</v>
      </c>
      <c r="AS82" s="75" t="s">
        <v>2</v>
      </c>
      <c r="AT82" s="75" t="s">
        <v>2</v>
      </c>
      <c r="AU82" s="75" t="s">
        <v>2</v>
      </c>
      <c r="AV82" s="77" t="s">
        <v>2</v>
      </c>
      <c r="AW82" s="6" t="s">
        <v>2</v>
      </c>
      <c r="AX82" s="75" t="s">
        <v>2</v>
      </c>
      <c r="AY82" s="75" t="s">
        <v>2</v>
      </c>
      <c r="AZ82" s="77" t="s">
        <v>2</v>
      </c>
      <c r="BA82" s="6" t="s">
        <v>2</v>
      </c>
      <c r="BB82" s="75" t="s">
        <v>2</v>
      </c>
      <c r="BC82" s="75" t="s">
        <v>2</v>
      </c>
      <c r="BD82" s="75" t="s">
        <v>2</v>
      </c>
      <c r="BE82" s="75" t="s">
        <v>2</v>
      </c>
      <c r="BF82" s="77" t="s">
        <v>2</v>
      </c>
      <c r="BG82" s="21" t="s">
        <v>2</v>
      </c>
      <c r="BH82" s="21" t="s">
        <v>2</v>
      </c>
      <c r="BI82" s="73" t="s">
        <v>2</v>
      </c>
      <c r="BJ82" s="73" t="s">
        <v>2</v>
      </c>
      <c r="BK82" s="73" t="s">
        <v>2</v>
      </c>
      <c r="BL82" s="73" t="s">
        <v>2</v>
      </c>
      <c r="BM82" s="73" t="s">
        <v>2</v>
      </c>
      <c r="BN82" s="73" t="s">
        <v>2</v>
      </c>
      <c r="BO82" s="73" t="s">
        <v>2</v>
      </c>
      <c r="BP82" s="73" t="s">
        <v>2</v>
      </c>
      <c r="BQ82" s="73" t="s">
        <v>2</v>
      </c>
      <c r="BR82" s="73" t="s">
        <v>2</v>
      </c>
      <c r="BS82" s="73" t="s">
        <v>2</v>
      </c>
      <c r="BT82" s="73" t="s">
        <v>2</v>
      </c>
      <c r="BU82" s="73" t="s">
        <v>2</v>
      </c>
      <c r="BV82" s="73" t="s">
        <v>2</v>
      </c>
      <c r="BW82" s="73" t="s">
        <v>2</v>
      </c>
      <c r="BX82" s="73" t="s">
        <v>2</v>
      </c>
      <c r="BY82" s="73" t="s">
        <v>2</v>
      </c>
      <c r="BZ82" s="71" t="s">
        <v>2</v>
      </c>
      <c r="CA82" s="6" t="s">
        <v>2</v>
      </c>
      <c r="CB82" s="6" t="s">
        <v>2</v>
      </c>
      <c r="CC82" s="6" t="s">
        <v>2</v>
      </c>
      <c r="CD82" s="6" t="s">
        <v>2</v>
      </c>
      <c r="CE82" s="6" t="s">
        <v>2</v>
      </c>
      <c r="CF82" s="6" t="s">
        <v>2</v>
      </c>
      <c r="CG82" s="22" t="s">
        <v>2</v>
      </c>
      <c r="CH82" s="73" t="s">
        <v>2</v>
      </c>
      <c r="CI82" s="71" t="s">
        <v>2</v>
      </c>
      <c r="CJ82" s="6" t="s">
        <v>2</v>
      </c>
      <c r="CK82" s="6" t="s">
        <v>2</v>
      </c>
      <c r="CL82" s="6" t="s">
        <v>2</v>
      </c>
      <c r="CM82" s="22" t="s">
        <v>2</v>
      </c>
      <c r="CN82" s="21" t="s">
        <v>2</v>
      </c>
      <c r="CO82" s="21" t="s">
        <v>2</v>
      </c>
    </row>
    <row r="83" spans="1:93" s="102" customFormat="1" x14ac:dyDescent="0.25">
      <c r="A83" s="107" t="s">
        <v>1134</v>
      </c>
      <c r="B83" s="54" t="s">
        <v>1207</v>
      </c>
      <c r="C83" s="5" t="s">
        <v>1279</v>
      </c>
      <c r="D83" s="287">
        <v>15</v>
      </c>
      <c r="E83" s="21">
        <v>0</v>
      </c>
      <c r="F83" s="73">
        <v>173</v>
      </c>
      <c r="G83" s="71">
        <f t="shared" si="0"/>
        <v>723.14</v>
      </c>
      <c r="H83" s="83">
        <v>56.6</v>
      </c>
      <c r="I83" s="6">
        <v>2</v>
      </c>
      <c r="J83" s="6">
        <v>0.4</v>
      </c>
      <c r="K83" s="6">
        <v>40.44</v>
      </c>
      <c r="L83" s="6">
        <v>0.4</v>
      </c>
      <c r="M83" s="22">
        <v>0.56000000000000005</v>
      </c>
      <c r="N83" s="73">
        <v>173</v>
      </c>
      <c r="O83" s="73">
        <v>17</v>
      </c>
      <c r="P83" s="6">
        <v>1.18</v>
      </c>
      <c r="Q83" s="6">
        <v>0.57999999999999996</v>
      </c>
      <c r="R83" s="73" t="s">
        <v>2</v>
      </c>
      <c r="S83" s="73" t="s">
        <v>2</v>
      </c>
      <c r="T83" s="73" t="s">
        <v>2</v>
      </c>
      <c r="U83" s="75" t="s">
        <v>2</v>
      </c>
      <c r="V83" s="75" t="s">
        <v>2</v>
      </c>
      <c r="W83" s="22" t="s">
        <v>2</v>
      </c>
      <c r="X83" s="6" t="s">
        <v>2</v>
      </c>
      <c r="Y83" s="75" t="s">
        <v>2</v>
      </c>
      <c r="Z83" s="75" t="s">
        <v>2</v>
      </c>
      <c r="AA83" s="75" t="s">
        <v>2</v>
      </c>
      <c r="AB83" s="75" t="s">
        <v>2</v>
      </c>
      <c r="AC83" s="75" t="s">
        <v>2</v>
      </c>
      <c r="AD83" s="73" t="s">
        <v>2</v>
      </c>
      <c r="AE83" s="73" t="s">
        <v>2</v>
      </c>
      <c r="AF83" s="6" t="s">
        <v>2</v>
      </c>
      <c r="AG83" s="22" t="s">
        <v>2</v>
      </c>
      <c r="AH83" s="73" t="s">
        <v>2</v>
      </c>
      <c r="AI83" s="73" t="s">
        <v>2</v>
      </c>
      <c r="AJ83" s="6" t="s">
        <v>2</v>
      </c>
      <c r="AK83" s="6" t="s">
        <v>2</v>
      </c>
      <c r="AL83" s="22" t="s">
        <v>2</v>
      </c>
      <c r="AM83" s="73" t="s">
        <v>2</v>
      </c>
      <c r="AN83" s="73" t="s">
        <v>2</v>
      </c>
      <c r="AO83" s="71" t="s">
        <v>2</v>
      </c>
      <c r="AP83" s="6" t="s">
        <v>2</v>
      </c>
      <c r="AQ83" s="75" t="s">
        <v>2</v>
      </c>
      <c r="AR83" s="75" t="s">
        <v>2</v>
      </c>
      <c r="AS83" s="75" t="s">
        <v>2</v>
      </c>
      <c r="AT83" s="75" t="s">
        <v>2</v>
      </c>
      <c r="AU83" s="75" t="s">
        <v>2</v>
      </c>
      <c r="AV83" s="77" t="s">
        <v>2</v>
      </c>
      <c r="AW83" s="6" t="s">
        <v>2</v>
      </c>
      <c r="AX83" s="75" t="s">
        <v>2</v>
      </c>
      <c r="AY83" s="75" t="s">
        <v>2</v>
      </c>
      <c r="AZ83" s="77" t="s">
        <v>2</v>
      </c>
      <c r="BA83" s="6" t="s">
        <v>2</v>
      </c>
      <c r="BB83" s="75" t="s">
        <v>2</v>
      </c>
      <c r="BC83" s="75" t="s">
        <v>2</v>
      </c>
      <c r="BD83" s="75" t="s">
        <v>2</v>
      </c>
      <c r="BE83" s="75" t="s">
        <v>2</v>
      </c>
      <c r="BF83" s="77" t="s">
        <v>2</v>
      </c>
      <c r="BG83" s="21" t="s">
        <v>2</v>
      </c>
      <c r="BH83" s="21" t="s">
        <v>2</v>
      </c>
      <c r="BI83" s="73" t="s">
        <v>2</v>
      </c>
      <c r="BJ83" s="73" t="s">
        <v>2</v>
      </c>
      <c r="BK83" s="73" t="s">
        <v>2</v>
      </c>
      <c r="BL83" s="73" t="s">
        <v>2</v>
      </c>
      <c r="BM83" s="73" t="s">
        <v>2</v>
      </c>
      <c r="BN83" s="73" t="s">
        <v>2</v>
      </c>
      <c r="BO83" s="73" t="s">
        <v>2</v>
      </c>
      <c r="BP83" s="73" t="s">
        <v>2</v>
      </c>
      <c r="BQ83" s="73" t="s">
        <v>2</v>
      </c>
      <c r="BR83" s="73" t="s">
        <v>2</v>
      </c>
      <c r="BS83" s="73" t="s">
        <v>2</v>
      </c>
      <c r="BT83" s="73" t="s">
        <v>2</v>
      </c>
      <c r="BU83" s="73" t="s">
        <v>2</v>
      </c>
      <c r="BV83" s="73" t="s">
        <v>2</v>
      </c>
      <c r="BW83" s="73" t="s">
        <v>2</v>
      </c>
      <c r="BX83" s="73" t="s">
        <v>2</v>
      </c>
      <c r="BY83" s="73" t="s">
        <v>2</v>
      </c>
      <c r="BZ83" s="71" t="s">
        <v>2</v>
      </c>
      <c r="CA83" s="6" t="s">
        <v>2</v>
      </c>
      <c r="CB83" s="6" t="s">
        <v>2</v>
      </c>
      <c r="CC83" s="6" t="s">
        <v>2</v>
      </c>
      <c r="CD83" s="6" t="s">
        <v>2</v>
      </c>
      <c r="CE83" s="6" t="s">
        <v>2</v>
      </c>
      <c r="CF83" s="6" t="s">
        <v>2</v>
      </c>
      <c r="CG83" s="22" t="s">
        <v>2</v>
      </c>
      <c r="CH83" s="73" t="s">
        <v>2</v>
      </c>
      <c r="CI83" s="71" t="s">
        <v>2</v>
      </c>
      <c r="CJ83" s="6" t="s">
        <v>2</v>
      </c>
      <c r="CK83" s="6" t="s">
        <v>2</v>
      </c>
      <c r="CL83" s="6" t="s">
        <v>2</v>
      </c>
      <c r="CM83" s="22" t="s">
        <v>2</v>
      </c>
      <c r="CN83" s="21" t="s">
        <v>2</v>
      </c>
      <c r="CO83" s="21" t="s">
        <v>2</v>
      </c>
    </row>
    <row r="84" spans="1:93" s="102" customFormat="1" ht="31.5" x14ac:dyDescent="0.25">
      <c r="A84" s="107" t="s">
        <v>1135</v>
      </c>
      <c r="B84" s="54" t="s">
        <v>1208</v>
      </c>
      <c r="C84" s="82" t="s">
        <v>1280</v>
      </c>
      <c r="D84" s="287">
        <v>15</v>
      </c>
      <c r="E84" s="21">
        <v>0</v>
      </c>
      <c r="F84" s="73">
        <v>234</v>
      </c>
      <c r="G84" s="71">
        <f t="shared" si="0"/>
        <v>978.11999999999989</v>
      </c>
      <c r="H84" s="83">
        <v>62.3</v>
      </c>
      <c r="I84" s="6">
        <v>2.8</v>
      </c>
      <c r="J84" s="6">
        <v>17.5</v>
      </c>
      <c r="K84" s="6">
        <v>16.3</v>
      </c>
      <c r="L84" s="6">
        <v>0.6</v>
      </c>
      <c r="M84" s="22">
        <v>1.1000000000000001</v>
      </c>
      <c r="N84" s="73">
        <v>33</v>
      </c>
      <c r="O84" s="73">
        <v>20</v>
      </c>
      <c r="P84" s="6">
        <v>0.37</v>
      </c>
      <c r="Q84" s="6">
        <v>1.21</v>
      </c>
      <c r="R84" s="73" t="s">
        <v>2</v>
      </c>
      <c r="S84" s="73" t="s">
        <v>2</v>
      </c>
      <c r="T84" s="73" t="s">
        <v>2</v>
      </c>
      <c r="U84" s="75" t="s">
        <v>2</v>
      </c>
      <c r="V84" s="75" t="s">
        <v>2</v>
      </c>
      <c r="W84" s="22" t="s">
        <v>2</v>
      </c>
      <c r="X84" s="6" t="s">
        <v>2</v>
      </c>
      <c r="Y84" s="75" t="s">
        <v>2</v>
      </c>
      <c r="Z84" s="75" t="s">
        <v>2</v>
      </c>
      <c r="AA84" s="75" t="s">
        <v>2</v>
      </c>
      <c r="AB84" s="75" t="s">
        <v>2</v>
      </c>
      <c r="AC84" s="75" t="s">
        <v>2</v>
      </c>
      <c r="AD84" s="73" t="s">
        <v>2</v>
      </c>
      <c r="AE84" s="73" t="s">
        <v>2</v>
      </c>
      <c r="AF84" s="6" t="s">
        <v>2</v>
      </c>
      <c r="AG84" s="22" t="s">
        <v>2</v>
      </c>
      <c r="AH84" s="73" t="s">
        <v>2</v>
      </c>
      <c r="AI84" s="73" t="s">
        <v>2</v>
      </c>
      <c r="AJ84" s="6" t="s">
        <v>2</v>
      </c>
      <c r="AK84" s="6" t="s">
        <v>2</v>
      </c>
      <c r="AL84" s="22" t="s">
        <v>2</v>
      </c>
      <c r="AM84" s="73" t="s">
        <v>2</v>
      </c>
      <c r="AN84" s="73" t="s">
        <v>2</v>
      </c>
      <c r="AO84" s="71" t="s">
        <v>2</v>
      </c>
      <c r="AP84" s="6" t="s">
        <v>2</v>
      </c>
      <c r="AQ84" s="75" t="s">
        <v>2</v>
      </c>
      <c r="AR84" s="75" t="s">
        <v>2</v>
      </c>
      <c r="AS84" s="75" t="s">
        <v>2</v>
      </c>
      <c r="AT84" s="75" t="s">
        <v>2</v>
      </c>
      <c r="AU84" s="75" t="s">
        <v>2</v>
      </c>
      <c r="AV84" s="77" t="s">
        <v>2</v>
      </c>
      <c r="AW84" s="6" t="s">
        <v>2</v>
      </c>
      <c r="AX84" s="75" t="s">
        <v>2</v>
      </c>
      <c r="AY84" s="75" t="s">
        <v>2</v>
      </c>
      <c r="AZ84" s="77" t="s">
        <v>2</v>
      </c>
      <c r="BA84" s="6" t="s">
        <v>2</v>
      </c>
      <c r="BB84" s="75" t="s">
        <v>2</v>
      </c>
      <c r="BC84" s="75" t="s">
        <v>2</v>
      </c>
      <c r="BD84" s="75" t="s">
        <v>2</v>
      </c>
      <c r="BE84" s="75" t="s">
        <v>2</v>
      </c>
      <c r="BF84" s="77" t="s">
        <v>2</v>
      </c>
      <c r="BG84" s="21" t="s">
        <v>2</v>
      </c>
      <c r="BH84" s="21" t="s">
        <v>2</v>
      </c>
      <c r="BI84" s="73" t="s">
        <v>2</v>
      </c>
      <c r="BJ84" s="73" t="s">
        <v>2</v>
      </c>
      <c r="BK84" s="73" t="s">
        <v>2</v>
      </c>
      <c r="BL84" s="73" t="s">
        <v>2</v>
      </c>
      <c r="BM84" s="73" t="s">
        <v>2</v>
      </c>
      <c r="BN84" s="73" t="s">
        <v>2</v>
      </c>
      <c r="BO84" s="73" t="s">
        <v>2</v>
      </c>
      <c r="BP84" s="73" t="s">
        <v>2</v>
      </c>
      <c r="BQ84" s="73" t="s">
        <v>2</v>
      </c>
      <c r="BR84" s="73" t="s">
        <v>2</v>
      </c>
      <c r="BS84" s="73" t="s">
        <v>2</v>
      </c>
      <c r="BT84" s="73" t="s">
        <v>2</v>
      </c>
      <c r="BU84" s="73" t="s">
        <v>2</v>
      </c>
      <c r="BV84" s="73" t="s">
        <v>2</v>
      </c>
      <c r="BW84" s="73" t="s">
        <v>2</v>
      </c>
      <c r="BX84" s="73" t="s">
        <v>2</v>
      </c>
      <c r="BY84" s="73" t="s">
        <v>2</v>
      </c>
      <c r="BZ84" s="71" t="s">
        <v>2</v>
      </c>
      <c r="CA84" s="6" t="s">
        <v>2</v>
      </c>
      <c r="CB84" s="6" t="s">
        <v>2</v>
      </c>
      <c r="CC84" s="6" t="s">
        <v>2</v>
      </c>
      <c r="CD84" s="6" t="s">
        <v>2</v>
      </c>
      <c r="CE84" s="6" t="s">
        <v>2</v>
      </c>
      <c r="CF84" s="6" t="s">
        <v>2</v>
      </c>
      <c r="CG84" s="22" t="s">
        <v>2</v>
      </c>
      <c r="CH84" s="73" t="s">
        <v>2</v>
      </c>
      <c r="CI84" s="71" t="s">
        <v>2</v>
      </c>
      <c r="CJ84" s="6" t="s">
        <v>2</v>
      </c>
      <c r="CK84" s="6" t="s">
        <v>2</v>
      </c>
      <c r="CL84" s="6" t="s">
        <v>2</v>
      </c>
      <c r="CM84" s="22" t="s">
        <v>2</v>
      </c>
      <c r="CN84" s="21" t="s">
        <v>2</v>
      </c>
      <c r="CO84" s="21" t="s">
        <v>2</v>
      </c>
    </row>
    <row r="85" spans="1:93" s="102" customFormat="1" x14ac:dyDescent="0.25">
      <c r="A85" s="107" t="s">
        <v>1136</v>
      </c>
      <c r="B85" s="54" t="s">
        <v>1209</v>
      </c>
      <c r="C85" s="5" t="s">
        <v>1281</v>
      </c>
      <c r="D85" s="287">
        <v>15</v>
      </c>
      <c r="E85" s="21">
        <v>0</v>
      </c>
      <c r="F85" s="73">
        <v>141</v>
      </c>
      <c r="G85" s="71">
        <f t="shared" si="0"/>
        <v>589.38</v>
      </c>
      <c r="H85" s="83">
        <v>65.5</v>
      </c>
      <c r="I85" s="6">
        <v>4.0999999999999996</v>
      </c>
      <c r="J85" s="6">
        <v>1.6</v>
      </c>
      <c r="K85" s="6">
        <v>27.64</v>
      </c>
      <c r="L85" s="6">
        <v>0.5</v>
      </c>
      <c r="M85" s="22">
        <v>1.1599999999999999</v>
      </c>
      <c r="N85" s="73">
        <v>5</v>
      </c>
      <c r="O85" s="73">
        <v>69</v>
      </c>
      <c r="P85" s="6">
        <v>1.05</v>
      </c>
      <c r="Q85" s="6">
        <v>0.56999999999999995</v>
      </c>
      <c r="R85" s="73" t="s">
        <v>2</v>
      </c>
      <c r="S85" s="73" t="s">
        <v>2</v>
      </c>
      <c r="T85" s="73" t="s">
        <v>2</v>
      </c>
      <c r="U85" s="75" t="s">
        <v>2</v>
      </c>
      <c r="V85" s="75" t="s">
        <v>2</v>
      </c>
      <c r="W85" s="22" t="s">
        <v>2</v>
      </c>
      <c r="X85" s="6" t="s">
        <v>2</v>
      </c>
      <c r="Y85" s="75" t="s">
        <v>2</v>
      </c>
      <c r="Z85" s="75" t="s">
        <v>2</v>
      </c>
      <c r="AA85" s="75" t="s">
        <v>2</v>
      </c>
      <c r="AB85" s="75" t="s">
        <v>2</v>
      </c>
      <c r="AC85" s="75" t="s">
        <v>2</v>
      </c>
      <c r="AD85" s="73" t="s">
        <v>2</v>
      </c>
      <c r="AE85" s="73" t="s">
        <v>2</v>
      </c>
      <c r="AF85" s="6" t="s">
        <v>2</v>
      </c>
      <c r="AG85" s="22" t="s">
        <v>2</v>
      </c>
      <c r="AH85" s="73" t="s">
        <v>2</v>
      </c>
      <c r="AI85" s="73" t="s">
        <v>2</v>
      </c>
      <c r="AJ85" s="6" t="s">
        <v>2</v>
      </c>
      <c r="AK85" s="6" t="s">
        <v>2</v>
      </c>
      <c r="AL85" s="22" t="s">
        <v>2</v>
      </c>
      <c r="AM85" s="73" t="s">
        <v>2</v>
      </c>
      <c r="AN85" s="73" t="s">
        <v>2</v>
      </c>
      <c r="AO85" s="71" t="s">
        <v>2</v>
      </c>
      <c r="AP85" s="6" t="s">
        <v>2</v>
      </c>
      <c r="AQ85" s="75" t="s">
        <v>2</v>
      </c>
      <c r="AR85" s="75" t="s">
        <v>2</v>
      </c>
      <c r="AS85" s="75" t="s">
        <v>2</v>
      </c>
      <c r="AT85" s="75" t="s">
        <v>2</v>
      </c>
      <c r="AU85" s="75" t="s">
        <v>2</v>
      </c>
      <c r="AV85" s="77" t="s">
        <v>2</v>
      </c>
      <c r="AW85" s="6" t="s">
        <v>2</v>
      </c>
      <c r="AX85" s="75" t="s">
        <v>2</v>
      </c>
      <c r="AY85" s="75" t="s">
        <v>2</v>
      </c>
      <c r="AZ85" s="77" t="s">
        <v>2</v>
      </c>
      <c r="BA85" s="6" t="s">
        <v>2</v>
      </c>
      <c r="BB85" s="75" t="s">
        <v>2</v>
      </c>
      <c r="BC85" s="75" t="s">
        <v>2</v>
      </c>
      <c r="BD85" s="75" t="s">
        <v>2</v>
      </c>
      <c r="BE85" s="75" t="s">
        <v>2</v>
      </c>
      <c r="BF85" s="77" t="s">
        <v>2</v>
      </c>
      <c r="BG85" s="21" t="s">
        <v>2</v>
      </c>
      <c r="BH85" s="21" t="s">
        <v>2</v>
      </c>
      <c r="BI85" s="73" t="s">
        <v>2</v>
      </c>
      <c r="BJ85" s="73" t="s">
        <v>2</v>
      </c>
      <c r="BK85" s="73" t="s">
        <v>2</v>
      </c>
      <c r="BL85" s="73" t="s">
        <v>2</v>
      </c>
      <c r="BM85" s="73" t="s">
        <v>2</v>
      </c>
      <c r="BN85" s="73" t="s">
        <v>2</v>
      </c>
      <c r="BO85" s="73" t="s">
        <v>2</v>
      </c>
      <c r="BP85" s="73" t="s">
        <v>2</v>
      </c>
      <c r="BQ85" s="73" t="s">
        <v>2</v>
      </c>
      <c r="BR85" s="73" t="s">
        <v>2</v>
      </c>
      <c r="BS85" s="73" t="s">
        <v>2</v>
      </c>
      <c r="BT85" s="73" t="s">
        <v>2</v>
      </c>
      <c r="BU85" s="73" t="s">
        <v>2</v>
      </c>
      <c r="BV85" s="73" t="s">
        <v>2</v>
      </c>
      <c r="BW85" s="73" t="s">
        <v>2</v>
      </c>
      <c r="BX85" s="73" t="s">
        <v>2</v>
      </c>
      <c r="BY85" s="73" t="s">
        <v>2</v>
      </c>
      <c r="BZ85" s="71" t="s">
        <v>2</v>
      </c>
      <c r="CA85" s="6" t="s">
        <v>2</v>
      </c>
      <c r="CB85" s="6" t="s">
        <v>2</v>
      </c>
      <c r="CC85" s="6" t="s">
        <v>2</v>
      </c>
      <c r="CD85" s="6" t="s">
        <v>2</v>
      </c>
      <c r="CE85" s="6" t="s">
        <v>2</v>
      </c>
      <c r="CF85" s="6" t="s">
        <v>2</v>
      </c>
      <c r="CG85" s="22" t="s">
        <v>2</v>
      </c>
      <c r="CH85" s="73" t="s">
        <v>2</v>
      </c>
      <c r="CI85" s="71" t="s">
        <v>2</v>
      </c>
      <c r="CJ85" s="6" t="s">
        <v>2</v>
      </c>
      <c r="CK85" s="6" t="s">
        <v>2</v>
      </c>
      <c r="CL85" s="6" t="s">
        <v>2</v>
      </c>
      <c r="CM85" s="22" t="s">
        <v>2</v>
      </c>
      <c r="CN85" s="21" t="s">
        <v>2</v>
      </c>
      <c r="CO85" s="21" t="s">
        <v>2</v>
      </c>
    </row>
    <row r="86" spans="1:93" s="102" customFormat="1" x14ac:dyDescent="0.25">
      <c r="A86" s="107" t="s">
        <v>1137</v>
      </c>
      <c r="B86" s="54" t="s">
        <v>1210</v>
      </c>
      <c r="C86" s="5" t="s">
        <v>1282</v>
      </c>
      <c r="D86" s="287">
        <v>15</v>
      </c>
      <c r="E86" s="21">
        <v>0</v>
      </c>
      <c r="F86" s="73">
        <v>159</v>
      </c>
      <c r="G86" s="71">
        <f t="shared" si="0"/>
        <v>664.62</v>
      </c>
      <c r="H86" s="83">
        <v>72.099999999999994</v>
      </c>
      <c r="I86" s="6">
        <v>0.6</v>
      </c>
      <c r="J86" s="6">
        <v>10.199999999999999</v>
      </c>
      <c r="K86" s="6">
        <v>16.260000000000002</v>
      </c>
      <c r="L86" s="6">
        <v>3</v>
      </c>
      <c r="M86" s="22">
        <v>0.84</v>
      </c>
      <c r="N86" s="73">
        <v>82</v>
      </c>
      <c r="O86" s="73">
        <v>39</v>
      </c>
      <c r="P86" s="6">
        <v>1.48</v>
      </c>
      <c r="Q86" s="6">
        <v>0.22</v>
      </c>
      <c r="R86" s="73" t="s">
        <v>2</v>
      </c>
      <c r="S86" s="73" t="s">
        <v>2</v>
      </c>
      <c r="T86" s="73" t="s">
        <v>2</v>
      </c>
      <c r="U86" s="75" t="s">
        <v>2</v>
      </c>
      <c r="V86" s="75" t="s">
        <v>2</v>
      </c>
      <c r="W86" s="22" t="s">
        <v>2</v>
      </c>
      <c r="X86" s="6" t="s">
        <v>2</v>
      </c>
      <c r="Y86" s="75" t="s">
        <v>2</v>
      </c>
      <c r="Z86" s="75" t="s">
        <v>2</v>
      </c>
      <c r="AA86" s="75" t="s">
        <v>2</v>
      </c>
      <c r="AB86" s="75" t="s">
        <v>2</v>
      </c>
      <c r="AC86" s="75" t="s">
        <v>2</v>
      </c>
      <c r="AD86" s="73" t="s">
        <v>2</v>
      </c>
      <c r="AE86" s="73" t="s">
        <v>2</v>
      </c>
      <c r="AF86" s="6" t="s">
        <v>2</v>
      </c>
      <c r="AG86" s="22" t="s">
        <v>2</v>
      </c>
      <c r="AH86" s="73" t="s">
        <v>2</v>
      </c>
      <c r="AI86" s="73" t="s">
        <v>2</v>
      </c>
      <c r="AJ86" s="6" t="s">
        <v>2</v>
      </c>
      <c r="AK86" s="6" t="s">
        <v>2</v>
      </c>
      <c r="AL86" s="22" t="s">
        <v>2</v>
      </c>
      <c r="AM86" s="73" t="s">
        <v>2</v>
      </c>
      <c r="AN86" s="73" t="s">
        <v>2</v>
      </c>
      <c r="AO86" s="71" t="s">
        <v>2</v>
      </c>
      <c r="AP86" s="6" t="s">
        <v>2</v>
      </c>
      <c r="AQ86" s="75" t="s">
        <v>2</v>
      </c>
      <c r="AR86" s="75" t="s">
        <v>2</v>
      </c>
      <c r="AS86" s="75" t="s">
        <v>2</v>
      </c>
      <c r="AT86" s="75" t="s">
        <v>2</v>
      </c>
      <c r="AU86" s="75" t="s">
        <v>2</v>
      </c>
      <c r="AV86" s="77" t="s">
        <v>2</v>
      </c>
      <c r="AW86" s="6" t="s">
        <v>2</v>
      </c>
      <c r="AX86" s="75" t="s">
        <v>2</v>
      </c>
      <c r="AY86" s="75" t="s">
        <v>2</v>
      </c>
      <c r="AZ86" s="77" t="s">
        <v>2</v>
      </c>
      <c r="BA86" s="6" t="s">
        <v>2</v>
      </c>
      <c r="BB86" s="75" t="s">
        <v>2</v>
      </c>
      <c r="BC86" s="75" t="s">
        <v>2</v>
      </c>
      <c r="BD86" s="75" t="s">
        <v>2</v>
      </c>
      <c r="BE86" s="75" t="s">
        <v>2</v>
      </c>
      <c r="BF86" s="77" t="s">
        <v>2</v>
      </c>
      <c r="BG86" s="21" t="s">
        <v>2</v>
      </c>
      <c r="BH86" s="21" t="s">
        <v>2</v>
      </c>
      <c r="BI86" s="73" t="s">
        <v>2</v>
      </c>
      <c r="BJ86" s="73" t="s">
        <v>2</v>
      </c>
      <c r="BK86" s="73" t="s">
        <v>2</v>
      </c>
      <c r="BL86" s="73" t="s">
        <v>2</v>
      </c>
      <c r="BM86" s="73" t="s">
        <v>2</v>
      </c>
      <c r="BN86" s="73" t="s">
        <v>2</v>
      </c>
      <c r="BO86" s="73" t="s">
        <v>2</v>
      </c>
      <c r="BP86" s="73" t="s">
        <v>2</v>
      </c>
      <c r="BQ86" s="73" t="s">
        <v>2</v>
      </c>
      <c r="BR86" s="73" t="s">
        <v>2</v>
      </c>
      <c r="BS86" s="73" t="s">
        <v>2</v>
      </c>
      <c r="BT86" s="73" t="s">
        <v>2</v>
      </c>
      <c r="BU86" s="73" t="s">
        <v>2</v>
      </c>
      <c r="BV86" s="73" t="s">
        <v>2</v>
      </c>
      <c r="BW86" s="73" t="s">
        <v>2</v>
      </c>
      <c r="BX86" s="73" t="s">
        <v>2</v>
      </c>
      <c r="BY86" s="73" t="s">
        <v>2</v>
      </c>
      <c r="BZ86" s="71" t="s">
        <v>2</v>
      </c>
      <c r="CA86" s="6" t="s">
        <v>2</v>
      </c>
      <c r="CB86" s="6" t="s">
        <v>2</v>
      </c>
      <c r="CC86" s="6" t="s">
        <v>2</v>
      </c>
      <c r="CD86" s="6" t="s">
        <v>2</v>
      </c>
      <c r="CE86" s="6" t="s">
        <v>2</v>
      </c>
      <c r="CF86" s="6" t="s">
        <v>2</v>
      </c>
      <c r="CG86" s="22" t="s">
        <v>2</v>
      </c>
      <c r="CH86" s="73" t="s">
        <v>2</v>
      </c>
      <c r="CI86" s="71" t="s">
        <v>2</v>
      </c>
      <c r="CJ86" s="6" t="s">
        <v>2</v>
      </c>
      <c r="CK86" s="6" t="s">
        <v>2</v>
      </c>
      <c r="CL86" s="6" t="s">
        <v>2</v>
      </c>
      <c r="CM86" s="22" t="s">
        <v>2</v>
      </c>
      <c r="CN86" s="21" t="s">
        <v>2</v>
      </c>
      <c r="CO86" s="21" t="s">
        <v>2</v>
      </c>
    </row>
    <row r="87" spans="1:93" s="102" customFormat="1" x14ac:dyDescent="0.25">
      <c r="A87" s="107" t="s">
        <v>1138</v>
      </c>
      <c r="B87" s="54" t="s">
        <v>1211</v>
      </c>
      <c r="C87" s="5" t="s">
        <v>1283</v>
      </c>
      <c r="D87" s="287">
        <v>15</v>
      </c>
      <c r="E87" s="21">
        <v>0</v>
      </c>
      <c r="F87" s="73">
        <v>197</v>
      </c>
      <c r="G87" s="71">
        <f t="shared" si="0"/>
        <v>823.45999999999992</v>
      </c>
      <c r="H87" s="83">
        <v>60</v>
      </c>
      <c r="I87" s="6">
        <v>5.6</v>
      </c>
      <c r="J87" s="6">
        <v>8.3000000000000007</v>
      </c>
      <c r="K87" s="6">
        <v>24.9</v>
      </c>
      <c r="L87" s="6">
        <v>0.2</v>
      </c>
      <c r="M87" s="22">
        <v>1.2</v>
      </c>
      <c r="N87" s="73">
        <v>94</v>
      </c>
      <c r="O87" s="73">
        <v>41</v>
      </c>
      <c r="P87" s="6">
        <v>1.08</v>
      </c>
      <c r="Q87" s="6">
        <v>1.1200000000000001</v>
      </c>
      <c r="R87" s="73" t="s">
        <v>2</v>
      </c>
      <c r="S87" s="73" t="s">
        <v>2</v>
      </c>
      <c r="T87" s="73" t="s">
        <v>2</v>
      </c>
      <c r="U87" s="75" t="s">
        <v>2</v>
      </c>
      <c r="V87" s="75" t="s">
        <v>2</v>
      </c>
      <c r="W87" s="22" t="s">
        <v>2</v>
      </c>
      <c r="X87" s="6" t="s">
        <v>2</v>
      </c>
      <c r="Y87" s="75" t="s">
        <v>2</v>
      </c>
      <c r="Z87" s="75" t="s">
        <v>2</v>
      </c>
      <c r="AA87" s="75" t="s">
        <v>2</v>
      </c>
      <c r="AB87" s="75" t="s">
        <v>2</v>
      </c>
      <c r="AC87" s="75" t="s">
        <v>2</v>
      </c>
      <c r="AD87" s="73" t="s">
        <v>2</v>
      </c>
      <c r="AE87" s="73" t="s">
        <v>2</v>
      </c>
      <c r="AF87" s="6" t="s">
        <v>2</v>
      </c>
      <c r="AG87" s="22" t="s">
        <v>2</v>
      </c>
      <c r="AH87" s="73" t="s">
        <v>2</v>
      </c>
      <c r="AI87" s="73" t="s">
        <v>2</v>
      </c>
      <c r="AJ87" s="6" t="s">
        <v>2</v>
      </c>
      <c r="AK87" s="6" t="s">
        <v>2</v>
      </c>
      <c r="AL87" s="22" t="s">
        <v>2</v>
      </c>
      <c r="AM87" s="73" t="s">
        <v>2</v>
      </c>
      <c r="AN87" s="73" t="s">
        <v>2</v>
      </c>
      <c r="AO87" s="71" t="s">
        <v>2</v>
      </c>
      <c r="AP87" s="6" t="s">
        <v>2</v>
      </c>
      <c r="AQ87" s="75" t="s">
        <v>2</v>
      </c>
      <c r="AR87" s="75" t="s">
        <v>2</v>
      </c>
      <c r="AS87" s="75" t="s">
        <v>2</v>
      </c>
      <c r="AT87" s="75" t="s">
        <v>2</v>
      </c>
      <c r="AU87" s="75" t="s">
        <v>2</v>
      </c>
      <c r="AV87" s="77" t="s">
        <v>2</v>
      </c>
      <c r="AW87" s="6" t="s">
        <v>2</v>
      </c>
      <c r="AX87" s="75" t="s">
        <v>2</v>
      </c>
      <c r="AY87" s="75" t="s">
        <v>2</v>
      </c>
      <c r="AZ87" s="77" t="s">
        <v>2</v>
      </c>
      <c r="BA87" s="6" t="s">
        <v>2</v>
      </c>
      <c r="BB87" s="75" t="s">
        <v>2</v>
      </c>
      <c r="BC87" s="75" t="s">
        <v>2</v>
      </c>
      <c r="BD87" s="75" t="s">
        <v>2</v>
      </c>
      <c r="BE87" s="75" t="s">
        <v>2</v>
      </c>
      <c r="BF87" s="77" t="s">
        <v>2</v>
      </c>
      <c r="BG87" s="21" t="s">
        <v>2</v>
      </c>
      <c r="BH87" s="21" t="s">
        <v>2</v>
      </c>
      <c r="BI87" s="73" t="s">
        <v>2</v>
      </c>
      <c r="BJ87" s="73" t="s">
        <v>2</v>
      </c>
      <c r="BK87" s="73" t="s">
        <v>2</v>
      </c>
      <c r="BL87" s="73" t="s">
        <v>2</v>
      </c>
      <c r="BM87" s="73" t="s">
        <v>2</v>
      </c>
      <c r="BN87" s="73" t="s">
        <v>2</v>
      </c>
      <c r="BO87" s="73" t="s">
        <v>2</v>
      </c>
      <c r="BP87" s="73" t="s">
        <v>2</v>
      </c>
      <c r="BQ87" s="73" t="s">
        <v>2</v>
      </c>
      <c r="BR87" s="73" t="s">
        <v>2</v>
      </c>
      <c r="BS87" s="73" t="s">
        <v>2</v>
      </c>
      <c r="BT87" s="73" t="s">
        <v>2</v>
      </c>
      <c r="BU87" s="73" t="s">
        <v>2</v>
      </c>
      <c r="BV87" s="73" t="s">
        <v>2</v>
      </c>
      <c r="BW87" s="73" t="s">
        <v>2</v>
      </c>
      <c r="BX87" s="73" t="s">
        <v>2</v>
      </c>
      <c r="BY87" s="73" t="s">
        <v>2</v>
      </c>
      <c r="BZ87" s="71" t="s">
        <v>2</v>
      </c>
      <c r="CA87" s="6" t="s">
        <v>2</v>
      </c>
      <c r="CB87" s="6" t="s">
        <v>2</v>
      </c>
      <c r="CC87" s="6" t="s">
        <v>2</v>
      </c>
      <c r="CD87" s="6" t="s">
        <v>2</v>
      </c>
      <c r="CE87" s="6" t="s">
        <v>2</v>
      </c>
      <c r="CF87" s="6" t="s">
        <v>2</v>
      </c>
      <c r="CG87" s="22" t="s">
        <v>2</v>
      </c>
      <c r="CH87" s="73" t="s">
        <v>2</v>
      </c>
      <c r="CI87" s="71" t="s">
        <v>2</v>
      </c>
      <c r="CJ87" s="6" t="s">
        <v>2</v>
      </c>
      <c r="CK87" s="6" t="s">
        <v>2</v>
      </c>
      <c r="CL87" s="6" t="s">
        <v>2</v>
      </c>
      <c r="CM87" s="22" t="s">
        <v>2</v>
      </c>
      <c r="CN87" s="21" t="s">
        <v>2</v>
      </c>
      <c r="CO87" s="21" t="s">
        <v>2</v>
      </c>
    </row>
    <row r="88" spans="1:93" s="102" customFormat="1" ht="63" x14ac:dyDescent="0.25">
      <c r="A88" s="107" t="s">
        <v>1139</v>
      </c>
      <c r="B88" s="54" t="s">
        <v>1212</v>
      </c>
      <c r="C88" s="82" t="s">
        <v>1284</v>
      </c>
      <c r="D88" s="287">
        <v>15</v>
      </c>
      <c r="E88" s="21">
        <v>0</v>
      </c>
      <c r="F88" s="73">
        <v>249</v>
      </c>
      <c r="G88" s="71">
        <v>1040.82</v>
      </c>
      <c r="H88" s="83">
        <v>41.6</v>
      </c>
      <c r="I88" s="6">
        <v>4.0999999999999996</v>
      </c>
      <c r="J88" s="6">
        <v>3.8</v>
      </c>
      <c r="K88" s="6">
        <v>49.7</v>
      </c>
      <c r="L88" s="6">
        <v>0.6</v>
      </c>
      <c r="M88" s="22">
        <v>0.8</v>
      </c>
      <c r="N88" s="73">
        <v>28</v>
      </c>
      <c r="O88" s="73">
        <v>45</v>
      </c>
      <c r="P88" s="6">
        <v>1.1299999999999999</v>
      </c>
      <c r="Q88" s="6">
        <v>1.57</v>
      </c>
      <c r="R88" s="73" t="s">
        <v>2</v>
      </c>
      <c r="S88" s="73" t="s">
        <v>2</v>
      </c>
      <c r="T88" s="73" t="s">
        <v>2</v>
      </c>
      <c r="U88" s="75" t="s">
        <v>2</v>
      </c>
      <c r="V88" s="75" t="s">
        <v>2</v>
      </c>
      <c r="W88" s="22" t="s">
        <v>2</v>
      </c>
      <c r="X88" s="6" t="s">
        <v>2</v>
      </c>
      <c r="Y88" s="75" t="s">
        <v>2</v>
      </c>
      <c r="Z88" s="75" t="s">
        <v>2</v>
      </c>
      <c r="AA88" s="75" t="s">
        <v>2</v>
      </c>
      <c r="AB88" s="75" t="s">
        <v>2</v>
      </c>
      <c r="AC88" s="75" t="s">
        <v>2</v>
      </c>
      <c r="AD88" s="73" t="s">
        <v>2</v>
      </c>
      <c r="AE88" s="73" t="s">
        <v>2</v>
      </c>
      <c r="AF88" s="6" t="s">
        <v>2</v>
      </c>
      <c r="AG88" s="22" t="s">
        <v>2</v>
      </c>
      <c r="AH88" s="73" t="s">
        <v>2</v>
      </c>
      <c r="AI88" s="73" t="s">
        <v>2</v>
      </c>
      <c r="AJ88" s="6" t="s">
        <v>2</v>
      </c>
      <c r="AK88" s="6" t="s">
        <v>2</v>
      </c>
      <c r="AL88" s="22" t="s">
        <v>2</v>
      </c>
      <c r="AM88" s="73" t="s">
        <v>2</v>
      </c>
      <c r="AN88" s="73" t="s">
        <v>2</v>
      </c>
      <c r="AO88" s="71" t="s">
        <v>2</v>
      </c>
      <c r="AP88" s="6" t="s">
        <v>2</v>
      </c>
      <c r="AQ88" s="75" t="s">
        <v>2</v>
      </c>
      <c r="AR88" s="75" t="s">
        <v>2</v>
      </c>
      <c r="AS88" s="75" t="s">
        <v>2</v>
      </c>
      <c r="AT88" s="75" t="s">
        <v>2</v>
      </c>
      <c r="AU88" s="75" t="s">
        <v>2</v>
      </c>
      <c r="AV88" s="77" t="s">
        <v>2</v>
      </c>
      <c r="AW88" s="6" t="s">
        <v>2</v>
      </c>
      <c r="AX88" s="75" t="s">
        <v>2</v>
      </c>
      <c r="AY88" s="75" t="s">
        <v>2</v>
      </c>
      <c r="AZ88" s="77" t="s">
        <v>2</v>
      </c>
      <c r="BA88" s="6" t="s">
        <v>2</v>
      </c>
      <c r="BB88" s="75" t="s">
        <v>2</v>
      </c>
      <c r="BC88" s="75" t="s">
        <v>2</v>
      </c>
      <c r="BD88" s="75" t="s">
        <v>2</v>
      </c>
      <c r="BE88" s="75" t="s">
        <v>2</v>
      </c>
      <c r="BF88" s="77" t="s">
        <v>2</v>
      </c>
      <c r="BG88" s="21" t="s">
        <v>2</v>
      </c>
      <c r="BH88" s="21" t="s">
        <v>2</v>
      </c>
      <c r="BI88" s="73" t="s">
        <v>2</v>
      </c>
      <c r="BJ88" s="73" t="s">
        <v>2</v>
      </c>
      <c r="BK88" s="73" t="s">
        <v>2</v>
      </c>
      <c r="BL88" s="73" t="s">
        <v>2</v>
      </c>
      <c r="BM88" s="73" t="s">
        <v>2</v>
      </c>
      <c r="BN88" s="73" t="s">
        <v>2</v>
      </c>
      <c r="BO88" s="73" t="s">
        <v>2</v>
      </c>
      <c r="BP88" s="73" t="s">
        <v>2</v>
      </c>
      <c r="BQ88" s="73" t="s">
        <v>2</v>
      </c>
      <c r="BR88" s="73" t="s">
        <v>2</v>
      </c>
      <c r="BS88" s="73" t="s">
        <v>2</v>
      </c>
      <c r="BT88" s="73" t="s">
        <v>2</v>
      </c>
      <c r="BU88" s="73" t="s">
        <v>2</v>
      </c>
      <c r="BV88" s="73" t="s">
        <v>2</v>
      </c>
      <c r="BW88" s="73" t="s">
        <v>2</v>
      </c>
      <c r="BX88" s="73" t="s">
        <v>2</v>
      </c>
      <c r="BY88" s="73" t="s">
        <v>2</v>
      </c>
      <c r="BZ88" s="71" t="s">
        <v>2</v>
      </c>
      <c r="CA88" s="6" t="s">
        <v>2</v>
      </c>
      <c r="CB88" s="6" t="s">
        <v>2</v>
      </c>
      <c r="CC88" s="6" t="s">
        <v>2</v>
      </c>
      <c r="CD88" s="6" t="s">
        <v>2</v>
      </c>
      <c r="CE88" s="6" t="s">
        <v>2</v>
      </c>
      <c r="CF88" s="6" t="s">
        <v>2</v>
      </c>
      <c r="CG88" s="22" t="s">
        <v>2</v>
      </c>
      <c r="CH88" s="73" t="s">
        <v>2</v>
      </c>
      <c r="CI88" s="71" t="s">
        <v>2</v>
      </c>
      <c r="CJ88" s="6" t="s">
        <v>2</v>
      </c>
      <c r="CK88" s="6" t="s">
        <v>2</v>
      </c>
      <c r="CL88" s="6" t="s">
        <v>2</v>
      </c>
      <c r="CM88" s="22" t="s">
        <v>2</v>
      </c>
      <c r="CN88" s="21" t="s">
        <v>2</v>
      </c>
      <c r="CO88" s="21" t="s">
        <v>2</v>
      </c>
    </row>
    <row r="89" spans="1:93" s="102" customFormat="1" x14ac:dyDescent="0.25">
      <c r="A89" s="107" t="s">
        <v>1140</v>
      </c>
      <c r="B89" s="54" t="s">
        <v>1213</v>
      </c>
      <c r="C89" s="5" t="s">
        <v>1285</v>
      </c>
      <c r="D89" s="287">
        <v>15</v>
      </c>
      <c r="E89" s="21">
        <v>0</v>
      </c>
      <c r="F89" s="73">
        <v>482</v>
      </c>
      <c r="G89" s="71">
        <v>2014.7599999999998</v>
      </c>
      <c r="H89" s="83">
        <v>12</v>
      </c>
      <c r="I89" s="6">
        <v>5.5</v>
      </c>
      <c r="J89" s="6">
        <v>26.5</v>
      </c>
      <c r="K89" s="6">
        <v>55.42</v>
      </c>
      <c r="L89" s="6">
        <v>1.1000000000000001</v>
      </c>
      <c r="M89" s="22">
        <v>0.57999999999999996</v>
      </c>
      <c r="N89" s="73">
        <v>94</v>
      </c>
      <c r="O89" s="73">
        <v>93</v>
      </c>
      <c r="P89" s="6">
        <v>2.44</v>
      </c>
      <c r="Q89" s="6">
        <v>0.79</v>
      </c>
      <c r="R89" s="73" t="s">
        <v>2</v>
      </c>
      <c r="S89" s="73" t="s">
        <v>2</v>
      </c>
      <c r="T89" s="73" t="s">
        <v>2</v>
      </c>
      <c r="U89" s="75" t="s">
        <v>2</v>
      </c>
      <c r="V89" s="75" t="s">
        <v>2</v>
      </c>
      <c r="W89" s="22" t="s">
        <v>2</v>
      </c>
      <c r="X89" s="6" t="s">
        <v>2</v>
      </c>
      <c r="Y89" s="75" t="s">
        <v>2</v>
      </c>
      <c r="Z89" s="75" t="s">
        <v>2</v>
      </c>
      <c r="AA89" s="75" t="s">
        <v>2</v>
      </c>
      <c r="AB89" s="75" t="s">
        <v>2</v>
      </c>
      <c r="AC89" s="75" t="s">
        <v>2</v>
      </c>
      <c r="AD89" s="73" t="s">
        <v>2</v>
      </c>
      <c r="AE89" s="73" t="s">
        <v>2</v>
      </c>
      <c r="AF89" s="6" t="s">
        <v>2</v>
      </c>
      <c r="AG89" s="22" t="s">
        <v>2</v>
      </c>
      <c r="AH89" s="73" t="s">
        <v>2</v>
      </c>
      <c r="AI89" s="73" t="s">
        <v>2</v>
      </c>
      <c r="AJ89" s="6" t="s">
        <v>2</v>
      </c>
      <c r="AK89" s="6" t="s">
        <v>2</v>
      </c>
      <c r="AL89" s="22" t="s">
        <v>2</v>
      </c>
      <c r="AM89" s="73" t="s">
        <v>2</v>
      </c>
      <c r="AN89" s="73" t="s">
        <v>2</v>
      </c>
      <c r="AO89" s="71" t="s">
        <v>2</v>
      </c>
      <c r="AP89" s="6" t="s">
        <v>2</v>
      </c>
      <c r="AQ89" s="75" t="s">
        <v>2</v>
      </c>
      <c r="AR89" s="75" t="s">
        <v>2</v>
      </c>
      <c r="AS89" s="75" t="s">
        <v>2</v>
      </c>
      <c r="AT89" s="75" t="s">
        <v>2</v>
      </c>
      <c r="AU89" s="75" t="s">
        <v>2</v>
      </c>
      <c r="AV89" s="77" t="s">
        <v>2</v>
      </c>
      <c r="AW89" s="6" t="s">
        <v>2</v>
      </c>
      <c r="AX89" s="75" t="s">
        <v>2</v>
      </c>
      <c r="AY89" s="75" t="s">
        <v>2</v>
      </c>
      <c r="AZ89" s="77" t="s">
        <v>2</v>
      </c>
      <c r="BA89" s="6" t="s">
        <v>2</v>
      </c>
      <c r="BB89" s="75" t="s">
        <v>2</v>
      </c>
      <c r="BC89" s="75" t="s">
        <v>2</v>
      </c>
      <c r="BD89" s="75" t="s">
        <v>2</v>
      </c>
      <c r="BE89" s="75" t="s">
        <v>2</v>
      </c>
      <c r="BF89" s="77" t="s">
        <v>2</v>
      </c>
      <c r="BG89" s="21" t="s">
        <v>2</v>
      </c>
      <c r="BH89" s="21" t="s">
        <v>2</v>
      </c>
      <c r="BI89" s="73" t="s">
        <v>2</v>
      </c>
      <c r="BJ89" s="73" t="s">
        <v>2</v>
      </c>
      <c r="BK89" s="73" t="s">
        <v>2</v>
      </c>
      <c r="BL89" s="73" t="s">
        <v>2</v>
      </c>
      <c r="BM89" s="73" t="s">
        <v>2</v>
      </c>
      <c r="BN89" s="73" t="s">
        <v>2</v>
      </c>
      <c r="BO89" s="73" t="s">
        <v>2</v>
      </c>
      <c r="BP89" s="73" t="s">
        <v>2</v>
      </c>
      <c r="BQ89" s="73" t="s">
        <v>2</v>
      </c>
      <c r="BR89" s="73" t="s">
        <v>2</v>
      </c>
      <c r="BS89" s="73" t="s">
        <v>2</v>
      </c>
      <c r="BT89" s="73" t="s">
        <v>2</v>
      </c>
      <c r="BU89" s="73" t="s">
        <v>2</v>
      </c>
      <c r="BV89" s="73" t="s">
        <v>2</v>
      </c>
      <c r="BW89" s="73" t="s">
        <v>2</v>
      </c>
      <c r="BX89" s="73" t="s">
        <v>2</v>
      </c>
      <c r="BY89" s="73" t="s">
        <v>2</v>
      </c>
      <c r="BZ89" s="71" t="s">
        <v>2</v>
      </c>
      <c r="CA89" s="6" t="s">
        <v>2</v>
      </c>
      <c r="CB89" s="6" t="s">
        <v>2</v>
      </c>
      <c r="CC89" s="6" t="s">
        <v>2</v>
      </c>
      <c r="CD89" s="6" t="s">
        <v>2</v>
      </c>
      <c r="CE89" s="6" t="s">
        <v>2</v>
      </c>
      <c r="CF89" s="6" t="s">
        <v>2</v>
      </c>
      <c r="CG89" s="22" t="s">
        <v>2</v>
      </c>
      <c r="CH89" s="73" t="s">
        <v>2</v>
      </c>
      <c r="CI89" s="71" t="s">
        <v>2</v>
      </c>
      <c r="CJ89" s="6" t="s">
        <v>2</v>
      </c>
      <c r="CK89" s="6" t="s">
        <v>2</v>
      </c>
      <c r="CL89" s="6" t="s">
        <v>2</v>
      </c>
      <c r="CM89" s="22" t="s">
        <v>2</v>
      </c>
      <c r="CN89" s="21" t="s">
        <v>2</v>
      </c>
      <c r="CO89" s="21" t="s">
        <v>2</v>
      </c>
    </row>
    <row r="90" spans="1:93" s="102" customFormat="1" x14ac:dyDescent="0.25">
      <c r="A90" s="107" t="s">
        <v>1141</v>
      </c>
      <c r="B90" s="54" t="s">
        <v>1214</v>
      </c>
      <c r="C90" s="5" t="s">
        <v>1286</v>
      </c>
      <c r="D90" s="287">
        <v>15</v>
      </c>
      <c r="E90" s="21">
        <v>0</v>
      </c>
      <c r="F90" s="73">
        <v>189</v>
      </c>
      <c r="G90" s="71">
        <v>790.02</v>
      </c>
      <c r="H90" s="83">
        <v>60.5</v>
      </c>
      <c r="I90" s="6">
        <v>11.3</v>
      </c>
      <c r="J90" s="6">
        <v>7.5</v>
      </c>
      <c r="K90" s="6">
        <v>19</v>
      </c>
      <c r="L90" s="6">
        <v>1.2</v>
      </c>
      <c r="M90" s="22">
        <v>1.7</v>
      </c>
      <c r="N90" s="73">
        <v>57</v>
      </c>
      <c r="O90" s="73">
        <v>58</v>
      </c>
      <c r="P90" s="6">
        <v>1.52</v>
      </c>
      <c r="Q90" s="6">
        <v>3.4</v>
      </c>
      <c r="R90" s="73" t="s">
        <v>2</v>
      </c>
      <c r="S90" s="73" t="s">
        <v>2</v>
      </c>
      <c r="T90" s="73" t="s">
        <v>2</v>
      </c>
      <c r="U90" s="75" t="s">
        <v>2</v>
      </c>
      <c r="V90" s="75" t="s">
        <v>2</v>
      </c>
      <c r="W90" s="22" t="s">
        <v>2</v>
      </c>
      <c r="X90" s="6" t="s">
        <v>2</v>
      </c>
      <c r="Y90" s="75" t="s">
        <v>2</v>
      </c>
      <c r="Z90" s="75" t="s">
        <v>2</v>
      </c>
      <c r="AA90" s="75" t="s">
        <v>2</v>
      </c>
      <c r="AB90" s="75" t="s">
        <v>2</v>
      </c>
      <c r="AC90" s="75" t="s">
        <v>2</v>
      </c>
      <c r="AD90" s="73" t="s">
        <v>2</v>
      </c>
      <c r="AE90" s="73" t="s">
        <v>2</v>
      </c>
      <c r="AF90" s="6" t="s">
        <v>2</v>
      </c>
      <c r="AG90" s="22" t="s">
        <v>2</v>
      </c>
      <c r="AH90" s="73" t="s">
        <v>2</v>
      </c>
      <c r="AI90" s="73" t="s">
        <v>2</v>
      </c>
      <c r="AJ90" s="6" t="s">
        <v>2</v>
      </c>
      <c r="AK90" s="6" t="s">
        <v>2</v>
      </c>
      <c r="AL90" s="22" t="s">
        <v>2</v>
      </c>
      <c r="AM90" s="73" t="s">
        <v>2</v>
      </c>
      <c r="AN90" s="73" t="s">
        <v>2</v>
      </c>
      <c r="AO90" s="71" t="s">
        <v>2</v>
      </c>
      <c r="AP90" s="6" t="s">
        <v>2</v>
      </c>
      <c r="AQ90" s="75" t="s">
        <v>2</v>
      </c>
      <c r="AR90" s="75" t="s">
        <v>2</v>
      </c>
      <c r="AS90" s="75" t="s">
        <v>2</v>
      </c>
      <c r="AT90" s="75" t="s">
        <v>2</v>
      </c>
      <c r="AU90" s="75" t="s">
        <v>2</v>
      </c>
      <c r="AV90" s="77" t="s">
        <v>2</v>
      </c>
      <c r="AW90" s="6" t="s">
        <v>2</v>
      </c>
      <c r="AX90" s="75" t="s">
        <v>2</v>
      </c>
      <c r="AY90" s="75" t="s">
        <v>2</v>
      </c>
      <c r="AZ90" s="77" t="s">
        <v>2</v>
      </c>
      <c r="BA90" s="6" t="s">
        <v>2</v>
      </c>
      <c r="BB90" s="75" t="s">
        <v>2</v>
      </c>
      <c r="BC90" s="75" t="s">
        <v>2</v>
      </c>
      <c r="BD90" s="75" t="s">
        <v>2</v>
      </c>
      <c r="BE90" s="75" t="s">
        <v>2</v>
      </c>
      <c r="BF90" s="77" t="s">
        <v>2</v>
      </c>
      <c r="BG90" s="21" t="s">
        <v>2</v>
      </c>
      <c r="BH90" s="21" t="s">
        <v>2</v>
      </c>
      <c r="BI90" s="73" t="s">
        <v>2</v>
      </c>
      <c r="BJ90" s="73" t="s">
        <v>2</v>
      </c>
      <c r="BK90" s="73" t="s">
        <v>2</v>
      </c>
      <c r="BL90" s="73" t="s">
        <v>2</v>
      </c>
      <c r="BM90" s="73" t="s">
        <v>2</v>
      </c>
      <c r="BN90" s="73" t="s">
        <v>2</v>
      </c>
      <c r="BO90" s="73" t="s">
        <v>2</v>
      </c>
      <c r="BP90" s="73" t="s">
        <v>2</v>
      </c>
      <c r="BQ90" s="73" t="s">
        <v>2</v>
      </c>
      <c r="BR90" s="73" t="s">
        <v>2</v>
      </c>
      <c r="BS90" s="73" t="s">
        <v>2</v>
      </c>
      <c r="BT90" s="73" t="s">
        <v>2</v>
      </c>
      <c r="BU90" s="73" t="s">
        <v>2</v>
      </c>
      <c r="BV90" s="73" t="s">
        <v>2</v>
      </c>
      <c r="BW90" s="73" t="s">
        <v>2</v>
      </c>
      <c r="BX90" s="73" t="s">
        <v>2</v>
      </c>
      <c r="BY90" s="73" t="s">
        <v>2</v>
      </c>
      <c r="BZ90" s="71" t="s">
        <v>2</v>
      </c>
      <c r="CA90" s="6" t="s">
        <v>2</v>
      </c>
      <c r="CB90" s="6" t="s">
        <v>2</v>
      </c>
      <c r="CC90" s="6" t="s">
        <v>2</v>
      </c>
      <c r="CD90" s="6" t="s">
        <v>2</v>
      </c>
      <c r="CE90" s="6" t="s">
        <v>2</v>
      </c>
      <c r="CF90" s="6" t="s">
        <v>2</v>
      </c>
      <c r="CG90" s="22" t="s">
        <v>2</v>
      </c>
      <c r="CH90" s="73" t="s">
        <v>2</v>
      </c>
      <c r="CI90" s="71" t="s">
        <v>2</v>
      </c>
      <c r="CJ90" s="6" t="s">
        <v>2</v>
      </c>
      <c r="CK90" s="6" t="s">
        <v>2</v>
      </c>
      <c r="CL90" s="6" t="s">
        <v>2</v>
      </c>
      <c r="CM90" s="22" t="s">
        <v>2</v>
      </c>
      <c r="CN90" s="21" t="s">
        <v>2</v>
      </c>
      <c r="CO90" s="21" t="s">
        <v>2</v>
      </c>
    </row>
    <row r="91" spans="1:93" s="102" customFormat="1" x14ac:dyDescent="0.25">
      <c r="A91" s="107" t="s">
        <v>1142</v>
      </c>
      <c r="B91" s="54" t="s">
        <v>1215</v>
      </c>
      <c r="C91" s="5" t="s">
        <v>1287</v>
      </c>
      <c r="D91" s="287">
        <v>15</v>
      </c>
      <c r="E91" s="21">
        <v>0</v>
      </c>
      <c r="F91" s="73">
        <v>266</v>
      </c>
      <c r="G91" s="71">
        <v>1111.8799999999999</v>
      </c>
      <c r="H91" s="83">
        <v>45.9</v>
      </c>
      <c r="I91" s="6">
        <v>9.8000000000000007</v>
      </c>
      <c r="J91" s="6">
        <v>11</v>
      </c>
      <c r="K91" s="6">
        <v>31.9</v>
      </c>
      <c r="L91" s="6">
        <v>0.6</v>
      </c>
      <c r="M91" s="22">
        <v>1.4</v>
      </c>
      <c r="N91" s="73">
        <v>40</v>
      </c>
      <c r="O91" s="73">
        <v>76</v>
      </c>
      <c r="P91" s="6">
        <v>3.45</v>
      </c>
      <c r="Q91" s="6">
        <v>0.74</v>
      </c>
      <c r="R91" s="73" t="s">
        <v>2</v>
      </c>
      <c r="S91" s="73" t="s">
        <v>2</v>
      </c>
      <c r="T91" s="73" t="s">
        <v>2</v>
      </c>
      <c r="U91" s="75" t="s">
        <v>2</v>
      </c>
      <c r="V91" s="75" t="s">
        <v>2</v>
      </c>
      <c r="W91" s="22" t="s">
        <v>2</v>
      </c>
      <c r="X91" s="6" t="s">
        <v>2</v>
      </c>
      <c r="Y91" s="75" t="s">
        <v>2</v>
      </c>
      <c r="Z91" s="75" t="s">
        <v>2</v>
      </c>
      <c r="AA91" s="75" t="s">
        <v>2</v>
      </c>
      <c r="AB91" s="75" t="s">
        <v>2</v>
      </c>
      <c r="AC91" s="75" t="s">
        <v>2</v>
      </c>
      <c r="AD91" s="73" t="s">
        <v>2</v>
      </c>
      <c r="AE91" s="73" t="s">
        <v>2</v>
      </c>
      <c r="AF91" s="6" t="s">
        <v>2</v>
      </c>
      <c r="AG91" s="22" t="s">
        <v>2</v>
      </c>
      <c r="AH91" s="73" t="s">
        <v>2</v>
      </c>
      <c r="AI91" s="73" t="s">
        <v>2</v>
      </c>
      <c r="AJ91" s="6" t="s">
        <v>2</v>
      </c>
      <c r="AK91" s="6" t="s">
        <v>2</v>
      </c>
      <c r="AL91" s="22" t="s">
        <v>2</v>
      </c>
      <c r="AM91" s="73" t="s">
        <v>2</v>
      </c>
      <c r="AN91" s="73" t="s">
        <v>2</v>
      </c>
      <c r="AO91" s="71" t="s">
        <v>2</v>
      </c>
      <c r="AP91" s="6" t="s">
        <v>2</v>
      </c>
      <c r="AQ91" s="75" t="s">
        <v>2</v>
      </c>
      <c r="AR91" s="75" t="s">
        <v>2</v>
      </c>
      <c r="AS91" s="75" t="s">
        <v>2</v>
      </c>
      <c r="AT91" s="75" t="s">
        <v>2</v>
      </c>
      <c r="AU91" s="75" t="s">
        <v>2</v>
      </c>
      <c r="AV91" s="77" t="s">
        <v>2</v>
      </c>
      <c r="AW91" s="6" t="s">
        <v>2</v>
      </c>
      <c r="AX91" s="75" t="s">
        <v>2</v>
      </c>
      <c r="AY91" s="75" t="s">
        <v>2</v>
      </c>
      <c r="AZ91" s="77" t="s">
        <v>2</v>
      </c>
      <c r="BA91" s="6" t="s">
        <v>2</v>
      </c>
      <c r="BB91" s="75" t="s">
        <v>2</v>
      </c>
      <c r="BC91" s="75" t="s">
        <v>2</v>
      </c>
      <c r="BD91" s="75" t="s">
        <v>2</v>
      </c>
      <c r="BE91" s="75" t="s">
        <v>2</v>
      </c>
      <c r="BF91" s="77" t="s">
        <v>2</v>
      </c>
      <c r="BG91" s="21" t="s">
        <v>2</v>
      </c>
      <c r="BH91" s="21" t="s">
        <v>2</v>
      </c>
      <c r="BI91" s="73" t="s">
        <v>2</v>
      </c>
      <c r="BJ91" s="73" t="s">
        <v>2</v>
      </c>
      <c r="BK91" s="73" t="s">
        <v>2</v>
      </c>
      <c r="BL91" s="73" t="s">
        <v>2</v>
      </c>
      <c r="BM91" s="73" t="s">
        <v>2</v>
      </c>
      <c r="BN91" s="73" t="s">
        <v>2</v>
      </c>
      <c r="BO91" s="73" t="s">
        <v>2</v>
      </c>
      <c r="BP91" s="73" t="s">
        <v>2</v>
      </c>
      <c r="BQ91" s="73" t="s">
        <v>2</v>
      </c>
      <c r="BR91" s="73" t="s">
        <v>2</v>
      </c>
      <c r="BS91" s="73" t="s">
        <v>2</v>
      </c>
      <c r="BT91" s="73" t="s">
        <v>2</v>
      </c>
      <c r="BU91" s="73" t="s">
        <v>2</v>
      </c>
      <c r="BV91" s="73" t="s">
        <v>2</v>
      </c>
      <c r="BW91" s="73" t="s">
        <v>2</v>
      </c>
      <c r="BX91" s="73" t="s">
        <v>2</v>
      </c>
      <c r="BY91" s="73" t="s">
        <v>2</v>
      </c>
      <c r="BZ91" s="71" t="s">
        <v>2</v>
      </c>
      <c r="CA91" s="6" t="s">
        <v>2</v>
      </c>
      <c r="CB91" s="6" t="s">
        <v>2</v>
      </c>
      <c r="CC91" s="6" t="s">
        <v>2</v>
      </c>
      <c r="CD91" s="6" t="s">
        <v>2</v>
      </c>
      <c r="CE91" s="6" t="s">
        <v>2</v>
      </c>
      <c r="CF91" s="6" t="s">
        <v>2</v>
      </c>
      <c r="CG91" s="22" t="s">
        <v>2</v>
      </c>
      <c r="CH91" s="73" t="s">
        <v>2</v>
      </c>
      <c r="CI91" s="71" t="s">
        <v>2</v>
      </c>
      <c r="CJ91" s="6" t="s">
        <v>2</v>
      </c>
      <c r="CK91" s="6" t="s">
        <v>2</v>
      </c>
      <c r="CL91" s="6" t="s">
        <v>2</v>
      </c>
      <c r="CM91" s="22" t="s">
        <v>2</v>
      </c>
      <c r="CN91" s="21" t="s">
        <v>2</v>
      </c>
      <c r="CO91" s="21" t="s">
        <v>2</v>
      </c>
    </row>
    <row r="92" spans="1:93" s="102" customFormat="1" x14ac:dyDescent="0.25">
      <c r="A92" s="107" t="s">
        <v>1143</v>
      </c>
      <c r="B92" s="54" t="s">
        <v>1216</v>
      </c>
      <c r="C92" s="82" t="s">
        <v>1288</v>
      </c>
      <c r="D92" s="287">
        <v>15</v>
      </c>
      <c r="E92" s="21">
        <v>0</v>
      </c>
      <c r="F92" s="73">
        <v>216</v>
      </c>
      <c r="G92" s="71">
        <v>902.87999999999988</v>
      </c>
      <c r="H92" s="83">
        <v>49.2</v>
      </c>
      <c r="I92" s="6">
        <v>5</v>
      </c>
      <c r="J92" s="6">
        <v>3.2</v>
      </c>
      <c r="K92" s="6">
        <v>41.77</v>
      </c>
      <c r="L92" s="6">
        <v>0.6</v>
      </c>
      <c r="M92" s="22">
        <v>0.83</v>
      </c>
      <c r="N92" s="73">
        <v>17</v>
      </c>
      <c r="O92" s="73">
        <v>39</v>
      </c>
      <c r="P92" s="6">
        <v>1.29</v>
      </c>
      <c r="Q92" s="6">
        <v>0.5</v>
      </c>
      <c r="R92" s="73" t="s">
        <v>2</v>
      </c>
      <c r="S92" s="73" t="s">
        <v>2</v>
      </c>
      <c r="T92" s="73" t="s">
        <v>2</v>
      </c>
      <c r="U92" s="75" t="s">
        <v>2</v>
      </c>
      <c r="V92" s="75" t="s">
        <v>2</v>
      </c>
      <c r="W92" s="22" t="s">
        <v>2</v>
      </c>
      <c r="X92" s="6" t="s">
        <v>2</v>
      </c>
      <c r="Y92" s="75" t="s">
        <v>2</v>
      </c>
      <c r="Z92" s="75" t="s">
        <v>2</v>
      </c>
      <c r="AA92" s="75" t="s">
        <v>2</v>
      </c>
      <c r="AB92" s="75" t="s">
        <v>2</v>
      </c>
      <c r="AC92" s="75" t="s">
        <v>2</v>
      </c>
      <c r="AD92" s="73" t="s">
        <v>2</v>
      </c>
      <c r="AE92" s="73" t="s">
        <v>2</v>
      </c>
      <c r="AF92" s="6" t="s">
        <v>2</v>
      </c>
      <c r="AG92" s="22" t="s">
        <v>2</v>
      </c>
      <c r="AH92" s="73" t="s">
        <v>2</v>
      </c>
      <c r="AI92" s="73" t="s">
        <v>2</v>
      </c>
      <c r="AJ92" s="6" t="s">
        <v>2</v>
      </c>
      <c r="AK92" s="6" t="s">
        <v>2</v>
      </c>
      <c r="AL92" s="22" t="s">
        <v>2</v>
      </c>
      <c r="AM92" s="73" t="s">
        <v>2</v>
      </c>
      <c r="AN92" s="73" t="s">
        <v>2</v>
      </c>
      <c r="AO92" s="71" t="s">
        <v>2</v>
      </c>
      <c r="AP92" s="6" t="s">
        <v>2</v>
      </c>
      <c r="AQ92" s="75" t="s">
        <v>2</v>
      </c>
      <c r="AR92" s="75" t="s">
        <v>2</v>
      </c>
      <c r="AS92" s="75" t="s">
        <v>2</v>
      </c>
      <c r="AT92" s="75" t="s">
        <v>2</v>
      </c>
      <c r="AU92" s="75" t="s">
        <v>2</v>
      </c>
      <c r="AV92" s="77" t="s">
        <v>2</v>
      </c>
      <c r="AW92" s="6" t="s">
        <v>2</v>
      </c>
      <c r="AX92" s="75" t="s">
        <v>2</v>
      </c>
      <c r="AY92" s="75" t="s">
        <v>2</v>
      </c>
      <c r="AZ92" s="77" t="s">
        <v>2</v>
      </c>
      <c r="BA92" s="6" t="s">
        <v>2</v>
      </c>
      <c r="BB92" s="75" t="s">
        <v>2</v>
      </c>
      <c r="BC92" s="75" t="s">
        <v>2</v>
      </c>
      <c r="BD92" s="75" t="s">
        <v>2</v>
      </c>
      <c r="BE92" s="75" t="s">
        <v>2</v>
      </c>
      <c r="BF92" s="77" t="s">
        <v>2</v>
      </c>
      <c r="BG92" s="21" t="s">
        <v>2</v>
      </c>
      <c r="BH92" s="21" t="s">
        <v>2</v>
      </c>
      <c r="BI92" s="73" t="s">
        <v>2</v>
      </c>
      <c r="BJ92" s="73" t="s">
        <v>2</v>
      </c>
      <c r="BK92" s="73" t="s">
        <v>2</v>
      </c>
      <c r="BL92" s="73" t="s">
        <v>2</v>
      </c>
      <c r="BM92" s="73" t="s">
        <v>2</v>
      </c>
      <c r="BN92" s="73" t="s">
        <v>2</v>
      </c>
      <c r="BO92" s="73" t="s">
        <v>2</v>
      </c>
      <c r="BP92" s="73" t="s">
        <v>2</v>
      </c>
      <c r="BQ92" s="73" t="s">
        <v>2</v>
      </c>
      <c r="BR92" s="73" t="s">
        <v>2</v>
      </c>
      <c r="BS92" s="73" t="s">
        <v>2</v>
      </c>
      <c r="BT92" s="73" t="s">
        <v>2</v>
      </c>
      <c r="BU92" s="73" t="s">
        <v>2</v>
      </c>
      <c r="BV92" s="73" t="s">
        <v>2</v>
      </c>
      <c r="BW92" s="73" t="s">
        <v>2</v>
      </c>
      <c r="BX92" s="73" t="s">
        <v>2</v>
      </c>
      <c r="BY92" s="73" t="s">
        <v>2</v>
      </c>
      <c r="BZ92" s="71" t="s">
        <v>2</v>
      </c>
      <c r="CA92" s="6" t="s">
        <v>2</v>
      </c>
      <c r="CB92" s="6" t="s">
        <v>2</v>
      </c>
      <c r="CC92" s="6" t="s">
        <v>2</v>
      </c>
      <c r="CD92" s="6" t="s">
        <v>2</v>
      </c>
      <c r="CE92" s="6" t="s">
        <v>2</v>
      </c>
      <c r="CF92" s="6" t="s">
        <v>2</v>
      </c>
      <c r="CG92" s="22" t="s">
        <v>2</v>
      </c>
      <c r="CH92" s="73" t="s">
        <v>2</v>
      </c>
      <c r="CI92" s="71" t="s">
        <v>2</v>
      </c>
      <c r="CJ92" s="6" t="s">
        <v>2</v>
      </c>
      <c r="CK92" s="6" t="s">
        <v>2</v>
      </c>
      <c r="CL92" s="6" t="s">
        <v>2</v>
      </c>
      <c r="CM92" s="22" t="s">
        <v>2</v>
      </c>
      <c r="CN92" s="21" t="s">
        <v>2</v>
      </c>
      <c r="CO92" s="21" t="s">
        <v>2</v>
      </c>
    </row>
    <row r="93" spans="1:93" s="102" customFormat="1" x14ac:dyDescent="0.25">
      <c r="A93" s="107" t="s">
        <v>1144</v>
      </c>
      <c r="B93" s="54" t="s">
        <v>1217</v>
      </c>
      <c r="C93" s="5" t="s">
        <v>1289</v>
      </c>
      <c r="D93" s="287">
        <v>15</v>
      </c>
      <c r="E93" s="21">
        <v>0</v>
      </c>
      <c r="F93" s="73">
        <v>386</v>
      </c>
      <c r="G93" s="71">
        <v>1613.4799999999998</v>
      </c>
      <c r="H93" s="83">
        <v>21.4</v>
      </c>
      <c r="I93" s="6">
        <v>5.2</v>
      </c>
      <c r="J93" s="6">
        <v>14.8</v>
      </c>
      <c r="K93" s="6">
        <v>58.1</v>
      </c>
      <c r="L93" s="6">
        <v>1.8</v>
      </c>
      <c r="M93" s="22">
        <v>0.5</v>
      </c>
      <c r="N93" s="73">
        <v>43</v>
      </c>
      <c r="O93" s="73">
        <v>52</v>
      </c>
      <c r="P93" s="6">
        <v>2.1</v>
      </c>
      <c r="Q93" s="6">
        <v>0.84</v>
      </c>
      <c r="R93" s="73" t="s">
        <v>2</v>
      </c>
      <c r="S93" s="73" t="s">
        <v>2</v>
      </c>
      <c r="T93" s="73" t="s">
        <v>2</v>
      </c>
      <c r="U93" s="75" t="s">
        <v>2</v>
      </c>
      <c r="V93" s="75" t="s">
        <v>2</v>
      </c>
      <c r="W93" s="22" t="s">
        <v>2</v>
      </c>
      <c r="X93" s="6" t="s">
        <v>2</v>
      </c>
      <c r="Y93" s="75" t="s">
        <v>2</v>
      </c>
      <c r="Z93" s="75" t="s">
        <v>2</v>
      </c>
      <c r="AA93" s="75" t="s">
        <v>2</v>
      </c>
      <c r="AB93" s="75" t="s">
        <v>2</v>
      </c>
      <c r="AC93" s="75" t="s">
        <v>2</v>
      </c>
      <c r="AD93" s="73" t="s">
        <v>2</v>
      </c>
      <c r="AE93" s="73" t="s">
        <v>2</v>
      </c>
      <c r="AF93" s="6" t="s">
        <v>2</v>
      </c>
      <c r="AG93" s="22" t="s">
        <v>2</v>
      </c>
      <c r="AH93" s="73" t="s">
        <v>2</v>
      </c>
      <c r="AI93" s="73" t="s">
        <v>2</v>
      </c>
      <c r="AJ93" s="6" t="s">
        <v>2</v>
      </c>
      <c r="AK93" s="6" t="s">
        <v>2</v>
      </c>
      <c r="AL93" s="22" t="s">
        <v>2</v>
      </c>
      <c r="AM93" s="73" t="s">
        <v>2</v>
      </c>
      <c r="AN93" s="73" t="s">
        <v>2</v>
      </c>
      <c r="AO93" s="71" t="s">
        <v>2</v>
      </c>
      <c r="AP93" s="6" t="s">
        <v>2</v>
      </c>
      <c r="AQ93" s="75" t="s">
        <v>2</v>
      </c>
      <c r="AR93" s="75" t="s">
        <v>2</v>
      </c>
      <c r="AS93" s="75" t="s">
        <v>2</v>
      </c>
      <c r="AT93" s="75" t="s">
        <v>2</v>
      </c>
      <c r="AU93" s="75" t="s">
        <v>2</v>
      </c>
      <c r="AV93" s="77" t="s">
        <v>2</v>
      </c>
      <c r="AW93" s="6" t="s">
        <v>2</v>
      </c>
      <c r="AX93" s="75" t="s">
        <v>2</v>
      </c>
      <c r="AY93" s="75" t="s">
        <v>2</v>
      </c>
      <c r="AZ93" s="77" t="s">
        <v>2</v>
      </c>
      <c r="BA93" s="6" t="s">
        <v>2</v>
      </c>
      <c r="BB93" s="75" t="s">
        <v>2</v>
      </c>
      <c r="BC93" s="75" t="s">
        <v>2</v>
      </c>
      <c r="BD93" s="75" t="s">
        <v>2</v>
      </c>
      <c r="BE93" s="75" t="s">
        <v>2</v>
      </c>
      <c r="BF93" s="77" t="s">
        <v>2</v>
      </c>
      <c r="BG93" s="21" t="s">
        <v>2</v>
      </c>
      <c r="BH93" s="21" t="s">
        <v>2</v>
      </c>
      <c r="BI93" s="73" t="s">
        <v>2</v>
      </c>
      <c r="BJ93" s="73" t="s">
        <v>2</v>
      </c>
      <c r="BK93" s="73" t="s">
        <v>2</v>
      </c>
      <c r="BL93" s="73" t="s">
        <v>2</v>
      </c>
      <c r="BM93" s="73" t="s">
        <v>2</v>
      </c>
      <c r="BN93" s="73" t="s">
        <v>2</v>
      </c>
      <c r="BO93" s="73" t="s">
        <v>2</v>
      </c>
      <c r="BP93" s="73" t="s">
        <v>2</v>
      </c>
      <c r="BQ93" s="73" t="s">
        <v>2</v>
      </c>
      <c r="BR93" s="73" t="s">
        <v>2</v>
      </c>
      <c r="BS93" s="73" t="s">
        <v>2</v>
      </c>
      <c r="BT93" s="73" t="s">
        <v>2</v>
      </c>
      <c r="BU93" s="73" t="s">
        <v>2</v>
      </c>
      <c r="BV93" s="73" t="s">
        <v>2</v>
      </c>
      <c r="BW93" s="73" t="s">
        <v>2</v>
      </c>
      <c r="BX93" s="73" t="s">
        <v>2</v>
      </c>
      <c r="BY93" s="73" t="s">
        <v>2</v>
      </c>
      <c r="BZ93" s="71" t="s">
        <v>2</v>
      </c>
      <c r="CA93" s="6" t="s">
        <v>2</v>
      </c>
      <c r="CB93" s="6" t="s">
        <v>2</v>
      </c>
      <c r="CC93" s="6" t="s">
        <v>2</v>
      </c>
      <c r="CD93" s="6" t="s">
        <v>2</v>
      </c>
      <c r="CE93" s="6" t="s">
        <v>2</v>
      </c>
      <c r="CF93" s="6" t="s">
        <v>2</v>
      </c>
      <c r="CG93" s="22" t="s">
        <v>2</v>
      </c>
      <c r="CH93" s="73" t="s">
        <v>2</v>
      </c>
      <c r="CI93" s="71" t="s">
        <v>2</v>
      </c>
      <c r="CJ93" s="6" t="s">
        <v>2</v>
      </c>
      <c r="CK93" s="6" t="s">
        <v>2</v>
      </c>
      <c r="CL93" s="6" t="s">
        <v>2</v>
      </c>
      <c r="CM93" s="22" t="s">
        <v>2</v>
      </c>
      <c r="CN93" s="21" t="s">
        <v>2</v>
      </c>
      <c r="CO93" s="21" t="s">
        <v>2</v>
      </c>
    </row>
    <row r="94" spans="1:93" s="102" customFormat="1" x14ac:dyDescent="0.25">
      <c r="A94" s="107" t="s">
        <v>1145</v>
      </c>
      <c r="B94" s="54" t="s">
        <v>1218</v>
      </c>
      <c r="C94" s="5" t="s">
        <v>1290</v>
      </c>
      <c r="D94" s="287">
        <v>15</v>
      </c>
      <c r="E94" s="21">
        <v>0</v>
      </c>
      <c r="F94" s="84">
        <v>371</v>
      </c>
      <c r="G94" s="71">
        <v>1550.78</v>
      </c>
      <c r="H94" s="83">
        <v>23.7</v>
      </c>
      <c r="I94" s="6">
        <v>9.6</v>
      </c>
      <c r="J94" s="6">
        <v>13.9</v>
      </c>
      <c r="K94" s="6">
        <v>51.9</v>
      </c>
      <c r="L94" s="6">
        <v>2.7</v>
      </c>
      <c r="M94" s="22">
        <v>0.9</v>
      </c>
      <c r="N94" s="73">
        <v>55</v>
      </c>
      <c r="O94" s="73">
        <v>393</v>
      </c>
      <c r="P94" s="6">
        <v>2.6</v>
      </c>
      <c r="Q94" s="6">
        <v>1.31</v>
      </c>
      <c r="R94" s="73" t="s">
        <v>2</v>
      </c>
      <c r="S94" s="73" t="s">
        <v>2</v>
      </c>
      <c r="T94" s="73" t="s">
        <v>2</v>
      </c>
      <c r="U94" s="75" t="s">
        <v>2</v>
      </c>
      <c r="V94" s="75" t="s">
        <v>2</v>
      </c>
      <c r="W94" s="22" t="s">
        <v>2</v>
      </c>
      <c r="X94" s="31" t="s">
        <v>2</v>
      </c>
      <c r="Y94" s="91" t="s">
        <v>2</v>
      </c>
      <c r="Z94" s="91" t="s">
        <v>2</v>
      </c>
      <c r="AA94" s="91" t="s">
        <v>2</v>
      </c>
      <c r="AB94" s="91" t="s">
        <v>2</v>
      </c>
      <c r="AC94" s="91" t="s">
        <v>2</v>
      </c>
      <c r="AD94" s="88" t="s">
        <v>2</v>
      </c>
      <c r="AE94" s="88" t="s">
        <v>2</v>
      </c>
      <c r="AF94" s="32" t="s">
        <v>2</v>
      </c>
      <c r="AG94" s="33" t="s">
        <v>2</v>
      </c>
      <c r="AH94" s="73" t="s">
        <v>2</v>
      </c>
      <c r="AI94" s="73" t="s">
        <v>2</v>
      </c>
      <c r="AJ94" s="6" t="s">
        <v>2</v>
      </c>
      <c r="AK94" s="6" t="s">
        <v>2</v>
      </c>
      <c r="AL94" s="22" t="s">
        <v>2</v>
      </c>
      <c r="AM94" s="73" t="s">
        <v>2</v>
      </c>
      <c r="AN94" s="73" t="s">
        <v>2</v>
      </c>
      <c r="AO94" s="71" t="s">
        <v>2</v>
      </c>
      <c r="AP94" s="6" t="s">
        <v>2</v>
      </c>
      <c r="AQ94" s="75" t="s">
        <v>2</v>
      </c>
      <c r="AR94" s="75" t="s">
        <v>2</v>
      </c>
      <c r="AS94" s="75" t="s">
        <v>2</v>
      </c>
      <c r="AT94" s="75" t="s">
        <v>2</v>
      </c>
      <c r="AU94" s="75" t="s">
        <v>2</v>
      </c>
      <c r="AV94" s="77" t="s">
        <v>2</v>
      </c>
      <c r="AW94" s="6" t="s">
        <v>2</v>
      </c>
      <c r="AX94" s="75" t="s">
        <v>2</v>
      </c>
      <c r="AY94" s="75" t="s">
        <v>2</v>
      </c>
      <c r="AZ94" s="77" t="s">
        <v>2</v>
      </c>
      <c r="BA94" s="6" t="s">
        <v>2</v>
      </c>
      <c r="BB94" s="75" t="s">
        <v>2</v>
      </c>
      <c r="BC94" s="75" t="s">
        <v>2</v>
      </c>
      <c r="BD94" s="75" t="s">
        <v>2</v>
      </c>
      <c r="BE94" s="75" t="s">
        <v>2</v>
      </c>
      <c r="BF94" s="77" t="s">
        <v>2</v>
      </c>
      <c r="BG94" s="21" t="s">
        <v>2</v>
      </c>
      <c r="BH94" s="21" t="s">
        <v>2</v>
      </c>
      <c r="BI94" s="73" t="s">
        <v>2</v>
      </c>
      <c r="BJ94" s="73" t="s">
        <v>2</v>
      </c>
      <c r="BK94" s="73" t="s">
        <v>2</v>
      </c>
      <c r="BL94" s="73" t="s">
        <v>2</v>
      </c>
      <c r="BM94" s="73" t="s">
        <v>2</v>
      </c>
      <c r="BN94" s="73" t="s">
        <v>2</v>
      </c>
      <c r="BO94" s="73" t="s">
        <v>2</v>
      </c>
      <c r="BP94" s="73" t="s">
        <v>2</v>
      </c>
      <c r="BQ94" s="73" t="s">
        <v>2</v>
      </c>
      <c r="BR94" s="73" t="s">
        <v>2</v>
      </c>
      <c r="BS94" s="73" t="s">
        <v>2</v>
      </c>
      <c r="BT94" s="73" t="s">
        <v>2</v>
      </c>
      <c r="BU94" s="73" t="s">
        <v>2</v>
      </c>
      <c r="BV94" s="73" t="s">
        <v>2</v>
      </c>
      <c r="BW94" s="73" t="s">
        <v>2</v>
      </c>
      <c r="BX94" s="73" t="s">
        <v>2</v>
      </c>
      <c r="BY94" s="73" t="s">
        <v>2</v>
      </c>
      <c r="BZ94" s="71" t="s">
        <v>2</v>
      </c>
      <c r="CA94" s="6" t="s">
        <v>2</v>
      </c>
      <c r="CB94" s="6" t="s">
        <v>2</v>
      </c>
      <c r="CC94" s="6" t="s">
        <v>2</v>
      </c>
      <c r="CD94" s="6" t="s">
        <v>2</v>
      </c>
      <c r="CE94" s="6" t="s">
        <v>2</v>
      </c>
      <c r="CF94" s="6" t="s">
        <v>2</v>
      </c>
      <c r="CG94" s="22" t="s">
        <v>2</v>
      </c>
      <c r="CH94" s="73" t="s">
        <v>2</v>
      </c>
      <c r="CI94" s="71" t="s">
        <v>2</v>
      </c>
      <c r="CJ94" s="6" t="s">
        <v>2</v>
      </c>
      <c r="CK94" s="6" t="s">
        <v>2</v>
      </c>
      <c r="CL94" s="6" t="s">
        <v>2</v>
      </c>
      <c r="CM94" s="22" t="s">
        <v>2</v>
      </c>
      <c r="CN94" s="21" t="s">
        <v>2</v>
      </c>
      <c r="CO94" s="21" t="s">
        <v>2</v>
      </c>
    </row>
    <row r="95" spans="1:93" s="102" customFormat="1" x14ac:dyDescent="0.25">
      <c r="A95" s="107" t="s">
        <v>1146</v>
      </c>
      <c r="B95" s="54" t="s">
        <v>1219</v>
      </c>
      <c r="C95" s="5" t="s">
        <v>1291</v>
      </c>
      <c r="D95" s="287">
        <v>15</v>
      </c>
      <c r="E95" s="21">
        <v>0</v>
      </c>
      <c r="F95" s="84">
        <v>185</v>
      </c>
      <c r="G95" s="71">
        <v>773.3</v>
      </c>
      <c r="H95" s="83">
        <v>54.8</v>
      </c>
      <c r="I95" s="6">
        <v>2.1</v>
      </c>
      <c r="J95" s="6">
        <v>1.3</v>
      </c>
      <c r="K95" s="6">
        <v>41.1</v>
      </c>
      <c r="L95" s="6">
        <v>1</v>
      </c>
      <c r="M95" s="22">
        <v>0.7</v>
      </c>
      <c r="N95" s="73">
        <v>13</v>
      </c>
      <c r="O95" s="73">
        <v>20</v>
      </c>
      <c r="P95" s="6">
        <v>1.21</v>
      </c>
      <c r="Q95" s="6">
        <v>0.2</v>
      </c>
      <c r="R95" s="73" t="s">
        <v>2</v>
      </c>
      <c r="S95" s="73" t="s">
        <v>2</v>
      </c>
      <c r="T95" s="73" t="s">
        <v>2</v>
      </c>
      <c r="U95" s="75" t="s">
        <v>2</v>
      </c>
      <c r="V95" s="75" t="s">
        <v>2</v>
      </c>
      <c r="W95" s="22" t="s">
        <v>2</v>
      </c>
      <c r="X95" s="31" t="s">
        <v>2</v>
      </c>
      <c r="Y95" s="91" t="s">
        <v>2</v>
      </c>
      <c r="Z95" s="91" t="s">
        <v>2</v>
      </c>
      <c r="AA95" s="91" t="s">
        <v>2</v>
      </c>
      <c r="AB95" s="91" t="s">
        <v>2</v>
      </c>
      <c r="AC95" s="91" t="s">
        <v>2</v>
      </c>
      <c r="AD95" s="88" t="s">
        <v>2</v>
      </c>
      <c r="AE95" s="88" t="s">
        <v>2</v>
      </c>
      <c r="AF95" s="32" t="s">
        <v>2</v>
      </c>
      <c r="AG95" s="33" t="s">
        <v>2</v>
      </c>
      <c r="AH95" s="73" t="s">
        <v>2</v>
      </c>
      <c r="AI95" s="73" t="s">
        <v>2</v>
      </c>
      <c r="AJ95" s="6" t="s">
        <v>2</v>
      </c>
      <c r="AK95" s="6" t="s">
        <v>2</v>
      </c>
      <c r="AL95" s="22" t="s">
        <v>2</v>
      </c>
      <c r="AM95" s="73" t="s">
        <v>2</v>
      </c>
      <c r="AN95" s="73" t="s">
        <v>2</v>
      </c>
      <c r="AO95" s="71" t="s">
        <v>2</v>
      </c>
      <c r="AP95" s="6" t="s">
        <v>2</v>
      </c>
      <c r="AQ95" s="75" t="s">
        <v>2</v>
      </c>
      <c r="AR95" s="75" t="s">
        <v>2</v>
      </c>
      <c r="AS95" s="75" t="s">
        <v>2</v>
      </c>
      <c r="AT95" s="75" t="s">
        <v>2</v>
      </c>
      <c r="AU95" s="75" t="s">
        <v>2</v>
      </c>
      <c r="AV95" s="77" t="s">
        <v>2</v>
      </c>
      <c r="AW95" s="6" t="s">
        <v>2</v>
      </c>
      <c r="AX95" s="75" t="s">
        <v>2</v>
      </c>
      <c r="AY95" s="75" t="s">
        <v>2</v>
      </c>
      <c r="AZ95" s="77" t="s">
        <v>2</v>
      </c>
      <c r="BA95" s="6" t="s">
        <v>2</v>
      </c>
      <c r="BB95" s="75" t="s">
        <v>2</v>
      </c>
      <c r="BC95" s="75" t="s">
        <v>2</v>
      </c>
      <c r="BD95" s="75" t="s">
        <v>2</v>
      </c>
      <c r="BE95" s="75" t="s">
        <v>2</v>
      </c>
      <c r="BF95" s="77" t="s">
        <v>2</v>
      </c>
      <c r="BG95" s="21" t="s">
        <v>2</v>
      </c>
      <c r="BH95" s="21" t="s">
        <v>2</v>
      </c>
      <c r="BI95" s="73" t="s">
        <v>2</v>
      </c>
      <c r="BJ95" s="73" t="s">
        <v>2</v>
      </c>
      <c r="BK95" s="73" t="s">
        <v>2</v>
      </c>
      <c r="BL95" s="73" t="s">
        <v>2</v>
      </c>
      <c r="BM95" s="73" t="s">
        <v>2</v>
      </c>
      <c r="BN95" s="73" t="s">
        <v>2</v>
      </c>
      <c r="BO95" s="73" t="s">
        <v>2</v>
      </c>
      <c r="BP95" s="73" t="s">
        <v>2</v>
      </c>
      <c r="BQ95" s="73" t="s">
        <v>2</v>
      </c>
      <c r="BR95" s="73" t="s">
        <v>2</v>
      </c>
      <c r="BS95" s="73" t="s">
        <v>2</v>
      </c>
      <c r="BT95" s="73" t="s">
        <v>2</v>
      </c>
      <c r="BU95" s="73" t="s">
        <v>2</v>
      </c>
      <c r="BV95" s="73" t="s">
        <v>2</v>
      </c>
      <c r="BW95" s="73" t="s">
        <v>2</v>
      </c>
      <c r="BX95" s="73" t="s">
        <v>2</v>
      </c>
      <c r="BY95" s="73" t="s">
        <v>2</v>
      </c>
      <c r="BZ95" s="71" t="s">
        <v>2</v>
      </c>
      <c r="CA95" s="6" t="s">
        <v>2</v>
      </c>
      <c r="CB95" s="6" t="s">
        <v>2</v>
      </c>
      <c r="CC95" s="6" t="s">
        <v>2</v>
      </c>
      <c r="CD95" s="6" t="s">
        <v>2</v>
      </c>
      <c r="CE95" s="6" t="s">
        <v>2</v>
      </c>
      <c r="CF95" s="6" t="s">
        <v>2</v>
      </c>
      <c r="CG95" s="22" t="s">
        <v>2</v>
      </c>
      <c r="CH95" s="73" t="s">
        <v>2</v>
      </c>
      <c r="CI95" s="71" t="s">
        <v>2</v>
      </c>
      <c r="CJ95" s="6" t="s">
        <v>2</v>
      </c>
      <c r="CK95" s="6" t="s">
        <v>2</v>
      </c>
      <c r="CL95" s="6" t="s">
        <v>2</v>
      </c>
      <c r="CM95" s="22" t="s">
        <v>2</v>
      </c>
      <c r="CN95" s="21" t="s">
        <v>2</v>
      </c>
      <c r="CO95" s="21" t="s">
        <v>2</v>
      </c>
    </row>
    <row r="96" spans="1:93" s="102" customFormat="1" x14ac:dyDescent="0.25">
      <c r="A96" s="107" t="s">
        <v>1147</v>
      </c>
      <c r="B96" s="54" t="s">
        <v>1220</v>
      </c>
      <c r="C96" s="82" t="s">
        <v>1292</v>
      </c>
      <c r="D96" s="287">
        <v>15</v>
      </c>
      <c r="E96" s="21">
        <v>0</v>
      </c>
      <c r="F96" s="84">
        <v>318</v>
      </c>
      <c r="G96" s="71">
        <v>1329.24</v>
      </c>
      <c r="H96" s="83">
        <v>31.6</v>
      </c>
      <c r="I96" s="6">
        <v>3.7</v>
      </c>
      <c r="J96" s="6">
        <v>9.1</v>
      </c>
      <c r="K96" s="6">
        <v>55.42</v>
      </c>
      <c r="L96" s="6">
        <v>0.2</v>
      </c>
      <c r="M96" s="22">
        <v>0.18</v>
      </c>
      <c r="N96" s="73">
        <v>35</v>
      </c>
      <c r="O96" s="73">
        <v>18</v>
      </c>
      <c r="P96" s="6">
        <v>0.67</v>
      </c>
      <c r="Q96" s="6">
        <v>0.42</v>
      </c>
      <c r="R96" s="73" t="s">
        <v>2</v>
      </c>
      <c r="S96" s="73" t="s">
        <v>2</v>
      </c>
      <c r="T96" s="73" t="s">
        <v>2</v>
      </c>
      <c r="U96" s="75" t="s">
        <v>2</v>
      </c>
      <c r="V96" s="75" t="s">
        <v>2</v>
      </c>
      <c r="W96" s="22" t="s">
        <v>2</v>
      </c>
      <c r="X96" s="31" t="s">
        <v>2</v>
      </c>
      <c r="Y96" s="91" t="s">
        <v>2</v>
      </c>
      <c r="Z96" s="91" t="s">
        <v>2</v>
      </c>
      <c r="AA96" s="91" t="s">
        <v>2</v>
      </c>
      <c r="AB96" s="91" t="s">
        <v>2</v>
      </c>
      <c r="AC96" s="91" t="s">
        <v>2</v>
      </c>
      <c r="AD96" s="88" t="s">
        <v>2</v>
      </c>
      <c r="AE96" s="88" t="s">
        <v>2</v>
      </c>
      <c r="AF96" s="32" t="s">
        <v>2</v>
      </c>
      <c r="AG96" s="33" t="s">
        <v>2</v>
      </c>
      <c r="AH96" s="93" t="s">
        <v>2</v>
      </c>
      <c r="AI96" s="93" t="s">
        <v>2</v>
      </c>
      <c r="AJ96" s="32" t="s">
        <v>2</v>
      </c>
      <c r="AK96" s="32" t="s">
        <v>2</v>
      </c>
      <c r="AL96" s="33" t="s">
        <v>2</v>
      </c>
      <c r="AM96" s="73" t="s">
        <v>2</v>
      </c>
      <c r="AN96" s="73" t="s">
        <v>2</v>
      </c>
      <c r="AO96" s="71" t="s">
        <v>2</v>
      </c>
      <c r="AP96" s="6" t="s">
        <v>2</v>
      </c>
      <c r="AQ96" s="75" t="s">
        <v>2</v>
      </c>
      <c r="AR96" s="75" t="s">
        <v>2</v>
      </c>
      <c r="AS96" s="75" t="s">
        <v>2</v>
      </c>
      <c r="AT96" s="75" t="s">
        <v>2</v>
      </c>
      <c r="AU96" s="75" t="s">
        <v>2</v>
      </c>
      <c r="AV96" s="77" t="s">
        <v>2</v>
      </c>
      <c r="AW96" s="6" t="s">
        <v>2</v>
      </c>
      <c r="AX96" s="75" t="s">
        <v>2</v>
      </c>
      <c r="AY96" s="75" t="s">
        <v>2</v>
      </c>
      <c r="AZ96" s="77" t="s">
        <v>2</v>
      </c>
      <c r="BA96" s="6" t="s">
        <v>2</v>
      </c>
      <c r="BB96" s="75" t="s">
        <v>2</v>
      </c>
      <c r="BC96" s="75" t="s">
        <v>2</v>
      </c>
      <c r="BD96" s="75" t="s">
        <v>2</v>
      </c>
      <c r="BE96" s="75" t="s">
        <v>2</v>
      </c>
      <c r="BF96" s="77" t="s">
        <v>2</v>
      </c>
      <c r="BG96" s="21" t="s">
        <v>2</v>
      </c>
      <c r="BH96" s="21" t="s">
        <v>2</v>
      </c>
      <c r="BI96" s="73" t="s">
        <v>2</v>
      </c>
      <c r="BJ96" s="73" t="s">
        <v>2</v>
      </c>
      <c r="BK96" s="73" t="s">
        <v>2</v>
      </c>
      <c r="BL96" s="73" t="s">
        <v>2</v>
      </c>
      <c r="BM96" s="73" t="s">
        <v>2</v>
      </c>
      <c r="BN96" s="73" t="s">
        <v>2</v>
      </c>
      <c r="BO96" s="73" t="s">
        <v>2</v>
      </c>
      <c r="BP96" s="73" t="s">
        <v>2</v>
      </c>
      <c r="BQ96" s="73" t="s">
        <v>2</v>
      </c>
      <c r="BR96" s="73" t="s">
        <v>2</v>
      </c>
      <c r="BS96" s="73" t="s">
        <v>2</v>
      </c>
      <c r="BT96" s="73" t="s">
        <v>2</v>
      </c>
      <c r="BU96" s="73" t="s">
        <v>2</v>
      </c>
      <c r="BV96" s="73" t="s">
        <v>2</v>
      </c>
      <c r="BW96" s="73" t="s">
        <v>2</v>
      </c>
      <c r="BX96" s="73" t="s">
        <v>2</v>
      </c>
      <c r="BY96" s="73" t="s">
        <v>2</v>
      </c>
      <c r="BZ96" s="71" t="s">
        <v>2</v>
      </c>
      <c r="CA96" s="6" t="s">
        <v>2</v>
      </c>
      <c r="CB96" s="6" t="s">
        <v>2</v>
      </c>
      <c r="CC96" s="6" t="s">
        <v>2</v>
      </c>
      <c r="CD96" s="6" t="s">
        <v>2</v>
      </c>
      <c r="CE96" s="6" t="s">
        <v>2</v>
      </c>
      <c r="CF96" s="6" t="s">
        <v>2</v>
      </c>
      <c r="CG96" s="22" t="s">
        <v>2</v>
      </c>
      <c r="CH96" s="73" t="s">
        <v>2</v>
      </c>
      <c r="CI96" s="71" t="s">
        <v>2</v>
      </c>
      <c r="CJ96" s="6" t="s">
        <v>2</v>
      </c>
      <c r="CK96" s="6" t="s">
        <v>2</v>
      </c>
      <c r="CL96" s="6" t="s">
        <v>2</v>
      </c>
      <c r="CM96" s="22" t="s">
        <v>2</v>
      </c>
      <c r="CN96" s="21" t="s">
        <v>2</v>
      </c>
      <c r="CO96" s="21" t="s">
        <v>2</v>
      </c>
    </row>
    <row r="97" spans="1:93" s="102" customFormat="1" x14ac:dyDescent="0.25">
      <c r="A97" s="107" t="s">
        <v>1148</v>
      </c>
      <c r="B97" s="54" t="s">
        <v>1221</v>
      </c>
      <c r="C97" s="5" t="s">
        <v>1293</v>
      </c>
      <c r="D97" s="287">
        <v>15</v>
      </c>
      <c r="E97" s="21">
        <v>0</v>
      </c>
      <c r="F97" s="84">
        <v>104</v>
      </c>
      <c r="G97" s="71">
        <v>434.71999999999997</v>
      </c>
      <c r="H97" s="83">
        <v>77.7</v>
      </c>
      <c r="I97" s="6">
        <v>1.5</v>
      </c>
      <c r="J97" s="6">
        <v>3.2</v>
      </c>
      <c r="K97" s="6">
        <v>17.23</v>
      </c>
      <c r="L97" s="6">
        <v>1.1000000000000001</v>
      </c>
      <c r="M97" s="22">
        <v>0.37</v>
      </c>
      <c r="N97" s="73">
        <v>59</v>
      </c>
      <c r="O97" s="73">
        <v>13</v>
      </c>
      <c r="P97" s="6">
        <v>0.71</v>
      </c>
      <c r="Q97" s="6">
        <v>0.34</v>
      </c>
      <c r="R97" s="73" t="s">
        <v>2</v>
      </c>
      <c r="S97" s="73" t="s">
        <v>2</v>
      </c>
      <c r="T97" s="73" t="s">
        <v>2</v>
      </c>
      <c r="U97" s="75" t="s">
        <v>2</v>
      </c>
      <c r="V97" s="75" t="s">
        <v>2</v>
      </c>
      <c r="W97" s="22" t="s">
        <v>2</v>
      </c>
      <c r="X97" s="31" t="s">
        <v>2</v>
      </c>
      <c r="Y97" s="91" t="s">
        <v>2</v>
      </c>
      <c r="Z97" s="91" t="s">
        <v>2</v>
      </c>
      <c r="AA97" s="91" t="s">
        <v>2</v>
      </c>
      <c r="AB97" s="91" t="s">
        <v>2</v>
      </c>
      <c r="AC97" s="91" t="s">
        <v>2</v>
      </c>
      <c r="AD97" s="88" t="s">
        <v>2</v>
      </c>
      <c r="AE97" s="88" t="s">
        <v>2</v>
      </c>
      <c r="AF97" s="32" t="s">
        <v>2</v>
      </c>
      <c r="AG97" s="33" t="s">
        <v>2</v>
      </c>
      <c r="AH97" s="93" t="s">
        <v>2</v>
      </c>
      <c r="AI97" s="93" t="s">
        <v>2</v>
      </c>
      <c r="AJ97" s="32" t="s">
        <v>2</v>
      </c>
      <c r="AK97" s="32" t="s">
        <v>2</v>
      </c>
      <c r="AL97" s="33" t="s">
        <v>2</v>
      </c>
      <c r="AM97" s="73" t="s">
        <v>2</v>
      </c>
      <c r="AN97" s="73" t="s">
        <v>2</v>
      </c>
      <c r="AO97" s="71" t="s">
        <v>2</v>
      </c>
      <c r="AP97" s="6" t="s">
        <v>2</v>
      </c>
      <c r="AQ97" s="75" t="s">
        <v>2</v>
      </c>
      <c r="AR97" s="75" t="s">
        <v>2</v>
      </c>
      <c r="AS97" s="75" t="s">
        <v>2</v>
      </c>
      <c r="AT97" s="75" t="s">
        <v>2</v>
      </c>
      <c r="AU97" s="75" t="s">
        <v>2</v>
      </c>
      <c r="AV97" s="77" t="s">
        <v>2</v>
      </c>
      <c r="AW97" s="6" t="s">
        <v>2</v>
      </c>
      <c r="AX97" s="75" t="s">
        <v>2</v>
      </c>
      <c r="AY97" s="75" t="s">
        <v>2</v>
      </c>
      <c r="AZ97" s="77" t="s">
        <v>2</v>
      </c>
      <c r="BA97" s="6" t="s">
        <v>2</v>
      </c>
      <c r="BB97" s="75" t="s">
        <v>2</v>
      </c>
      <c r="BC97" s="75" t="s">
        <v>2</v>
      </c>
      <c r="BD97" s="75" t="s">
        <v>2</v>
      </c>
      <c r="BE97" s="75" t="s">
        <v>2</v>
      </c>
      <c r="BF97" s="77" t="s">
        <v>2</v>
      </c>
      <c r="BG97" s="21" t="s">
        <v>2</v>
      </c>
      <c r="BH97" s="21" t="s">
        <v>2</v>
      </c>
      <c r="BI97" s="73" t="s">
        <v>2</v>
      </c>
      <c r="BJ97" s="73" t="s">
        <v>2</v>
      </c>
      <c r="BK97" s="73" t="s">
        <v>2</v>
      </c>
      <c r="BL97" s="73" t="s">
        <v>2</v>
      </c>
      <c r="BM97" s="73" t="s">
        <v>2</v>
      </c>
      <c r="BN97" s="73" t="s">
        <v>2</v>
      </c>
      <c r="BO97" s="73" t="s">
        <v>2</v>
      </c>
      <c r="BP97" s="73" t="s">
        <v>2</v>
      </c>
      <c r="BQ97" s="73" t="s">
        <v>2</v>
      </c>
      <c r="BR97" s="73" t="s">
        <v>2</v>
      </c>
      <c r="BS97" s="73" t="s">
        <v>2</v>
      </c>
      <c r="BT97" s="73" t="s">
        <v>2</v>
      </c>
      <c r="BU97" s="73" t="s">
        <v>2</v>
      </c>
      <c r="BV97" s="73" t="s">
        <v>2</v>
      </c>
      <c r="BW97" s="73" t="s">
        <v>2</v>
      </c>
      <c r="BX97" s="73" t="s">
        <v>2</v>
      </c>
      <c r="BY97" s="73" t="s">
        <v>2</v>
      </c>
      <c r="BZ97" s="71" t="s">
        <v>2</v>
      </c>
      <c r="CA97" s="6" t="s">
        <v>2</v>
      </c>
      <c r="CB97" s="6" t="s">
        <v>2</v>
      </c>
      <c r="CC97" s="6" t="s">
        <v>2</v>
      </c>
      <c r="CD97" s="6" t="s">
        <v>2</v>
      </c>
      <c r="CE97" s="6" t="s">
        <v>2</v>
      </c>
      <c r="CF97" s="6" t="s">
        <v>2</v>
      </c>
      <c r="CG97" s="22" t="s">
        <v>2</v>
      </c>
      <c r="CH97" s="73" t="s">
        <v>2</v>
      </c>
      <c r="CI97" s="71" t="s">
        <v>2</v>
      </c>
      <c r="CJ97" s="6" t="s">
        <v>2</v>
      </c>
      <c r="CK97" s="6" t="s">
        <v>2</v>
      </c>
      <c r="CL97" s="6" t="s">
        <v>2</v>
      </c>
      <c r="CM97" s="22" t="s">
        <v>2</v>
      </c>
      <c r="CN97" s="21" t="s">
        <v>2</v>
      </c>
      <c r="CO97" s="21" t="s">
        <v>2</v>
      </c>
    </row>
    <row r="98" spans="1:93" s="102" customFormat="1" x14ac:dyDescent="0.25">
      <c r="A98" s="107" t="s">
        <v>1149</v>
      </c>
      <c r="B98" s="54" t="s">
        <v>1222</v>
      </c>
      <c r="C98" s="5" t="s">
        <v>1294</v>
      </c>
      <c r="D98" s="287">
        <v>15</v>
      </c>
      <c r="E98" s="21">
        <v>0</v>
      </c>
      <c r="F98" s="84">
        <v>204</v>
      </c>
      <c r="G98" s="71">
        <v>852.71999999999991</v>
      </c>
      <c r="H98" s="83">
        <v>61.1</v>
      </c>
      <c r="I98" s="40">
        <v>4</v>
      </c>
      <c r="J98" s="32">
        <v>10.8</v>
      </c>
      <c r="K98" s="32">
        <v>22.64</v>
      </c>
      <c r="L98" s="32">
        <v>0.4</v>
      </c>
      <c r="M98" s="33">
        <v>1.46</v>
      </c>
      <c r="N98" s="73">
        <v>232</v>
      </c>
      <c r="O98" s="73">
        <v>24</v>
      </c>
      <c r="P98" s="6">
        <v>2.54</v>
      </c>
      <c r="Q98" s="6">
        <v>0.43</v>
      </c>
      <c r="R98" s="73" t="s">
        <v>2</v>
      </c>
      <c r="S98" s="73" t="s">
        <v>2</v>
      </c>
      <c r="T98" s="73" t="s">
        <v>2</v>
      </c>
      <c r="U98" s="75" t="s">
        <v>2</v>
      </c>
      <c r="V98" s="75" t="s">
        <v>2</v>
      </c>
      <c r="W98" s="22" t="s">
        <v>2</v>
      </c>
      <c r="X98" s="31" t="s">
        <v>2</v>
      </c>
      <c r="Y98" s="91" t="s">
        <v>2</v>
      </c>
      <c r="Z98" s="91" t="s">
        <v>2</v>
      </c>
      <c r="AA98" s="91" t="s">
        <v>2</v>
      </c>
      <c r="AB98" s="91" t="s">
        <v>2</v>
      </c>
      <c r="AC98" s="91" t="s">
        <v>2</v>
      </c>
      <c r="AD98" s="88" t="s">
        <v>2</v>
      </c>
      <c r="AE98" s="88" t="s">
        <v>2</v>
      </c>
      <c r="AF98" s="32" t="s">
        <v>2</v>
      </c>
      <c r="AG98" s="33" t="s">
        <v>2</v>
      </c>
      <c r="AH98" s="93" t="s">
        <v>2</v>
      </c>
      <c r="AI98" s="93" t="s">
        <v>2</v>
      </c>
      <c r="AJ98" s="32" t="s">
        <v>2</v>
      </c>
      <c r="AK98" s="32" t="s">
        <v>2</v>
      </c>
      <c r="AL98" s="33" t="s">
        <v>2</v>
      </c>
      <c r="AM98" s="73" t="s">
        <v>2</v>
      </c>
      <c r="AN98" s="73" t="s">
        <v>2</v>
      </c>
      <c r="AO98" s="71" t="s">
        <v>2</v>
      </c>
      <c r="AP98" s="6" t="s">
        <v>2</v>
      </c>
      <c r="AQ98" s="75" t="s">
        <v>2</v>
      </c>
      <c r="AR98" s="75" t="s">
        <v>2</v>
      </c>
      <c r="AS98" s="75" t="s">
        <v>2</v>
      </c>
      <c r="AT98" s="75" t="s">
        <v>2</v>
      </c>
      <c r="AU98" s="75" t="s">
        <v>2</v>
      </c>
      <c r="AV98" s="77" t="s">
        <v>2</v>
      </c>
      <c r="AW98" s="6" t="s">
        <v>2</v>
      </c>
      <c r="AX98" s="75" t="s">
        <v>2</v>
      </c>
      <c r="AY98" s="75" t="s">
        <v>2</v>
      </c>
      <c r="AZ98" s="77" t="s">
        <v>2</v>
      </c>
      <c r="BA98" s="6" t="s">
        <v>2</v>
      </c>
      <c r="BB98" s="75" t="s">
        <v>2</v>
      </c>
      <c r="BC98" s="75" t="s">
        <v>2</v>
      </c>
      <c r="BD98" s="75" t="s">
        <v>2</v>
      </c>
      <c r="BE98" s="75" t="s">
        <v>2</v>
      </c>
      <c r="BF98" s="77" t="s">
        <v>2</v>
      </c>
      <c r="BG98" s="21" t="s">
        <v>2</v>
      </c>
      <c r="BH98" s="21" t="s">
        <v>2</v>
      </c>
      <c r="BI98" s="73" t="s">
        <v>2</v>
      </c>
      <c r="BJ98" s="73" t="s">
        <v>2</v>
      </c>
      <c r="BK98" s="73" t="s">
        <v>2</v>
      </c>
      <c r="BL98" s="73" t="s">
        <v>2</v>
      </c>
      <c r="BM98" s="73" t="s">
        <v>2</v>
      </c>
      <c r="BN98" s="73" t="s">
        <v>2</v>
      </c>
      <c r="BO98" s="73" t="s">
        <v>2</v>
      </c>
      <c r="BP98" s="73" t="s">
        <v>2</v>
      </c>
      <c r="BQ98" s="73" t="s">
        <v>2</v>
      </c>
      <c r="BR98" s="73" t="s">
        <v>2</v>
      </c>
      <c r="BS98" s="73" t="s">
        <v>2</v>
      </c>
      <c r="BT98" s="73" t="s">
        <v>2</v>
      </c>
      <c r="BU98" s="73" t="s">
        <v>2</v>
      </c>
      <c r="BV98" s="73" t="s">
        <v>2</v>
      </c>
      <c r="BW98" s="73" t="s">
        <v>2</v>
      </c>
      <c r="BX98" s="73" t="s">
        <v>2</v>
      </c>
      <c r="BY98" s="73" t="s">
        <v>2</v>
      </c>
      <c r="BZ98" s="71" t="s">
        <v>2</v>
      </c>
      <c r="CA98" s="31" t="s">
        <v>2</v>
      </c>
      <c r="CB98" s="32" t="s">
        <v>2</v>
      </c>
      <c r="CC98" s="32" t="s">
        <v>2</v>
      </c>
      <c r="CD98" s="32" t="s">
        <v>2</v>
      </c>
      <c r="CE98" s="32" t="s">
        <v>2</v>
      </c>
      <c r="CF98" s="32" t="s">
        <v>2</v>
      </c>
      <c r="CG98" s="33" t="s">
        <v>2</v>
      </c>
      <c r="CH98" s="73" t="s">
        <v>2</v>
      </c>
      <c r="CI98" s="71" t="s">
        <v>2</v>
      </c>
      <c r="CJ98" s="6" t="s">
        <v>2</v>
      </c>
      <c r="CK98" s="6" t="s">
        <v>2</v>
      </c>
      <c r="CL98" s="6" t="s">
        <v>2</v>
      </c>
      <c r="CM98" s="22" t="s">
        <v>2</v>
      </c>
      <c r="CN98" s="21" t="s">
        <v>2</v>
      </c>
      <c r="CO98" s="21" t="s">
        <v>2</v>
      </c>
    </row>
    <row r="99" spans="1:93" s="102" customFormat="1" x14ac:dyDescent="0.25">
      <c r="A99" s="107" t="s">
        <v>1150</v>
      </c>
      <c r="B99" s="54" t="s">
        <v>1223</v>
      </c>
      <c r="C99" s="5" t="s">
        <v>1295</v>
      </c>
      <c r="D99" s="287">
        <v>15</v>
      </c>
      <c r="E99" s="21">
        <v>0</v>
      </c>
      <c r="F99" s="84">
        <v>202</v>
      </c>
      <c r="G99" s="71">
        <v>844.3599999999999</v>
      </c>
      <c r="H99" s="83">
        <v>50.1</v>
      </c>
      <c r="I99" s="40">
        <v>2.8</v>
      </c>
      <c r="J99" s="32">
        <v>0.6</v>
      </c>
      <c r="K99" s="32">
        <v>46.37</v>
      </c>
      <c r="L99" s="32">
        <v>0.2</v>
      </c>
      <c r="M99" s="33">
        <v>0.13</v>
      </c>
      <c r="N99" s="87">
        <v>16</v>
      </c>
      <c r="O99" s="88">
        <v>14</v>
      </c>
      <c r="P99" s="32">
        <v>1.86</v>
      </c>
      <c r="Q99" s="32">
        <v>0.45</v>
      </c>
      <c r="R99" s="73" t="s">
        <v>2</v>
      </c>
      <c r="S99" s="88" t="s">
        <v>2</v>
      </c>
      <c r="T99" s="88" t="s">
        <v>2</v>
      </c>
      <c r="U99" s="91" t="s">
        <v>2</v>
      </c>
      <c r="V99" s="91" t="s">
        <v>2</v>
      </c>
      <c r="W99" s="33" t="s">
        <v>2</v>
      </c>
      <c r="X99" s="31" t="s">
        <v>2</v>
      </c>
      <c r="Y99" s="91" t="s">
        <v>2</v>
      </c>
      <c r="Z99" s="91" t="s">
        <v>2</v>
      </c>
      <c r="AA99" s="91" t="s">
        <v>2</v>
      </c>
      <c r="AB99" s="91" t="s">
        <v>2</v>
      </c>
      <c r="AC99" s="91" t="s">
        <v>2</v>
      </c>
      <c r="AD99" s="88" t="s">
        <v>2</v>
      </c>
      <c r="AE99" s="88" t="s">
        <v>2</v>
      </c>
      <c r="AF99" s="32" t="s">
        <v>2</v>
      </c>
      <c r="AG99" s="33" t="s">
        <v>2</v>
      </c>
      <c r="AH99" s="93" t="s">
        <v>2</v>
      </c>
      <c r="AI99" s="93" t="s">
        <v>2</v>
      </c>
      <c r="AJ99" s="32" t="s">
        <v>2</v>
      </c>
      <c r="AK99" s="32" t="s">
        <v>2</v>
      </c>
      <c r="AL99" s="33" t="s">
        <v>2</v>
      </c>
      <c r="AM99" s="87" t="s">
        <v>2</v>
      </c>
      <c r="AN99" s="88" t="s">
        <v>2</v>
      </c>
      <c r="AO99" s="95" t="s">
        <v>2</v>
      </c>
      <c r="AP99" s="6" t="s">
        <v>2</v>
      </c>
      <c r="AQ99" s="75" t="s">
        <v>2</v>
      </c>
      <c r="AR99" s="75" t="s">
        <v>2</v>
      </c>
      <c r="AS99" s="75" t="s">
        <v>2</v>
      </c>
      <c r="AT99" s="75" t="s">
        <v>2</v>
      </c>
      <c r="AU99" s="75" t="s">
        <v>2</v>
      </c>
      <c r="AV99" s="77" t="s">
        <v>2</v>
      </c>
      <c r="AW99" s="6" t="s">
        <v>2</v>
      </c>
      <c r="AX99" s="75" t="s">
        <v>2</v>
      </c>
      <c r="AY99" s="75" t="s">
        <v>2</v>
      </c>
      <c r="AZ99" s="77" t="s">
        <v>2</v>
      </c>
      <c r="BA99" s="6" t="s">
        <v>2</v>
      </c>
      <c r="BB99" s="75" t="s">
        <v>2</v>
      </c>
      <c r="BC99" s="75" t="s">
        <v>2</v>
      </c>
      <c r="BD99" s="75" t="s">
        <v>2</v>
      </c>
      <c r="BE99" s="75" t="s">
        <v>2</v>
      </c>
      <c r="BF99" s="77" t="s">
        <v>2</v>
      </c>
      <c r="BG99" s="21" t="s">
        <v>2</v>
      </c>
      <c r="BH99" s="21" t="s">
        <v>2</v>
      </c>
      <c r="BI99" s="73" t="s">
        <v>2</v>
      </c>
      <c r="BJ99" s="73" t="s">
        <v>2</v>
      </c>
      <c r="BK99" s="73" t="s">
        <v>2</v>
      </c>
      <c r="BL99" s="73" t="s">
        <v>2</v>
      </c>
      <c r="BM99" s="73" t="s">
        <v>2</v>
      </c>
      <c r="BN99" s="73" t="s">
        <v>2</v>
      </c>
      <c r="BO99" s="73" t="s">
        <v>2</v>
      </c>
      <c r="BP99" s="73" t="s">
        <v>2</v>
      </c>
      <c r="BQ99" s="73" t="s">
        <v>2</v>
      </c>
      <c r="BR99" s="73" t="s">
        <v>2</v>
      </c>
      <c r="BS99" s="73" t="s">
        <v>2</v>
      </c>
      <c r="BT99" s="73" t="s">
        <v>2</v>
      </c>
      <c r="BU99" s="73" t="s">
        <v>2</v>
      </c>
      <c r="BV99" s="73" t="s">
        <v>2</v>
      </c>
      <c r="BW99" s="73" t="s">
        <v>2</v>
      </c>
      <c r="BX99" s="73" t="s">
        <v>2</v>
      </c>
      <c r="BY99" s="73" t="s">
        <v>2</v>
      </c>
      <c r="BZ99" s="71" t="s">
        <v>2</v>
      </c>
      <c r="CA99" s="31" t="s">
        <v>2</v>
      </c>
      <c r="CB99" s="32" t="s">
        <v>2</v>
      </c>
      <c r="CC99" s="32" t="s">
        <v>2</v>
      </c>
      <c r="CD99" s="32" t="s">
        <v>2</v>
      </c>
      <c r="CE99" s="32" t="s">
        <v>2</v>
      </c>
      <c r="CF99" s="32" t="s">
        <v>2</v>
      </c>
      <c r="CG99" s="33" t="s">
        <v>2</v>
      </c>
      <c r="CH99" s="88" t="s">
        <v>2</v>
      </c>
      <c r="CI99" s="95" t="s">
        <v>2</v>
      </c>
      <c r="CJ99" s="6" t="s">
        <v>2</v>
      </c>
      <c r="CK99" s="6" t="s">
        <v>2</v>
      </c>
      <c r="CL99" s="6" t="s">
        <v>2</v>
      </c>
      <c r="CM99" s="22" t="s">
        <v>2</v>
      </c>
      <c r="CN99" s="21" t="s">
        <v>2</v>
      </c>
      <c r="CO99" s="21" t="s">
        <v>2</v>
      </c>
    </row>
    <row r="100" spans="1:93" s="102" customFormat="1" x14ac:dyDescent="0.25">
      <c r="A100" s="107" t="s">
        <v>1151</v>
      </c>
      <c r="B100" s="54" t="s">
        <v>1224</v>
      </c>
      <c r="C100" s="82" t="s">
        <v>1296</v>
      </c>
      <c r="D100" s="287">
        <v>15</v>
      </c>
      <c r="E100" s="21">
        <v>0</v>
      </c>
      <c r="F100" s="84">
        <v>81</v>
      </c>
      <c r="G100" s="71">
        <v>338.58</v>
      </c>
      <c r="H100" s="83">
        <v>79.7</v>
      </c>
      <c r="I100" s="40">
        <v>3.2</v>
      </c>
      <c r="J100" s="32">
        <v>0.6</v>
      </c>
      <c r="K100" s="32">
        <v>15.73</v>
      </c>
      <c r="L100" s="32">
        <v>0.4</v>
      </c>
      <c r="M100" s="33">
        <v>0.77</v>
      </c>
      <c r="N100" s="87">
        <v>87</v>
      </c>
      <c r="O100" s="88">
        <v>25</v>
      </c>
      <c r="P100" s="32">
        <v>0.55000000000000004</v>
      </c>
      <c r="Q100" s="32">
        <v>0.13</v>
      </c>
      <c r="R100" s="73" t="s">
        <v>2</v>
      </c>
      <c r="S100" s="88" t="s">
        <v>2</v>
      </c>
      <c r="T100" s="88" t="s">
        <v>2</v>
      </c>
      <c r="U100" s="91" t="s">
        <v>2</v>
      </c>
      <c r="V100" s="91" t="s">
        <v>2</v>
      </c>
      <c r="W100" s="33" t="s">
        <v>2</v>
      </c>
      <c r="X100" s="31" t="s">
        <v>2</v>
      </c>
      <c r="Y100" s="91" t="s">
        <v>2</v>
      </c>
      <c r="Z100" s="91" t="s">
        <v>2</v>
      </c>
      <c r="AA100" s="91" t="s">
        <v>2</v>
      </c>
      <c r="AB100" s="91" t="s">
        <v>2</v>
      </c>
      <c r="AC100" s="91" t="s">
        <v>2</v>
      </c>
      <c r="AD100" s="88" t="s">
        <v>2</v>
      </c>
      <c r="AE100" s="88" t="s">
        <v>2</v>
      </c>
      <c r="AF100" s="32" t="s">
        <v>2</v>
      </c>
      <c r="AG100" s="33" t="s">
        <v>2</v>
      </c>
      <c r="AH100" s="93" t="s">
        <v>2</v>
      </c>
      <c r="AI100" s="93" t="s">
        <v>2</v>
      </c>
      <c r="AJ100" s="32" t="s">
        <v>2</v>
      </c>
      <c r="AK100" s="32" t="s">
        <v>2</v>
      </c>
      <c r="AL100" s="33" t="s">
        <v>2</v>
      </c>
      <c r="AM100" s="87" t="s">
        <v>2</v>
      </c>
      <c r="AN100" s="88" t="s">
        <v>2</v>
      </c>
      <c r="AO100" s="95" t="s">
        <v>2</v>
      </c>
      <c r="AP100" s="40" t="s">
        <v>2</v>
      </c>
      <c r="AQ100" s="91" t="s">
        <v>2</v>
      </c>
      <c r="AR100" s="91" t="s">
        <v>2</v>
      </c>
      <c r="AS100" s="91" t="s">
        <v>2</v>
      </c>
      <c r="AT100" s="91" t="s">
        <v>2</v>
      </c>
      <c r="AU100" s="91" t="s">
        <v>2</v>
      </c>
      <c r="AV100" s="97" t="s">
        <v>2</v>
      </c>
      <c r="AW100" s="31" t="s">
        <v>2</v>
      </c>
      <c r="AX100" s="91" t="s">
        <v>2</v>
      </c>
      <c r="AY100" s="91" t="s">
        <v>2</v>
      </c>
      <c r="AZ100" s="97" t="s">
        <v>2</v>
      </c>
      <c r="BA100" s="6" t="s">
        <v>2</v>
      </c>
      <c r="BB100" s="75" t="s">
        <v>2</v>
      </c>
      <c r="BC100" s="75" t="s">
        <v>2</v>
      </c>
      <c r="BD100" s="75" t="s">
        <v>2</v>
      </c>
      <c r="BE100" s="75" t="s">
        <v>2</v>
      </c>
      <c r="BF100" s="77" t="s">
        <v>2</v>
      </c>
      <c r="BG100" s="21" t="s">
        <v>2</v>
      </c>
      <c r="BH100" s="21" t="s">
        <v>2</v>
      </c>
      <c r="BI100" s="73" t="s">
        <v>2</v>
      </c>
      <c r="BJ100" s="73" t="s">
        <v>2</v>
      </c>
      <c r="BK100" s="73" t="s">
        <v>2</v>
      </c>
      <c r="BL100" s="73" t="s">
        <v>2</v>
      </c>
      <c r="BM100" s="73" t="s">
        <v>2</v>
      </c>
      <c r="BN100" s="73" t="s">
        <v>2</v>
      </c>
      <c r="BO100" s="73" t="s">
        <v>2</v>
      </c>
      <c r="BP100" s="73" t="s">
        <v>2</v>
      </c>
      <c r="BQ100" s="73" t="s">
        <v>2</v>
      </c>
      <c r="BR100" s="73" t="s">
        <v>2</v>
      </c>
      <c r="BS100" s="73" t="s">
        <v>2</v>
      </c>
      <c r="BT100" s="73" t="s">
        <v>2</v>
      </c>
      <c r="BU100" s="73" t="s">
        <v>2</v>
      </c>
      <c r="BV100" s="73" t="s">
        <v>2</v>
      </c>
      <c r="BW100" s="73" t="s">
        <v>2</v>
      </c>
      <c r="BX100" s="73" t="s">
        <v>2</v>
      </c>
      <c r="BY100" s="73" t="s">
        <v>2</v>
      </c>
      <c r="BZ100" s="71" t="s">
        <v>2</v>
      </c>
      <c r="CA100" s="31" t="s">
        <v>2</v>
      </c>
      <c r="CB100" s="32" t="s">
        <v>2</v>
      </c>
      <c r="CC100" s="32" t="s">
        <v>2</v>
      </c>
      <c r="CD100" s="32" t="s">
        <v>2</v>
      </c>
      <c r="CE100" s="32" t="s">
        <v>2</v>
      </c>
      <c r="CF100" s="32" t="s">
        <v>2</v>
      </c>
      <c r="CG100" s="33" t="s">
        <v>2</v>
      </c>
      <c r="CH100" s="88" t="s">
        <v>2</v>
      </c>
      <c r="CI100" s="95" t="s">
        <v>2</v>
      </c>
      <c r="CJ100" s="31" t="s">
        <v>2</v>
      </c>
      <c r="CK100" s="32" t="s">
        <v>2</v>
      </c>
      <c r="CL100" s="32" t="s">
        <v>2</v>
      </c>
      <c r="CM100" s="33" t="s">
        <v>2</v>
      </c>
      <c r="CN100" s="21" t="s">
        <v>2</v>
      </c>
      <c r="CO100" s="21" t="s">
        <v>2</v>
      </c>
    </row>
    <row r="101" spans="1:93" s="102" customFormat="1" x14ac:dyDescent="0.25">
      <c r="A101" s="107" t="s">
        <v>1152</v>
      </c>
      <c r="B101" s="54" t="s">
        <v>1225</v>
      </c>
      <c r="C101" s="5" t="s">
        <v>1297</v>
      </c>
      <c r="D101" s="287">
        <v>15</v>
      </c>
      <c r="E101" s="21">
        <v>0</v>
      </c>
      <c r="F101" s="84">
        <v>136</v>
      </c>
      <c r="G101" s="71">
        <v>568.48</v>
      </c>
      <c r="H101" s="83">
        <v>70.599999999999994</v>
      </c>
      <c r="I101" s="40">
        <v>6.1</v>
      </c>
      <c r="J101" s="32">
        <v>4.4000000000000004</v>
      </c>
      <c r="K101" s="32">
        <v>17.899999999999999</v>
      </c>
      <c r="L101" s="32">
        <v>0.6</v>
      </c>
      <c r="M101" s="33">
        <v>1</v>
      </c>
      <c r="N101" s="87">
        <v>91</v>
      </c>
      <c r="O101" s="88">
        <v>33</v>
      </c>
      <c r="P101" s="32">
        <v>0.99</v>
      </c>
      <c r="Q101" s="32">
        <v>0.77</v>
      </c>
      <c r="R101" s="73" t="s">
        <v>2</v>
      </c>
      <c r="S101" s="88" t="s">
        <v>2</v>
      </c>
      <c r="T101" s="88" t="s">
        <v>2</v>
      </c>
      <c r="U101" s="91" t="s">
        <v>2</v>
      </c>
      <c r="V101" s="91" t="s">
        <v>2</v>
      </c>
      <c r="W101" s="33" t="s">
        <v>2</v>
      </c>
      <c r="X101" s="31" t="s">
        <v>2</v>
      </c>
      <c r="Y101" s="91" t="s">
        <v>2</v>
      </c>
      <c r="Z101" s="91" t="s">
        <v>2</v>
      </c>
      <c r="AA101" s="91" t="s">
        <v>2</v>
      </c>
      <c r="AB101" s="91" t="s">
        <v>2</v>
      </c>
      <c r="AC101" s="91" t="s">
        <v>2</v>
      </c>
      <c r="AD101" s="88" t="s">
        <v>2</v>
      </c>
      <c r="AE101" s="88" t="s">
        <v>2</v>
      </c>
      <c r="AF101" s="32" t="s">
        <v>2</v>
      </c>
      <c r="AG101" s="33" t="s">
        <v>2</v>
      </c>
      <c r="AH101" s="93" t="s">
        <v>2</v>
      </c>
      <c r="AI101" s="93" t="s">
        <v>2</v>
      </c>
      <c r="AJ101" s="32" t="s">
        <v>2</v>
      </c>
      <c r="AK101" s="32" t="s">
        <v>2</v>
      </c>
      <c r="AL101" s="33" t="s">
        <v>2</v>
      </c>
      <c r="AM101" s="87" t="s">
        <v>2</v>
      </c>
      <c r="AN101" s="88" t="s">
        <v>2</v>
      </c>
      <c r="AO101" s="95" t="s">
        <v>2</v>
      </c>
      <c r="AP101" s="40" t="s">
        <v>2</v>
      </c>
      <c r="AQ101" s="91" t="s">
        <v>2</v>
      </c>
      <c r="AR101" s="91" t="s">
        <v>2</v>
      </c>
      <c r="AS101" s="91" t="s">
        <v>2</v>
      </c>
      <c r="AT101" s="91" t="s">
        <v>2</v>
      </c>
      <c r="AU101" s="91" t="s">
        <v>2</v>
      </c>
      <c r="AV101" s="97" t="s">
        <v>2</v>
      </c>
      <c r="AW101" s="31" t="s">
        <v>2</v>
      </c>
      <c r="AX101" s="91" t="s">
        <v>2</v>
      </c>
      <c r="AY101" s="91" t="s">
        <v>2</v>
      </c>
      <c r="AZ101" s="97" t="s">
        <v>2</v>
      </c>
      <c r="BA101" s="6" t="s">
        <v>2</v>
      </c>
      <c r="BB101" s="75" t="s">
        <v>2</v>
      </c>
      <c r="BC101" s="75" t="s">
        <v>2</v>
      </c>
      <c r="BD101" s="75" t="s">
        <v>2</v>
      </c>
      <c r="BE101" s="75" t="s">
        <v>2</v>
      </c>
      <c r="BF101" s="77" t="s">
        <v>2</v>
      </c>
      <c r="BG101" s="22" t="s">
        <v>2</v>
      </c>
      <c r="BH101" s="21" t="s">
        <v>2</v>
      </c>
      <c r="BI101" s="87" t="s">
        <v>2</v>
      </c>
      <c r="BJ101" s="88" t="s">
        <v>2</v>
      </c>
      <c r="BK101" s="88" t="s">
        <v>2</v>
      </c>
      <c r="BL101" s="88" t="s">
        <v>2</v>
      </c>
      <c r="BM101" s="88" t="s">
        <v>2</v>
      </c>
      <c r="BN101" s="88" t="s">
        <v>2</v>
      </c>
      <c r="BO101" s="88" t="s">
        <v>2</v>
      </c>
      <c r="BP101" s="88" t="s">
        <v>2</v>
      </c>
      <c r="BQ101" s="88" t="s">
        <v>2</v>
      </c>
      <c r="BR101" s="88" t="s">
        <v>2</v>
      </c>
      <c r="BS101" s="88" t="s">
        <v>2</v>
      </c>
      <c r="BT101" s="88" t="s">
        <v>2</v>
      </c>
      <c r="BU101" s="88" t="s">
        <v>2</v>
      </c>
      <c r="BV101" s="88" t="s">
        <v>2</v>
      </c>
      <c r="BW101" s="88" t="s">
        <v>2</v>
      </c>
      <c r="BX101" s="88" t="s">
        <v>2</v>
      </c>
      <c r="BY101" s="88" t="s">
        <v>2</v>
      </c>
      <c r="BZ101" s="95" t="s">
        <v>2</v>
      </c>
      <c r="CA101" s="31" t="s">
        <v>2</v>
      </c>
      <c r="CB101" s="32" t="s">
        <v>2</v>
      </c>
      <c r="CC101" s="32" t="s">
        <v>2</v>
      </c>
      <c r="CD101" s="32" t="s">
        <v>2</v>
      </c>
      <c r="CE101" s="32" t="s">
        <v>2</v>
      </c>
      <c r="CF101" s="32" t="s">
        <v>2</v>
      </c>
      <c r="CG101" s="33" t="s">
        <v>2</v>
      </c>
      <c r="CH101" s="88" t="s">
        <v>2</v>
      </c>
      <c r="CI101" s="95" t="s">
        <v>2</v>
      </c>
      <c r="CJ101" s="31" t="s">
        <v>2</v>
      </c>
      <c r="CK101" s="32" t="s">
        <v>2</v>
      </c>
      <c r="CL101" s="32" t="s">
        <v>2</v>
      </c>
      <c r="CM101" s="33" t="s">
        <v>2</v>
      </c>
      <c r="CN101" s="21" t="s">
        <v>2</v>
      </c>
      <c r="CO101" s="22" t="s">
        <v>2</v>
      </c>
    </row>
    <row r="102" spans="1:93" s="127" customFormat="1" ht="23.25" customHeight="1" x14ac:dyDescent="0.25">
      <c r="A102" s="107" t="s">
        <v>1153</v>
      </c>
      <c r="B102" s="29" t="s">
        <v>1226</v>
      </c>
      <c r="C102" s="29" t="s">
        <v>1298</v>
      </c>
      <c r="D102" s="287">
        <v>15</v>
      </c>
      <c r="E102" s="30">
        <v>0</v>
      </c>
      <c r="F102" s="84">
        <v>53</v>
      </c>
      <c r="G102" s="71">
        <v>221.54</v>
      </c>
      <c r="H102" s="86">
        <v>86.6</v>
      </c>
      <c r="I102" s="41">
        <v>2.1</v>
      </c>
      <c r="J102" s="35">
        <v>0.9</v>
      </c>
      <c r="K102" s="35">
        <v>9.1</v>
      </c>
      <c r="L102" s="35" t="s">
        <v>2</v>
      </c>
      <c r="M102" s="36">
        <v>1.3</v>
      </c>
      <c r="N102" s="89">
        <v>98</v>
      </c>
      <c r="O102" s="90">
        <v>23</v>
      </c>
      <c r="P102" s="35">
        <v>2.0699999999999998</v>
      </c>
      <c r="Q102" s="35">
        <v>0.4</v>
      </c>
      <c r="R102" s="73" t="s">
        <v>2</v>
      </c>
      <c r="S102" s="90" t="s">
        <v>2</v>
      </c>
      <c r="T102" s="90" t="s">
        <v>2</v>
      </c>
      <c r="U102" s="92" t="s">
        <v>2</v>
      </c>
      <c r="V102" s="92" t="s">
        <v>2</v>
      </c>
      <c r="W102" s="36" t="s">
        <v>2</v>
      </c>
      <c r="X102" s="34" t="s">
        <v>2</v>
      </c>
      <c r="Y102" s="92" t="s">
        <v>2</v>
      </c>
      <c r="Z102" s="92" t="s">
        <v>2</v>
      </c>
      <c r="AA102" s="92" t="s">
        <v>2</v>
      </c>
      <c r="AB102" s="92" t="s">
        <v>2</v>
      </c>
      <c r="AC102" s="92" t="s">
        <v>2</v>
      </c>
      <c r="AD102" s="90" t="s">
        <v>2</v>
      </c>
      <c r="AE102" s="90" t="s">
        <v>2</v>
      </c>
      <c r="AF102" s="35" t="s">
        <v>2</v>
      </c>
      <c r="AG102" s="36" t="s">
        <v>2</v>
      </c>
      <c r="AH102" s="94" t="s">
        <v>2</v>
      </c>
      <c r="AI102" s="94" t="s">
        <v>2</v>
      </c>
      <c r="AJ102" s="35" t="s">
        <v>2</v>
      </c>
      <c r="AK102" s="35" t="s">
        <v>2</v>
      </c>
      <c r="AL102" s="36" t="s">
        <v>2</v>
      </c>
      <c r="AM102" s="89" t="s">
        <v>2</v>
      </c>
      <c r="AN102" s="90" t="s">
        <v>2</v>
      </c>
      <c r="AO102" s="96" t="s">
        <v>2</v>
      </c>
      <c r="AP102" s="41" t="s">
        <v>2</v>
      </c>
      <c r="AQ102" s="92" t="s">
        <v>2</v>
      </c>
      <c r="AR102" s="92" t="s">
        <v>2</v>
      </c>
      <c r="AS102" s="92" t="s">
        <v>2</v>
      </c>
      <c r="AT102" s="92" t="s">
        <v>2</v>
      </c>
      <c r="AU102" s="92" t="s">
        <v>2</v>
      </c>
      <c r="AV102" s="98" t="s">
        <v>2</v>
      </c>
      <c r="AW102" s="34" t="s">
        <v>2</v>
      </c>
      <c r="AX102" s="92" t="s">
        <v>2</v>
      </c>
      <c r="AY102" s="92" t="s">
        <v>2</v>
      </c>
      <c r="AZ102" s="98" t="s">
        <v>2</v>
      </c>
      <c r="BA102" s="37" t="s">
        <v>2</v>
      </c>
      <c r="BB102" s="99" t="s">
        <v>2</v>
      </c>
      <c r="BC102" s="99" t="s">
        <v>2</v>
      </c>
      <c r="BD102" s="99" t="s">
        <v>2</v>
      </c>
      <c r="BE102" s="99" t="s">
        <v>2</v>
      </c>
      <c r="BF102" s="100" t="s">
        <v>2</v>
      </c>
      <c r="BG102" s="30" t="s">
        <v>2</v>
      </c>
      <c r="BH102" s="30" t="s">
        <v>2</v>
      </c>
      <c r="BI102" s="89" t="s">
        <v>2</v>
      </c>
      <c r="BJ102" s="90" t="s">
        <v>2</v>
      </c>
      <c r="BK102" s="90" t="s">
        <v>2</v>
      </c>
      <c r="BL102" s="90" t="s">
        <v>2</v>
      </c>
      <c r="BM102" s="90" t="s">
        <v>2</v>
      </c>
      <c r="BN102" s="90" t="s">
        <v>2</v>
      </c>
      <c r="BO102" s="90" t="s">
        <v>2</v>
      </c>
      <c r="BP102" s="90" t="s">
        <v>2</v>
      </c>
      <c r="BQ102" s="90" t="s">
        <v>2</v>
      </c>
      <c r="BR102" s="90" t="s">
        <v>2</v>
      </c>
      <c r="BS102" s="90" t="s">
        <v>2</v>
      </c>
      <c r="BT102" s="90" t="s">
        <v>2</v>
      </c>
      <c r="BU102" s="90" t="s">
        <v>2</v>
      </c>
      <c r="BV102" s="90" t="s">
        <v>2</v>
      </c>
      <c r="BW102" s="90" t="s">
        <v>2</v>
      </c>
      <c r="BX102" s="90" t="s">
        <v>2</v>
      </c>
      <c r="BY102" s="90" t="s">
        <v>2</v>
      </c>
      <c r="BZ102" s="96" t="s">
        <v>2</v>
      </c>
      <c r="CA102" s="34" t="s">
        <v>2</v>
      </c>
      <c r="CB102" s="35" t="s">
        <v>2</v>
      </c>
      <c r="CC102" s="35" t="s">
        <v>2</v>
      </c>
      <c r="CD102" s="35" t="s">
        <v>2</v>
      </c>
      <c r="CE102" s="35" t="s">
        <v>2</v>
      </c>
      <c r="CF102" s="35" t="s">
        <v>2</v>
      </c>
      <c r="CG102" s="36" t="s">
        <v>2</v>
      </c>
      <c r="CH102" s="90" t="s">
        <v>2</v>
      </c>
      <c r="CI102" s="96" t="s">
        <v>2</v>
      </c>
      <c r="CJ102" s="34" t="s">
        <v>2</v>
      </c>
      <c r="CK102" s="35" t="s">
        <v>2</v>
      </c>
      <c r="CL102" s="35" t="s">
        <v>2</v>
      </c>
      <c r="CM102" s="36" t="s">
        <v>2</v>
      </c>
      <c r="CN102" s="30" t="s">
        <v>2</v>
      </c>
      <c r="CO102" s="30" t="s">
        <v>2</v>
      </c>
    </row>
    <row r="103" spans="1:93" s="102" customFormat="1" x14ac:dyDescent="0.25">
      <c r="A103" s="107" t="s">
        <v>1154</v>
      </c>
      <c r="B103" s="108" t="s">
        <v>1227</v>
      </c>
      <c r="C103" s="108" t="s">
        <v>1299</v>
      </c>
      <c r="D103" s="287">
        <v>15</v>
      </c>
      <c r="E103" s="110">
        <v>0</v>
      </c>
      <c r="F103" s="128">
        <v>151</v>
      </c>
      <c r="G103" s="71">
        <v>631.17999999999995</v>
      </c>
      <c r="H103" s="112">
        <v>68.599999999999994</v>
      </c>
      <c r="I103" s="113">
        <v>3</v>
      </c>
      <c r="J103" s="114">
        <v>6.4</v>
      </c>
      <c r="K103" s="114">
        <v>20.3</v>
      </c>
      <c r="L103" s="114">
        <v>0.7</v>
      </c>
      <c r="M103" s="115">
        <v>1.7</v>
      </c>
      <c r="N103" s="116">
        <v>227</v>
      </c>
      <c r="O103" s="117">
        <v>61</v>
      </c>
      <c r="P103" s="114">
        <v>1.75</v>
      </c>
      <c r="Q103" s="114">
        <v>0.37</v>
      </c>
      <c r="R103" s="73" t="s">
        <v>2</v>
      </c>
      <c r="S103" s="117" t="s">
        <v>2</v>
      </c>
      <c r="T103" s="117" t="s">
        <v>2</v>
      </c>
      <c r="U103" s="118" t="s">
        <v>2</v>
      </c>
      <c r="V103" s="118" t="s">
        <v>2</v>
      </c>
      <c r="W103" s="115" t="s">
        <v>2</v>
      </c>
      <c r="X103" s="119" t="s">
        <v>2</v>
      </c>
      <c r="Y103" s="118" t="s">
        <v>2</v>
      </c>
      <c r="Z103" s="118" t="s">
        <v>2</v>
      </c>
      <c r="AA103" s="118" t="s">
        <v>2</v>
      </c>
      <c r="AB103" s="118" t="s">
        <v>2</v>
      </c>
      <c r="AC103" s="118" t="s">
        <v>2</v>
      </c>
      <c r="AD103" s="117" t="s">
        <v>2</v>
      </c>
      <c r="AE103" s="117" t="s">
        <v>2</v>
      </c>
      <c r="AF103" s="114" t="s">
        <v>2</v>
      </c>
      <c r="AG103" s="115" t="s">
        <v>2</v>
      </c>
      <c r="AH103" s="120" t="s">
        <v>2</v>
      </c>
      <c r="AI103" s="120" t="s">
        <v>2</v>
      </c>
      <c r="AJ103" s="114" t="s">
        <v>2</v>
      </c>
      <c r="AK103" s="114" t="s">
        <v>2</v>
      </c>
      <c r="AL103" s="115" t="s">
        <v>2</v>
      </c>
      <c r="AM103" s="116" t="s">
        <v>2</v>
      </c>
      <c r="AN103" s="117" t="s">
        <v>2</v>
      </c>
      <c r="AO103" s="121" t="s">
        <v>2</v>
      </c>
      <c r="AP103" s="113" t="s">
        <v>2</v>
      </c>
      <c r="AQ103" s="118" t="s">
        <v>2</v>
      </c>
      <c r="AR103" s="118" t="s">
        <v>2</v>
      </c>
      <c r="AS103" s="118" t="s">
        <v>2</v>
      </c>
      <c r="AT103" s="118" t="s">
        <v>2</v>
      </c>
      <c r="AU103" s="118" t="s">
        <v>2</v>
      </c>
      <c r="AV103" s="122" t="s">
        <v>2</v>
      </c>
      <c r="AW103" s="119" t="s">
        <v>2</v>
      </c>
      <c r="AX103" s="118" t="s">
        <v>2</v>
      </c>
      <c r="AY103" s="118" t="s">
        <v>2</v>
      </c>
      <c r="AZ103" s="122" t="s">
        <v>2</v>
      </c>
      <c r="BA103" s="123" t="s">
        <v>2</v>
      </c>
      <c r="BB103" s="124" t="s">
        <v>2</v>
      </c>
      <c r="BC103" s="124" t="s">
        <v>2</v>
      </c>
      <c r="BD103" s="124" t="s">
        <v>2</v>
      </c>
      <c r="BE103" s="124" t="s">
        <v>2</v>
      </c>
      <c r="BF103" s="125" t="s">
        <v>2</v>
      </c>
      <c r="BG103" s="110" t="s">
        <v>2</v>
      </c>
      <c r="BH103" s="110" t="s">
        <v>2</v>
      </c>
      <c r="BI103" s="116" t="s">
        <v>2</v>
      </c>
      <c r="BJ103" s="117" t="s">
        <v>2</v>
      </c>
      <c r="BK103" s="117" t="s">
        <v>2</v>
      </c>
      <c r="BL103" s="117" t="s">
        <v>2</v>
      </c>
      <c r="BM103" s="117" t="s">
        <v>2</v>
      </c>
      <c r="BN103" s="117" t="s">
        <v>2</v>
      </c>
      <c r="BO103" s="117" t="s">
        <v>2</v>
      </c>
      <c r="BP103" s="117" t="s">
        <v>2</v>
      </c>
      <c r="BQ103" s="117" t="s">
        <v>2</v>
      </c>
      <c r="BR103" s="117" t="s">
        <v>2</v>
      </c>
      <c r="BS103" s="117" t="s">
        <v>2</v>
      </c>
      <c r="BT103" s="117" t="s">
        <v>2</v>
      </c>
      <c r="BU103" s="117" t="s">
        <v>2</v>
      </c>
      <c r="BV103" s="117" t="s">
        <v>2</v>
      </c>
      <c r="BW103" s="117" t="s">
        <v>2</v>
      </c>
      <c r="BX103" s="117" t="s">
        <v>2</v>
      </c>
      <c r="BY103" s="117" t="s">
        <v>2</v>
      </c>
      <c r="BZ103" s="121" t="s">
        <v>2</v>
      </c>
      <c r="CA103" s="119" t="s">
        <v>2</v>
      </c>
      <c r="CB103" s="114" t="s">
        <v>2</v>
      </c>
      <c r="CC103" s="114" t="s">
        <v>2</v>
      </c>
      <c r="CD103" s="114" t="s">
        <v>2</v>
      </c>
      <c r="CE103" s="114" t="s">
        <v>2</v>
      </c>
      <c r="CF103" s="114" t="s">
        <v>2</v>
      </c>
      <c r="CG103" s="115" t="s">
        <v>2</v>
      </c>
      <c r="CH103" s="117" t="s">
        <v>2</v>
      </c>
      <c r="CI103" s="121" t="s">
        <v>2</v>
      </c>
      <c r="CJ103" s="119" t="s">
        <v>2</v>
      </c>
      <c r="CK103" s="114" t="s">
        <v>2</v>
      </c>
      <c r="CL103" s="114" t="s">
        <v>2</v>
      </c>
      <c r="CM103" s="115" t="s">
        <v>2</v>
      </c>
      <c r="CN103" s="110" t="s">
        <v>2</v>
      </c>
      <c r="CO103" s="110" t="s">
        <v>2</v>
      </c>
    </row>
    <row r="104" spans="1:93" s="102" customFormat="1" x14ac:dyDescent="0.25">
      <c r="A104" s="107" t="s">
        <v>1155</v>
      </c>
      <c r="B104" s="108" t="s">
        <v>1228</v>
      </c>
      <c r="C104" s="129" t="s">
        <v>1300</v>
      </c>
      <c r="D104" s="287">
        <v>15</v>
      </c>
      <c r="E104" s="110">
        <v>0</v>
      </c>
      <c r="F104" s="128">
        <v>408</v>
      </c>
      <c r="G104" s="71">
        <v>1705.4399999999998</v>
      </c>
      <c r="H104" s="112" t="s">
        <v>2</v>
      </c>
      <c r="I104" s="113">
        <v>3</v>
      </c>
      <c r="J104" s="114">
        <v>2.6</v>
      </c>
      <c r="K104" s="114">
        <v>93.1</v>
      </c>
      <c r="L104" s="114" t="s">
        <v>2</v>
      </c>
      <c r="M104" s="115">
        <v>1.3</v>
      </c>
      <c r="N104" s="116">
        <v>58</v>
      </c>
      <c r="O104" s="117">
        <v>27</v>
      </c>
      <c r="P104" s="114">
        <v>0.79</v>
      </c>
      <c r="Q104" s="114">
        <v>0.39</v>
      </c>
      <c r="R104" s="73" t="s">
        <v>2</v>
      </c>
      <c r="S104" s="117" t="s">
        <v>2</v>
      </c>
      <c r="T104" s="117" t="s">
        <v>2</v>
      </c>
      <c r="U104" s="118" t="s">
        <v>2</v>
      </c>
      <c r="V104" s="118" t="s">
        <v>2</v>
      </c>
      <c r="W104" s="115" t="s">
        <v>2</v>
      </c>
      <c r="X104" s="119" t="s">
        <v>2</v>
      </c>
      <c r="Y104" s="118" t="s">
        <v>2</v>
      </c>
      <c r="Z104" s="118" t="s">
        <v>2</v>
      </c>
      <c r="AA104" s="118" t="s">
        <v>2</v>
      </c>
      <c r="AB104" s="118" t="s">
        <v>2</v>
      </c>
      <c r="AC104" s="118" t="s">
        <v>2</v>
      </c>
      <c r="AD104" s="117" t="s">
        <v>2</v>
      </c>
      <c r="AE104" s="117" t="s">
        <v>2</v>
      </c>
      <c r="AF104" s="114" t="s">
        <v>2</v>
      </c>
      <c r="AG104" s="115" t="s">
        <v>2</v>
      </c>
      <c r="AH104" s="120" t="s">
        <v>2</v>
      </c>
      <c r="AI104" s="120" t="s">
        <v>2</v>
      </c>
      <c r="AJ104" s="114" t="s">
        <v>2</v>
      </c>
      <c r="AK104" s="114" t="s">
        <v>2</v>
      </c>
      <c r="AL104" s="115" t="s">
        <v>2</v>
      </c>
      <c r="AM104" s="116" t="s">
        <v>2</v>
      </c>
      <c r="AN104" s="117" t="s">
        <v>2</v>
      </c>
      <c r="AO104" s="121" t="s">
        <v>2</v>
      </c>
      <c r="AP104" s="113" t="s">
        <v>2</v>
      </c>
      <c r="AQ104" s="118" t="s">
        <v>2</v>
      </c>
      <c r="AR104" s="118" t="s">
        <v>2</v>
      </c>
      <c r="AS104" s="118" t="s">
        <v>2</v>
      </c>
      <c r="AT104" s="118" t="s">
        <v>2</v>
      </c>
      <c r="AU104" s="118" t="s">
        <v>2</v>
      </c>
      <c r="AV104" s="122" t="s">
        <v>2</v>
      </c>
      <c r="AW104" s="119" t="s">
        <v>2</v>
      </c>
      <c r="AX104" s="118" t="s">
        <v>2</v>
      </c>
      <c r="AY104" s="118" t="s">
        <v>2</v>
      </c>
      <c r="AZ104" s="122" t="s">
        <v>2</v>
      </c>
      <c r="BA104" s="123" t="s">
        <v>2</v>
      </c>
      <c r="BB104" s="124" t="s">
        <v>2</v>
      </c>
      <c r="BC104" s="124" t="s">
        <v>2</v>
      </c>
      <c r="BD104" s="124" t="s">
        <v>2</v>
      </c>
      <c r="BE104" s="124" t="s">
        <v>2</v>
      </c>
      <c r="BF104" s="125" t="s">
        <v>2</v>
      </c>
      <c r="BG104" s="110" t="s">
        <v>2</v>
      </c>
      <c r="BH104" s="110" t="s">
        <v>2</v>
      </c>
      <c r="BI104" s="116" t="s">
        <v>2</v>
      </c>
      <c r="BJ104" s="117" t="s">
        <v>2</v>
      </c>
      <c r="BK104" s="117" t="s">
        <v>2</v>
      </c>
      <c r="BL104" s="117" t="s">
        <v>2</v>
      </c>
      <c r="BM104" s="117" t="s">
        <v>2</v>
      </c>
      <c r="BN104" s="117" t="s">
        <v>2</v>
      </c>
      <c r="BO104" s="117" t="s">
        <v>2</v>
      </c>
      <c r="BP104" s="117" t="s">
        <v>2</v>
      </c>
      <c r="BQ104" s="117" t="s">
        <v>2</v>
      </c>
      <c r="BR104" s="117" t="s">
        <v>2</v>
      </c>
      <c r="BS104" s="117" t="s">
        <v>2</v>
      </c>
      <c r="BT104" s="117" t="s">
        <v>2</v>
      </c>
      <c r="BU104" s="117" t="s">
        <v>2</v>
      </c>
      <c r="BV104" s="117" t="s">
        <v>2</v>
      </c>
      <c r="BW104" s="117" t="s">
        <v>2</v>
      </c>
      <c r="BX104" s="117" t="s">
        <v>2</v>
      </c>
      <c r="BY104" s="117" t="s">
        <v>2</v>
      </c>
      <c r="BZ104" s="121" t="s">
        <v>2</v>
      </c>
      <c r="CA104" s="119" t="s">
        <v>2</v>
      </c>
      <c r="CB104" s="114" t="s">
        <v>2</v>
      </c>
      <c r="CC104" s="114" t="s">
        <v>2</v>
      </c>
      <c r="CD104" s="114" t="s">
        <v>2</v>
      </c>
      <c r="CE104" s="114" t="s">
        <v>2</v>
      </c>
      <c r="CF104" s="114" t="s">
        <v>2</v>
      </c>
      <c r="CG104" s="115" t="s">
        <v>2</v>
      </c>
      <c r="CH104" s="117" t="s">
        <v>2</v>
      </c>
      <c r="CI104" s="121" t="s">
        <v>2</v>
      </c>
      <c r="CJ104" s="119" t="s">
        <v>2</v>
      </c>
      <c r="CK104" s="114" t="s">
        <v>2</v>
      </c>
      <c r="CL104" s="114" t="s">
        <v>2</v>
      </c>
      <c r="CM104" s="115" t="s">
        <v>2</v>
      </c>
      <c r="CN104" s="110" t="s">
        <v>2</v>
      </c>
      <c r="CO104" s="110" t="s">
        <v>2</v>
      </c>
    </row>
    <row r="105" spans="1:93" s="102" customFormat="1" x14ac:dyDescent="0.25">
      <c r="A105" s="107" t="s">
        <v>1156</v>
      </c>
      <c r="B105" s="108" t="s">
        <v>1229</v>
      </c>
      <c r="C105" s="109" t="s">
        <v>1301</v>
      </c>
      <c r="D105" s="287">
        <v>15</v>
      </c>
      <c r="E105" s="110">
        <v>0</v>
      </c>
      <c r="F105" s="128">
        <v>120</v>
      </c>
      <c r="G105" s="71">
        <v>501.59999999999997</v>
      </c>
      <c r="H105" s="112">
        <v>74.099999999999994</v>
      </c>
      <c r="I105" s="113">
        <v>3.3</v>
      </c>
      <c r="J105" s="114">
        <v>3.9</v>
      </c>
      <c r="K105" s="114">
        <v>17.8</v>
      </c>
      <c r="L105" s="114">
        <v>0.6</v>
      </c>
      <c r="M105" s="115">
        <v>0.9</v>
      </c>
      <c r="N105" s="116">
        <v>139</v>
      </c>
      <c r="O105" s="117">
        <v>28</v>
      </c>
      <c r="P105" s="114">
        <v>1.08</v>
      </c>
      <c r="Q105" s="114">
        <v>0.15</v>
      </c>
      <c r="R105" s="73" t="s">
        <v>2</v>
      </c>
      <c r="S105" s="117" t="s">
        <v>2</v>
      </c>
      <c r="T105" s="117" t="s">
        <v>2</v>
      </c>
      <c r="U105" s="118" t="s">
        <v>2</v>
      </c>
      <c r="V105" s="118" t="s">
        <v>2</v>
      </c>
      <c r="W105" s="115" t="s">
        <v>2</v>
      </c>
      <c r="X105" s="119" t="s">
        <v>2</v>
      </c>
      <c r="Y105" s="118" t="s">
        <v>2</v>
      </c>
      <c r="Z105" s="118" t="s">
        <v>2</v>
      </c>
      <c r="AA105" s="118" t="s">
        <v>2</v>
      </c>
      <c r="AB105" s="118" t="s">
        <v>2</v>
      </c>
      <c r="AC105" s="118" t="s">
        <v>2</v>
      </c>
      <c r="AD105" s="117" t="s">
        <v>2</v>
      </c>
      <c r="AE105" s="117" t="s">
        <v>2</v>
      </c>
      <c r="AF105" s="114" t="s">
        <v>2</v>
      </c>
      <c r="AG105" s="115" t="s">
        <v>2</v>
      </c>
      <c r="AH105" s="120" t="s">
        <v>2</v>
      </c>
      <c r="AI105" s="120" t="s">
        <v>2</v>
      </c>
      <c r="AJ105" s="114" t="s">
        <v>2</v>
      </c>
      <c r="AK105" s="114" t="s">
        <v>2</v>
      </c>
      <c r="AL105" s="115" t="s">
        <v>2</v>
      </c>
      <c r="AM105" s="116" t="s">
        <v>2</v>
      </c>
      <c r="AN105" s="117" t="s">
        <v>2</v>
      </c>
      <c r="AO105" s="121" t="s">
        <v>2</v>
      </c>
      <c r="AP105" s="113" t="s">
        <v>2</v>
      </c>
      <c r="AQ105" s="118" t="s">
        <v>2</v>
      </c>
      <c r="AR105" s="118" t="s">
        <v>2</v>
      </c>
      <c r="AS105" s="118" t="s">
        <v>2</v>
      </c>
      <c r="AT105" s="118" t="s">
        <v>2</v>
      </c>
      <c r="AU105" s="118" t="s">
        <v>2</v>
      </c>
      <c r="AV105" s="122" t="s">
        <v>2</v>
      </c>
      <c r="AW105" s="119" t="s">
        <v>2</v>
      </c>
      <c r="AX105" s="118" t="s">
        <v>2</v>
      </c>
      <c r="AY105" s="118" t="s">
        <v>2</v>
      </c>
      <c r="AZ105" s="122" t="s">
        <v>2</v>
      </c>
      <c r="BA105" s="123" t="s">
        <v>2</v>
      </c>
      <c r="BB105" s="124" t="s">
        <v>2</v>
      </c>
      <c r="BC105" s="124" t="s">
        <v>2</v>
      </c>
      <c r="BD105" s="124" t="s">
        <v>2</v>
      </c>
      <c r="BE105" s="124" t="s">
        <v>2</v>
      </c>
      <c r="BF105" s="125" t="s">
        <v>2</v>
      </c>
      <c r="BG105" s="110" t="s">
        <v>2</v>
      </c>
      <c r="BH105" s="110" t="s">
        <v>2</v>
      </c>
      <c r="BI105" s="116" t="s">
        <v>2</v>
      </c>
      <c r="BJ105" s="117" t="s">
        <v>2</v>
      </c>
      <c r="BK105" s="117" t="s">
        <v>2</v>
      </c>
      <c r="BL105" s="117" t="s">
        <v>2</v>
      </c>
      <c r="BM105" s="117" t="s">
        <v>2</v>
      </c>
      <c r="BN105" s="117" t="s">
        <v>2</v>
      </c>
      <c r="BO105" s="117" t="s">
        <v>2</v>
      </c>
      <c r="BP105" s="117" t="s">
        <v>2</v>
      </c>
      <c r="BQ105" s="117" t="s">
        <v>2</v>
      </c>
      <c r="BR105" s="117" t="s">
        <v>2</v>
      </c>
      <c r="BS105" s="117" t="s">
        <v>2</v>
      </c>
      <c r="BT105" s="117" t="s">
        <v>2</v>
      </c>
      <c r="BU105" s="117" t="s">
        <v>2</v>
      </c>
      <c r="BV105" s="117" t="s">
        <v>2</v>
      </c>
      <c r="BW105" s="117" t="s">
        <v>2</v>
      </c>
      <c r="BX105" s="117" t="s">
        <v>2</v>
      </c>
      <c r="BY105" s="117" t="s">
        <v>2</v>
      </c>
      <c r="BZ105" s="121" t="s">
        <v>2</v>
      </c>
      <c r="CA105" s="119" t="s">
        <v>2</v>
      </c>
      <c r="CB105" s="114" t="s">
        <v>2</v>
      </c>
      <c r="CC105" s="114" t="s">
        <v>2</v>
      </c>
      <c r="CD105" s="114" t="s">
        <v>2</v>
      </c>
      <c r="CE105" s="114" t="s">
        <v>2</v>
      </c>
      <c r="CF105" s="114" t="s">
        <v>2</v>
      </c>
      <c r="CG105" s="115" t="s">
        <v>2</v>
      </c>
      <c r="CH105" s="117" t="s">
        <v>2</v>
      </c>
      <c r="CI105" s="121" t="s">
        <v>2</v>
      </c>
      <c r="CJ105" s="119" t="s">
        <v>2</v>
      </c>
      <c r="CK105" s="114" t="s">
        <v>2</v>
      </c>
      <c r="CL105" s="114" t="s">
        <v>2</v>
      </c>
      <c r="CM105" s="115" t="s">
        <v>2</v>
      </c>
      <c r="CN105" s="110" t="s">
        <v>2</v>
      </c>
      <c r="CO105" s="110" t="s">
        <v>2</v>
      </c>
    </row>
    <row r="106" spans="1:93" s="102" customFormat="1" x14ac:dyDescent="0.25">
      <c r="A106" s="107" t="s">
        <v>1157</v>
      </c>
      <c r="B106" s="108" t="s">
        <v>1230</v>
      </c>
      <c r="C106" s="109" t="s">
        <v>1302</v>
      </c>
      <c r="D106" s="287">
        <v>15</v>
      </c>
      <c r="E106" s="110">
        <v>0</v>
      </c>
      <c r="F106" s="128">
        <v>62</v>
      </c>
      <c r="G106" s="71">
        <v>259.15999999999997</v>
      </c>
      <c r="H106" s="112">
        <v>83.9</v>
      </c>
      <c r="I106" s="113">
        <v>3.1</v>
      </c>
      <c r="J106" s="114">
        <v>0.7</v>
      </c>
      <c r="K106" s="114">
        <v>10.9</v>
      </c>
      <c r="L106" s="114" t="s">
        <v>2</v>
      </c>
      <c r="M106" s="115">
        <v>1.4</v>
      </c>
      <c r="N106" s="116">
        <v>181</v>
      </c>
      <c r="O106" s="117">
        <v>22</v>
      </c>
      <c r="P106" s="114">
        <v>1.78</v>
      </c>
      <c r="Q106" s="114">
        <v>0.28999999999999998</v>
      </c>
      <c r="R106" s="73" t="s">
        <v>2</v>
      </c>
      <c r="S106" s="117" t="s">
        <v>2</v>
      </c>
      <c r="T106" s="117" t="s">
        <v>2</v>
      </c>
      <c r="U106" s="118" t="s">
        <v>2</v>
      </c>
      <c r="V106" s="118" t="s">
        <v>2</v>
      </c>
      <c r="W106" s="115" t="s">
        <v>2</v>
      </c>
      <c r="X106" s="119" t="s">
        <v>2</v>
      </c>
      <c r="Y106" s="118" t="s">
        <v>2</v>
      </c>
      <c r="Z106" s="118" t="s">
        <v>2</v>
      </c>
      <c r="AA106" s="118" t="s">
        <v>2</v>
      </c>
      <c r="AB106" s="118" t="s">
        <v>2</v>
      </c>
      <c r="AC106" s="118" t="s">
        <v>2</v>
      </c>
      <c r="AD106" s="117" t="s">
        <v>2</v>
      </c>
      <c r="AE106" s="117" t="s">
        <v>2</v>
      </c>
      <c r="AF106" s="114" t="s">
        <v>2</v>
      </c>
      <c r="AG106" s="115" t="s">
        <v>2</v>
      </c>
      <c r="AH106" s="120" t="s">
        <v>2</v>
      </c>
      <c r="AI106" s="120" t="s">
        <v>2</v>
      </c>
      <c r="AJ106" s="114" t="s">
        <v>2</v>
      </c>
      <c r="AK106" s="114" t="s">
        <v>2</v>
      </c>
      <c r="AL106" s="115" t="s">
        <v>2</v>
      </c>
      <c r="AM106" s="116" t="s">
        <v>2</v>
      </c>
      <c r="AN106" s="117" t="s">
        <v>2</v>
      </c>
      <c r="AO106" s="121" t="s">
        <v>2</v>
      </c>
      <c r="AP106" s="113" t="s">
        <v>2</v>
      </c>
      <c r="AQ106" s="118" t="s">
        <v>2</v>
      </c>
      <c r="AR106" s="118" t="s">
        <v>2</v>
      </c>
      <c r="AS106" s="118" t="s">
        <v>2</v>
      </c>
      <c r="AT106" s="118" t="s">
        <v>2</v>
      </c>
      <c r="AU106" s="118" t="s">
        <v>2</v>
      </c>
      <c r="AV106" s="122" t="s">
        <v>2</v>
      </c>
      <c r="AW106" s="119" t="s">
        <v>2</v>
      </c>
      <c r="AX106" s="118" t="s">
        <v>2</v>
      </c>
      <c r="AY106" s="118" t="s">
        <v>2</v>
      </c>
      <c r="AZ106" s="122" t="s">
        <v>2</v>
      </c>
      <c r="BA106" s="123" t="s">
        <v>2</v>
      </c>
      <c r="BB106" s="124" t="s">
        <v>2</v>
      </c>
      <c r="BC106" s="124" t="s">
        <v>2</v>
      </c>
      <c r="BD106" s="124" t="s">
        <v>2</v>
      </c>
      <c r="BE106" s="124" t="s">
        <v>2</v>
      </c>
      <c r="BF106" s="125" t="s">
        <v>2</v>
      </c>
      <c r="BG106" s="110" t="s">
        <v>2</v>
      </c>
      <c r="BH106" s="110" t="s">
        <v>2</v>
      </c>
      <c r="BI106" s="116" t="s">
        <v>2</v>
      </c>
      <c r="BJ106" s="117" t="s">
        <v>2</v>
      </c>
      <c r="BK106" s="117" t="s">
        <v>2</v>
      </c>
      <c r="BL106" s="117" t="s">
        <v>2</v>
      </c>
      <c r="BM106" s="117" t="s">
        <v>2</v>
      </c>
      <c r="BN106" s="117" t="s">
        <v>2</v>
      </c>
      <c r="BO106" s="117" t="s">
        <v>2</v>
      </c>
      <c r="BP106" s="117" t="s">
        <v>2</v>
      </c>
      <c r="BQ106" s="117" t="s">
        <v>2</v>
      </c>
      <c r="BR106" s="117" t="s">
        <v>2</v>
      </c>
      <c r="BS106" s="117" t="s">
        <v>2</v>
      </c>
      <c r="BT106" s="117" t="s">
        <v>2</v>
      </c>
      <c r="BU106" s="117" t="s">
        <v>2</v>
      </c>
      <c r="BV106" s="117" t="s">
        <v>2</v>
      </c>
      <c r="BW106" s="117" t="s">
        <v>2</v>
      </c>
      <c r="BX106" s="117" t="s">
        <v>2</v>
      </c>
      <c r="BY106" s="117" t="s">
        <v>2</v>
      </c>
      <c r="BZ106" s="121" t="s">
        <v>2</v>
      </c>
      <c r="CA106" s="119" t="s">
        <v>2</v>
      </c>
      <c r="CB106" s="114" t="s">
        <v>2</v>
      </c>
      <c r="CC106" s="114" t="s">
        <v>2</v>
      </c>
      <c r="CD106" s="114" t="s">
        <v>2</v>
      </c>
      <c r="CE106" s="114" t="s">
        <v>2</v>
      </c>
      <c r="CF106" s="114" t="s">
        <v>2</v>
      </c>
      <c r="CG106" s="115" t="s">
        <v>2</v>
      </c>
      <c r="CH106" s="117" t="s">
        <v>2</v>
      </c>
      <c r="CI106" s="121" t="s">
        <v>2</v>
      </c>
      <c r="CJ106" s="119" t="s">
        <v>2</v>
      </c>
      <c r="CK106" s="114" t="s">
        <v>2</v>
      </c>
      <c r="CL106" s="114" t="s">
        <v>2</v>
      </c>
      <c r="CM106" s="115" t="s">
        <v>2</v>
      </c>
      <c r="CN106" s="110" t="s">
        <v>2</v>
      </c>
      <c r="CO106" s="110" t="s">
        <v>2</v>
      </c>
    </row>
    <row r="107" spans="1:93" s="102" customFormat="1" x14ac:dyDescent="0.25">
      <c r="A107" s="107" t="s">
        <v>1158</v>
      </c>
      <c r="B107" s="108" t="s">
        <v>1231</v>
      </c>
      <c r="C107" s="109" t="s">
        <v>1303</v>
      </c>
      <c r="D107" s="287">
        <v>15</v>
      </c>
      <c r="E107" s="110">
        <v>0</v>
      </c>
      <c r="F107" s="128">
        <v>109</v>
      </c>
      <c r="G107" s="71">
        <v>455.61999999999995</v>
      </c>
      <c r="H107" s="112">
        <v>77.3</v>
      </c>
      <c r="I107" s="113">
        <v>5.2</v>
      </c>
      <c r="J107" s="114">
        <v>4.0999999999999996</v>
      </c>
      <c r="K107" s="114">
        <v>12.81</v>
      </c>
      <c r="L107" s="114">
        <v>0</v>
      </c>
      <c r="M107" s="115">
        <v>0.59</v>
      </c>
      <c r="N107" s="116">
        <v>83</v>
      </c>
      <c r="O107" s="117">
        <v>75</v>
      </c>
      <c r="P107" s="114">
        <v>0.94</v>
      </c>
      <c r="Q107" s="114">
        <v>0.47</v>
      </c>
      <c r="R107" s="73" t="s">
        <v>2</v>
      </c>
      <c r="S107" s="117" t="s">
        <v>2</v>
      </c>
      <c r="T107" s="117" t="s">
        <v>2</v>
      </c>
      <c r="U107" s="118" t="s">
        <v>2</v>
      </c>
      <c r="V107" s="118" t="s">
        <v>2</v>
      </c>
      <c r="W107" s="115" t="s">
        <v>2</v>
      </c>
      <c r="X107" s="119" t="s">
        <v>2</v>
      </c>
      <c r="Y107" s="118" t="s">
        <v>2</v>
      </c>
      <c r="Z107" s="118" t="s">
        <v>2</v>
      </c>
      <c r="AA107" s="118" t="s">
        <v>2</v>
      </c>
      <c r="AB107" s="118" t="s">
        <v>2</v>
      </c>
      <c r="AC107" s="118" t="s">
        <v>2</v>
      </c>
      <c r="AD107" s="117" t="s">
        <v>2</v>
      </c>
      <c r="AE107" s="117" t="s">
        <v>2</v>
      </c>
      <c r="AF107" s="114" t="s">
        <v>2</v>
      </c>
      <c r="AG107" s="115" t="s">
        <v>2</v>
      </c>
      <c r="AH107" s="120" t="s">
        <v>2</v>
      </c>
      <c r="AI107" s="120" t="s">
        <v>2</v>
      </c>
      <c r="AJ107" s="114" t="s">
        <v>2</v>
      </c>
      <c r="AK107" s="114" t="s">
        <v>2</v>
      </c>
      <c r="AL107" s="115" t="s">
        <v>2</v>
      </c>
      <c r="AM107" s="116" t="s">
        <v>2</v>
      </c>
      <c r="AN107" s="117" t="s">
        <v>2</v>
      </c>
      <c r="AO107" s="121" t="s">
        <v>2</v>
      </c>
      <c r="AP107" s="113" t="s">
        <v>2</v>
      </c>
      <c r="AQ107" s="118" t="s">
        <v>2</v>
      </c>
      <c r="AR107" s="118" t="s">
        <v>2</v>
      </c>
      <c r="AS107" s="118" t="s">
        <v>2</v>
      </c>
      <c r="AT107" s="118" t="s">
        <v>2</v>
      </c>
      <c r="AU107" s="118" t="s">
        <v>2</v>
      </c>
      <c r="AV107" s="122" t="s">
        <v>2</v>
      </c>
      <c r="AW107" s="119" t="s">
        <v>2</v>
      </c>
      <c r="AX107" s="118" t="s">
        <v>2</v>
      </c>
      <c r="AY107" s="118" t="s">
        <v>2</v>
      </c>
      <c r="AZ107" s="122" t="s">
        <v>2</v>
      </c>
      <c r="BA107" s="123" t="s">
        <v>2</v>
      </c>
      <c r="BB107" s="124" t="s">
        <v>2</v>
      </c>
      <c r="BC107" s="124" t="s">
        <v>2</v>
      </c>
      <c r="BD107" s="124" t="s">
        <v>2</v>
      </c>
      <c r="BE107" s="124" t="s">
        <v>2</v>
      </c>
      <c r="BF107" s="125" t="s">
        <v>2</v>
      </c>
      <c r="BG107" s="110" t="s">
        <v>2</v>
      </c>
      <c r="BH107" s="110" t="s">
        <v>2</v>
      </c>
      <c r="BI107" s="116" t="s">
        <v>2</v>
      </c>
      <c r="BJ107" s="117" t="s">
        <v>2</v>
      </c>
      <c r="BK107" s="117" t="s">
        <v>2</v>
      </c>
      <c r="BL107" s="117" t="s">
        <v>2</v>
      </c>
      <c r="BM107" s="117" t="s">
        <v>2</v>
      </c>
      <c r="BN107" s="117" t="s">
        <v>2</v>
      </c>
      <c r="BO107" s="117" t="s">
        <v>2</v>
      </c>
      <c r="BP107" s="117" t="s">
        <v>2</v>
      </c>
      <c r="BQ107" s="117" t="s">
        <v>2</v>
      </c>
      <c r="BR107" s="117" t="s">
        <v>2</v>
      </c>
      <c r="BS107" s="117" t="s">
        <v>2</v>
      </c>
      <c r="BT107" s="117" t="s">
        <v>2</v>
      </c>
      <c r="BU107" s="117" t="s">
        <v>2</v>
      </c>
      <c r="BV107" s="117" t="s">
        <v>2</v>
      </c>
      <c r="BW107" s="117" t="s">
        <v>2</v>
      </c>
      <c r="BX107" s="117" t="s">
        <v>2</v>
      </c>
      <c r="BY107" s="117" t="s">
        <v>2</v>
      </c>
      <c r="BZ107" s="121" t="s">
        <v>2</v>
      </c>
      <c r="CA107" s="119" t="s">
        <v>2</v>
      </c>
      <c r="CB107" s="114" t="s">
        <v>2</v>
      </c>
      <c r="CC107" s="114" t="s">
        <v>2</v>
      </c>
      <c r="CD107" s="114" t="s">
        <v>2</v>
      </c>
      <c r="CE107" s="114" t="s">
        <v>2</v>
      </c>
      <c r="CF107" s="114" t="s">
        <v>2</v>
      </c>
      <c r="CG107" s="115" t="s">
        <v>2</v>
      </c>
      <c r="CH107" s="117" t="s">
        <v>2</v>
      </c>
      <c r="CI107" s="121" t="s">
        <v>2</v>
      </c>
      <c r="CJ107" s="119" t="s">
        <v>2</v>
      </c>
      <c r="CK107" s="114" t="s">
        <v>2</v>
      </c>
      <c r="CL107" s="114" t="s">
        <v>2</v>
      </c>
      <c r="CM107" s="115" t="s">
        <v>2</v>
      </c>
      <c r="CN107" s="110" t="s">
        <v>2</v>
      </c>
      <c r="CO107" s="110" t="s">
        <v>2</v>
      </c>
    </row>
    <row r="108" spans="1:93" s="102" customFormat="1" x14ac:dyDescent="0.25">
      <c r="A108" s="107" t="s">
        <v>1159</v>
      </c>
      <c r="B108" s="108" t="s">
        <v>1232</v>
      </c>
      <c r="C108" s="109" t="s">
        <v>1304</v>
      </c>
      <c r="D108" s="287">
        <v>15</v>
      </c>
      <c r="E108" s="110">
        <v>0</v>
      </c>
      <c r="F108" s="128">
        <v>339</v>
      </c>
      <c r="G108" s="71">
        <v>1417.02</v>
      </c>
      <c r="H108" s="112">
        <v>49.1</v>
      </c>
      <c r="I108" s="113">
        <v>18.3</v>
      </c>
      <c r="J108" s="114">
        <v>29</v>
      </c>
      <c r="K108" s="114">
        <v>1.1000000000000001</v>
      </c>
      <c r="L108" s="114">
        <v>0.4</v>
      </c>
      <c r="M108" s="115">
        <v>2.5</v>
      </c>
      <c r="N108" s="116">
        <v>24</v>
      </c>
      <c r="O108" s="117">
        <v>302</v>
      </c>
      <c r="P108" s="114">
        <v>8.9600000000000009</v>
      </c>
      <c r="Q108" s="114">
        <v>2.19</v>
      </c>
      <c r="R108" s="73" t="s">
        <v>2</v>
      </c>
      <c r="S108" s="117" t="s">
        <v>2</v>
      </c>
      <c r="T108" s="117" t="s">
        <v>2</v>
      </c>
      <c r="U108" s="118" t="s">
        <v>2</v>
      </c>
      <c r="V108" s="118" t="s">
        <v>2</v>
      </c>
      <c r="W108" s="115" t="s">
        <v>2</v>
      </c>
      <c r="X108" s="119" t="s">
        <v>2</v>
      </c>
      <c r="Y108" s="118" t="s">
        <v>2</v>
      </c>
      <c r="Z108" s="118" t="s">
        <v>2</v>
      </c>
      <c r="AA108" s="118" t="s">
        <v>2</v>
      </c>
      <c r="AB108" s="118" t="s">
        <v>2</v>
      </c>
      <c r="AC108" s="118" t="s">
        <v>2</v>
      </c>
      <c r="AD108" s="117" t="s">
        <v>2</v>
      </c>
      <c r="AE108" s="117" t="s">
        <v>2</v>
      </c>
      <c r="AF108" s="114" t="s">
        <v>2</v>
      </c>
      <c r="AG108" s="115" t="s">
        <v>2</v>
      </c>
      <c r="AH108" s="120" t="s">
        <v>2</v>
      </c>
      <c r="AI108" s="120" t="s">
        <v>2</v>
      </c>
      <c r="AJ108" s="114" t="s">
        <v>2</v>
      </c>
      <c r="AK108" s="114" t="s">
        <v>2</v>
      </c>
      <c r="AL108" s="115" t="s">
        <v>2</v>
      </c>
      <c r="AM108" s="116" t="s">
        <v>2</v>
      </c>
      <c r="AN108" s="117" t="s">
        <v>2</v>
      </c>
      <c r="AO108" s="121" t="s">
        <v>2</v>
      </c>
      <c r="AP108" s="113" t="s">
        <v>2</v>
      </c>
      <c r="AQ108" s="118" t="s">
        <v>2</v>
      </c>
      <c r="AR108" s="118" t="s">
        <v>2</v>
      </c>
      <c r="AS108" s="118" t="s">
        <v>2</v>
      </c>
      <c r="AT108" s="118" t="s">
        <v>2</v>
      </c>
      <c r="AU108" s="118" t="s">
        <v>2</v>
      </c>
      <c r="AV108" s="122" t="s">
        <v>2</v>
      </c>
      <c r="AW108" s="119" t="s">
        <v>2</v>
      </c>
      <c r="AX108" s="118" t="s">
        <v>2</v>
      </c>
      <c r="AY108" s="118" t="s">
        <v>2</v>
      </c>
      <c r="AZ108" s="122" t="s">
        <v>2</v>
      </c>
      <c r="BA108" s="123" t="s">
        <v>2</v>
      </c>
      <c r="BB108" s="124" t="s">
        <v>2</v>
      </c>
      <c r="BC108" s="124" t="s">
        <v>2</v>
      </c>
      <c r="BD108" s="124" t="s">
        <v>2</v>
      </c>
      <c r="BE108" s="124" t="s">
        <v>2</v>
      </c>
      <c r="BF108" s="125" t="s">
        <v>2</v>
      </c>
      <c r="BG108" s="110" t="s">
        <v>2</v>
      </c>
      <c r="BH108" s="110" t="s">
        <v>2</v>
      </c>
      <c r="BI108" s="116" t="s">
        <v>2</v>
      </c>
      <c r="BJ108" s="117" t="s">
        <v>2</v>
      </c>
      <c r="BK108" s="117" t="s">
        <v>2</v>
      </c>
      <c r="BL108" s="117" t="s">
        <v>2</v>
      </c>
      <c r="BM108" s="117" t="s">
        <v>2</v>
      </c>
      <c r="BN108" s="117" t="s">
        <v>2</v>
      </c>
      <c r="BO108" s="117" t="s">
        <v>2</v>
      </c>
      <c r="BP108" s="117" t="s">
        <v>2</v>
      </c>
      <c r="BQ108" s="117" t="s">
        <v>2</v>
      </c>
      <c r="BR108" s="117" t="s">
        <v>2</v>
      </c>
      <c r="BS108" s="117" t="s">
        <v>2</v>
      </c>
      <c r="BT108" s="117" t="s">
        <v>2</v>
      </c>
      <c r="BU108" s="117" t="s">
        <v>2</v>
      </c>
      <c r="BV108" s="117" t="s">
        <v>2</v>
      </c>
      <c r="BW108" s="117" t="s">
        <v>2</v>
      </c>
      <c r="BX108" s="117" t="s">
        <v>2</v>
      </c>
      <c r="BY108" s="117" t="s">
        <v>2</v>
      </c>
      <c r="BZ108" s="121" t="s">
        <v>2</v>
      </c>
      <c r="CA108" s="119" t="s">
        <v>2</v>
      </c>
      <c r="CB108" s="114" t="s">
        <v>2</v>
      </c>
      <c r="CC108" s="114" t="s">
        <v>2</v>
      </c>
      <c r="CD108" s="114" t="s">
        <v>2</v>
      </c>
      <c r="CE108" s="114" t="s">
        <v>2</v>
      </c>
      <c r="CF108" s="114" t="s">
        <v>2</v>
      </c>
      <c r="CG108" s="115" t="s">
        <v>2</v>
      </c>
      <c r="CH108" s="117" t="s">
        <v>2</v>
      </c>
      <c r="CI108" s="121" t="s">
        <v>2</v>
      </c>
      <c r="CJ108" s="119" t="s">
        <v>2</v>
      </c>
      <c r="CK108" s="114" t="s">
        <v>2</v>
      </c>
      <c r="CL108" s="114" t="s">
        <v>2</v>
      </c>
      <c r="CM108" s="115" t="s">
        <v>2</v>
      </c>
      <c r="CN108" s="110" t="s">
        <v>2</v>
      </c>
      <c r="CO108" s="110" t="s">
        <v>2</v>
      </c>
    </row>
    <row r="109" spans="1:93" s="102" customFormat="1" x14ac:dyDescent="0.25">
      <c r="A109" s="107" t="s">
        <v>1160</v>
      </c>
      <c r="B109" s="108" t="s">
        <v>1233</v>
      </c>
      <c r="C109" s="109" t="s">
        <v>1305</v>
      </c>
      <c r="D109" s="287">
        <v>15</v>
      </c>
      <c r="E109" s="110">
        <v>0</v>
      </c>
      <c r="F109" s="128">
        <v>69</v>
      </c>
      <c r="G109" s="71">
        <v>288.41999999999996</v>
      </c>
      <c r="H109" s="112">
        <v>87.3</v>
      </c>
      <c r="I109" s="113">
        <v>1.4</v>
      </c>
      <c r="J109" s="114">
        <v>4.4000000000000004</v>
      </c>
      <c r="K109" s="114">
        <v>6</v>
      </c>
      <c r="L109" s="114">
        <v>0.1</v>
      </c>
      <c r="M109" s="115">
        <v>0.9</v>
      </c>
      <c r="N109" s="116">
        <v>26</v>
      </c>
      <c r="O109" s="117">
        <v>26</v>
      </c>
      <c r="P109" s="114">
        <v>2.42</v>
      </c>
      <c r="Q109" s="114">
        <v>1.1499999999999999</v>
      </c>
      <c r="R109" s="73" t="s">
        <v>2</v>
      </c>
      <c r="S109" s="117" t="s">
        <v>2</v>
      </c>
      <c r="T109" s="117" t="s">
        <v>2</v>
      </c>
      <c r="U109" s="118" t="s">
        <v>2</v>
      </c>
      <c r="V109" s="118" t="s">
        <v>2</v>
      </c>
      <c r="W109" s="115" t="s">
        <v>2</v>
      </c>
      <c r="X109" s="119" t="s">
        <v>2</v>
      </c>
      <c r="Y109" s="118" t="s">
        <v>2</v>
      </c>
      <c r="Z109" s="118" t="s">
        <v>2</v>
      </c>
      <c r="AA109" s="118" t="s">
        <v>2</v>
      </c>
      <c r="AB109" s="118" t="s">
        <v>2</v>
      </c>
      <c r="AC109" s="118" t="s">
        <v>2</v>
      </c>
      <c r="AD109" s="117" t="s">
        <v>2</v>
      </c>
      <c r="AE109" s="117" t="s">
        <v>2</v>
      </c>
      <c r="AF109" s="114" t="s">
        <v>2</v>
      </c>
      <c r="AG109" s="115" t="s">
        <v>2</v>
      </c>
      <c r="AH109" s="120" t="s">
        <v>2</v>
      </c>
      <c r="AI109" s="120" t="s">
        <v>2</v>
      </c>
      <c r="AJ109" s="114" t="s">
        <v>2</v>
      </c>
      <c r="AK109" s="114" t="s">
        <v>2</v>
      </c>
      <c r="AL109" s="115" t="s">
        <v>2</v>
      </c>
      <c r="AM109" s="116" t="s">
        <v>2</v>
      </c>
      <c r="AN109" s="117" t="s">
        <v>2</v>
      </c>
      <c r="AO109" s="121" t="s">
        <v>2</v>
      </c>
      <c r="AP109" s="113" t="s">
        <v>2</v>
      </c>
      <c r="AQ109" s="118" t="s">
        <v>2</v>
      </c>
      <c r="AR109" s="118" t="s">
        <v>2</v>
      </c>
      <c r="AS109" s="118" t="s">
        <v>2</v>
      </c>
      <c r="AT109" s="118" t="s">
        <v>2</v>
      </c>
      <c r="AU109" s="118" t="s">
        <v>2</v>
      </c>
      <c r="AV109" s="122" t="s">
        <v>2</v>
      </c>
      <c r="AW109" s="119" t="s">
        <v>2</v>
      </c>
      <c r="AX109" s="118" t="s">
        <v>2</v>
      </c>
      <c r="AY109" s="118" t="s">
        <v>2</v>
      </c>
      <c r="AZ109" s="122" t="s">
        <v>2</v>
      </c>
      <c r="BA109" s="123" t="s">
        <v>2</v>
      </c>
      <c r="BB109" s="124" t="s">
        <v>2</v>
      </c>
      <c r="BC109" s="124" t="s">
        <v>2</v>
      </c>
      <c r="BD109" s="124" t="s">
        <v>2</v>
      </c>
      <c r="BE109" s="124" t="s">
        <v>2</v>
      </c>
      <c r="BF109" s="125" t="s">
        <v>2</v>
      </c>
      <c r="BG109" s="110" t="s">
        <v>2</v>
      </c>
      <c r="BH109" s="110" t="s">
        <v>2</v>
      </c>
      <c r="BI109" s="116" t="s">
        <v>2</v>
      </c>
      <c r="BJ109" s="117" t="s">
        <v>2</v>
      </c>
      <c r="BK109" s="117" t="s">
        <v>2</v>
      </c>
      <c r="BL109" s="117" t="s">
        <v>2</v>
      </c>
      <c r="BM109" s="117" t="s">
        <v>2</v>
      </c>
      <c r="BN109" s="117" t="s">
        <v>2</v>
      </c>
      <c r="BO109" s="117" t="s">
        <v>2</v>
      </c>
      <c r="BP109" s="117" t="s">
        <v>2</v>
      </c>
      <c r="BQ109" s="117" t="s">
        <v>2</v>
      </c>
      <c r="BR109" s="117" t="s">
        <v>2</v>
      </c>
      <c r="BS109" s="117" t="s">
        <v>2</v>
      </c>
      <c r="BT109" s="117" t="s">
        <v>2</v>
      </c>
      <c r="BU109" s="117" t="s">
        <v>2</v>
      </c>
      <c r="BV109" s="117" t="s">
        <v>2</v>
      </c>
      <c r="BW109" s="117" t="s">
        <v>2</v>
      </c>
      <c r="BX109" s="117" t="s">
        <v>2</v>
      </c>
      <c r="BY109" s="117" t="s">
        <v>2</v>
      </c>
      <c r="BZ109" s="121" t="s">
        <v>2</v>
      </c>
      <c r="CA109" s="119" t="s">
        <v>2</v>
      </c>
      <c r="CB109" s="114" t="s">
        <v>2</v>
      </c>
      <c r="CC109" s="114" t="s">
        <v>2</v>
      </c>
      <c r="CD109" s="114" t="s">
        <v>2</v>
      </c>
      <c r="CE109" s="114" t="s">
        <v>2</v>
      </c>
      <c r="CF109" s="114" t="s">
        <v>2</v>
      </c>
      <c r="CG109" s="115" t="s">
        <v>2</v>
      </c>
      <c r="CH109" s="117" t="s">
        <v>2</v>
      </c>
      <c r="CI109" s="121" t="s">
        <v>2</v>
      </c>
      <c r="CJ109" s="119" t="s">
        <v>2</v>
      </c>
      <c r="CK109" s="114" t="s">
        <v>2</v>
      </c>
      <c r="CL109" s="114" t="s">
        <v>2</v>
      </c>
      <c r="CM109" s="115" t="s">
        <v>2</v>
      </c>
      <c r="CN109" s="110" t="s">
        <v>2</v>
      </c>
      <c r="CO109" s="110" t="s">
        <v>2</v>
      </c>
    </row>
    <row r="110" spans="1:93" s="102" customFormat="1" x14ac:dyDescent="0.25">
      <c r="A110" s="107" t="s">
        <v>1161</v>
      </c>
      <c r="B110" s="108" t="s">
        <v>1234</v>
      </c>
      <c r="C110" s="129" t="s">
        <v>1306</v>
      </c>
      <c r="D110" s="287">
        <v>15</v>
      </c>
      <c r="E110" s="110">
        <v>0</v>
      </c>
      <c r="F110" s="128">
        <v>40</v>
      </c>
      <c r="G110" s="71">
        <v>167.2</v>
      </c>
      <c r="H110" s="112">
        <v>89.7</v>
      </c>
      <c r="I110" s="113">
        <v>1.5</v>
      </c>
      <c r="J110" s="114">
        <v>0.2</v>
      </c>
      <c r="K110" s="114">
        <v>8</v>
      </c>
      <c r="L110" s="114">
        <v>0.1</v>
      </c>
      <c r="M110" s="115">
        <v>0.6</v>
      </c>
      <c r="N110" s="116">
        <v>21</v>
      </c>
      <c r="O110" s="117">
        <v>7</v>
      </c>
      <c r="P110" s="114">
        <v>0.53</v>
      </c>
      <c r="Q110" s="114">
        <v>0.34</v>
      </c>
      <c r="R110" s="73" t="s">
        <v>2</v>
      </c>
      <c r="S110" s="117" t="s">
        <v>2</v>
      </c>
      <c r="T110" s="117" t="s">
        <v>2</v>
      </c>
      <c r="U110" s="118" t="s">
        <v>2</v>
      </c>
      <c r="V110" s="118" t="s">
        <v>2</v>
      </c>
      <c r="W110" s="115" t="s">
        <v>2</v>
      </c>
      <c r="X110" s="119" t="s">
        <v>2</v>
      </c>
      <c r="Y110" s="118" t="s">
        <v>2</v>
      </c>
      <c r="Z110" s="118" t="s">
        <v>2</v>
      </c>
      <c r="AA110" s="118" t="s">
        <v>2</v>
      </c>
      <c r="AB110" s="118" t="s">
        <v>2</v>
      </c>
      <c r="AC110" s="118" t="s">
        <v>2</v>
      </c>
      <c r="AD110" s="117" t="s">
        <v>2</v>
      </c>
      <c r="AE110" s="117" t="s">
        <v>2</v>
      </c>
      <c r="AF110" s="114" t="s">
        <v>2</v>
      </c>
      <c r="AG110" s="115" t="s">
        <v>2</v>
      </c>
      <c r="AH110" s="120" t="s">
        <v>2</v>
      </c>
      <c r="AI110" s="120" t="s">
        <v>2</v>
      </c>
      <c r="AJ110" s="114" t="s">
        <v>2</v>
      </c>
      <c r="AK110" s="114" t="s">
        <v>2</v>
      </c>
      <c r="AL110" s="115" t="s">
        <v>2</v>
      </c>
      <c r="AM110" s="116" t="s">
        <v>2</v>
      </c>
      <c r="AN110" s="117" t="s">
        <v>2</v>
      </c>
      <c r="AO110" s="121" t="s">
        <v>2</v>
      </c>
      <c r="AP110" s="113" t="s">
        <v>2</v>
      </c>
      <c r="AQ110" s="118" t="s">
        <v>2</v>
      </c>
      <c r="AR110" s="118" t="s">
        <v>2</v>
      </c>
      <c r="AS110" s="118" t="s">
        <v>2</v>
      </c>
      <c r="AT110" s="118" t="s">
        <v>2</v>
      </c>
      <c r="AU110" s="118" t="s">
        <v>2</v>
      </c>
      <c r="AV110" s="122" t="s">
        <v>2</v>
      </c>
      <c r="AW110" s="119" t="s">
        <v>2</v>
      </c>
      <c r="AX110" s="118" t="s">
        <v>2</v>
      </c>
      <c r="AY110" s="118" t="s">
        <v>2</v>
      </c>
      <c r="AZ110" s="122" t="s">
        <v>2</v>
      </c>
      <c r="BA110" s="123" t="s">
        <v>2</v>
      </c>
      <c r="BB110" s="124" t="s">
        <v>2</v>
      </c>
      <c r="BC110" s="124" t="s">
        <v>2</v>
      </c>
      <c r="BD110" s="124" t="s">
        <v>2</v>
      </c>
      <c r="BE110" s="124" t="s">
        <v>2</v>
      </c>
      <c r="BF110" s="125" t="s">
        <v>2</v>
      </c>
      <c r="BG110" s="110" t="s">
        <v>2</v>
      </c>
      <c r="BH110" s="110" t="s">
        <v>2</v>
      </c>
      <c r="BI110" s="116" t="s">
        <v>2</v>
      </c>
      <c r="BJ110" s="117" t="s">
        <v>2</v>
      </c>
      <c r="BK110" s="117" t="s">
        <v>2</v>
      </c>
      <c r="BL110" s="117" t="s">
        <v>2</v>
      </c>
      <c r="BM110" s="117" t="s">
        <v>2</v>
      </c>
      <c r="BN110" s="117" t="s">
        <v>2</v>
      </c>
      <c r="BO110" s="117" t="s">
        <v>2</v>
      </c>
      <c r="BP110" s="117" t="s">
        <v>2</v>
      </c>
      <c r="BQ110" s="117" t="s">
        <v>2</v>
      </c>
      <c r="BR110" s="117" t="s">
        <v>2</v>
      </c>
      <c r="BS110" s="117" t="s">
        <v>2</v>
      </c>
      <c r="BT110" s="117" t="s">
        <v>2</v>
      </c>
      <c r="BU110" s="117" t="s">
        <v>2</v>
      </c>
      <c r="BV110" s="117" t="s">
        <v>2</v>
      </c>
      <c r="BW110" s="117" t="s">
        <v>2</v>
      </c>
      <c r="BX110" s="117" t="s">
        <v>2</v>
      </c>
      <c r="BY110" s="117" t="s">
        <v>2</v>
      </c>
      <c r="BZ110" s="121" t="s">
        <v>2</v>
      </c>
      <c r="CA110" s="119" t="s">
        <v>2</v>
      </c>
      <c r="CB110" s="114" t="s">
        <v>2</v>
      </c>
      <c r="CC110" s="114" t="s">
        <v>2</v>
      </c>
      <c r="CD110" s="114" t="s">
        <v>2</v>
      </c>
      <c r="CE110" s="114" t="s">
        <v>2</v>
      </c>
      <c r="CF110" s="114" t="s">
        <v>2</v>
      </c>
      <c r="CG110" s="115" t="s">
        <v>2</v>
      </c>
      <c r="CH110" s="117" t="s">
        <v>2</v>
      </c>
      <c r="CI110" s="121" t="s">
        <v>2</v>
      </c>
      <c r="CJ110" s="119" t="s">
        <v>2</v>
      </c>
      <c r="CK110" s="114" t="s">
        <v>2</v>
      </c>
      <c r="CL110" s="114" t="s">
        <v>2</v>
      </c>
      <c r="CM110" s="115" t="s">
        <v>2</v>
      </c>
      <c r="CN110" s="110" t="s">
        <v>2</v>
      </c>
      <c r="CO110" s="110" t="s">
        <v>2</v>
      </c>
    </row>
    <row r="111" spans="1:93" s="102" customFormat="1" x14ac:dyDescent="0.25">
      <c r="A111" s="107" t="s">
        <v>1162</v>
      </c>
      <c r="B111" s="108" t="s">
        <v>1235</v>
      </c>
      <c r="C111" s="109" t="s">
        <v>1307</v>
      </c>
      <c r="D111" s="287">
        <v>15</v>
      </c>
      <c r="E111" s="110">
        <v>0</v>
      </c>
      <c r="F111" s="128">
        <v>49</v>
      </c>
      <c r="G111" s="71">
        <v>204.82</v>
      </c>
      <c r="H111" s="112">
        <v>87.7</v>
      </c>
      <c r="I111" s="113">
        <v>2.2000000000000002</v>
      </c>
      <c r="J111" s="114">
        <v>0.7</v>
      </c>
      <c r="K111" s="114">
        <v>8.4</v>
      </c>
      <c r="L111" s="114">
        <v>0.3</v>
      </c>
      <c r="M111" s="115">
        <v>1</v>
      </c>
      <c r="N111" s="116">
        <v>37</v>
      </c>
      <c r="O111" s="117">
        <v>39</v>
      </c>
      <c r="P111" s="114">
        <v>1.66</v>
      </c>
      <c r="Q111" s="114">
        <v>0.92</v>
      </c>
      <c r="R111" s="73" t="s">
        <v>2</v>
      </c>
      <c r="S111" s="117" t="s">
        <v>2</v>
      </c>
      <c r="T111" s="117" t="s">
        <v>2</v>
      </c>
      <c r="U111" s="118" t="s">
        <v>2</v>
      </c>
      <c r="V111" s="118" t="s">
        <v>2</v>
      </c>
      <c r="W111" s="115" t="s">
        <v>2</v>
      </c>
      <c r="X111" s="119" t="s">
        <v>2</v>
      </c>
      <c r="Y111" s="118" t="s">
        <v>2</v>
      </c>
      <c r="Z111" s="118" t="s">
        <v>2</v>
      </c>
      <c r="AA111" s="118" t="s">
        <v>2</v>
      </c>
      <c r="AB111" s="118" t="s">
        <v>2</v>
      </c>
      <c r="AC111" s="118" t="s">
        <v>2</v>
      </c>
      <c r="AD111" s="117" t="s">
        <v>2</v>
      </c>
      <c r="AE111" s="117" t="s">
        <v>2</v>
      </c>
      <c r="AF111" s="114" t="s">
        <v>2</v>
      </c>
      <c r="AG111" s="115" t="s">
        <v>2</v>
      </c>
      <c r="AH111" s="120" t="s">
        <v>2</v>
      </c>
      <c r="AI111" s="120" t="s">
        <v>2</v>
      </c>
      <c r="AJ111" s="114" t="s">
        <v>2</v>
      </c>
      <c r="AK111" s="114" t="s">
        <v>2</v>
      </c>
      <c r="AL111" s="115" t="s">
        <v>2</v>
      </c>
      <c r="AM111" s="116" t="s">
        <v>2</v>
      </c>
      <c r="AN111" s="117" t="s">
        <v>2</v>
      </c>
      <c r="AO111" s="121" t="s">
        <v>2</v>
      </c>
      <c r="AP111" s="113" t="s">
        <v>2</v>
      </c>
      <c r="AQ111" s="118" t="s">
        <v>2</v>
      </c>
      <c r="AR111" s="118" t="s">
        <v>2</v>
      </c>
      <c r="AS111" s="118" t="s">
        <v>2</v>
      </c>
      <c r="AT111" s="118" t="s">
        <v>2</v>
      </c>
      <c r="AU111" s="118" t="s">
        <v>2</v>
      </c>
      <c r="AV111" s="122" t="s">
        <v>2</v>
      </c>
      <c r="AW111" s="119" t="s">
        <v>2</v>
      </c>
      <c r="AX111" s="118" t="s">
        <v>2</v>
      </c>
      <c r="AY111" s="118" t="s">
        <v>2</v>
      </c>
      <c r="AZ111" s="122" t="s">
        <v>2</v>
      </c>
      <c r="BA111" s="123" t="s">
        <v>2</v>
      </c>
      <c r="BB111" s="124" t="s">
        <v>2</v>
      </c>
      <c r="BC111" s="124" t="s">
        <v>2</v>
      </c>
      <c r="BD111" s="124" t="s">
        <v>2</v>
      </c>
      <c r="BE111" s="124" t="s">
        <v>2</v>
      </c>
      <c r="BF111" s="125" t="s">
        <v>2</v>
      </c>
      <c r="BG111" s="110" t="s">
        <v>2</v>
      </c>
      <c r="BH111" s="110" t="s">
        <v>2</v>
      </c>
      <c r="BI111" s="116" t="s">
        <v>2</v>
      </c>
      <c r="BJ111" s="117" t="s">
        <v>2</v>
      </c>
      <c r="BK111" s="117" t="s">
        <v>2</v>
      </c>
      <c r="BL111" s="117" t="s">
        <v>2</v>
      </c>
      <c r="BM111" s="117" t="s">
        <v>2</v>
      </c>
      <c r="BN111" s="117" t="s">
        <v>2</v>
      </c>
      <c r="BO111" s="117" t="s">
        <v>2</v>
      </c>
      <c r="BP111" s="117" t="s">
        <v>2</v>
      </c>
      <c r="BQ111" s="117" t="s">
        <v>2</v>
      </c>
      <c r="BR111" s="117" t="s">
        <v>2</v>
      </c>
      <c r="BS111" s="117" t="s">
        <v>2</v>
      </c>
      <c r="BT111" s="117" t="s">
        <v>2</v>
      </c>
      <c r="BU111" s="117" t="s">
        <v>2</v>
      </c>
      <c r="BV111" s="117" t="s">
        <v>2</v>
      </c>
      <c r="BW111" s="117" t="s">
        <v>2</v>
      </c>
      <c r="BX111" s="117" t="s">
        <v>2</v>
      </c>
      <c r="BY111" s="117" t="s">
        <v>2</v>
      </c>
      <c r="BZ111" s="121" t="s">
        <v>2</v>
      </c>
      <c r="CA111" s="119" t="s">
        <v>2</v>
      </c>
      <c r="CB111" s="114" t="s">
        <v>2</v>
      </c>
      <c r="CC111" s="114" t="s">
        <v>2</v>
      </c>
      <c r="CD111" s="114" t="s">
        <v>2</v>
      </c>
      <c r="CE111" s="114" t="s">
        <v>2</v>
      </c>
      <c r="CF111" s="114" t="s">
        <v>2</v>
      </c>
      <c r="CG111" s="115" t="s">
        <v>2</v>
      </c>
      <c r="CH111" s="117" t="s">
        <v>2</v>
      </c>
      <c r="CI111" s="121" t="s">
        <v>2</v>
      </c>
      <c r="CJ111" s="119" t="s">
        <v>2</v>
      </c>
      <c r="CK111" s="114" t="s">
        <v>2</v>
      </c>
      <c r="CL111" s="114" t="s">
        <v>2</v>
      </c>
      <c r="CM111" s="115" t="s">
        <v>2</v>
      </c>
      <c r="CN111" s="110" t="s">
        <v>2</v>
      </c>
      <c r="CO111" s="110" t="s">
        <v>2</v>
      </c>
    </row>
    <row r="112" spans="1:93" s="102" customFormat="1" x14ac:dyDescent="0.25">
      <c r="A112" s="107" t="s">
        <v>1163</v>
      </c>
      <c r="B112" s="108" t="s">
        <v>1236</v>
      </c>
      <c r="C112" s="109" t="s">
        <v>1308</v>
      </c>
      <c r="D112" s="287">
        <v>15</v>
      </c>
      <c r="E112" s="110">
        <v>0</v>
      </c>
      <c r="F112" s="111">
        <v>73</v>
      </c>
      <c r="G112" s="71">
        <v>305.14</v>
      </c>
      <c r="H112" s="112">
        <v>82</v>
      </c>
      <c r="I112" s="113">
        <v>0.8</v>
      </c>
      <c r="J112" s="114">
        <v>0.41</v>
      </c>
      <c r="K112" s="114">
        <v>16.64</v>
      </c>
      <c r="L112" s="114">
        <v>0.2</v>
      </c>
      <c r="M112" s="115">
        <v>0.15</v>
      </c>
      <c r="N112" s="116">
        <v>30</v>
      </c>
      <c r="O112" s="117">
        <v>7</v>
      </c>
      <c r="P112" s="114">
        <v>0.33</v>
      </c>
      <c r="Q112" s="114">
        <v>0.24</v>
      </c>
      <c r="R112" s="73" t="s">
        <v>2</v>
      </c>
      <c r="S112" s="117" t="s">
        <v>2</v>
      </c>
      <c r="T112" s="117" t="s">
        <v>2</v>
      </c>
      <c r="U112" s="118" t="s">
        <v>2</v>
      </c>
      <c r="V112" s="118" t="s">
        <v>2</v>
      </c>
      <c r="W112" s="115" t="s">
        <v>2</v>
      </c>
      <c r="X112" s="119" t="s">
        <v>2</v>
      </c>
      <c r="Y112" s="118" t="s">
        <v>2</v>
      </c>
      <c r="Z112" s="118" t="s">
        <v>2</v>
      </c>
      <c r="AA112" s="118" t="s">
        <v>2</v>
      </c>
      <c r="AB112" s="118" t="s">
        <v>2</v>
      </c>
      <c r="AC112" s="118" t="s">
        <v>2</v>
      </c>
      <c r="AD112" s="117" t="s">
        <v>2</v>
      </c>
      <c r="AE112" s="117" t="s">
        <v>2</v>
      </c>
      <c r="AF112" s="114" t="s">
        <v>2</v>
      </c>
      <c r="AG112" s="115" t="s">
        <v>2</v>
      </c>
      <c r="AH112" s="120" t="s">
        <v>2</v>
      </c>
      <c r="AI112" s="120" t="s">
        <v>2</v>
      </c>
      <c r="AJ112" s="114" t="s">
        <v>2</v>
      </c>
      <c r="AK112" s="114" t="s">
        <v>2</v>
      </c>
      <c r="AL112" s="115" t="s">
        <v>2</v>
      </c>
      <c r="AM112" s="116" t="s">
        <v>2</v>
      </c>
      <c r="AN112" s="117" t="s">
        <v>2</v>
      </c>
      <c r="AO112" s="121" t="s">
        <v>2</v>
      </c>
      <c r="AP112" s="113" t="s">
        <v>2</v>
      </c>
      <c r="AQ112" s="118" t="s">
        <v>2</v>
      </c>
      <c r="AR112" s="118" t="s">
        <v>2</v>
      </c>
      <c r="AS112" s="118" t="s">
        <v>2</v>
      </c>
      <c r="AT112" s="118" t="s">
        <v>2</v>
      </c>
      <c r="AU112" s="118" t="s">
        <v>2</v>
      </c>
      <c r="AV112" s="122" t="s">
        <v>2</v>
      </c>
      <c r="AW112" s="119" t="s">
        <v>2</v>
      </c>
      <c r="AX112" s="118" t="s">
        <v>2</v>
      </c>
      <c r="AY112" s="118" t="s">
        <v>2</v>
      </c>
      <c r="AZ112" s="122" t="s">
        <v>2</v>
      </c>
      <c r="BA112" s="123" t="s">
        <v>2</v>
      </c>
      <c r="BB112" s="124" t="s">
        <v>2</v>
      </c>
      <c r="BC112" s="124" t="s">
        <v>2</v>
      </c>
      <c r="BD112" s="124" t="s">
        <v>2</v>
      </c>
      <c r="BE112" s="124" t="s">
        <v>2</v>
      </c>
      <c r="BF112" s="125" t="s">
        <v>2</v>
      </c>
      <c r="BG112" s="110" t="s">
        <v>2</v>
      </c>
      <c r="BH112" s="110" t="s">
        <v>2</v>
      </c>
      <c r="BI112" s="116" t="s">
        <v>2</v>
      </c>
      <c r="BJ112" s="117" t="s">
        <v>2</v>
      </c>
      <c r="BK112" s="117" t="s">
        <v>2</v>
      </c>
      <c r="BL112" s="117" t="s">
        <v>2</v>
      </c>
      <c r="BM112" s="117" t="s">
        <v>2</v>
      </c>
      <c r="BN112" s="117" t="s">
        <v>2</v>
      </c>
      <c r="BO112" s="117" t="s">
        <v>2</v>
      </c>
      <c r="BP112" s="117" t="s">
        <v>2</v>
      </c>
      <c r="BQ112" s="117" t="s">
        <v>2</v>
      </c>
      <c r="BR112" s="117" t="s">
        <v>2</v>
      </c>
      <c r="BS112" s="117" t="s">
        <v>2</v>
      </c>
      <c r="BT112" s="117" t="s">
        <v>2</v>
      </c>
      <c r="BU112" s="117" t="s">
        <v>2</v>
      </c>
      <c r="BV112" s="117" t="s">
        <v>2</v>
      </c>
      <c r="BW112" s="117" t="s">
        <v>2</v>
      </c>
      <c r="BX112" s="117" t="s">
        <v>2</v>
      </c>
      <c r="BY112" s="117" t="s">
        <v>2</v>
      </c>
      <c r="BZ112" s="121" t="s">
        <v>2</v>
      </c>
      <c r="CA112" s="119" t="s">
        <v>2</v>
      </c>
      <c r="CB112" s="114" t="s">
        <v>2</v>
      </c>
      <c r="CC112" s="114" t="s">
        <v>2</v>
      </c>
      <c r="CD112" s="114" t="s">
        <v>2</v>
      </c>
      <c r="CE112" s="114" t="s">
        <v>2</v>
      </c>
      <c r="CF112" s="114" t="s">
        <v>2</v>
      </c>
      <c r="CG112" s="115" t="s">
        <v>2</v>
      </c>
      <c r="CH112" s="117" t="s">
        <v>2</v>
      </c>
      <c r="CI112" s="121" t="s">
        <v>2</v>
      </c>
      <c r="CJ112" s="119" t="s">
        <v>2</v>
      </c>
      <c r="CK112" s="114" t="s">
        <v>2</v>
      </c>
      <c r="CL112" s="114" t="s">
        <v>2</v>
      </c>
      <c r="CM112" s="115" t="s">
        <v>2</v>
      </c>
      <c r="CN112" s="110" t="s">
        <v>2</v>
      </c>
      <c r="CO112" s="110" t="s">
        <v>2</v>
      </c>
    </row>
    <row r="113" spans="1:93" s="102" customFormat="1" x14ac:dyDescent="0.25">
      <c r="A113" s="107" t="s">
        <v>1164</v>
      </c>
      <c r="B113" s="108" t="s">
        <v>1237</v>
      </c>
      <c r="C113" s="109" t="s">
        <v>1309</v>
      </c>
      <c r="D113" s="287">
        <v>15</v>
      </c>
      <c r="E113" s="110">
        <v>0</v>
      </c>
      <c r="F113" s="120">
        <v>82</v>
      </c>
      <c r="G113" s="71">
        <v>342.76</v>
      </c>
      <c r="H113" s="126">
        <v>80.400000000000006</v>
      </c>
      <c r="I113" s="113">
        <v>1.37</v>
      </c>
      <c r="J113" s="114">
        <v>0.87</v>
      </c>
      <c r="K113" s="114">
        <v>17.079999999999998</v>
      </c>
      <c r="L113" s="114">
        <v>0</v>
      </c>
      <c r="M113" s="115">
        <v>0.28000000000000003</v>
      </c>
      <c r="N113" s="116">
        <v>85</v>
      </c>
      <c r="O113" s="117">
        <v>18</v>
      </c>
      <c r="P113" s="114">
        <v>0.88</v>
      </c>
      <c r="Q113" s="114">
        <v>0.44</v>
      </c>
      <c r="R113" s="73" t="s">
        <v>2</v>
      </c>
      <c r="S113" s="117" t="s">
        <v>2</v>
      </c>
      <c r="T113" s="117" t="s">
        <v>2</v>
      </c>
      <c r="U113" s="118" t="s">
        <v>2</v>
      </c>
      <c r="V113" s="118" t="s">
        <v>2</v>
      </c>
      <c r="W113" s="115" t="s">
        <v>2</v>
      </c>
      <c r="X113" s="119" t="s">
        <v>2</v>
      </c>
      <c r="Y113" s="118" t="s">
        <v>2</v>
      </c>
      <c r="Z113" s="118" t="s">
        <v>2</v>
      </c>
      <c r="AA113" s="118" t="s">
        <v>2</v>
      </c>
      <c r="AB113" s="118" t="s">
        <v>2</v>
      </c>
      <c r="AC113" s="118" t="s">
        <v>2</v>
      </c>
      <c r="AD113" s="117" t="s">
        <v>2</v>
      </c>
      <c r="AE113" s="117" t="s">
        <v>2</v>
      </c>
      <c r="AF113" s="114" t="s">
        <v>2</v>
      </c>
      <c r="AG113" s="115" t="s">
        <v>2</v>
      </c>
      <c r="AH113" s="120" t="s">
        <v>2</v>
      </c>
      <c r="AI113" s="120" t="s">
        <v>2</v>
      </c>
      <c r="AJ113" s="114" t="s">
        <v>2</v>
      </c>
      <c r="AK113" s="114" t="s">
        <v>2</v>
      </c>
      <c r="AL113" s="115" t="s">
        <v>2</v>
      </c>
      <c r="AM113" s="116" t="s">
        <v>2</v>
      </c>
      <c r="AN113" s="117" t="s">
        <v>2</v>
      </c>
      <c r="AO113" s="121" t="s">
        <v>2</v>
      </c>
      <c r="AP113" s="113" t="s">
        <v>2</v>
      </c>
      <c r="AQ113" s="118" t="s">
        <v>2</v>
      </c>
      <c r="AR113" s="118" t="s">
        <v>2</v>
      </c>
      <c r="AS113" s="118" t="s">
        <v>2</v>
      </c>
      <c r="AT113" s="118" t="s">
        <v>2</v>
      </c>
      <c r="AU113" s="118" t="s">
        <v>2</v>
      </c>
      <c r="AV113" s="122" t="s">
        <v>2</v>
      </c>
      <c r="AW113" s="119" t="s">
        <v>2</v>
      </c>
      <c r="AX113" s="118" t="s">
        <v>2</v>
      </c>
      <c r="AY113" s="118" t="s">
        <v>2</v>
      </c>
      <c r="AZ113" s="122" t="s">
        <v>2</v>
      </c>
      <c r="BA113" s="123" t="s">
        <v>2</v>
      </c>
      <c r="BB113" s="124" t="s">
        <v>2</v>
      </c>
      <c r="BC113" s="124" t="s">
        <v>2</v>
      </c>
      <c r="BD113" s="124" t="s">
        <v>2</v>
      </c>
      <c r="BE113" s="124" t="s">
        <v>2</v>
      </c>
      <c r="BF113" s="125" t="s">
        <v>2</v>
      </c>
      <c r="BG113" s="110" t="s">
        <v>2</v>
      </c>
      <c r="BH113" s="110" t="s">
        <v>2</v>
      </c>
      <c r="BI113" s="116" t="s">
        <v>2</v>
      </c>
      <c r="BJ113" s="117" t="s">
        <v>2</v>
      </c>
      <c r="BK113" s="117" t="s">
        <v>2</v>
      </c>
      <c r="BL113" s="117" t="s">
        <v>2</v>
      </c>
      <c r="BM113" s="117" t="s">
        <v>2</v>
      </c>
      <c r="BN113" s="117" t="s">
        <v>2</v>
      </c>
      <c r="BO113" s="117" t="s">
        <v>2</v>
      </c>
      <c r="BP113" s="117" t="s">
        <v>2</v>
      </c>
      <c r="BQ113" s="117" t="s">
        <v>2</v>
      </c>
      <c r="BR113" s="117" t="s">
        <v>2</v>
      </c>
      <c r="BS113" s="117" t="s">
        <v>2</v>
      </c>
      <c r="BT113" s="117" t="s">
        <v>2</v>
      </c>
      <c r="BU113" s="117" t="s">
        <v>2</v>
      </c>
      <c r="BV113" s="117" t="s">
        <v>2</v>
      </c>
      <c r="BW113" s="117" t="s">
        <v>2</v>
      </c>
      <c r="BX113" s="117" t="s">
        <v>2</v>
      </c>
      <c r="BY113" s="117" t="s">
        <v>2</v>
      </c>
      <c r="BZ113" s="121" t="s">
        <v>2</v>
      </c>
      <c r="CA113" s="119" t="s">
        <v>2</v>
      </c>
      <c r="CB113" s="114" t="s">
        <v>2</v>
      </c>
      <c r="CC113" s="114" t="s">
        <v>2</v>
      </c>
      <c r="CD113" s="114" t="s">
        <v>2</v>
      </c>
      <c r="CE113" s="114" t="s">
        <v>2</v>
      </c>
      <c r="CF113" s="114" t="s">
        <v>2</v>
      </c>
      <c r="CG113" s="115" t="s">
        <v>2</v>
      </c>
      <c r="CH113" s="117" t="s">
        <v>2</v>
      </c>
      <c r="CI113" s="121" t="s">
        <v>2</v>
      </c>
      <c r="CJ113" s="119" t="s">
        <v>2</v>
      </c>
      <c r="CK113" s="114" t="s">
        <v>2</v>
      </c>
      <c r="CL113" s="114" t="s">
        <v>2</v>
      </c>
      <c r="CM113" s="115" t="s">
        <v>2</v>
      </c>
      <c r="CN113" s="110" t="s">
        <v>2</v>
      </c>
      <c r="CO113" s="110" t="s">
        <v>2</v>
      </c>
    </row>
    <row r="114" spans="1:93" s="102" customFormat="1" x14ac:dyDescent="0.25">
      <c r="A114" s="107" t="s">
        <v>1165</v>
      </c>
      <c r="B114" s="108" t="s">
        <v>1238</v>
      </c>
      <c r="C114" s="109" t="s">
        <v>1310</v>
      </c>
      <c r="D114" s="287">
        <v>15</v>
      </c>
      <c r="E114" s="110">
        <v>0</v>
      </c>
      <c r="F114" s="120">
        <v>80</v>
      </c>
      <c r="G114" s="71">
        <v>334.4</v>
      </c>
      <c r="H114" s="126">
        <v>80.400000000000006</v>
      </c>
      <c r="I114" s="113">
        <v>0.23</v>
      </c>
      <c r="J114" s="114">
        <v>0.32</v>
      </c>
      <c r="K114" s="114">
        <v>19.04</v>
      </c>
      <c r="L114" s="114">
        <v>0</v>
      </c>
      <c r="M114" s="115">
        <v>0.01</v>
      </c>
      <c r="N114" s="116">
        <v>54</v>
      </c>
      <c r="O114" s="117">
        <v>6</v>
      </c>
      <c r="P114" s="114">
        <v>0.34</v>
      </c>
      <c r="Q114" s="114">
        <v>0.13</v>
      </c>
      <c r="R114" s="73" t="s">
        <v>2</v>
      </c>
      <c r="S114" s="117" t="s">
        <v>2</v>
      </c>
      <c r="T114" s="117" t="s">
        <v>2</v>
      </c>
      <c r="U114" s="118" t="s">
        <v>2</v>
      </c>
      <c r="V114" s="118" t="s">
        <v>2</v>
      </c>
      <c r="W114" s="115" t="s">
        <v>2</v>
      </c>
      <c r="X114" s="119" t="s">
        <v>2</v>
      </c>
      <c r="Y114" s="118" t="s">
        <v>2</v>
      </c>
      <c r="Z114" s="118" t="s">
        <v>2</v>
      </c>
      <c r="AA114" s="118" t="s">
        <v>2</v>
      </c>
      <c r="AB114" s="118" t="s">
        <v>2</v>
      </c>
      <c r="AC114" s="118" t="s">
        <v>2</v>
      </c>
      <c r="AD114" s="117" t="s">
        <v>2</v>
      </c>
      <c r="AE114" s="117" t="s">
        <v>2</v>
      </c>
      <c r="AF114" s="114" t="s">
        <v>2</v>
      </c>
      <c r="AG114" s="115" t="s">
        <v>2</v>
      </c>
      <c r="AH114" s="120" t="s">
        <v>2</v>
      </c>
      <c r="AI114" s="120" t="s">
        <v>2</v>
      </c>
      <c r="AJ114" s="114" t="s">
        <v>2</v>
      </c>
      <c r="AK114" s="114" t="s">
        <v>2</v>
      </c>
      <c r="AL114" s="115" t="s">
        <v>2</v>
      </c>
      <c r="AM114" s="116" t="s">
        <v>2</v>
      </c>
      <c r="AN114" s="117" t="s">
        <v>2</v>
      </c>
      <c r="AO114" s="121" t="s">
        <v>2</v>
      </c>
      <c r="AP114" s="113" t="s">
        <v>2</v>
      </c>
      <c r="AQ114" s="118" t="s">
        <v>2</v>
      </c>
      <c r="AR114" s="118" t="s">
        <v>2</v>
      </c>
      <c r="AS114" s="118" t="s">
        <v>2</v>
      </c>
      <c r="AT114" s="118" t="s">
        <v>2</v>
      </c>
      <c r="AU114" s="118" t="s">
        <v>2</v>
      </c>
      <c r="AV114" s="122" t="s">
        <v>2</v>
      </c>
      <c r="AW114" s="119" t="s">
        <v>2</v>
      </c>
      <c r="AX114" s="118" t="s">
        <v>2</v>
      </c>
      <c r="AY114" s="118" t="s">
        <v>2</v>
      </c>
      <c r="AZ114" s="122" t="s">
        <v>2</v>
      </c>
      <c r="BA114" s="123" t="s">
        <v>2</v>
      </c>
      <c r="BB114" s="124" t="s">
        <v>2</v>
      </c>
      <c r="BC114" s="124" t="s">
        <v>2</v>
      </c>
      <c r="BD114" s="124" t="s">
        <v>2</v>
      </c>
      <c r="BE114" s="124" t="s">
        <v>2</v>
      </c>
      <c r="BF114" s="125" t="s">
        <v>2</v>
      </c>
      <c r="BG114" s="110" t="s">
        <v>2</v>
      </c>
      <c r="BH114" s="110" t="s">
        <v>2</v>
      </c>
      <c r="BI114" s="116" t="s">
        <v>2</v>
      </c>
      <c r="BJ114" s="117" t="s">
        <v>2</v>
      </c>
      <c r="BK114" s="117" t="s">
        <v>2</v>
      </c>
      <c r="BL114" s="117" t="s">
        <v>2</v>
      </c>
      <c r="BM114" s="117" t="s">
        <v>2</v>
      </c>
      <c r="BN114" s="117" t="s">
        <v>2</v>
      </c>
      <c r="BO114" s="117" t="s">
        <v>2</v>
      </c>
      <c r="BP114" s="117" t="s">
        <v>2</v>
      </c>
      <c r="BQ114" s="117" t="s">
        <v>2</v>
      </c>
      <c r="BR114" s="117" t="s">
        <v>2</v>
      </c>
      <c r="BS114" s="117" t="s">
        <v>2</v>
      </c>
      <c r="BT114" s="117" t="s">
        <v>2</v>
      </c>
      <c r="BU114" s="117" t="s">
        <v>2</v>
      </c>
      <c r="BV114" s="117" t="s">
        <v>2</v>
      </c>
      <c r="BW114" s="117" t="s">
        <v>2</v>
      </c>
      <c r="BX114" s="117" t="s">
        <v>2</v>
      </c>
      <c r="BY114" s="117" t="s">
        <v>2</v>
      </c>
      <c r="BZ114" s="121" t="s">
        <v>2</v>
      </c>
      <c r="CA114" s="119" t="s">
        <v>2</v>
      </c>
      <c r="CB114" s="114" t="s">
        <v>2</v>
      </c>
      <c r="CC114" s="114" t="s">
        <v>2</v>
      </c>
      <c r="CD114" s="114" t="s">
        <v>2</v>
      </c>
      <c r="CE114" s="114" t="s">
        <v>2</v>
      </c>
      <c r="CF114" s="114" t="s">
        <v>2</v>
      </c>
      <c r="CG114" s="115" t="s">
        <v>2</v>
      </c>
      <c r="CH114" s="117" t="s">
        <v>2</v>
      </c>
      <c r="CI114" s="121" t="s">
        <v>2</v>
      </c>
      <c r="CJ114" s="119" t="s">
        <v>2</v>
      </c>
      <c r="CK114" s="114" t="s">
        <v>2</v>
      </c>
      <c r="CL114" s="114" t="s">
        <v>2</v>
      </c>
      <c r="CM114" s="115" t="s">
        <v>2</v>
      </c>
      <c r="CN114" s="110" t="s">
        <v>2</v>
      </c>
      <c r="CO114" s="110" t="s">
        <v>2</v>
      </c>
    </row>
    <row r="115" spans="1:93" s="102" customFormat="1" x14ac:dyDescent="0.25">
      <c r="A115" s="107" t="s">
        <v>1166</v>
      </c>
      <c r="B115" s="130" t="s">
        <v>1239</v>
      </c>
      <c r="C115" s="109" t="s">
        <v>1311</v>
      </c>
      <c r="D115" s="287">
        <v>15</v>
      </c>
      <c r="E115" s="110">
        <v>0</v>
      </c>
      <c r="F115" s="120">
        <v>79</v>
      </c>
      <c r="G115" s="71">
        <v>330.21999999999997</v>
      </c>
      <c r="H115" s="126">
        <v>80.3</v>
      </c>
      <c r="I115" s="113">
        <v>1.21</v>
      </c>
      <c r="J115" s="114">
        <v>0.26</v>
      </c>
      <c r="K115" s="114">
        <v>18.02</v>
      </c>
      <c r="L115" s="114">
        <v>0.1</v>
      </c>
      <c r="M115" s="115">
        <v>0.21</v>
      </c>
      <c r="N115" s="116">
        <v>29</v>
      </c>
      <c r="O115" s="117">
        <v>5</v>
      </c>
      <c r="P115" s="114">
        <v>1.25</v>
      </c>
      <c r="Q115" s="114">
        <v>0.36</v>
      </c>
      <c r="R115" s="73" t="s">
        <v>2</v>
      </c>
      <c r="S115" s="117" t="s">
        <v>2</v>
      </c>
      <c r="T115" s="117" t="s">
        <v>2</v>
      </c>
      <c r="U115" s="118" t="s">
        <v>2</v>
      </c>
      <c r="V115" s="118" t="s">
        <v>2</v>
      </c>
      <c r="W115" s="115" t="s">
        <v>2</v>
      </c>
      <c r="X115" s="119" t="s">
        <v>2</v>
      </c>
      <c r="Y115" s="118" t="s">
        <v>2</v>
      </c>
      <c r="Z115" s="118" t="s">
        <v>2</v>
      </c>
      <c r="AA115" s="118" t="s">
        <v>2</v>
      </c>
      <c r="AB115" s="118" t="s">
        <v>2</v>
      </c>
      <c r="AC115" s="118" t="s">
        <v>2</v>
      </c>
      <c r="AD115" s="117" t="s">
        <v>2</v>
      </c>
      <c r="AE115" s="117" t="s">
        <v>2</v>
      </c>
      <c r="AF115" s="114" t="s">
        <v>2</v>
      </c>
      <c r="AG115" s="115" t="s">
        <v>2</v>
      </c>
      <c r="AH115" s="120" t="s">
        <v>2</v>
      </c>
      <c r="AI115" s="120" t="s">
        <v>2</v>
      </c>
      <c r="AJ115" s="114" t="s">
        <v>2</v>
      </c>
      <c r="AK115" s="114" t="s">
        <v>2</v>
      </c>
      <c r="AL115" s="115" t="s">
        <v>2</v>
      </c>
      <c r="AM115" s="116" t="s">
        <v>2</v>
      </c>
      <c r="AN115" s="117" t="s">
        <v>2</v>
      </c>
      <c r="AO115" s="121" t="s">
        <v>2</v>
      </c>
      <c r="AP115" s="113" t="s">
        <v>2</v>
      </c>
      <c r="AQ115" s="118" t="s">
        <v>2</v>
      </c>
      <c r="AR115" s="118" t="s">
        <v>2</v>
      </c>
      <c r="AS115" s="118" t="s">
        <v>2</v>
      </c>
      <c r="AT115" s="118" t="s">
        <v>2</v>
      </c>
      <c r="AU115" s="118" t="s">
        <v>2</v>
      </c>
      <c r="AV115" s="122" t="s">
        <v>2</v>
      </c>
      <c r="AW115" s="119" t="s">
        <v>2</v>
      </c>
      <c r="AX115" s="118" t="s">
        <v>2</v>
      </c>
      <c r="AY115" s="118" t="s">
        <v>2</v>
      </c>
      <c r="AZ115" s="122" t="s">
        <v>2</v>
      </c>
      <c r="BA115" s="123" t="s">
        <v>2</v>
      </c>
      <c r="BB115" s="124" t="s">
        <v>2</v>
      </c>
      <c r="BC115" s="124" t="s">
        <v>2</v>
      </c>
      <c r="BD115" s="124" t="s">
        <v>2</v>
      </c>
      <c r="BE115" s="124" t="s">
        <v>2</v>
      </c>
      <c r="BF115" s="125" t="s">
        <v>2</v>
      </c>
      <c r="BG115" s="110" t="s">
        <v>2</v>
      </c>
      <c r="BH115" s="110" t="s">
        <v>2</v>
      </c>
      <c r="BI115" s="116" t="s">
        <v>2</v>
      </c>
      <c r="BJ115" s="117" t="s">
        <v>2</v>
      </c>
      <c r="BK115" s="117" t="s">
        <v>2</v>
      </c>
      <c r="BL115" s="117" t="s">
        <v>2</v>
      </c>
      <c r="BM115" s="117" t="s">
        <v>2</v>
      </c>
      <c r="BN115" s="117" t="s">
        <v>2</v>
      </c>
      <c r="BO115" s="117" t="s">
        <v>2</v>
      </c>
      <c r="BP115" s="117" t="s">
        <v>2</v>
      </c>
      <c r="BQ115" s="117" t="s">
        <v>2</v>
      </c>
      <c r="BR115" s="117" t="s">
        <v>2</v>
      </c>
      <c r="BS115" s="117" t="s">
        <v>2</v>
      </c>
      <c r="BT115" s="117" t="s">
        <v>2</v>
      </c>
      <c r="BU115" s="117" t="s">
        <v>2</v>
      </c>
      <c r="BV115" s="117" t="s">
        <v>2</v>
      </c>
      <c r="BW115" s="117" t="s">
        <v>2</v>
      </c>
      <c r="BX115" s="117" t="s">
        <v>2</v>
      </c>
      <c r="BY115" s="117" t="s">
        <v>2</v>
      </c>
      <c r="BZ115" s="121" t="s">
        <v>2</v>
      </c>
      <c r="CA115" s="119" t="s">
        <v>2</v>
      </c>
      <c r="CB115" s="114" t="s">
        <v>2</v>
      </c>
      <c r="CC115" s="114" t="s">
        <v>2</v>
      </c>
      <c r="CD115" s="114" t="s">
        <v>2</v>
      </c>
      <c r="CE115" s="114" t="s">
        <v>2</v>
      </c>
      <c r="CF115" s="114" t="s">
        <v>2</v>
      </c>
      <c r="CG115" s="115" t="s">
        <v>2</v>
      </c>
      <c r="CH115" s="117" t="s">
        <v>2</v>
      </c>
      <c r="CI115" s="121" t="s">
        <v>2</v>
      </c>
      <c r="CJ115" s="119" t="s">
        <v>2</v>
      </c>
      <c r="CK115" s="114" t="s">
        <v>2</v>
      </c>
      <c r="CL115" s="114" t="s">
        <v>2</v>
      </c>
      <c r="CM115" s="115" t="s">
        <v>2</v>
      </c>
      <c r="CN115" s="110" t="s">
        <v>2</v>
      </c>
      <c r="CO115" s="110" t="s">
        <v>2</v>
      </c>
    </row>
    <row r="116" spans="1:93" s="102" customFormat="1" x14ac:dyDescent="0.25">
      <c r="A116" s="107" t="s">
        <v>1167</v>
      </c>
      <c r="B116" s="108" t="s">
        <v>1240</v>
      </c>
      <c r="C116" s="109" t="s">
        <v>1312</v>
      </c>
      <c r="D116" s="287">
        <v>15</v>
      </c>
      <c r="E116" s="110">
        <v>0</v>
      </c>
      <c r="F116" s="120">
        <v>77</v>
      </c>
      <c r="G116" s="71">
        <v>321.85999999999996</v>
      </c>
      <c r="H116" s="126">
        <v>80.7</v>
      </c>
      <c r="I116" s="113">
        <v>1.85</v>
      </c>
      <c r="J116" s="114">
        <v>0.39</v>
      </c>
      <c r="K116" s="114">
        <v>16.510000000000002</v>
      </c>
      <c r="L116" s="114">
        <v>0.2</v>
      </c>
      <c r="M116" s="115">
        <v>0.55000000000000004</v>
      </c>
      <c r="N116" s="116">
        <v>58</v>
      </c>
      <c r="O116" s="117">
        <v>15</v>
      </c>
      <c r="P116" s="114">
        <v>1.92</v>
      </c>
      <c r="Q116" s="114">
        <v>0.43</v>
      </c>
      <c r="R116" s="73" t="s">
        <v>2</v>
      </c>
      <c r="S116" s="117" t="s">
        <v>2</v>
      </c>
      <c r="T116" s="117" t="s">
        <v>2</v>
      </c>
      <c r="U116" s="118" t="s">
        <v>2</v>
      </c>
      <c r="V116" s="118" t="s">
        <v>2</v>
      </c>
      <c r="W116" s="115" t="s">
        <v>2</v>
      </c>
      <c r="X116" s="119" t="s">
        <v>2</v>
      </c>
      <c r="Y116" s="118" t="s">
        <v>2</v>
      </c>
      <c r="Z116" s="118" t="s">
        <v>2</v>
      </c>
      <c r="AA116" s="118" t="s">
        <v>2</v>
      </c>
      <c r="AB116" s="118" t="s">
        <v>2</v>
      </c>
      <c r="AC116" s="118" t="s">
        <v>2</v>
      </c>
      <c r="AD116" s="117" t="s">
        <v>2</v>
      </c>
      <c r="AE116" s="117" t="s">
        <v>2</v>
      </c>
      <c r="AF116" s="114" t="s">
        <v>2</v>
      </c>
      <c r="AG116" s="115" t="s">
        <v>2</v>
      </c>
      <c r="AH116" s="120" t="s">
        <v>2</v>
      </c>
      <c r="AI116" s="120" t="s">
        <v>2</v>
      </c>
      <c r="AJ116" s="114" t="s">
        <v>2</v>
      </c>
      <c r="AK116" s="114" t="s">
        <v>2</v>
      </c>
      <c r="AL116" s="115" t="s">
        <v>2</v>
      </c>
      <c r="AM116" s="116" t="s">
        <v>2</v>
      </c>
      <c r="AN116" s="117" t="s">
        <v>2</v>
      </c>
      <c r="AO116" s="121" t="s">
        <v>2</v>
      </c>
      <c r="AP116" s="113" t="s">
        <v>2</v>
      </c>
      <c r="AQ116" s="118" t="s">
        <v>2</v>
      </c>
      <c r="AR116" s="118" t="s">
        <v>2</v>
      </c>
      <c r="AS116" s="118" t="s">
        <v>2</v>
      </c>
      <c r="AT116" s="118" t="s">
        <v>2</v>
      </c>
      <c r="AU116" s="118" t="s">
        <v>2</v>
      </c>
      <c r="AV116" s="122" t="s">
        <v>2</v>
      </c>
      <c r="AW116" s="119" t="s">
        <v>2</v>
      </c>
      <c r="AX116" s="118" t="s">
        <v>2</v>
      </c>
      <c r="AY116" s="118" t="s">
        <v>2</v>
      </c>
      <c r="AZ116" s="122" t="s">
        <v>2</v>
      </c>
      <c r="BA116" s="123" t="s">
        <v>2</v>
      </c>
      <c r="BB116" s="124" t="s">
        <v>2</v>
      </c>
      <c r="BC116" s="124" t="s">
        <v>2</v>
      </c>
      <c r="BD116" s="124" t="s">
        <v>2</v>
      </c>
      <c r="BE116" s="124" t="s">
        <v>2</v>
      </c>
      <c r="BF116" s="125" t="s">
        <v>2</v>
      </c>
      <c r="BG116" s="110" t="s">
        <v>2</v>
      </c>
      <c r="BH116" s="110" t="s">
        <v>2</v>
      </c>
      <c r="BI116" s="116" t="s">
        <v>2</v>
      </c>
      <c r="BJ116" s="117" t="s">
        <v>2</v>
      </c>
      <c r="BK116" s="117" t="s">
        <v>2</v>
      </c>
      <c r="BL116" s="117" t="s">
        <v>2</v>
      </c>
      <c r="BM116" s="117" t="s">
        <v>2</v>
      </c>
      <c r="BN116" s="117" t="s">
        <v>2</v>
      </c>
      <c r="BO116" s="117" t="s">
        <v>2</v>
      </c>
      <c r="BP116" s="117" t="s">
        <v>2</v>
      </c>
      <c r="BQ116" s="117" t="s">
        <v>2</v>
      </c>
      <c r="BR116" s="117" t="s">
        <v>2</v>
      </c>
      <c r="BS116" s="117" t="s">
        <v>2</v>
      </c>
      <c r="BT116" s="117" t="s">
        <v>2</v>
      </c>
      <c r="BU116" s="117" t="s">
        <v>2</v>
      </c>
      <c r="BV116" s="117" t="s">
        <v>2</v>
      </c>
      <c r="BW116" s="117" t="s">
        <v>2</v>
      </c>
      <c r="BX116" s="117" t="s">
        <v>2</v>
      </c>
      <c r="BY116" s="117" t="s">
        <v>2</v>
      </c>
      <c r="BZ116" s="121" t="s">
        <v>2</v>
      </c>
      <c r="CA116" s="119" t="s">
        <v>2</v>
      </c>
      <c r="CB116" s="114" t="s">
        <v>2</v>
      </c>
      <c r="CC116" s="114" t="s">
        <v>2</v>
      </c>
      <c r="CD116" s="114" t="s">
        <v>2</v>
      </c>
      <c r="CE116" s="114" t="s">
        <v>2</v>
      </c>
      <c r="CF116" s="114" t="s">
        <v>2</v>
      </c>
      <c r="CG116" s="115" t="s">
        <v>2</v>
      </c>
      <c r="CH116" s="117" t="s">
        <v>2</v>
      </c>
      <c r="CI116" s="121" t="s">
        <v>2</v>
      </c>
      <c r="CJ116" s="119" t="s">
        <v>2</v>
      </c>
      <c r="CK116" s="114" t="s">
        <v>2</v>
      </c>
      <c r="CL116" s="114" t="s">
        <v>2</v>
      </c>
      <c r="CM116" s="115" t="s">
        <v>2</v>
      </c>
      <c r="CN116" s="110" t="s">
        <v>2</v>
      </c>
      <c r="CO116" s="110" t="s">
        <v>2</v>
      </c>
    </row>
    <row r="117" spans="1:93" s="102" customFormat="1" x14ac:dyDescent="0.25">
      <c r="A117" s="107" t="s">
        <v>1168</v>
      </c>
      <c r="B117" s="108" t="s">
        <v>1241</v>
      </c>
      <c r="C117" s="109" t="s">
        <v>1313</v>
      </c>
      <c r="D117" s="287">
        <v>15</v>
      </c>
      <c r="E117" s="110">
        <v>0</v>
      </c>
      <c r="F117" s="120">
        <v>79</v>
      </c>
      <c r="G117" s="71">
        <v>330.21999999999997</v>
      </c>
      <c r="H117" s="126">
        <v>80.599999999999994</v>
      </c>
      <c r="I117" s="113">
        <v>1.35</v>
      </c>
      <c r="J117" s="114">
        <v>0.39</v>
      </c>
      <c r="K117" s="114">
        <v>17.54</v>
      </c>
      <c r="L117" s="114">
        <v>0.1</v>
      </c>
      <c r="M117" s="115">
        <v>0.12</v>
      </c>
      <c r="N117" s="116">
        <v>52</v>
      </c>
      <c r="O117" s="117">
        <v>17</v>
      </c>
      <c r="P117" s="114">
        <v>0.46</v>
      </c>
      <c r="Q117" s="114">
        <v>0.23</v>
      </c>
      <c r="R117" s="73" t="s">
        <v>2</v>
      </c>
      <c r="S117" s="117" t="s">
        <v>2</v>
      </c>
      <c r="T117" s="117" t="s">
        <v>2</v>
      </c>
      <c r="U117" s="118" t="s">
        <v>2</v>
      </c>
      <c r="V117" s="118" t="s">
        <v>2</v>
      </c>
      <c r="W117" s="115" t="s">
        <v>2</v>
      </c>
      <c r="X117" s="119" t="s">
        <v>2</v>
      </c>
      <c r="Y117" s="118" t="s">
        <v>2</v>
      </c>
      <c r="Z117" s="118" t="s">
        <v>2</v>
      </c>
      <c r="AA117" s="118" t="s">
        <v>2</v>
      </c>
      <c r="AB117" s="118" t="s">
        <v>2</v>
      </c>
      <c r="AC117" s="118" t="s">
        <v>2</v>
      </c>
      <c r="AD117" s="117" t="s">
        <v>2</v>
      </c>
      <c r="AE117" s="117" t="s">
        <v>2</v>
      </c>
      <c r="AF117" s="114" t="s">
        <v>2</v>
      </c>
      <c r="AG117" s="115" t="s">
        <v>2</v>
      </c>
      <c r="AH117" s="120" t="s">
        <v>2</v>
      </c>
      <c r="AI117" s="120" t="s">
        <v>2</v>
      </c>
      <c r="AJ117" s="114" t="s">
        <v>2</v>
      </c>
      <c r="AK117" s="114" t="s">
        <v>2</v>
      </c>
      <c r="AL117" s="115" t="s">
        <v>2</v>
      </c>
      <c r="AM117" s="116" t="s">
        <v>2</v>
      </c>
      <c r="AN117" s="117" t="s">
        <v>2</v>
      </c>
      <c r="AO117" s="121" t="s">
        <v>2</v>
      </c>
      <c r="AP117" s="113" t="s">
        <v>2</v>
      </c>
      <c r="AQ117" s="118" t="s">
        <v>2</v>
      </c>
      <c r="AR117" s="118" t="s">
        <v>2</v>
      </c>
      <c r="AS117" s="118" t="s">
        <v>2</v>
      </c>
      <c r="AT117" s="118" t="s">
        <v>2</v>
      </c>
      <c r="AU117" s="118" t="s">
        <v>2</v>
      </c>
      <c r="AV117" s="122" t="s">
        <v>2</v>
      </c>
      <c r="AW117" s="119" t="s">
        <v>2</v>
      </c>
      <c r="AX117" s="118" t="s">
        <v>2</v>
      </c>
      <c r="AY117" s="118" t="s">
        <v>2</v>
      </c>
      <c r="AZ117" s="122" t="s">
        <v>2</v>
      </c>
      <c r="BA117" s="123" t="s">
        <v>2</v>
      </c>
      <c r="BB117" s="124" t="s">
        <v>2</v>
      </c>
      <c r="BC117" s="124" t="s">
        <v>2</v>
      </c>
      <c r="BD117" s="124" t="s">
        <v>2</v>
      </c>
      <c r="BE117" s="124" t="s">
        <v>2</v>
      </c>
      <c r="BF117" s="125" t="s">
        <v>2</v>
      </c>
      <c r="BG117" s="110" t="s">
        <v>2</v>
      </c>
      <c r="BH117" s="110" t="s">
        <v>2</v>
      </c>
      <c r="BI117" s="116" t="s">
        <v>2</v>
      </c>
      <c r="BJ117" s="117" t="s">
        <v>2</v>
      </c>
      <c r="BK117" s="117" t="s">
        <v>2</v>
      </c>
      <c r="BL117" s="117" t="s">
        <v>2</v>
      </c>
      <c r="BM117" s="117" t="s">
        <v>2</v>
      </c>
      <c r="BN117" s="117" t="s">
        <v>2</v>
      </c>
      <c r="BO117" s="117" t="s">
        <v>2</v>
      </c>
      <c r="BP117" s="117" t="s">
        <v>2</v>
      </c>
      <c r="BQ117" s="117" t="s">
        <v>2</v>
      </c>
      <c r="BR117" s="117" t="s">
        <v>2</v>
      </c>
      <c r="BS117" s="117" t="s">
        <v>2</v>
      </c>
      <c r="BT117" s="117" t="s">
        <v>2</v>
      </c>
      <c r="BU117" s="117" t="s">
        <v>2</v>
      </c>
      <c r="BV117" s="117" t="s">
        <v>2</v>
      </c>
      <c r="BW117" s="117" t="s">
        <v>2</v>
      </c>
      <c r="BX117" s="117" t="s">
        <v>2</v>
      </c>
      <c r="BY117" s="117" t="s">
        <v>2</v>
      </c>
      <c r="BZ117" s="121" t="s">
        <v>2</v>
      </c>
      <c r="CA117" s="119" t="s">
        <v>2</v>
      </c>
      <c r="CB117" s="114" t="s">
        <v>2</v>
      </c>
      <c r="CC117" s="114" t="s">
        <v>2</v>
      </c>
      <c r="CD117" s="114" t="s">
        <v>2</v>
      </c>
      <c r="CE117" s="114" t="s">
        <v>2</v>
      </c>
      <c r="CF117" s="114" t="s">
        <v>2</v>
      </c>
      <c r="CG117" s="115" t="s">
        <v>2</v>
      </c>
      <c r="CH117" s="117" t="s">
        <v>2</v>
      </c>
      <c r="CI117" s="121" t="s">
        <v>2</v>
      </c>
      <c r="CJ117" s="119" t="s">
        <v>2</v>
      </c>
      <c r="CK117" s="114" t="s">
        <v>2</v>
      </c>
      <c r="CL117" s="114" t="s">
        <v>2</v>
      </c>
      <c r="CM117" s="115" t="s">
        <v>2</v>
      </c>
      <c r="CN117" s="110" t="s">
        <v>2</v>
      </c>
      <c r="CO117" s="110" t="s">
        <v>2</v>
      </c>
    </row>
    <row r="118" spans="1:93" s="102" customFormat="1" x14ac:dyDescent="0.25">
      <c r="A118" s="107" t="s">
        <v>1169</v>
      </c>
      <c r="B118" s="108" t="s">
        <v>1242</v>
      </c>
      <c r="C118" s="109" t="s">
        <v>1314</v>
      </c>
      <c r="D118" s="287">
        <v>15</v>
      </c>
      <c r="E118" s="110">
        <v>0</v>
      </c>
      <c r="F118" s="120">
        <v>75</v>
      </c>
      <c r="G118" s="71">
        <v>313.5</v>
      </c>
      <c r="H118" s="126">
        <v>81.3</v>
      </c>
      <c r="I118" s="113">
        <v>1.25</v>
      </c>
      <c r="J118" s="114">
        <v>0.13</v>
      </c>
      <c r="K118" s="114">
        <v>17.12</v>
      </c>
      <c r="L118" s="114">
        <v>0.1</v>
      </c>
      <c r="M118" s="115">
        <v>0.2</v>
      </c>
      <c r="N118" s="116">
        <v>82</v>
      </c>
      <c r="O118" s="117">
        <v>13</v>
      </c>
      <c r="P118" s="114">
        <v>0.68</v>
      </c>
      <c r="Q118" s="114">
        <v>0.45</v>
      </c>
      <c r="R118" s="73" t="s">
        <v>2</v>
      </c>
      <c r="S118" s="117" t="s">
        <v>2</v>
      </c>
      <c r="T118" s="117" t="s">
        <v>2</v>
      </c>
      <c r="U118" s="118" t="s">
        <v>2</v>
      </c>
      <c r="V118" s="118" t="s">
        <v>2</v>
      </c>
      <c r="W118" s="115" t="s">
        <v>2</v>
      </c>
      <c r="X118" s="119" t="s">
        <v>2</v>
      </c>
      <c r="Y118" s="118" t="s">
        <v>2</v>
      </c>
      <c r="Z118" s="118" t="s">
        <v>2</v>
      </c>
      <c r="AA118" s="118" t="s">
        <v>2</v>
      </c>
      <c r="AB118" s="118" t="s">
        <v>2</v>
      </c>
      <c r="AC118" s="118" t="s">
        <v>2</v>
      </c>
      <c r="AD118" s="117" t="s">
        <v>2</v>
      </c>
      <c r="AE118" s="117" t="s">
        <v>2</v>
      </c>
      <c r="AF118" s="114" t="s">
        <v>2</v>
      </c>
      <c r="AG118" s="115" t="s">
        <v>2</v>
      </c>
      <c r="AH118" s="120" t="s">
        <v>2</v>
      </c>
      <c r="AI118" s="120" t="s">
        <v>2</v>
      </c>
      <c r="AJ118" s="114" t="s">
        <v>2</v>
      </c>
      <c r="AK118" s="114" t="s">
        <v>2</v>
      </c>
      <c r="AL118" s="115" t="s">
        <v>2</v>
      </c>
      <c r="AM118" s="116" t="s">
        <v>2</v>
      </c>
      <c r="AN118" s="117" t="s">
        <v>2</v>
      </c>
      <c r="AO118" s="121" t="s">
        <v>2</v>
      </c>
      <c r="AP118" s="113" t="s">
        <v>2</v>
      </c>
      <c r="AQ118" s="118" t="s">
        <v>2</v>
      </c>
      <c r="AR118" s="118" t="s">
        <v>2</v>
      </c>
      <c r="AS118" s="118" t="s">
        <v>2</v>
      </c>
      <c r="AT118" s="118" t="s">
        <v>2</v>
      </c>
      <c r="AU118" s="118" t="s">
        <v>2</v>
      </c>
      <c r="AV118" s="122" t="s">
        <v>2</v>
      </c>
      <c r="AW118" s="119" t="s">
        <v>2</v>
      </c>
      <c r="AX118" s="118" t="s">
        <v>2</v>
      </c>
      <c r="AY118" s="118" t="s">
        <v>2</v>
      </c>
      <c r="AZ118" s="122" t="s">
        <v>2</v>
      </c>
      <c r="BA118" s="123" t="s">
        <v>2</v>
      </c>
      <c r="BB118" s="124" t="s">
        <v>2</v>
      </c>
      <c r="BC118" s="124" t="s">
        <v>2</v>
      </c>
      <c r="BD118" s="124" t="s">
        <v>2</v>
      </c>
      <c r="BE118" s="124" t="s">
        <v>2</v>
      </c>
      <c r="BF118" s="125" t="s">
        <v>2</v>
      </c>
      <c r="BG118" s="110" t="s">
        <v>2</v>
      </c>
      <c r="BH118" s="110" t="s">
        <v>2</v>
      </c>
      <c r="BI118" s="116" t="s">
        <v>2</v>
      </c>
      <c r="BJ118" s="117" t="s">
        <v>2</v>
      </c>
      <c r="BK118" s="117" t="s">
        <v>2</v>
      </c>
      <c r="BL118" s="117" t="s">
        <v>2</v>
      </c>
      <c r="BM118" s="117" t="s">
        <v>2</v>
      </c>
      <c r="BN118" s="117" t="s">
        <v>2</v>
      </c>
      <c r="BO118" s="117" t="s">
        <v>2</v>
      </c>
      <c r="BP118" s="117" t="s">
        <v>2</v>
      </c>
      <c r="BQ118" s="117" t="s">
        <v>2</v>
      </c>
      <c r="BR118" s="117" t="s">
        <v>2</v>
      </c>
      <c r="BS118" s="117" t="s">
        <v>2</v>
      </c>
      <c r="BT118" s="117" t="s">
        <v>2</v>
      </c>
      <c r="BU118" s="117" t="s">
        <v>2</v>
      </c>
      <c r="BV118" s="117" t="s">
        <v>2</v>
      </c>
      <c r="BW118" s="117" t="s">
        <v>2</v>
      </c>
      <c r="BX118" s="117" t="s">
        <v>2</v>
      </c>
      <c r="BY118" s="117" t="s">
        <v>2</v>
      </c>
      <c r="BZ118" s="121" t="s">
        <v>2</v>
      </c>
      <c r="CA118" s="119" t="s">
        <v>2</v>
      </c>
      <c r="CB118" s="114" t="s">
        <v>2</v>
      </c>
      <c r="CC118" s="114" t="s">
        <v>2</v>
      </c>
      <c r="CD118" s="114" t="s">
        <v>2</v>
      </c>
      <c r="CE118" s="114" t="s">
        <v>2</v>
      </c>
      <c r="CF118" s="114" t="s">
        <v>2</v>
      </c>
      <c r="CG118" s="115" t="s">
        <v>2</v>
      </c>
      <c r="CH118" s="117" t="s">
        <v>2</v>
      </c>
      <c r="CI118" s="121" t="s">
        <v>2</v>
      </c>
      <c r="CJ118" s="119" t="s">
        <v>2</v>
      </c>
      <c r="CK118" s="114" t="s">
        <v>2</v>
      </c>
      <c r="CL118" s="114" t="s">
        <v>2</v>
      </c>
      <c r="CM118" s="115" t="s">
        <v>2</v>
      </c>
      <c r="CN118" s="110" t="s">
        <v>2</v>
      </c>
      <c r="CO118" s="110" t="s">
        <v>2</v>
      </c>
    </row>
    <row r="119" spans="1:93" s="102" customFormat="1" x14ac:dyDescent="0.25">
      <c r="A119" s="107" t="s">
        <v>1170</v>
      </c>
      <c r="B119" s="108" t="s">
        <v>1243</v>
      </c>
      <c r="C119" s="109" t="s">
        <v>1315</v>
      </c>
      <c r="D119" s="287">
        <v>15</v>
      </c>
      <c r="E119" s="110">
        <v>0</v>
      </c>
      <c r="F119" s="120">
        <v>93</v>
      </c>
      <c r="G119" s="71">
        <v>388.73999999999995</v>
      </c>
      <c r="H119" s="126">
        <v>79.3</v>
      </c>
      <c r="I119" s="113">
        <v>0.78</v>
      </c>
      <c r="J119" s="114">
        <v>0.42</v>
      </c>
      <c r="K119" s="114">
        <v>19.05</v>
      </c>
      <c r="L119" s="114">
        <v>0.1</v>
      </c>
      <c r="M119" s="115">
        <v>0.45</v>
      </c>
      <c r="N119" s="116">
        <v>64</v>
      </c>
      <c r="O119" s="117">
        <v>14</v>
      </c>
      <c r="P119" s="114">
        <v>0.76</v>
      </c>
      <c r="Q119" s="114">
        <v>0.39</v>
      </c>
      <c r="R119" s="73" t="s">
        <v>2</v>
      </c>
      <c r="S119" s="117" t="s">
        <v>2</v>
      </c>
      <c r="T119" s="117" t="s">
        <v>2</v>
      </c>
      <c r="U119" s="118" t="s">
        <v>2</v>
      </c>
      <c r="V119" s="118" t="s">
        <v>2</v>
      </c>
      <c r="W119" s="115" t="s">
        <v>2</v>
      </c>
      <c r="X119" s="119" t="s">
        <v>2</v>
      </c>
      <c r="Y119" s="118" t="s">
        <v>2</v>
      </c>
      <c r="Z119" s="118" t="s">
        <v>2</v>
      </c>
      <c r="AA119" s="118" t="s">
        <v>2</v>
      </c>
      <c r="AB119" s="118" t="s">
        <v>2</v>
      </c>
      <c r="AC119" s="118" t="s">
        <v>2</v>
      </c>
      <c r="AD119" s="117" t="s">
        <v>2</v>
      </c>
      <c r="AE119" s="117" t="s">
        <v>2</v>
      </c>
      <c r="AF119" s="114" t="s">
        <v>2</v>
      </c>
      <c r="AG119" s="115" t="s">
        <v>2</v>
      </c>
      <c r="AH119" s="120" t="s">
        <v>2</v>
      </c>
      <c r="AI119" s="120" t="s">
        <v>2</v>
      </c>
      <c r="AJ119" s="114" t="s">
        <v>2</v>
      </c>
      <c r="AK119" s="114" t="s">
        <v>2</v>
      </c>
      <c r="AL119" s="115" t="s">
        <v>2</v>
      </c>
      <c r="AM119" s="116" t="s">
        <v>2</v>
      </c>
      <c r="AN119" s="117" t="s">
        <v>2</v>
      </c>
      <c r="AO119" s="121" t="s">
        <v>2</v>
      </c>
      <c r="AP119" s="113" t="s">
        <v>2</v>
      </c>
      <c r="AQ119" s="118" t="s">
        <v>2</v>
      </c>
      <c r="AR119" s="118" t="s">
        <v>2</v>
      </c>
      <c r="AS119" s="118" t="s">
        <v>2</v>
      </c>
      <c r="AT119" s="118" t="s">
        <v>2</v>
      </c>
      <c r="AU119" s="118" t="s">
        <v>2</v>
      </c>
      <c r="AV119" s="122" t="s">
        <v>2</v>
      </c>
      <c r="AW119" s="119" t="s">
        <v>2</v>
      </c>
      <c r="AX119" s="118" t="s">
        <v>2</v>
      </c>
      <c r="AY119" s="118" t="s">
        <v>2</v>
      </c>
      <c r="AZ119" s="122" t="s">
        <v>2</v>
      </c>
      <c r="BA119" s="123" t="s">
        <v>2</v>
      </c>
      <c r="BB119" s="124" t="s">
        <v>2</v>
      </c>
      <c r="BC119" s="124" t="s">
        <v>2</v>
      </c>
      <c r="BD119" s="124" t="s">
        <v>2</v>
      </c>
      <c r="BE119" s="124" t="s">
        <v>2</v>
      </c>
      <c r="BF119" s="125" t="s">
        <v>2</v>
      </c>
      <c r="BG119" s="110" t="s">
        <v>2</v>
      </c>
      <c r="BH119" s="110" t="s">
        <v>2</v>
      </c>
      <c r="BI119" s="116" t="s">
        <v>2</v>
      </c>
      <c r="BJ119" s="117" t="s">
        <v>2</v>
      </c>
      <c r="BK119" s="117" t="s">
        <v>2</v>
      </c>
      <c r="BL119" s="117" t="s">
        <v>2</v>
      </c>
      <c r="BM119" s="117" t="s">
        <v>2</v>
      </c>
      <c r="BN119" s="117" t="s">
        <v>2</v>
      </c>
      <c r="BO119" s="117" t="s">
        <v>2</v>
      </c>
      <c r="BP119" s="117" t="s">
        <v>2</v>
      </c>
      <c r="BQ119" s="117" t="s">
        <v>2</v>
      </c>
      <c r="BR119" s="117" t="s">
        <v>2</v>
      </c>
      <c r="BS119" s="117" t="s">
        <v>2</v>
      </c>
      <c r="BT119" s="117" t="s">
        <v>2</v>
      </c>
      <c r="BU119" s="117" t="s">
        <v>2</v>
      </c>
      <c r="BV119" s="117" t="s">
        <v>2</v>
      </c>
      <c r="BW119" s="117" t="s">
        <v>2</v>
      </c>
      <c r="BX119" s="117" t="s">
        <v>2</v>
      </c>
      <c r="BY119" s="117" t="s">
        <v>2</v>
      </c>
      <c r="BZ119" s="121" t="s">
        <v>2</v>
      </c>
      <c r="CA119" s="119" t="s">
        <v>2</v>
      </c>
      <c r="CB119" s="114" t="s">
        <v>2</v>
      </c>
      <c r="CC119" s="114" t="s">
        <v>2</v>
      </c>
      <c r="CD119" s="114" t="s">
        <v>2</v>
      </c>
      <c r="CE119" s="114" t="s">
        <v>2</v>
      </c>
      <c r="CF119" s="114" t="s">
        <v>2</v>
      </c>
      <c r="CG119" s="115" t="s">
        <v>2</v>
      </c>
      <c r="CH119" s="117" t="s">
        <v>2</v>
      </c>
      <c r="CI119" s="121" t="s">
        <v>2</v>
      </c>
      <c r="CJ119" s="119" t="s">
        <v>2</v>
      </c>
      <c r="CK119" s="114" t="s">
        <v>2</v>
      </c>
      <c r="CL119" s="114" t="s">
        <v>2</v>
      </c>
      <c r="CM119" s="115" t="s">
        <v>2</v>
      </c>
      <c r="CN119" s="110" t="s">
        <v>2</v>
      </c>
      <c r="CO119" s="110" t="s">
        <v>2</v>
      </c>
    </row>
    <row r="120" spans="1:93" s="102" customFormat="1" x14ac:dyDescent="0.25">
      <c r="A120" s="107" t="s">
        <v>1171</v>
      </c>
      <c r="B120" s="108" t="s">
        <v>1244</v>
      </c>
      <c r="C120" s="129" t="s">
        <v>1316</v>
      </c>
      <c r="D120" s="287">
        <v>15</v>
      </c>
      <c r="E120" s="110">
        <v>0</v>
      </c>
      <c r="F120" s="120">
        <v>72</v>
      </c>
      <c r="G120" s="71">
        <v>300.95999999999998</v>
      </c>
      <c r="H120" s="126">
        <v>82.5</v>
      </c>
      <c r="I120" s="113">
        <v>0.35</v>
      </c>
      <c r="J120" s="114">
        <v>0.6</v>
      </c>
      <c r="K120" s="114">
        <v>16.420000000000002</v>
      </c>
      <c r="L120" s="114">
        <v>0</v>
      </c>
      <c r="M120" s="115">
        <v>0.13</v>
      </c>
      <c r="N120" s="116">
        <v>109</v>
      </c>
      <c r="O120" s="117">
        <v>14</v>
      </c>
      <c r="P120" s="114">
        <v>0.5</v>
      </c>
      <c r="Q120" s="114">
        <v>0.16</v>
      </c>
      <c r="R120" s="73" t="s">
        <v>2</v>
      </c>
      <c r="S120" s="117" t="s">
        <v>2</v>
      </c>
      <c r="T120" s="117" t="s">
        <v>2</v>
      </c>
      <c r="U120" s="118" t="s">
        <v>2</v>
      </c>
      <c r="V120" s="118" t="s">
        <v>2</v>
      </c>
      <c r="W120" s="115" t="s">
        <v>2</v>
      </c>
      <c r="X120" s="119" t="s">
        <v>2</v>
      </c>
      <c r="Y120" s="118" t="s">
        <v>2</v>
      </c>
      <c r="Z120" s="118" t="s">
        <v>2</v>
      </c>
      <c r="AA120" s="118" t="s">
        <v>2</v>
      </c>
      <c r="AB120" s="118" t="s">
        <v>2</v>
      </c>
      <c r="AC120" s="118" t="s">
        <v>2</v>
      </c>
      <c r="AD120" s="117" t="s">
        <v>2</v>
      </c>
      <c r="AE120" s="117" t="s">
        <v>2</v>
      </c>
      <c r="AF120" s="114" t="s">
        <v>2</v>
      </c>
      <c r="AG120" s="115" t="s">
        <v>2</v>
      </c>
      <c r="AH120" s="120" t="s">
        <v>2</v>
      </c>
      <c r="AI120" s="120" t="s">
        <v>2</v>
      </c>
      <c r="AJ120" s="114" t="s">
        <v>2</v>
      </c>
      <c r="AK120" s="114" t="s">
        <v>2</v>
      </c>
      <c r="AL120" s="115" t="s">
        <v>2</v>
      </c>
      <c r="AM120" s="116" t="s">
        <v>2</v>
      </c>
      <c r="AN120" s="117" t="s">
        <v>2</v>
      </c>
      <c r="AO120" s="121" t="s">
        <v>2</v>
      </c>
      <c r="AP120" s="113" t="s">
        <v>2</v>
      </c>
      <c r="AQ120" s="118" t="s">
        <v>2</v>
      </c>
      <c r="AR120" s="118" t="s">
        <v>2</v>
      </c>
      <c r="AS120" s="118" t="s">
        <v>2</v>
      </c>
      <c r="AT120" s="118" t="s">
        <v>2</v>
      </c>
      <c r="AU120" s="118" t="s">
        <v>2</v>
      </c>
      <c r="AV120" s="122" t="s">
        <v>2</v>
      </c>
      <c r="AW120" s="119" t="s">
        <v>2</v>
      </c>
      <c r="AX120" s="118" t="s">
        <v>2</v>
      </c>
      <c r="AY120" s="118" t="s">
        <v>2</v>
      </c>
      <c r="AZ120" s="122" t="s">
        <v>2</v>
      </c>
      <c r="BA120" s="123" t="s">
        <v>2</v>
      </c>
      <c r="BB120" s="124" t="s">
        <v>2</v>
      </c>
      <c r="BC120" s="124" t="s">
        <v>2</v>
      </c>
      <c r="BD120" s="124" t="s">
        <v>2</v>
      </c>
      <c r="BE120" s="124" t="s">
        <v>2</v>
      </c>
      <c r="BF120" s="125" t="s">
        <v>2</v>
      </c>
      <c r="BG120" s="110" t="s">
        <v>2</v>
      </c>
      <c r="BH120" s="110" t="s">
        <v>2</v>
      </c>
      <c r="BI120" s="116" t="s">
        <v>2</v>
      </c>
      <c r="BJ120" s="117" t="s">
        <v>2</v>
      </c>
      <c r="BK120" s="117" t="s">
        <v>2</v>
      </c>
      <c r="BL120" s="117" t="s">
        <v>2</v>
      </c>
      <c r="BM120" s="117" t="s">
        <v>2</v>
      </c>
      <c r="BN120" s="117" t="s">
        <v>2</v>
      </c>
      <c r="BO120" s="117" t="s">
        <v>2</v>
      </c>
      <c r="BP120" s="117" t="s">
        <v>2</v>
      </c>
      <c r="BQ120" s="117" t="s">
        <v>2</v>
      </c>
      <c r="BR120" s="117" t="s">
        <v>2</v>
      </c>
      <c r="BS120" s="117" t="s">
        <v>2</v>
      </c>
      <c r="BT120" s="117" t="s">
        <v>2</v>
      </c>
      <c r="BU120" s="117" t="s">
        <v>2</v>
      </c>
      <c r="BV120" s="117" t="s">
        <v>2</v>
      </c>
      <c r="BW120" s="117" t="s">
        <v>2</v>
      </c>
      <c r="BX120" s="117" t="s">
        <v>2</v>
      </c>
      <c r="BY120" s="117" t="s">
        <v>2</v>
      </c>
      <c r="BZ120" s="121" t="s">
        <v>2</v>
      </c>
      <c r="CA120" s="119" t="s">
        <v>2</v>
      </c>
      <c r="CB120" s="114" t="s">
        <v>2</v>
      </c>
      <c r="CC120" s="114" t="s">
        <v>2</v>
      </c>
      <c r="CD120" s="114" t="s">
        <v>2</v>
      </c>
      <c r="CE120" s="114" t="s">
        <v>2</v>
      </c>
      <c r="CF120" s="114" t="s">
        <v>2</v>
      </c>
      <c r="CG120" s="115" t="s">
        <v>2</v>
      </c>
      <c r="CH120" s="117" t="s">
        <v>2</v>
      </c>
      <c r="CI120" s="121" t="s">
        <v>2</v>
      </c>
      <c r="CJ120" s="119" t="s">
        <v>2</v>
      </c>
      <c r="CK120" s="114" t="s">
        <v>2</v>
      </c>
      <c r="CL120" s="114" t="s">
        <v>2</v>
      </c>
      <c r="CM120" s="115" t="s">
        <v>2</v>
      </c>
      <c r="CN120" s="110" t="s">
        <v>2</v>
      </c>
      <c r="CO120" s="110" t="s">
        <v>2</v>
      </c>
    </row>
    <row r="121" spans="1:93" s="102" customFormat="1" x14ac:dyDescent="0.25">
      <c r="A121" s="107" t="s">
        <v>1172</v>
      </c>
      <c r="B121" s="108" t="s">
        <v>1245</v>
      </c>
      <c r="C121" s="109" t="s">
        <v>1317</v>
      </c>
      <c r="D121" s="287">
        <v>15</v>
      </c>
      <c r="E121" s="110">
        <v>0</v>
      </c>
      <c r="F121" s="120">
        <v>86</v>
      </c>
      <c r="G121" s="71">
        <v>359.47999999999996</v>
      </c>
      <c r="H121" s="126">
        <v>79.2</v>
      </c>
      <c r="I121" s="113">
        <v>0.56999999999999995</v>
      </c>
      <c r="J121" s="114">
        <v>0.73</v>
      </c>
      <c r="K121" s="114">
        <v>19.239999999999998</v>
      </c>
      <c r="L121" s="114">
        <v>0.1</v>
      </c>
      <c r="M121" s="115">
        <v>0.26</v>
      </c>
      <c r="N121" s="116">
        <v>32</v>
      </c>
      <c r="O121" s="117">
        <v>7</v>
      </c>
      <c r="P121" s="114">
        <v>1.41</v>
      </c>
      <c r="Q121" s="114">
        <v>0.24</v>
      </c>
      <c r="R121" s="73" t="s">
        <v>2</v>
      </c>
      <c r="S121" s="117" t="s">
        <v>2</v>
      </c>
      <c r="T121" s="117" t="s">
        <v>2</v>
      </c>
      <c r="U121" s="118" t="s">
        <v>2</v>
      </c>
      <c r="V121" s="118" t="s">
        <v>2</v>
      </c>
      <c r="W121" s="115" t="s">
        <v>2</v>
      </c>
      <c r="X121" s="119" t="s">
        <v>2</v>
      </c>
      <c r="Y121" s="118" t="s">
        <v>2</v>
      </c>
      <c r="Z121" s="118" t="s">
        <v>2</v>
      </c>
      <c r="AA121" s="118" t="s">
        <v>2</v>
      </c>
      <c r="AB121" s="118" t="s">
        <v>2</v>
      </c>
      <c r="AC121" s="118" t="s">
        <v>2</v>
      </c>
      <c r="AD121" s="117" t="s">
        <v>2</v>
      </c>
      <c r="AE121" s="117" t="s">
        <v>2</v>
      </c>
      <c r="AF121" s="114" t="s">
        <v>2</v>
      </c>
      <c r="AG121" s="115" t="s">
        <v>2</v>
      </c>
      <c r="AH121" s="120" t="s">
        <v>2</v>
      </c>
      <c r="AI121" s="120" t="s">
        <v>2</v>
      </c>
      <c r="AJ121" s="114" t="s">
        <v>2</v>
      </c>
      <c r="AK121" s="114" t="s">
        <v>2</v>
      </c>
      <c r="AL121" s="115" t="s">
        <v>2</v>
      </c>
      <c r="AM121" s="116" t="s">
        <v>2</v>
      </c>
      <c r="AN121" s="117" t="s">
        <v>2</v>
      </c>
      <c r="AO121" s="121" t="s">
        <v>2</v>
      </c>
      <c r="AP121" s="113" t="s">
        <v>2</v>
      </c>
      <c r="AQ121" s="118" t="s">
        <v>2</v>
      </c>
      <c r="AR121" s="118" t="s">
        <v>2</v>
      </c>
      <c r="AS121" s="118" t="s">
        <v>2</v>
      </c>
      <c r="AT121" s="118" t="s">
        <v>2</v>
      </c>
      <c r="AU121" s="118" t="s">
        <v>2</v>
      </c>
      <c r="AV121" s="122" t="s">
        <v>2</v>
      </c>
      <c r="AW121" s="119" t="s">
        <v>2</v>
      </c>
      <c r="AX121" s="118" t="s">
        <v>2</v>
      </c>
      <c r="AY121" s="118" t="s">
        <v>2</v>
      </c>
      <c r="AZ121" s="122" t="s">
        <v>2</v>
      </c>
      <c r="BA121" s="123" t="s">
        <v>2</v>
      </c>
      <c r="BB121" s="124" t="s">
        <v>2</v>
      </c>
      <c r="BC121" s="124" t="s">
        <v>2</v>
      </c>
      <c r="BD121" s="124" t="s">
        <v>2</v>
      </c>
      <c r="BE121" s="124" t="s">
        <v>2</v>
      </c>
      <c r="BF121" s="125" t="s">
        <v>2</v>
      </c>
      <c r="BG121" s="110" t="s">
        <v>2</v>
      </c>
      <c r="BH121" s="110" t="s">
        <v>2</v>
      </c>
      <c r="BI121" s="116" t="s">
        <v>2</v>
      </c>
      <c r="BJ121" s="117" t="s">
        <v>2</v>
      </c>
      <c r="BK121" s="117" t="s">
        <v>2</v>
      </c>
      <c r="BL121" s="117" t="s">
        <v>2</v>
      </c>
      <c r="BM121" s="117" t="s">
        <v>2</v>
      </c>
      <c r="BN121" s="117" t="s">
        <v>2</v>
      </c>
      <c r="BO121" s="117" t="s">
        <v>2</v>
      </c>
      <c r="BP121" s="117" t="s">
        <v>2</v>
      </c>
      <c r="BQ121" s="117" t="s">
        <v>2</v>
      </c>
      <c r="BR121" s="117" t="s">
        <v>2</v>
      </c>
      <c r="BS121" s="117" t="s">
        <v>2</v>
      </c>
      <c r="BT121" s="117" t="s">
        <v>2</v>
      </c>
      <c r="BU121" s="117" t="s">
        <v>2</v>
      </c>
      <c r="BV121" s="117" t="s">
        <v>2</v>
      </c>
      <c r="BW121" s="117" t="s">
        <v>2</v>
      </c>
      <c r="BX121" s="117" t="s">
        <v>2</v>
      </c>
      <c r="BY121" s="117" t="s">
        <v>2</v>
      </c>
      <c r="BZ121" s="121" t="s">
        <v>2</v>
      </c>
      <c r="CA121" s="119" t="s">
        <v>2</v>
      </c>
      <c r="CB121" s="114" t="s">
        <v>2</v>
      </c>
      <c r="CC121" s="114" t="s">
        <v>2</v>
      </c>
      <c r="CD121" s="114" t="s">
        <v>2</v>
      </c>
      <c r="CE121" s="114" t="s">
        <v>2</v>
      </c>
      <c r="CF121" s="114" t="s">
        <v>2</v>
      </c>
      <c r="CG121" s="115" t="s">
        <v>2</v>
      </c>
      <c r="CH121" s="117" t="s">
        <v>2</v>
      </c>
      <c r="CI121" s="121" t="s">
        <v>2</v>
      </c>
      <c r="CJ121" s="119" t="s">
        <v>2</v>
      </c>
      <c r="CK121" s="114" t="s">
        <v>2</v>
      </c>
      <c r="CL121" s="114" t="s">
        <v>2</v>
      </c>
      <c r="CM121" s="115" t="s">
        <v>2</v>
      </c>
      <c r="CN121" s="110" t="s">
        <v>2</v>
      </c>
      <c r="CO121" s="110" t="s">
        <v>2</v>
      </c>
    </row>
    <row r="122" spans="1:93" s="102" customFormat="1" x14ac:dyDescent="0.25">
      <c r="A122" s="107" t="s">
        <v>1173</v>
      </c>
      <c r="B122" s="108" t="s">
        <v>1246</v>
      </c>
      <c r="C122" s="109" t="s">
        <v>1318</v>
      </c>
      <c r="D122" s="287">
        <v>15</v>
      </c>
      <c r="E122" s="110">
        <v>0</v>
      </c>
      <c r="F122" s="120">
        <v>82</v>
      </c>
      <c r="G122" s="71">
        <v>342.76</v>
      </c>
      <c r="H122" s="126">
        <v>80.099999999999994</v>
      </c>
      <c r="I122" s="113">
        <v>0.72</v>
      </c>
      <c r="J122" s="114">
        <v>0.51</v>
      </c>
      <c r="K122" s="114">
        <v>18.53</v>
      </c>
      <c r="L122" s="114">
        <v>0</v>
      </c>
      <c r="M122" s="115">
        <v>0.14000000000000001</v>
      </c>
      <c r="N122" s="116">
        <v>23</v>
      </c>
      <c r="O122" s="117">
        <v>11</v>
      </c>
      <c r="P122" s="114">
        <v>2.08</v>
      </c>
      <c r="Q122" s="114">
        <v>0.24</v>
      </c>
      <c r="R122" s="73" t="s">
        <v>2</v>
      </c>
      <c r="S122" s="117" t="s">
        <v>2</v>
      </c>
      <c r="T122" s="117" t="s">
        <v>2</v>
      </c>
      <c r="U122" s="118" t="s">
        <v>2</v>
      </c>
      <c r="V122" s="118" t="s">
        <v>2</v>
      </c>
      <c r="W122" s="115" t="s">
        <v>2</v>
      </c>
      <c r="X122" s="119" t="s">
        <v>2</v>
      </c>
      <c r="Y122" s="118" t="s">
        <v>2</v>
      </c>
      <c r="Z122" s="118" t="s">
        <v>2</v>
      </c>
      <c r="AA122" s="118" t="s">
        <v>2</v>
      </c>
      <c r="AB122" s="118" t="s">
        <v>2</v>
      </c>
      <c r="AC122" s="118" t="s">
        <v>2</v>
      </c>
      <c r="AD122" s="117" t="s">
        <v>2</v>
      </c>
      <c r="AE122" s="117" t="s">
        <v>2</v>
      </c>
      <c r="AF122" s="114" t="s">
        <v>2</v>
      </c>
      <c r="AG122" s="115" t="s">
        <v>2</v>
      </c>
      <c r="AH122" s="120" t="s">
        <v>2</v>
      </c>
      <c r="AI122" s="120" t="s">
        <v>2</v>
      </c>
      <c r="AJ122" s="114" t="s">
        <v>2</v>
      </c>
      <c r="AK122" s="114" t="s">
        <v>2</v>
      </c>
      <c r="AL122" s="115" t="s">
        <v>2</v>
      </c>
      <c r="AM122" s="116" t="s">
        <v>2</v>
      </c>
      <c r="AN122" s="117" t="s">
        <v>2</v>
      </c>
      <c r="AO122" s="121" t="s">
        <v>2</v>
      </c>
      <c r="AP122" s="113" t="s">
        <v>2</v>
      </c>
      <c r="AQ122" s="118" t="s">
        <v>2</v>
      </c>
      <c r="AR122" s="118" t="s">
        <v>2</v>
      </c>
      <c r="AS122" s="118" t="s">
        <v>2</v>
      </c>
      <c r="AT122" s="118" t="s">
        <v>2</v>
      </c>
      <c r="AU122" s="118" t="s">
        <v>2</v>
      </c>
      <c r="AV122" s="122" t="s">
        <v>2</v>
      </c>
      <c r="AW122" s="119" t="s">
        <v>2</v>
      </c>
      <c r="AX122" s="118" t="s">
        <v>2</v>
      </c>
      <c r="AY122" s="118" t="s">
        <v>2</v>
      </c>
      <c r="AZ122" s="122" t="s">
        <v>2</v>
      </c>
      <c r="BA122" s="123" t="s">
        <v>2</v>
      </c>
      <c r="BB122" s="124" t="s">
        <v>2</v>
      </c>
      <c r="BC122" s="124" t="s">
        <v>2</v>
      </c>
      <c r="BD122" s="124" t="s">
        <v>2</v>
      </c>
      <c r="BE122" s="124" t="s">
        <v>2</v>
      </c>
      <c r="BF122" s="125" t="s">
        <v>2</v>
      </c>
      <c r="BG122" s="110" t="s">
        <v>2</v>
      </c>
      <c r="BH122" s="110" t="s">
        <v>2</v>
      </c>
      <c r="BI122" s="116" t="s">
        <v>2</v>
      </c>
      <c r="BJ122" s="117" t="s">
        <v>2</v>
      </c>
      <c r="BK122" s="117" t="s">
        <v>2</v>
      </c>
      <c r="BL122" s="117" t="s">
        <v>2</v>
      </c>
      <c r="BM122" s="117" t="s">
        <v>2</v>
      </c>
      <c r="BN122" s="117" t="s">
        <v>2</v>
      </c>
      <c r="BO122" s="117" t="s">
        <v>2</v>
      </c>
      <c r="BP122" s="117" t="s">
        <v>2</v>
      </c>
      <c r="BQ122" s="117" t="s">
        <v>2</v>
      </c>
      <c r="BR122" s="117" t="s">
        <v>2</v>
      </c>
      <c r="BS122" s="117" t="s">
        <v>2</v>
      </c>
      <c r="BT122" s="117" t="s">
        <v>2</v>
      </c>
      <c r="BU122" s="117" t="s">
        <v>2</v>
      </c>
      <c r="BV122" s="117" t="s">
        <v>2</v>
      </c>
      <c r="BW122" s="117" t="s">
        <v>2</v>
      </c>
      <c r="BX122" s="117" t="s">
        <v>2</v>
      </c>
      <c r="BY122" s="117" t="s">
        <v>2</v>
      </c>
      <c r="BZ122" s="121" t="s">
        <v>2</v>
      </c>
      <c r="CA122" s="119" t="s">
        <v>2</v>
      </c>
      <c r="CB122" s="114" t="s">
        <v>2</v>
      </c>
      <c r="CC122" s="114" t="s">
        <v>2</v>
      </c>
      <c r="CD122" s="114" t="s">
        <v>2</v>
      </c>
      <c r="CE122" s="114" t="s">
        <v>2</v>
      </c>
      <c r="CF122" s="114" t="s">
        <v>2</v>
      </c>
      <c r="CG122" s="115" t="s">
        <v>2</v>
      </c>
      <c r="CH122" s="117" t="s">
        <v>2</v>
      </c>
      <c r="CI122" s="121" t="s">
        <v>2</v>
      </c>
      <c r="CJ122" s="119" t="s">
        <v>2</v>
      </c>
      <c r="CK122" s="114" t="s">
        <v>2</v>
      </c>
      <c r="CL122" s="114" t="s">
        <v>2</v>
      </c>
      <c r="CM122" s="115" t="s">
        <v>2</v>
      </c>
      <c r="CN122" s="110" t="s">
        <v>2</v>
      </c>
      <c r="CO122" s="110" t="s">
        <v>2</v>
      </c>
    </row>
    <row r="123" spans="1:93" s="102" customFormat="1" x14ac:dyDescent="0.25">
      <c r="A123" s="107" t="s">
        <v>1174</v>
      </c>
      <c r="B123" s="108" t="s">
        <v>1247</v>
      </c>
      <c r="C123" s="109" t="s">
        <v>1319</v>
      </c>
      <c r="D123" s="287">
        <v>15</v>
      </c>
      <c r="E123" s="110">
        <v>0</v>
      </c>
      <c r="F123" s="120">
        <v>198</v>
      </c>
      <c r="G123" s="71">
        <v>827.64</v>
      </c>
      <c r="H123" s="126">
        <v>56.2</v>
      </c>
      <c r="I123" s="113">
        <v>6</v>
      </c>
      <c r="J123" s="114">
        <v>9.65</v>
      </c>
      <c r="K123" s="114">
        <v>21.85</v>
      </c>
      <c r="L123" s="114">
        <v>1</v>
      </c>
      <c r="M123" s="115">
        <v>6.3</v>
      </c>
      <c r="N123" s="116">
        <v>25</v>
      </c>
      <c r="O123" s="117">
        <v>53</v>
      </c>
      <c r="P123" s="114">
        <v>1.62</v>
      </c>
      <c r="Q123" s="114">
        <v>0.7</v>
      </c>
      <c r="R123" s="73" t="s">
        <v>2</v>
      </c>
      <c r="S123" s="117" t="s">
        <v>2</v>
      </c>
      <c r="T123" s="117" t="s">
        <v>2</v>
      </c>
      <c r="U123" s="118" t="s">
        <v>2</v>
      </c>
      <c r="V123" s="118" t="s">
        <v>2</v>
      </c>
      <c r="W123" s="115" t="s">
        <v>2</v>
      </c>
      <c r="X123" s="119" t="s">
        <v>2</v>
      </c>
      <c r="Y123" s="118" t="s">
        <v>2</v>
      </c>
      <c r="Z123" s="118" t="s">
        <v>2</v>
      </c>
      <c r="AA123" s="118" t="s">
        <v>2</v>
      </c>
      <c r="AB123" s="118" t="s">
        <v>2</v>
      </c>
      <c r="AC123" s="118" t="s">
        <v>2</v>
      </c>
      <c r="AD123" s="117" t="s">
        <v>2</v>
      </c>
      <c r="AE123" s="117" t="s">
        <v>2</v>
      </c>
      <c r="AF123" s="114" t="s">
        <v>2</v>
      </c>
      <c r="AG123" s="115" t="s">
        <v>2</v>
      </c>
      <c r="AH123" s="120" t="s">
        <v>2</v>
      </c>
      <c r="AI123" s="120" t="s">
        <v>2</v>
      </c>
      <c r="AJ123" s="114" t="s">
        <v>2</v>
      </c>
      <c r="AK123" s="114" t="s">
        <v>2</v>
      </c>
      <c r="AL123" s="115" t="s">
        <v>2</v>
      </c>
      <c r="AM123" s="116" t="s">
        <v>2</v>
      </c>
      <c r="AN123" s="117" t="s">
        <v>2</v>
      </c>
      <c r="AO123" s="121" t="s">
        <v>2</v>
      </c>
      <c r="AP123" s="113" t="s">
        <v>2</v>
      </c>
      <c r="AQ123" s="118" t="s">
        <v>2</v>
      </c>
      <c r="AR123" s="118" t="s">
        <v>2</v>
      </c>
      <c r="AS123" s="118" t="s">
        <v>2</v>
      </c>
      <c r="AT123" s="118" t="s">
        <v>2</v>
      </c>
      <c r="AU123" s="118" t="s">
        <v>2</v>
      </c>
      <c r="AV123" s="122" t="s">
        <v>2</v>
      </c>
      <c r="AW123" s="119" t="s">
        <v>2</v>
      </c>
      <c r="AX123" s="118" t="s">
        <v>2</v>
      </c>
      <c r="AY123" s="118" t="s">
        <v>2</v>
      </c>
      <c r="AZ123" s="122" t="s">
        <v>2</v>
      </c>
      <c r="BA123" s="123" t="s">
        <v>2</v>
      </c>
      <c r="BB123" s="124" t="s">
        <v>2</v>
      </c>
      <c r="BC123" s="124" t="s">
        <v>2</v>
      </c>
      <c r="BD123" s="124" t="s">
        <v>2</v>
      </c>
      <c r="BE123" s="124" t="s">
        <v>2</v>
      </c>
      <c r="BF123" s="125" t="s">
        <v>2</v>
      </c>
      <c r="BG123" s="110" t="s">
        <v>2</v>
      </c>
      <c r="BH123" s="110" t="s">
        <v>2</v>
      </c>
      <c r="BI123" s="116" t="s">
        <v>2</v>
      </c>
      <c r="BJ123" s="117" t="s">
        <v>2</v>
      </c>
      <c r="BK123" s="117" t="s">
        <v>2</v>
      </c>
      <c r="BL123" s="117" t="s">
        <v>2</v>
      </c>
      <c r="BM123" s="117" t="s">
        <v>2</v>
      </c>
      <c r="BN123" s="117" t="s">
        <v>2</v>
      </c>
      <c r="BO123" s="117" t="s">
        <v>2</v>
      </c>
      <c r="BP123" s="117" t="s">
        <v>2</v>
      </c>
      <c r="BQ123" s="117" t="s">
        <v>2</v>
      </c>
      <c r="BR123" s="117" t="s">
        <v>2</v>
      </c>
      <c r="BS123" s="117" t="s">
        <v>2</v>
      </c>
      <c r="BT123" s="117" t="s">
        <v>2</v>
      </c>
      <c r="BU123" s="117" t="s">
        <v>2</v>
      </c>
      <c r="BV123" s="117" t="s">
        <v>2</v>
      </c>
      <c r="BW123" s="117" t="s">
        <v>2</v>
      </c>
      <c r="BX123" s="117" t="s">
        <v>2</v>
      </c>
      <c r="BY123" s="117" t="s">
        <v>2</v>
      </c>
      <c r="BZ123" s="121" t="s">
        <v>2</v>
      </c>
      <c r="CA123" s="119" t="s">
        <v>2</v>
      </c>
      <c r="CB123" s="114" t="s">
        <v>2</v>
      </c>
      <c r="CC123" s="114" t="s">
        <v>2</v>
      </c>
      <c r="CD123" s="114" t="s">
        <v>2</v>
      </c>
      <c r="CE123" s="114" t="s">
        <v>2</v>
      </c>
      <c r="CF123" s="114" t="s">
        <v>2</v>
      </c>
      <c r="CG123" s="115" t="s">
        <v>2</v>
      </c>
      <c r="CH123" s="117" t="s">
        <v>2</v>
      </c>
      <c r="CI123" s="121" t="s">
        <v>2</v>
      </c>
      <c r="CJ123" s="119" t="s">
        <v>2</v>
      </c>
      <c r="CK123" s="114" t="s">
        <v>2</v>
      </c>
      <c r="CL123" s="114" t="s">
        <v>2</v>
      </c>
      <c r="CM123" s="115" t="s">
        <v>2</v>
      </c>
      <c r="CN123" s="110" t="s">
        <v>2</v>
      </c>
      <c r="CO123" s="110" t="s">
        <v>2</v>
      </c>
    </row>
    <row r="124" spans="1:93" s="102" customFormat="1" x14ac:dyDescent="0.25">
      <c r="A124" s="107" t="s">
        <v>1175</v>
      </c>
      <c r="B124" s="108" t="s">
        <v>1248</v>
      </c>
      <c r="C124" s="109" t="s">
        <v>1320</v>
      </c>
      <c r="D124" s="287">
        <v>15</v>
      </c>
      <c r="E124" s="110">
        <v>0</v>
      </c>
      <c r="F124" s="120">
        <v>131</v>
      </c>
      <c r="G124" s="71">
        <v>547.57999999999993</v>
      </c>
      <c r="H124" s="126">
        <v>75</v>
      </c>
      <c r="I124" s="113">
        <v>6.7</v>
      </c>
      <c r="J124" s="114">
        <v>7.4</v>
      </c>
      <c r="K124" s="114">
        <v>9.4</v>
      </c>
      <c r="L124" s="114">
        <v>1</v>
      </c>
      <c r="M124" s="114">
        <v>1.5</v>
      </c>
      <c r="N124" s="116">
        <v>57</v>
      </c>
      <c r="O124" s="117">
        <v>44</v>
      </c>
      <c r="P124" s="114">
        <v>0.69</v>
      </c>
      <c r="Q124" s="114">
        <v>1.1000000000000001</v>
      </c>
      <c r="R124" s="73" t="s">
        <v>2</v>
      </c>
      <c r="S124" s="117" t="s">
        <v>2</v>
      </c>
      <c r="T124" s="117" t="s">
        <v>2</v>
      </c>
      <c r="U124" s="118" t="s">
        <v>2</v>
      </c>
      <c r="V124" s="118" t="s">
        <v>2</v>
      </c>
      <c r="W124" s="115" t="s">
        <v>2</v>
      </c>
      <c r="X124" s="119" t="s">
        <v>2</v>
      </c>
      <c r="Y124" s="118" t="s">
        <v>2</v>
      </c>
      <c r="Z124" s="118" t="s">
        <v>2</v>
      </c>
      <c r="AA124" s="118" t="s">
        <v>2</v>
      </c>
      <c r="AB124" s="118" t="s">
        <v>2</v>
      </c>
      <c r="AC124" s="118" t="s">
        <v>2</v>
      </c>
      <c r="AD124" s="117" t="s">
        <v>2</v>
      </c>
      <c r="AE124" s="117" t="s">
        <v>2</v>
      </c>
      <c r="AF124" s="114" t="s">
        <v>2</v>
      </c>
      <c r="AG124" s="115" t="s">
        <v>2</v>
      </c>
      <c r="AH124" s="120" t="s">
        <v>2</v>
      </c>
      <c r="AI124" s="120" t="s">
        <v>2</v>
      </c>
      <c r="AJ124" s="114" t="s">
        <v>2</v>
      </c>
      <c r="AK124" s="114" t="s">
        <v>2</v>
      </c>
      <c r="AL124" s="115" t="s">
        <v>2</v>
      </c>
      <c r="AM124" s="116" t="s">
        <v>2</v>
      </c>
      <c r="AN124" s="117" t="s">
        <v>2</v>
      </c>
      <c r="AO124" s="121" t="s">
        <v>2</v>
      </c>
      <c r="AP124" s="113" t="s">
        <v>2</v>
      </c>
      <c r="AQ124" s="118" t="s">
        <v>2</v>
      </c>
      <c r="AR124" s="118" t="s">
        <v>2</v>
      </c>
      <c r="AS124" s="118" t="s">
        <v>2</v>
      </c>
      <c r="AT124" s="118" t="s">
        <v>2</v>
      </c>
      <c r="AU124" s="118" t="s">
        <v>2</v>
      </c>
      <c r="AV124" s="122" t="s">
        <v>2</v>
      </c>
      <c r="AW124" s="119" t="s">
        <v>2</v>
      </c>
      <c r="AX124" s="118" t="s">
        <v>2</v>
      </c>
      <c r="AY124" s="118" t="s">
        <v>2</v>
      </c>
      <c r="AZ124" s="122" t="s">
        <v>2</v>
      </c>
      <c r="BA124" s="123" t="s">
        <v>2</v>
      </c>
      <c r="BB124" s="124" t="s">
        <v>2</v>
      </c>
      <c r="BC124" s="124" t="s">
        <v>2</v>
      </c>
      <c r="BD124" s="124" t="s">
        <v>2</v>
      </c>
      <c r="BE124" s="124" t="s">
        <v>2</v>
      </c>
      <c r="BF124" s="125" t="s">
        <v>2</v>
      </c>
      <c r="BG124" s="110" t="s">
        <v>2</v>
      </c>
      <c r="BH124" s="110" t="s">
        <v>2</v>
      </c>
      <c r="BI124" s="116" t="s">
        <v>2</v>
      </c>
      <c r="BJ124" s="117" t="s">
        <v>2</v>
      </c>
      <c r="BK124" s="117" t="s">
        <v>2</v>
      </c>
      <c r="BL124" s="117" t="s">
        <v>2</v>
      </c>
      <c r="BM124" s="117" t="s">
        <v>2</v>
      </c>
      <c r="BN124" s="117" t="s">
        <v>2</v>
      </c>
      <c r="BO124" s="117" t="s">
        <v>2</v>
      </c>
      <c r="BP124" s="117" t="s">
        <v>2</v>
      </c>
      <c r="BQ124" s="117" t="s">
        <v>2</v>
      </c>
      <c r="BR124" s="117" t="s">
        <v>2</v>
      </c>
      <c r="BS124" s="117" t="s">
        <v>2</v>
      </c>
      <c r="BT124" s="117" t="s">
        <v>2</v>
      </c>
      <c r="BU124" s="117" t="s">
        <v>2</v>
      </c>
      <c r="BV124" s="117" t="s">
        <v>2</v>
      </c>
      <c r="BW124" s="117" t="s">
        <v>2</v>
      </c>
      <c r="BX124" s="117" t="s">
        <v>2</v>
      </c>
      <c r="BY124" s="117" t="s">
        <v>2</v>
      </c>
      <c r="BZ124" s="121" t="s">
        <v>2</v>
      </c>
      <c r="CA124" s="119" t="s">
        <v>2</v>
      </c>
      <c r="CB124" s="114" t="s">
        <v>2</v>
      </c>
      <c r="CC124" s="114" t="s">
        <v>2</v>
      </c>
      <c r="CD124" s="114" t="s">
        <v>2</v>
      </c>
      <c r="CE124" s="114" t="s">
        <v>2</v>
      </c>
      <c r="CF124" s="114" t="s">
        <v>2</v>
      </c>
      <c r="CG124" s="115" t="s">
        <v>2</v>
      </c>
      <c r="CH124" s="117" t="s">
        <v>2</v>
      </c>
      <c r="CI124" s="121" t="s">
        <v>2</v>
      </c>
      <c r="CJ124" s="119" t="s">
        <v>2</v>
      </c>
      <c r="CK124" s="114" t="s">
        <v>2</v>
      </c>
      <c r="CL124" s="114" t="s">
        <v>2</v>
      </c>
      <c r="CM124" s="115" t="s">
        <v>2</v>
      </c>
      <c r="CN124" s="110" t="s">
        <v>2</v>
      </c>
      <c r="CO124" s="110" t="s">
        <v>2</v>
      </c>
    </row>
    <row r="125" spans="1:93" s="102" customFormat="1" x14ac:dyDescent="0.25">
      <c r="A125" s="107" t="s">
        <v>1176</v>
      </c>
      <c r="B125" s="108" t="s">
        <v>1249</v>
      </c>
      <c r="C125" s="109" t="s">
        <v>1321</v>
      </c>
      <c r="D125" s="287">
        <v>15</v>
      </c>
      <c r="E125" s="110">
        <v>0</v>
      </c>
      <c r="F125" s="120">
        <v>73</v>
      </c>
      <c r="G125" s="71">
        <v>305.14</v>
      </c>
      <c r="H125" s="126">
        <v>83.9</v>
      </c>
      <c r="I125" s="113">
        <v>2.4</v>
      </c>
      <c r="J125" s="114">
        <v>2.6</v>
      </c>
      <c r="K125" s="114">
        <v>9.92</v>
      </c>
      <c r="L125" s="114">
        <v>0.2</v>
      </c>
      <c r="M125" s="114">
        <v>1.18</v>
      </c>
      <c r="N125" s="116">
        <v>30</v>
      </c>
      <c r="O125" s="117">
        <v>35</v>
      </c>
      <c r="P125" s="114">
        <v>2.97</v>
      </c>
      <c r="Q125" s="114">
        <v>0.44</v>
      </c>
      <c r="R125" s="73" t="s">
        <v>2</v>
      </c>
      <c r="S125" s="117" t="s">
        <v>2</v>
      </c>
      <c r="T125" s="117" t="s">
        <v>2</v>
      </c>
      <c r="U125" s="118" t="s">
        <v>2</v>
      </c>
      <c r="V125" s="118" t="s">
        <v>2</v>
      </c>
      <c r="W125" s="115" t="s">
        <v>2</v>
      </c>
      <c r="X125" s="119" t="s">
        <v>2</v>
      </c>
      <c r="Y125" s="118" t="s">
        <v>2</v>
      </c>
      <c r="Z125" s="118" t="s">
        <v>2</v>
      </c>
      <c r="AA125" s="118" t="s">
        <v>2</v>
      </c>
      <c r="AB125" s="118" t="s">
        <v>2</v>
      </c>
      <c r="AC125" s="118" t="s">
        <v>2</v>
      </c>
      <c r="AD125" s="117" t="s">
        <v>2</v>
      </c>
      <c r="AE125" s="117" t="s">
        <v>2</v>
      </c>
      <c r="AF125" s="114" t="s">
        <v>2</v>
      </c>
      <c r="AG125" s="115" t="s">
        <v>2</v>
      </c>
      <c r="AH125" s="120" t="s">
        <v>2</v>
      </c>
      <c r="AI125" s="120" t="s">
        <v>2</v>
      </c>
      <c r="AJ125" s="114" t="s">
        <v>2</v>
      </c>
      <c r="AK125" s="114" t="s">
        <v>2</v>
      </c>
      <c r="AL125" s="115" t="s">
        <v>2</v>
      </c>
      <c r="AM125" s="116" t="s">
        <v>2</v>
      </c>
      <c r="AN125" s="117" t="s">
        <v>2</v>
      </c>
      <c r="AO125" s="121" t="s">
        <v>2</v>
      </c>
      <c r="AP125" s="113" t="s">
        <v>2</v>
      </c>
      <c r="AQ125" s="118" t="s">
        <v>2</v>
      </c>
      <c r="AR125" s="118" t="s">
        <v>2</v>
      </c>
      <c r="AS125" s="118" t="s">
        <v>2</v>
      </c>
      <c r="AT125" s="118" t="s">
        <v>2</v>
      </c>
      <c r="AU125" s="118" t="s">
        <v>2</v>
      </c>
      <c r="AV125" s="122" t="s">
        <v>2</v>
      </c>
      <c r="AW125" s="119" t="s">
        <v>2</v>
      </c>
      <c r="AX125" s="118" t="s">
        <v>2</v>
      </c>
      <c r="AY125" s="118" t="s">
        <v>2</v>
      </c>
      <c r="AZ125" s="122" t="s">
        <v>2</v>
      </c>
      <c r="BA125" s="123" t="s">
        <v>2</v>
      </c>
      <c r="BB125" s="124" t="s">
        <v>2</v>
      </c>
      <c r="BC125" s="124" t="s">
        <v>2</v>
      </c>
      <c r="BD125" s="124" t="s">
        <v>2</v>
      </c>
      <c r="BE125" s="124" t="s">
        <v>2</v>
      </c>
      <c r="BF125" s="125" t="s">
        <v>2</v>
      </c>
      <c r="BG125" s="110" t="s">
        <v>2</v>
      </c>
      <c r="BH125" s="110" t="s">
        <v>2</v>
      </c>
      <c r="BI125" s="116" t="s">
        <v>2</v>
      </c>
      <c r="BJ125" s="117" t="s">
        <v>2</v>
      </c>
      <c r="BK125" s="117" t="s">
        <v>2</v>
      </c>
      <c r="BL125" s="117" t="s">
        <v>2</v>
      </c>
      <c r="BM125" s="117" t="s">
        <v>2</v>
      </c>
      <c r="BN125" s="117" t="s">
        <v>2</v>
      </c>
      <c r="BO125" s="117" t="s">
        <v>2</v>
      </c>
      <c r="BP125" s="117" t="s">
        <v>2</v>
      </c>
      <c r="BQ125" s="117" t="s">
        <v>2</v>
      </c>
      <c r="BR125" s="117" t="s">
        <v>2</v>
      </c>
      <c r="BS125" s="117" t="s">
        <v>2</v>
      </c>
      <c r="BT125" s="117" t="s">
        <v>2</v>
      </c>
      <c r="BU125" s="117" t="s">
        <v>2</v>
      </c>
      <c r="BV125" s="117" t="s">
        <v>2</v>
      </c>
      <c r="BW125" s="117" t="s">
        <v>2</v>
      </c>
      <c r="BX125" s="117" t="s">
        <v>2</v>
      </c>
      <c r="BY125" s="117" t="s">
        <v>2</v>
      </c>
      <c r="BZ125" s="121" t="s">
        <v>2</v>
      </c>
      <c r="CA125" s="119" t="s">
        <v>2</v>
      </c>
      <c r="CB125" s="114" t="s">
        <v>2</v>
      </c>
      <c r="CC125" s="114" t="s">
        <v>2</v>
      </c>
      <c r="CD125" s="114" t="s">
        <v>2</v>
      </c>
      <c r="CE125" s="114" t="s">
        <v>2</v>
      </c>
      <c r="CF125" s="114" t="s">
        <v>2</v>
      </c>
      <c r="CG125" s="115" t="s">
        <v>2</v>
      </c>
      <c r="CH125" s="117" t="s">
        <v>2</v>
      </c>
      <c r="CI125" s="121" t="s">
        <v>2</v>
      </c>
      <c r="CJ125" s="119" t="s">
        <v>2</v>
      </c>
      <c r="CK125" s="114" t="s">
        <v>2</v>
      </c>
      <c r="CL125" s="114" t="s">
        <v>2</v>
      </c>
      <c r="CM125" s="115" t="s">
        <v>2</v>
      </c>
      <c r="CN125" s="110" t="s">
        <v>2</v>
      </c>
      <c r="CO125" s="110" t="s">
        <v>2</v>
      </c>
    </row>
    <row r="126" spans="1:93" s="102" customFormat="1" x14ac:dyDescent="0.25">
      <c r="A126" s="107" t="s">
        <v>1177</v>
      </c>
      <c r="B126" s="108" t="s">
        <v>1250</v>
      </c>
      <c r="C126" s="109" t="s">
        <v>1322</v>
      </c>
      <c r="D126" s="287">
        <v>15</v>
      </c>
      <c r="E126" s="110">
        <v>0</v>
      </c>
      <c r="F126" s="120">
        <v>65</v>
      </c>
      <c r="G126" s="71">
        <v>271.7</v>
      </c>
      <c r="H126" s="126">
        <v>85.4</v>
      </c>
      <c r="I126" s="113">
        <v>2</v>
      </c>
      <c r="J126" s="114">
        <v>2.4</v>
      </c>
      <c r="K126" s="114">
        <v>8.9600000000000009</v>
      </c>
      <c r="L126" s="114">
        <v>0.6</v>
      </c>
      <c r="M126" s="114">
        <v>1.24</v>
      </c>
      <c r="N126" s="116">
        <v>22</v>
      </c>
      <c r="O126" s="117">
        <v>22</v>
      </c>
      <c r="P126" s="114">
        <v>1.26</v>
      </c>
      <c r="Q126" s="114">
        <v>0.32</v>
      </c>
      <c r="R126" s="73" t="s">
        <v>2</v>
      </c>
      <c r="S126" s="117" t="s">
        <v>2</v>
      </c>
      <c r="T126" s="117" t="s">
        <v>2</v>
      </c>
      <c r="U126" s="118" t="s">
        <v>2</v>
      </c>
      <c r="V126" s="118" t="s">
        <v>2</v>
      </c>
      <c r="W126" s="115" t="s">
        <v>2</v>
      </c>
      <c r="X126" s="119" t="s">
        <v>2</v>
      </c>
      <c r="Y126" s="118" t="s">
        <v>2</v>
      </c>
      <c r="Z126" s="118" t="s">
        <v>2</v>
      </c>
      <c r="AA126" s="118" t="s">
        <v>2</v>
      </c>
      <c r="AB126" s="118" t="s">
        <v>2</v>
      </c>
      <c r="AC126" s="118" t="s">
        <v>2</v>
      </c>
      <c r="AD126" s="117" t="s">
        <v>2</v>
      </c>
      <c r="AE126" s="117" t="s">
        <v>2</v>
      </c>
      <c r="AF126" s="114" t="s">
        <v>2</v>
      </c>
      <c r="AG126" s="115" t="s">
        <v>2</v>
      </c>
      <c r="AH126" s="120" t="s">
        <v>2</v>
      </c>
      <c r="AI126" s="120" t="s">
        <v>2</v>
      </c>
      <c r="AJ126" s="114" t="s">
        <v>2</v>
      </c>
      <c r="AK126" s="114" t="s">
        <v>2</v>
      </c>
      <c r="AL126" s="115" t="s">
        <v>2</v>
      </c>
      <c r="AM126" s="116" t="s">
        <v>2</v>
      </c>
      <c r="AN126" s="117" t="s">
        <v>2</v>
      </c>
      <c r="AO126" s="121" t="s">
        <v>2</v>
      </c>
      <c r="AP126" s="113" t="s">
        <v>2</v>
      </c>
      <c r="AQ126" s="118" t="s">
        <v>2</v>
      </c>
      <c r="AR126" s="118" t="s">
        <v>2</v>
      </c>
      <c r="AS126" s="118" t="s">
        <v>2</v>
      </c>
      <c r="AT126" s="118" t="s">
        <v>2</v>
      </c>
      <c r="AU126" s="118" t="s">
        <v>2</v>
      </c>
      <c r="AV126" s="122" t="s">
        <v>2</v>
      </c>
      <c r="AW126" s="119" t="s">
        <v>2</v>
      </c>
      <c r="AX126" s="118" t="s">
        <v>2</v>
      </c>
      <c r="AY126" s="118" t="s">
        <v>2</v>
      </c>
      <c r="AZ126" s="122" t="s">
        <v>2</v>
      </c>
      <c r="BA126" s="123" t="s">
        <v>2</v>
      </c>
      <c r="BB126" s="124" t="s">
        <v>2</v>
      </c>
      <c r="BC126" s="124" t="s">
        <v>2</v>
      </c>
      <c r="BD126" s="124" t="s">
        <v>2</v>
      </c>
      <c r="BE126" s="124" t="s">
        <v>2</v>
      </c>
      <c r="BF126" s="125" t="s">
        <v>2</v>
      </c>
      <c r="BG126" s="110" t="s">
        <v>2</v>
      </c>
      <c r="BH126" s="110" t="s">
        <v>2</v>
      </c>
      <c r="BI126" s="116" t="s">
        <v>2</v>
      </c>
      <c r="BJ126" s="117" t="s">
        <v>2</v>
      </c>
      <c r="BK126" s="117" t="s">
        <v>2</v>
      </c>
      <c r="BL126" s="117" t="s">
        <v>2</v>
      </c>
      <c r="BM126" s="117" t="s">
        <v>2</v>
      </c>
      <c r="BN126" s="117" t="s">
        <v>2</v>
      </c>
      <c r="BO126" s="117" t="s">
        <v>2</v>
      </c>
      <c r="BP126" s="117" t="s">
        <v>2</v>
      </c>
      <c r="BQ126" s="117" t="s">
        <v>2</v>
      </c>
      <c r="BR126" s="117" t="s">
        <v>2</v>
      </c>
      <c r="BS126" s="117" t="s">
        <v>2</v>
      </c>
      <c r="BT126" s="117" t="s">
        <v>2</v>
      </c>
      <c r="BU126" s="117" t="s">
        <v>2</v>
      </c>
      <c r="BV126" s="117" t="s">
        <v>2</v>
      </c>
      <c r="BW126" s="117" t="s">
        <v>2</v>
      </c>
      <c r="BX126" s="117" t="s">
        <v>2</v>
      </c>
      <c r="BY126" s="117" t="s">
        <v>2</v>
      </c>
      <c r="BZ126" s="121" t="s">
        <v>2</v>
      </c>
      <c r="CA126" s="119" t="s">
        <v>2</v>
      </c>
      <c r="CB126" s="114" t="s">
        <v>2</v>
      </c>
      <c r="CC126" s="114" t="s">
        <v>2</v>
      </c>
      <c r="CD126" s="114" t="s">
        <v>2</v>
      </c>
      <c r="CE126" s="114" t="s">
        <v>2</v>
      </c>
      <c r="CF126" s="114" t="s">
        <v>2</v>
      </c>
      <c r="CG126" s="115" t="s">
        <v>2</v>
      </c>
      <c r="CH126" s="117" t="s">
        <v>2</v>
      </c>
      <c r="CI126" s="121" t="s">
        <v>2</v>
      </c>
      <c r="CJ126" s="119" t="s">
        <v>2</v>
      </c>
      <c r="CK126" s="114" t="s">
        <v>2</v>
      </c>
      <c r="CL126" s="114" t="s">
        <v>2</v>
      </c>
      <c r="CM126" s="115" t="s">
        <v>2</v>
      </c>
      <c r="CN126" s="110" t="s">
        <v>2</v>
      </c>
      <c r="CO126" s="110" t="s">
        <v>2</v>
      </c>
    </row>
    <row r="127" spans="1:93" s="102" customFormat="1" x14ac:dyDescent="0.25">
      <c r="A127" s="107" t="s">
        <v>1178</v>
      </c>
      <c r="B127" s="108" t="s">
        <v>1251</v>
      </c>
      <c r="C127" s="109" t="s">
        <v>1323</v>
      </c>
      <c r="D127" s="287">
        <v>15</v>
      </c>
      <c r="E127" s="110">
        <v>0</v>
      </c>
      <c r="F127" s="120">
        <v>81</v>
      </c>
      <c r="G127" s="71">
        <v>338.58</v>
      </c>
      <c r="H127" s="126">
        <v>82.5</v>
      </c>
      <c r="I127" s="113">
        <v>2.6</v>
      </c>
      <c r="J127" s="114">
        <v>3.1</v>
      </c>
      <c r="K127" s="114">
        <v>10.58</v>
      </c>
      <c r="L127" s="114">
        <v>0.2</v>
      </c>
      <c r="M127" s="114">
        <v>1.22</v>
      </c>
      <c r="N127" s="116">
        <v>30</v>
      </c>
      <c r="O127" s="117">
        <v>31</v>
      </c>
      <c r="P127" s="114">
        <v>1.94</v>
      </c>
      <c r="Q127" s="114">
        <v>0.37</v>
      </c>
      <c r="R127" s="73" t="s">
        <v>2</v>
      </c>
      <c r="S127" s="117" t="s">
        <v>2</v>
      </c>
      <c r="T127" s="117" t="s">
        <v>2</v>
      </c>
      <c r="U127" s="118" t="s">
        <v>2</v>
      </c>
      <c r="V127" s="118" t="s">
        <v>2</v>
      </c>
      <c r="W127" s="115" t="s">
        <v>2</v>
      </c>
      <c r="X127" s="119" t="s">
        <v>2</v>
      </c>
      <c r="Y127" s="118" t="s">
        <v>2</v>
      </c>
      <c r="Z127" s="118" t="s">
        <v>2</v>
      </c>
      <c r="AA127" s="118" t="s">
        <v>2</v>
      </c>
      <c r="AB127" s="118" t="s">
        <v>2</v>
      </c>
      <c r="AC127" s="118" t="s">
        <v>2</v>
      </c>
      <c r="AD127" s="117" t="s">
        <v>2</v>
      </c>
      <c r="AE127" s="117" t="s">
        <v>2</v>
      </c>
      <c r="AF127" s="114" t="s">
        <v>2</v>
      </c>
      <c r="AG127" s="115" t="s">
        <v>2</v>
      </c>
      <c r="AH127" s="120" t="s">
        <v>2</v>
      </c>
      <c r="AI127" s="120" t="s">
        <v>2</v>
      </c>
      <c r="AJ127" s="114" t="s">
        <v>2</v>
      </c>
      <c r="AK127" s="114" t="s">
        <v>2</v>
      </c>
      <c r="AL127" s="115" t="s">
        <v>2</v>
      </c>
      <c r="AM127" s="116" t="s">
        <v>2</v>
      </c>
      <c r="AN127" s="117" t="s">
        <v>2</v>
      </c>
      <c r="AO127" s="121" t="s">
        <v>2</v>
      </c>
      <c r="AP127" s="113" t="s">
        <v>2</v>
      </c>
      <c r="AQ127" s="118" t="s">
        <v>2</v>
      </c>
      <c r="AR127" s="118" t="s">
        <v>2</v>
      </c>
      <c r="AS127" s="118" t="s">
        <v>2</v>
      </c>
      <c r="AT127" s="118" t="s">
        <v>2</v>
      </c>
      <c r="AU127" s="118" t="s">
        <v>2</v>
      </c>
      <c r="AV127" s="122" t="s">
        <v>2</v>
      </c>
      <c r="AW127" s="119" t="s">
        <v>2</v>
      </c>
      <c r="AX127" s="118" t="s">
        <v>2</v>
      </c>
      <c r="AY127" s="118" t="s">
        <v>2</v>
      </c>
      <c r="AZ127" s="122" t="s">
        <v>2</v>
      </c>
      <c r="BA127" s="123" t="s">
        <v>2</v>
      </c>
      <c r="BB127" s="124" t="s">
        <v>2</v>
      </c>
      <c r="BC127" s="124" t="s">
        <v>2</v>
      </c>
      <c r="BD127" s="124" t="s">
        <v>2</v>
      </c>
      <c r="BE127" s="124" t="s">
        <v>2</v>
      </c>
      <c r="BF127" s="125" t="s">
        <v>2</v>
      </c>
      <c r="BG127" s="110" t="s">
        <v>2</v>
      </c>
      <c r="BH127" s="110" t="s">
        <v>2</v>
      </c>
      <c r="BI127" s="116" t="s">
        <v>2</v>
      </c>
      <c r="BJ127" s="117" t="s">
        <v>2</v>
      </c>
      <c r="BK127" s="117" t="s">
        <v>2</v>
      </c>
      <c r="BL127" s="117" t="s">
        <v>2</v>
      </c>
      <c r="BM127" s="117" t="s">
        <v>2</v>
      </c>
      <c r="BN127" s="117" t="s">
        <v>2</v>
      </c>
      <c r="BO127" s="117" t="s">
        <v>2</v>
      </c>
      <c r="BP127" s="117" t="s">
        <v>2</v>
      </c>
      <c r="BQ127" s="117" t="s">
        <v>2</v>
      </c>
      <c r="BR127" s="117" t="s">
        <v>2</v>
      </c>
      <c r="BS127" s="117" t="s">
        <v>2</v>
      </c>
      <c r="BT127" s="117" t="s">
        <v>2</v>
      </c>
      <c r="BU127" s="117" t="s">
        <v>2</v>
      </c>
      <c r="BV127" s="117" t="s">
        <v>2</v>
      </c>
      <c r="BW127" s="117" t="s">
        <v>2</v>
      </c>
      <c r="BX127" s="117" t="s">
        <v>2</v>
      </c>
      <c r="BY127" s="117" t="s">
        <v>2</v>
      </c>
      <c r="BZ127" s="121" t="s">
        <v>2</v>
      </c>
      <c r="CA127" s="119" t="s">
        <v>2</v>
      </c>
      <c r="CB127" s="114" t="s">
        <v>2</v>
      </c>
      <c r="CC127" s="114" t="s">
        <v>2</v>
      </c>
      <c r="CD127" s="114" t="s">
        <v>2</v>
      </c>
      <c r="CE127" s="114" t="s">
        <v>2</v>
      </c>
      <c r="CF127" s="114" t="s">
        <v>2</v>
      </c>
      <c r="CG127" s="115" t="s">
        <v>2</v>
      </c>
      <c r="CH127" s="117" t="s">
        <v>2</v>
      </c>
      <c r="CI127" s="121" t="s">
        <v>2</v>
      </c>
      <c r="CJ127" s="119" t="s">
        <v>2</v>
      </c>
      <c r="CK127" s="114" t="s">
        <v>2</v>
      </c>
      <c r="CL127" s="114" t="s">
        <v>2</v>
      </c>
      <c r="CM127" s="115" t="s">
        <v>2</v>
      </c>
      <c r="CN127" s="110" t="s">
        <v>2</v>
      </c>
      <c r="CO127" s="110" t="s">
        <v>2</v>
      </c>
    </row>
    <row r="128" spans="1:93" s="102" customFormat="1" x14ac:dyDescent="0.25">
      <c r="A128" s="107" t="s">
        <v>1179</v>
      </c>
      <c r="B128" s="108" t="s">
        <v>1252</v>
      </c>
      <c r="C128" s="109" t="s">
        <v>1324</v>
      </c>
      <c r="D128" s="287">
        <v>15</v>
      </c>
      <c r="E128" s="110">
        <v>0</v>
      </c>
      <c r="F128" s="120">
        <v>139</v>
      </c>
      <c r="G128" s="71">
        <v>581.02</v>
      </c>
      <c r="H128" s="126">
        <v>72.7</v>
      </c>
      <c r="I128" s="113">
        <v>5.7</v>
      </c>
      <c r="J128" s="114">
        <v>7</v>
      </c>
      <c r="K128" s="114">
        <v>13.41</v>
      </c>
      <c r="L128" s="114">
        <v>0.9</v>
      </c>
      <c r="M128" s="114">
        <v>1.19</v>
      </c>
      <c r="N128" s="116">
        <v>59</v>
      </c>
      <c r="O128" s="117">
        <v>36</v>
      </c>
      <c r="P128" s="114">
        <v>3.72</v>
      </c>
      <c r="Q128" s="114">
        <v>0.53</v>
      </c>
      <c r="R128" s="73" t="s">
        <v>2</v>
      </c>
      <c r="S128" s="117" t="s">
        <v>2</v>
      </c>
      <c r="T128" s="117" t="s">
        <v>2</v>
      </c>
      <c r="U128" s="118" t="s">
        <v>2</v>
      </c>
      <c r="V128" s="118" t="s">
        <v>2</v>
      </c>
      <c r="W128" s="115" t="s">
        <v>2</v>
      </c>
      <c r="X128" s="119" t="s">
        <v>2</v>
      </c>
      <c r="Y128" s="118" t="s">
        <v>2</v>
      </c>
      <c r="Z128" s="118" t="s">
        <v>2</v>
      </c>
      <c r="AA128" s="118" t="s">
        <v>2</v>
      </c>
      <c r="AB128" s="118" t="s">
        <v>2</v>
      </c>
      <c r="AC128" s="118" t="s">
        <v>2</v>
      </c>
      <c r="AD128" s="117" t="s">
        <v>2</v>
      </c>
      <c r="AE128" s="117" t="s">
        <v>2</v>
      </c>
      <c r="AF128" s="114" t="s">
        <v>2</v>
      </c>
      <c r="AG128" s="115" t="s">
        <v>2</v>
      </c>
      <c r="AH128" s="120" t="s">
        <v>2</v>
      </c>
      <c r="AI128" s="120" t="s">
        <v>2</v>
      </c>
      <c r="AJ128" s="114" t="s">
        <v>2</v>
      </c>
      <c r="AK128" s="114" t="s">
        <v>2</v>
      </c>
      <c r="AL128" s="115" t="s">
        <v>2</v>
      </c>
      <c r="AM128" s="116" t="s">
        <v>2</v>
      </c>
      <c r="AN128" s="117" t="s">
        <v>2</v>
      </c>
      <c r="AO128" s="121" t="s">
        <v>2</v>
      </c>
      <c r="AP128" s="113" t="s">
        <v>2</v>
      </c>
      <c r="AQ128" s="118" t="s">
        <v>2</v>
      </c>
      <c r="AR128" s="118" t="s">
        <v>2</v>
      </c>
      <c r="AS128" s="118" t="s">
        <v>2</v>
      </c>
      <c r="AT128" s="118" t="s">
        <v>2</v>
      </c>
      <c r="AU128" s="118" t="s">
        <v>2</v>
      </c>
      <c r="AV128" s="122" t="s">
        <v>2</v>
      </c>
      <c r="AW128" s="119" t="s">
        <v>2</v>
      </c>
      <c r="AX128" s="118" t="s">
        <v>2</v>
      </c>
      <c r="AY128" s="118" t="s">
        <v>2</v>
      </c>
      <c r="AZ128" s="122" t="s">
        <v>2</v>
      </c>
      <c r="BA128" s="123" t="s">
        <v>2</v>
      </c>
      <c r="BB128" s="124" t="s">
        <v>2</v>
      </c>
      <c r="BC128" s="124" t="s">
        <v>2</v>
      </c>
      <c r="BD128" s="124" t="s">
        <v>2</v>
      </c>
      <c r="BE128" s="124" t="s">
        <v>2</v>
      </c>
      <c r="BF128" s="125" t="s">
        <v>2</v>
      </c>
      <c r="BG128" s="110" t="s">
        <v>2</v>
      </c>
      <c r="BH128" s="110" t="s">
        <v>2</v>
      </c>
      <c r="BI128" s="116" t="s">
        <v>2</v>
      </c>
      <c r="BJ128" s="117" t="s">
        <v>2</v>
      </c>
      <c r="BK128" s="117" t="s">
        <v>2</v>
      </c>
      <c r="BL128" s="117" t="s">
        <v>2</v>
      </c>
      <c r="BM128" s="117" t="s">
        <v>2</v>
      </c>
      <c r="BN128" s="117" t="s">
        <v>2</v>
      </c>
      <c r="BO128" s="117" t="s">
        <v>2</v>
      </c>
      <c r="BP128" s="117" t="s">
        <v>2</v>
      </c>
      <c r="BQ128" s="117" t="s">
        <v>2</v>
      </c>
      <c r="BR128" s="117" t="s">
        <v>2</v>
      </c>
      <c r="BS128" s="117" t="s">
        <v>2</v>
      </c>
      <c r="BT128" s="117" t="s">
        <v>2</v>
      </c>
      <c r="BU128" s="117" t="s">
        <v>2</v>
      </c>
      <c r="BV128" s="117" t="s">
        <v>2</v>
      </c>
      <c r="BW128" s="117" t="s">
        <v>2</v>
      </c>
      <c r="BX128" s="117" t="s">
        <v>2</v>
      </c>
      <c r="BY128" s="117" t="s">
        <v>2</v>
      </c>
      <c r="BZ128" s="121" t="s">
        <v>2</v>
      </c>
      <c r="CA128" s="119" t="s">
        <v>2</v>
      </c>
      <c r="CB128" s="114" t="s">
        <v>2</v>
      </c>
      <c r="CC128" s="114" t="s">
        <v>2</v>
      </c>
      <c r="CD128" s="114" t="s">
        <v>2</v>
      </c>
      <c r="CE128" s="114" t="s">
        <v>2</v>
      </c>
      <c r="CF128" s="114" t="s">
        <v>2</v>
      </c>
      <c r="CG128" s="115" t="s">
        <v>2</v>
      </c>
      <c r="CH128" s="117" t="s">
        <v>2</v>
      </c>
      <c r="CI128" s="121" t="s">
        <v>2</v>
      </c>
      <c r="CJ128" s="119" t="s">
        <v>2</v>
      </c>
      <c r="CK128" s="114" t="s">
        <v>2</v>
      </c>
      <c r="CL128" s="114" t="s">
        <v>2</v>
      </c>
      <c r="CM128" s="115" t="s">
        <v>2</v>
      </c>
      <c r="CN128" s="110" t="s">
        <v>2</v>
      </c>
      <c r="CO128" s="110" t="s">
        <v>2</v>
      </c>
    </row>
    <row r="129" spans="1:93" s="102" customFormat="1" x14ac:dyDescent="0.25">
      <c r="A129" s="107" t="s">
        <v>1180</v>
      </c>
      <c r="B129" s="108" t="s">
        <v>1253</v>
      </c>
      <c r="C129" s="109" t="s">
        <v>1325</v>
      </c>
      <c r="D129" s="287">
        <v>15</v>
      </c>
      <c r="E129" s="110">
        <v>0</v>
      </c>
      <c r="F129" s="120">
        <v>183</v>
      </c>
      <c r="G129" s="71">
        <v>764.93999999999994</v>
      </c>
      <c r="H129" s="126">
        <v>69.5</v>
      </c>
      <c r="I129" s="113">
        <v>6.7</v>
      </c>
      <c r="J129" s="114">
        <v>13.3</v>
      </c>
      <c r="K129" s="114">
        <v>9.07</v>
      </c>
      <c r="L129" s="114">
        <v>0.9</v>
      </c>
      <c r="M129" s="114">
        <v>1.43</v>
      </c>
      <c r="N129" s="116">
        <v>91</v>
      </c>
      <c r="O129" s="117">
        <v>58</v>
      </c>
      <c r="P129" s="114">
        <v>1.81</v>
      </c>
      <c r="Q129" s="114">
        <v>0.77</v>
      </c>
      <c r="R129" s="73" t="s">
        <v>2</v>
      </c>
      <c r="S129" s="117" t="s">
        <v>2</v>
      </c>
      <c r="T129" s="117" t="s">
        <v>2</v>
      </c>
      <c r="U129" s="118" t="s">
        <v>2</v>
      </c>
      <c r="V129" s="118" t="s">
        <v>2</v>
      </c>
      <c r="W129" s="115" t="s">
        <v>2</v>
      </c>
      <c r="X129" s="119" t="s">
        <v>2</v>
      </c>
      <c r="Y129" s="118" t="s">
        <v>2</v>
      </c>
      <c r="Z129" s="118" t="s">
        <v>2</v>
      </c>
      <c r="AA129" s="118" t="s">
        <v>2</v>
      </c>
      <c r="AB129" s="118" t="s">
        <v>2</v>
      </c>
      <c r="AC129" s="118" t="s">
        <v>2</v>
      </c>
      <c r="AD129" s="117" t="s">
        <v>2</v>
      </c>
      <c r="AE129" s="117" t="s">
        <v>2</v>
      </c>
      <c r="AF129" s="114" t="s">
        <v>2</v>
      </c>
      <c r="AG129" s="115" t="s">
        <v>2</v>
      </c>
      <c r="AH129" s="120" t="s">
        <v>2</v>
      </c>
      <c r="AI129" s="120" t="s">
        <v>2</v>
      </c>
      <c r="AJ129" s="114" t="s">
        <v>2</v>
      </c>
      <c r="AK129" s="114" t="s">
        <v>2</v>
      </c>
      <c r="AL129" s="115" t="s">
        <v>2</v>
      </c>
      <c r="AM129" s="116" t="s">
        <v>2</v>
      </c>
      <c r="AN129" s="117" t="s">
        <v>2</v>
      </c>
      <c r="AO129" s="121" t="s">
        <v>2</v>
      </c>
      <c r="AP129" s="113" t="s">
        <v>2</v>
      </c>
      <c r="AQ129" s="118" t="s">
        <v>2</v>
      </c>
      <c r="AR129" s="118" t="s">
        <v>2</v>
      </c>
      <c r="AS129" s="118" t="s">
        <v>2</v>
      </c>
      <c r="AT129" s="118" t="s">
        <v>2</v>
      </c>
      <c r="AU129" s="118" t="s">
        <v>2</v>
      </c>
      <c r="AV129" s="122" t="s">
        <v>2</v>
      </c>
      <c r="AW129" s="119" t="s">
        <v>2</v>
      </c>
      <c r="AX129" s="118" t="s">
        <v>2</v>
      </c>
      <c r="AY129" s="118" t="s">
        <v>2</v>
      </c>
      <c r="AZ129" s="122" t="s">
        <v>2</v>
      </c>
      <c r="BA129" s="123" t="s">
        <v>2</v>
      </c>
      <c r="BB129" s="124" t="s">
        <v>2</v>
      </c>
      <c r="BC129" s="124" t="s">
        <v>2</v>
      </c>
      <c r="BD129" s="124" t="s">
        <v>2</v>
      </c>
      <c r="BE129" s="124" t="s">
        <v>2</v>
      </c>
      <c r="BF129" s="125" t="s">
        <v>2</v>
      </c>
      <c r="BG129" s="110" t="s">
        <v>2</v>
      </c>
      <c r="BH129" s="110" t="s">
        <v>2</v>
      </c>
      <c r="BI129" s="116" t="s">
        <v>2</v>
      </c>
      <c r="BJ129" s="117" t="s">
        <v>2</v>
      </c>
      <c r="BK129" s="117" t="s">
        <v>2</v>
      </c>
      <c r="BL129" s="117" t="s">
        <v>2</v>
      </c>
      <c r="BM129" s="117" t="s">
        <v>2</v>
      </c>
      <c r="BN129" s="117" t="s">
        <v>2</v>
      </c>
      <c r="BO129" s="117" t="s">
        <v>2</v>
      </c>
      <c r="BP129" s="117" t="s">
        <v>2</v>
      </c>
      <c r="BQ129" s="117" t="s">
        <v>2</v>
      </c>
      <c r="BR129" s="117" t="s">
        <v>2</v>
      </c>
      <c r="BS129" s="117" t="s">
        <v>2</v>
      </c>
      <c r="BT129" s="117" t="s">
        <v>2</v>
      </c>
      <c r="BU129" s="117" t="s">
        <v>2</v>
      </c>
      <c r="BV129" s="117" t="s">
        <v>2</v>
      </c>
      <c r="BW129" s="117" t="s">
        <v>2</v>
      </c>
      <c r="BX129" s="117" t="s">
        <v>2</v>
      </c>
      <c r="BY129" s="117" t="s">
        <v>2</v>
      </c>
      <c r="BZ129" s="121" t="s">
        <v>2</v>
      </c>
      <c r="CA129" s="119" t="s">
        <v>2</v>
      </c>
      <c r="CB129" s="114" t="s">
        <v>2</v>
      </c>
      <c r="CC129" s="114" t="s">
        <v>2</v>
      </c>
      <c r="CD129" s="114" t="s">
        <v>2</v>
      </c>
      <c r="CE129" s="114" t="s">
        <v>2</v>
      </c>
      <c r="CF129" s="114" t="s">
        <v>2</v>
      </c>
      <c r="CG129" s="115" t="s">
        <v>2</v>
      </c>
      <c r="CH129" s="117" t="s">
        <v>2</v>
      </c>
      <c r="CI129" s="121" t="s">
        <v>2</v>
      </c>
      <c r="CJ129" s="119" t="s">
        <v>2</v>
      </c>
      <c r="CK129" s="114" t="s">
        <v>2</v>
      </c>
      <c r="CL129" s="114" t="s">
        <v>2</v>
      </c>
      <c r="CM129" s="115" t="s">
        <v>2</v>
      </c>
      <c r="CN129" s="110" t="s">
        <v>2</v>
      </c>
      <c r="CO129" s="110" t="s">
        <v>2</v>
      </c>
    </row>
    <row r="130" spans="1:93" s="102" customFormat="1" x14ac:dyDescent="0.25">
      <c r="A130" s="107" t="s">
        <v>1181</v>
      </c>
      <c r="B130" s="108" t="s">
        <v>1254</v>
      </c>
      <c r="C130" s="109" t="s">
        <v>1326</v>
      </c>
      <c r="D130" s="287">
        <v>15</v>
      </c>
      <c r="E130" s="110">
        <v>0</v>
      </c>
      <c r="F130" s="120">
        <v>145</v>
      </c>
      <c r="G130" s="71">
        <v>606.09999999999991</v>
      </c>
      <c r="H130" s="126">
        <v>71.5</v>
      </c>
      <c r="I130" s="113">
        <v>4.5</v>
      </c>
      <c r="J130" s="114">
        <v>7.7</v>
      </c>
      <c r="K130" s="114">
        <v>14.42</v>
      </c>
      <c r="L130" s="114">
        <v>1.3</v>
      </c>
      <c r="M130" s="114">
        <v>1.88</v>
      </c>
      <c r="N130" s="116">
        <v>68</v>
      </c>
      <c r="O130" s="117">
        <v>29</v>
      </c>
      <c r="P130" s="114">
        <v>1.99</v>
      </c>
      <c r="Q130" s="114">
        <v>0.56999999999999995</v>
      </c>
      <c r="R130" s="73" t="s">
        <v>2</v>
      </c>
      <c r="S130" s="117" t="s">
        <v>2</v>
      </c>
      <c r="T130" s="117" t="s">
        <v>2</v>
      </c>
      <c r="U130" s="118" t="s">
        <v>2</v>
      </c>
      <c r="V130" s="118" t="s">
        <v>2</v>
      </c>
      <c r="W130" s="115" t="s">
        <v>2</v>
      </c>
      <c r="X130" s="119" t="s">
        <v>2</v>
      </c>
      <c r="Y130" s="118" t="s">
        <v>2</v>
      </c>
      <c r="Z130" s="118" t="s">
        <v>2</v>
      </c>
      <c r="AA130" s="118" t="s">
        <v>2</v>
      </c>
      <c r="AB130" s="118" t="s">
        <v>2</v>
      </c>
      <c r="AC130" s="118" t="s">
        <v>2</v>
      </c>
      <c r="AD130" s="117" t="s">
        <v>2</v>
      </c>
      <c r="AE130" s="117" t="s">
        <v>2</v>
      </c>
      <c r="AF130" s="114" t="s">
        <v>2</v>
      </c>
      <c r="AG130" s="115" t="s">
        <v>2</v>
      </c>
      <c r="AH130" s="120" t="s">
        <v>2</v>
      </c>
      <c r="AI130" s="120" t="s">
        <v>2</v>
      </c>
      <c r="AJ130" s="114" t="s">
        <v>2</v>
      </c>
      <c r="AK130" s="114" t="s">
        <v>2</v>
      </c>
      <c r="AL130" s="115" t="s">
        <v>2</v>
      </c>
      <c r="AM130" s="116" t="s">
        <v>2</v>
      </c>
      <c r="AN130" s="117" t="s">
        <v>2</v>
      </c>
      <c r="AO130" s="121" t="s">
        <v>2</v>
      </c>
      <c r="AP130" s="113" t="s">
        <v>2</v>
      </c>
      <c r="AQ130" s="118" t="s">
        <v>2</v>
      </c>
      <c r="AR130" s="118" t="s">
        <v>2</v>
      </c>
      <c r="AS130" s="118" t="s">
        <v>2</v>
      </c>
      <c r="AT130" s="118" t="s">
        <v>2</v>
      </c>
      <c r="AU130" s="118" t="s">
        <v>2</v>
      </c>
      <c r="AV130" s="122" t="s">
        <v>2</v>
      </c>
      <c r="AW130" s="119" t="s">
        <v>2</v>
      </c>
      <c r="AX130" s="118" t="s">
        <v>2</v>
      </c>
      <c r="AY130" s="118" t="s">
        <v>2</v>
      </c>
      <c r="AZ130" s="122" t="s">
        <v>2</v>
      </c>
      <c r="BA130" s="123" t="s">
        <v>2</v>
      </c>
      <c r="BB130" s="124" t="s">
        <v>2</v>
      </c>
      <c r="BC130" s="124" t="s">
        <v>2</v>
      </c>
      <c r="BD130" s="124" t="s">
        <v>2</v>
      </c>
      <c r="BE130" s="124" t="s">
        <v>2</v>
      </c>
      <c r="BF130" s="125" t="s">
        <v>2</v>
      </c>
      <c r="BG130" s="110" t="s">
        <v>2</v>
      </c>
      <c r="BH130" s="110" t="s">
        <v>2</v>
      </c>
      <c r="BI130" s="116" t="s">
        <v>2</v>
      </c>
      <c r="BJ130" s="117" t="s">
        <v>2</v>
      </c>
      <c r="BK130" s="117" t="s">
        <v>2</v>
      </c>
      <c r="BL130" s="117" t="s">
        <v>2</v>
      </c>
      <c r="BM130" s="117" t="s">
        <v>2</v>
      </c>
      <c r="BN130" s="117" t="s">
        <v>2</v>
      </c>
      <c r="BO130" s="117" t="s">
        <v>2</v>
      </c>
      <c r="BP130" s="117" t="s">
        <v>2</v>
      </c>
      <c r="BQ130" s="117" t="s">
        <v>2</v>
      </c>
      <c r="BR130" s="117" t="s">
        <v>2</v>
      </c>
      <c r="BS130" s="117" t="s">
        <v>2</v>
      </c>
      <c r="BT130" s="117" t="s">
        <v>2</v>
      </c>
      <c r="BU130" s="117" t="s">
        <v>2</v>
      </c>
      <c r="BV130" s="117" t="s">
        <v>2</v>
      </c>
      <c r="BW130" s="117" t="s">
        <v>2</v>
      </c>
      <c r="BX130" s="117" t="s">
        <v>2</v>
      </c>
      <c r="BY130" s="117" t="s">
        <v>2</v>
      </c>
      <c r="BZ130" s="121" t="s">
        <v>2</v>
      </c>
      <c r="CA130" s="119" t="s">
        <v>2</v>
      </c>
      <c r="CB130" s="114" t="s">
        <v>2</v>
      </c>
      <c r="CC130" s="114" t="s">
        <v>2</v>
      </c>
      <c r="CD130" s="114" t="s">
        <v>2</v>
      </c>
      <c r="CE130" s="114" t="s">
        <v>2</v>
      </c>
      <c r="CF130" s="114" t="s">
        <v>2</v>
      </c>
      <c r="CG130" s="115" t="s">
        <v>2</v>
      </c>
      <c r="CH130" s="117" t="s">
        <v>2</v>
      </c>
      <c r="CI130" s="121" t="s">
        <v>2</v>
      </c>
      <c r="CJ130" s="119" t="s">
        <v>2</v>
      </c>
      <c r="CK130" s="114" t="s">
        <v>2</v>
      </c>
      <c r="CL130" s="114" t="s">
        <v>2</v>
      </c>
      <c r="CM130" s="115" t="s">
        <v>2</v>
      </c>
      <c r="CN130" s="110" t="s">
        <v>2</v>
      </c>
      <c r="CO130" s="110" t="s">
        <v>2</v>
      </c>
    </row>
    <row r="131" spans="1:93" s="102" customFormat="1" x14ac:dyDescent="0.25">
      <c r="A131" s="107" t="s">
        <v>1182</v>
      </c>
      <c r="B131" s="108" t="s">
        <v>1255</v>
      </c>
      <c r="C131" s="109" t="s">
        <v>1327</v>
      </c>
      <c r="D131" s="287">
        <v>15</v>
      </c>
      <c r="E131" s="110">
        <v>0</v>
      </c>
      <c r="F131" s="120">
        <v>119</v>
      </c>
      <c r="G131" s="71">
        <v>497.41999999999996</v>
      </c>
      <c r="H131" s="126">
        <v>76.7</v>
      </c>
      <c r="I131" s="113">
        <v>6.6</v>
      </c>
      <c r="J131" s="114">
        <v>6.3</v>
      </c>
      <c r="K131" s="114">
        <v>8.85</v>
      </c>
      <c r="L131" s="114">
        <v>1.3</v>
      </c>
      <c r="M131" s="114">
        <v>1.55</v>
      </c>
      <c r="N131" s="116">
        <v>57</v>
      </c>
      <c r="O131" s="117">
        <v>12</v>
      </c>
      <c r="P131" s="114">
        <v>1.02</v>
      </c>
      <c r="Q131" s="114">
        <v>0.56999999999999995</v>
      </c>
      <c r="R131" s="73" t="s">
        <v>2</v>
      </c>
      <c r="S131" s="117" t="s">
        <v>2</v>
      </c>
      <c r="T131" s="117" t="s">
        <v>2</v>
      </c>
      <c r="U131" s="118" t="s">
        <v>2</v>
      </c>
      <c r="V131" s="118" t="s">
        <v>2</v>
      </c>
      <c r="W131" s="115" t="s">
        <v>2</v>
      </c>
      <c r="X131" s="119" t="s">
        <v>2</v>
      </c>
      <c r="Y131" s="118" t="s">
        <v>2</v>
      </c>
      <c r="Z131" s="118" t="s">
        <v>2</v>
      </c>
      <c r="AA131" s="118" t="s">
        <v>2</v>
      </c>
      <c r="AB131" s="118" t="s">
        <v>2</v>
      </c>
      <c r="AC131" s="118" t="s">
        <v>2</v>
      </c>
      <c r="AD131" s="117" t="s">
        <v>2</v>
      </c>
      <c r="AE131" s="117" t="s">
        <v>2</v>
      </c>
      <c r="AF131" s="114" t="s">
        <v>2</v>
      </c>
      <c r="AG131" s="115" t="s">
        <v>2</v>
      </c>
      <c r="AH131" s="120" t="s">
        <v>2</v>
      </c>
      <c r="AI131" s="120" t="s">
        <v>2</v>
      </c>
      <c r="AJ131" s="114" t="s">
        <v>2</v>
      </c>
      <c r="AK131" s="114" t="s">
        <v>2</v>
      </c>
      <c r="AL131" s="115" t="s">
        <v>2</v>
      </c>
      <c r="AM131" s="116" t="s">
        <v>2</v>
      </c>
      <c r="AN131" s="117" t="s">
        <v>2</v>
      </c>
      <c r="AO131" s="121" t="s">
        <v>2</v>
      </c>
      <c r="AP131" s="113" t="s">
        <v>2</v>
      </c>
      <c r="AQ131" s="118" t="s">
        <v>2</v>
      </c>
      <c r="AR131" s="118" t="s">
        <v>2</v>
      </c>
      <c r="AS131" s="118" t="s">
        <v>2</v>
      </c>
      <c r="AT131" s="118" t="s">
        <v>2</v>
      </c>
      <c r="AU131" s="118" t="s">
        <v>2</v>
      </c>
      <c r="AV131" s="122" t="s">
        <v>2</v>
      </c>
      <c r="AW131" s="119" t="s">
        <v>2</v>
      </c>
      <c r="AX131" s="118" t="s">
        <v>2</v>
      </c>
      <c r="AY131" s="118" t="s">
        <v>2</v>
      </c>
      <c r="AZ131" s="122" t="s">
        <v>2</v>
      </c>
      <c r="BA131" s="123" t="s">
        <v>2</v>
      </c>
      <c r="BB131" s="124" t="s">
        <v>2</v>
      </c>
      <c r="BC131" s="124" t="s">
        <v>2</v>
      </c>
      <c r="BD131" s="124" t="s">
        <v>2</v>
      </c>
      <c r="BE131" s="124" t="s">
        <v>2</v>
      </c>
      <c r="BF131" s="125" t="s">
        <v>2</v>
      </c>
      <c r="BG131" s="110" t="s">
        <v>2</v>
      </c>
      <c r="BH131" s="110" t="s">
        <v>2</v>
      </c>
      <c r="BI131" s="116" t="s">
        <v>2</v>
      </c>
      <c r="BJ131" s="117" t="s">
        <v>2</v>
      </c>
      <c r="BK131" s="117" t="s">
        <v>2</v>
      </c>
      <c r="BL131" s="117" t="s">
        <v>2</v>
      </c>
      <c r="BM131" s="117" t="s">
        <v>2</v>
      </c>
      <c r="BN131" s="117" t="s">
        <v>2</v>
      </c>
      <c r="BO131" s="117" t="s">
        <v>2</v>
      </c>
      <c r="BP131" s="117" t="s">
        <v>2</v>
      </c>
      <c r="BQ131" s="117" t="s">
        <v>2</v>
      </c>
      <c r="BR131" s="117" t="s">
        <v>2</v>
      </c>
      <c r="BS131" s="117" t="s">
        <v>2</v>
      </c>
      <c r="BT131" s="117" t="s">
        <v>2</v>
      </c>
      <c r="BU131" s="117" t="s">
        <v>2</v>
      </c>
      <c r="BV131" s="117" t="s">
        <v>2</v>
      </c>
      <c r="BW131" s="117" t="s">
        <v>2</v>
      </c>
      <c r="BX131" s="117" t="s">
        <v>2</v>
      </c>
      <c r="BY131" s="117" t="s">
        <v>2</v>
      </c>
      <c r="BZ131" s="121" t="s">
        <v>2</v>
      </c>
      <c r="CA131" s="119" t="s">
        <v>2</v>
      </c>
      <c r="CB131" s="114" t="s">
        <v>2</v>
      </c>
      <c r="CC131" s="114" t="s">
        <v>2</v>
      </c>
      <c r="CD131" s="114" t="s">
        <v>2</v>
      </c>
      <c r="CE131" s="114" t="s">
        <v>2</v>
      </c>
      <c r="CF131" s="114" t="s">
        <v>2</v>
      </c>
      <c r="CG131" s="115" t="s">
        <v>2</v>
      </c>
      <c r="CH131" s="117" t="s">
        <v>2</v>
      </c>
      <c r="CI131" s="121" t="s">
        <v>2</v>
      </c>
      <c r="CJ131" s="119" t="s">
        <v>2</v>
      </c>
      <c r="CK131" s="114" t="s">
        <v>2</v>
      </c>
      <c r="CL131" s="114" t="s">
        <v>2</v>
      </c>
      <c r="CM131" s="115" t="s">
        <v>2</v>
      </c>
      <c r="CN131" s="110" t="s">
        <v>2</v>
      </c>
      <c r="CO131" s="110" t="s">
        <v>2</v>
      </c>
    </row>
    <row r="132" spans="1:93" s="102" customFormat="1" x14ac:dyDescent="0.25">
      <c r="A132" s="107" t="s">
        <v>1183</v>
      </c>
      <c r="B132" s="108" t="s">
        <v>1256</v>
      </c>
      <c r="C132" s="109" t="s">
        <v>1328</v>
      </c>
      <c r="D132" s="287">
        <v>15</v>
      </c>
      <c r="E132" s="110">
        <v>0</v>
      </c>
      <c r="F132" s="120">
        <v>73</v>
      </c>
      <c r="G132" s="71">
        <v>305.14</v>
      </c>
      <c r="H132" s="126">
        <v>81.7</v>
      </c>
      <c r="I132" s="113">
        <v>5.2</v>
      </c>
      <c r="J132" s="114">
        <v>0.9</v>
      </c>
      <c r="K132" s="114">
        <v>11.1</v>
      </c>
      <c r="L132" s="114">
        <v>0.3</v>
      </c>
      <c r="M132" s="114">
        <v>1.1000000000000001</v>
      </c>
      <c r="N132" s="116">
        <v>99</v>
      </c>
      <c r="O132" s="117">
        <v>33</v>
      </c>
      <c r="P132" s="114">
        <v>0.92</v>
      </c>
      <c r="Q132" s="114">
        <v>1.28</v>
      </c>
      <c r="R132" s="73" t="s">
        <v>2</v>
      </c>
      <c r="S132" s="117" t="s">
        <v>2</v>
      </c>
      <c r="T132" s="117" t="s">
        <v>2</v>
      </c>
      <c r="U132" s="118" t="s">
        <v>2</v>
      </c>
      <c r="V132" s="118" t="s">
        <v>2</v>
      </c>
      <c r="W132" s="115" t="s">
        <v>2</v>
      </c>
      <c r="X132" s="119" t="s">
        <v>2</v>
      </c>
      <c r="Y132" s="118" t="s">
        <v>2</v>
      </c>
      <c r="Z132" s="118" t="s">
        <v>2</v>
      </c>
      <c r="AA132" s="118" t="s">
        <v>2</v>
      </c>
      <c r="AB132" s="118" t="s">
        <v>2</v>
      </c>
      <c r="AC132" s="118" t="s">
        <v>2</v>
      </c>
      <c r="AD132" s="117" t="s">
        <v>2</v>
      </c>
      <c r="AE132" s="117" t="s">
        <v>2</v>
      </c>
      <c r="AF132" s="114" t="s">
        <v>2</v>
      </c>
      <c r="AG132" s="115" t="s">
        <v>2</v>
      </c>
      <c r="AH132" s="120" t="s">
        <v>2</v>
      </c>
      <c r="AI132" s="120" t="s">
        <v>2</v>
      </c>
      <c r="AJ132" s="114" t="s">
        <v>2</v>
      </c>
      <c r="AK132" s="114" t="s">
        <v>2</v>
      </c>
      <c r="AL132" s="115" t="s">
        <v>2</v>
      </c>
      <c r="AM132" s="116" t="s">
        <v>2</v>
      </c>
      <c r="AN132" s="117" t="s">
        <v>2</v>
      </c>
      <c r="AO132" s="121" t="s">
        <v>2</v>
      </c>
      <c r="AP132" s="113" t="s">
        <v>2</v>
      </c>
      <c r="AQ132" s="118" t="s">
        <v>2</v>
      </c>
      <c r="AR132" s="118" t="s">
        <v>2</v>
      </c>
      <c r="AS132" s="118" t="s">
        <v>2</v>
      </c>
      <c r="AT132" s="118" t="s">
        <v>2</v>
      </c>
      <c r="AU132" s="118" t="s">
        <v>2</v>
      </c>
      <c r="AV132" s="122" t="s">
        <v>2</v>
      </c>
      <c r="AW132" s="119" t="s">
        <v>2</v>
      </c>
      <c r="AX132" s="118" t="s">
        <v>2</v>
      </c>
      <c r="AY132" s="118" t="s">
        <v>2</v>
      </c>
      <c r="AZ132" s="122" t="s">
        <v>2</v>
      </c>
      <c r="BA132" s="123" t="s">
        <v>2</v>
      </c>
      <c r="BB132" s="124" t="s">
        <v>2</v>
      </c>
      <c r="BC132" s="124" t="s">
        <v>2</v>
      </c>
      <c r="BD132" s="124" t="s">
        <v>2</v>
      </c>
      <c r="BE132" s="124" t="s">
        <v>2</v>
      </c>
      <c r="BF132" s="125" t="s">
        <v>2</v>
      </c>
      <c r="BG132" s="110" t="s">
        <v>2</v>
      </c>
      <c r="BH132" s="110" t="s">
        <v>2</v>
      </c>
      <c r="BI132" s="116" t="s">
        <v>2</v>
      </c>
      <c r="BJ132" s="117" t="s">
        <v>2</v>
      </c>
      <c r="BK132" s="117" t="s">
        <v>2</v>
      </c>
      <c r="BL132" s="117" t="s">
        <v>2</v>
      </c>
      <c r="BM132" s="117" t="s">
        <v>2</v>
      </c>
      <c r="BN132" s="117" t="s">
        <v>2</v>
      </c>
      <c r="BO132" s="117" t="s">
        <v>2</v>
      </c>
      <c r="BP132" s="117" t="s">
        <v>2</v>
      </c>
      <c r="BQ132" s="117" t="s">
        <v>2</v>
      </c>
      <c r="BR132" s="117" t="s">
        <v>2</v>
      </c>
      <c r="BS132" s="117" t="s">
        <v>2</v>
      </c>
      <c r="BT132" s="117" t="s">
        <v>2</v>
      </c>
      <c r="BU132" s="117" t="s">
        <v>2</v>
      </c>
      <c r="BV132" s="117" t="s">
        <v>2</v>
      </c>
      <c r="BW132" s="117" t="s">
        <v>2</v>
      </c>
      <c r="BX132" s="117" t="s">
        <v>2</v>
      </c>
      <c r="BY132" s="117" t="s">
        <v>2</v>
      </c>
      <c r="BZ132" s="121" t="s">
        <v>2</v>
      </c>
      <c r="CA132" s="119" t="s">
        <v>2</v>
      </c>
      <c r="CB132" s="114" t="s">
        <v>2</v>
      </c>
      <c r="CC132" s="114" t="s">
        <v>2</v>
      </c>
      <c r="CD132" s="114" t="s">
        <v>2</v>
      </c>
      <c r="CE132" s="114" t="s">
        <v>2</v>
      </c>
      <c r="CF132" s="114" t="s">
        <v>2</v>
      </c>
      <c r="CG132" s="115" t="s">
        <v>2</v>
      </c>
      <c r="CH132" s="117" t="s">
        <v>2</v>
      </c>
      <c r="CI132" s="121" t="s">
        <v>2</v>
      </c>
      <c r="CJ132" s="119" t="s">
        <v>2</v>
      </c>
      <c r="CK132" s="114" t="s">
        <v>2</v>
      </c>
      <c r="CL132" s="114" t="s">
        <v>2</v>
      </c>
      <c r="CM132" s="115" t="s">
        <v>2</v>
      </c>
      <c r="CN132" s="110" t="s">
        <v>2</v>
      </c>
      <c r="CO132" s="110" t="s">
        <v>2</v>
      </c>
    </row>
    <row r="133" spans="1:93" s="102" customFormat="1" x14ac:dyDescent="0.25">
      <c r="A133" s="107" t="s">
        <v>1184</v>
      </c>
      <c r="B133" s="108" t="s">
        <v>1257</v>
      </c>
      <c r="C133" s="109" t="s">
        <v>1329</v>
      </c>
      <c r="D133" s="287">
        <v>15</v>
      </c>
      <c r="E133" s="110">
        <v>0</v>
      </c>
      <c r="F133" s="120">
        <v>67</v>
      </c>
      <c r="G133" s="71">
        <v>280.06</v>
      </c>
      <c r="H133" s="126">
        <v>82.7</v>
      </c>
      <c r="I133" s="113">
        <v>4.3</v>
      </c>
      <c r="J133" s="114">
        <v>0.3</v>
      </c>
      <c r="K133" s="114">
        <v>11.8</v>
      </c>
      <c r="L133" s="114">
        <v>0.2</v>
      </c>
      <c r="M133" s="114">
        <v>0.9</v>
      </c>
      <c r="N133" s="116">
        <v>81</v>
      </c>
      <c r="O133" s="117">
        <v>27</v>
      </c>
      <c r="P133" s="114">
        <v>0.56000000000000005</v>
      </c>
      <c r="Q133" s="114">
        <v>0.64</v>
      </c>
      <c r="R133" s="73" t="s">
        <v>2</v>
      </c>
      <c r="S133" s="117" t="s">
        <v>2</v>
      </c>
      <c r="T133" s="117" t="s">
        <v>2</v>
      </c>
      <c r="U133" s="118" t="s">
        <v>2</v>
      </c>
      <c r="V133" s="118" t="s">
        <v>2</v>
      </c>
      <c r="W133" s="115" t="s">
        <v>2</v>
      </c>
      <c r="X133" s="119" t="s">
        <v>2</v>
      </c>
      <c r="Y133" s="118" t="s">
        <v>2</v>
      </c>
      <c r="Z133" s="118" t="s">
        <v>2</v>
      </c>
      <c r="AA133" s="118" t="s">
        <v>2</v>
      </c>
      <c r="AB133" s="118" t="s">
        <v>2</v>
      </c>
      <c r="AC133" s="118" t="s">
        <v>2</v>
      </c>
      <c r="AD133" s="117" t="s">
        <v>2</v>
      </c>
      <c r="AE133" s="117" t="s">
        <v>2</v>
      </c>
      <c r="AF133" s="114" t="s">
        <v>2</v>
      </c>
      <c r="AG133" s="115" t="s">
        <v>2</v>
      </c>
      <c r="AH133" s="120" t="s">
        <v>2</v>
      </c>
      <c r="AI133" s="120" t="s">
        <v>2</v>
      </c>
      <c r="AJ133" s="114" t="s">
        <v>2</v>
      </c>
      <c r="AK133" s="114" t="s">
        <v>2</v>
      </c>
      <c r="AL133" s="115" t="s">
        <v>2</v>
      </c>
      <c r="AM133" s="116" t="s">
        <v>2</v>
      </c>
      <c r="AN133" s="117" t="s">
        <v>2</v>
      </c>
      <c r="AO133" s="121" t="s">
        <v>2</v>
      </c>
      <c r="AP133" s="113" t="s">
        <v>2</v>
      </c>
      <c r="AQ133" s="118" t="s">
        <v>2</v>
      </c>
      <c r="AR133" s="118" t="s">
        <v>2</v>
      </c>
      <c r="AS133" s="118" t="s">
        <v>2</v>
      </c>
      <c r="AT133" s="118" t="s">
        <v>2</v>
      </c>
      <c r="AU133" s="118" t="s">
        <v>2</v>
      </c>
      <c r="AV133" s="122" t="s">
        <v>2</v>
      </c>
      <c r="AW133" s="119" t="s">
        <v>2</v>
      </c>
      <c r="AX133" s="118" t="s">
        <v>2</v>
      </c>
      <c r="AY133" s="118" t="s">
        <v>2</v>
      </c>
      <c r="AZ133" s="122" t="s">
        <v>2</v>
      </c>
      <c r="BA133" s="123" t="s">
        <v>2</v>
      </c>
      <c r="BB133" s="124" t="s">
        <v>2</v>
      </c>
      <c r="BC133" s="124" t="s">
        <v>2</v>
      </c>
      <c r="BD133" s="124" t="s">
        <v>2</v>
      </c>
      <c r="BE133" s="124" t="s">
        <v>2</v>
      </c>
      <c r="BF133" s="125" t="s">
        <v>2</v>
      </c>
      <c r="BG133" s="110" t="s">
        <v>2</v>
      </c>
      <c r="BH133" s="110" t="s">
        <v>2</v>
      </c>
      <c r="BI133" s="116" t="s">
        <v>2</v>
      </c>
      <c r="BJ133" s="117" t="s">
        <v>2</v>
      </c>
      <c r="BK133" s="117" t="s">
        <v>2</v>
      </c>
      <c r="BL133" s="117" t="s">
        <v>2</v>
      </c>
      <c r="BM133" s="117" t="s">
        <v>2</v>
      </c>
      <c r="BN133" s="117" t="s">
        <v>2</v>
      </c>
      <c r="BO133" s="117" t="s">
        <v>2</v>
      </c>
      <c r="BP133" s="117" t="s">
        <v>2</v>
      </c>
      <c r="BQ133" s="117" t="s">
        <v>2</v>
      </c>
      <c r="BR133" s="117" t="s">
        <v>2</v>
      </c>
      <c r="BS133" s="117" t="s">
        <v>2</v>
      </c>
      <c r="BT133" s="117" t="s">
        <v>2</v>
      </c>
      <c r="BU133" s="117" t="s">
        <v>2</v>
      </c>
      <c r="BV133" s="117" t="s">
        <v>2</v>
      </c>
      <c r="BW133" s="117" t="s">
        <v>2</v>
      </c>
      <c r="BX133" s="117" t="s">
        <v>2</v>
      </c>
      <c r="BY133" s="117" t="s">
        <v>2</v>
      </c>
      <c r="BZ133" s="121" t="s">
        <v>2</v>
      </c>
      <c r="CA133" s="119" t="s">
        <v>2</v>
      </c>
      <c r="CB133" s="114" t="s">
        <v>2</v>
      </c>
      <c r="CC133" s="114" t="s">
        <v>2</v>
      </c>
      <c r="CD133" s="114" t="s">
        <v>2</v>
      </c>
      <c r="CE133" s="114" t="s">
        <v>2</v>
      </c>
      <c r="CF133" s="114" t="s">
        <v>2</v>
      </c>
      <c r="CG133" s="115" t="s">
        <v>2</v>
      </c>
      <c r="CH133" s="117" t="s">
        <v>2</v>
      </c>
      <c r="CI133" s="121" t="s">
        <v>2</v>
      </c>
      <c r="CJ133" s="119" t="s">
        <v>2</v>
      </c>
      <c r="CK133" s="114" t="s">
        <v>2</v>
      </c>
      <c r="CL133" s="114" t="s">
        <v>2</v>
      </c>
      <c r="CM133" s="115" t="s">
        <v>2</v>
      </c>
      <c r="CN133" s="110" t="s">
        <v>2</v>
      </c>
      <c r="CO133" s="110" t="s">
        <v>2</v>
      </c>
    </row>
    <row r="134" spans="1:93" s="102" customFormat="1" x14ac:dyDescent="0.25">
      <c r="A134" s="107" t="s">
        <v>1185</v>
      </c>
      <c r="B134" s="108" t="s">
        <v>1258</v>
      </c>
      <c r="C134" s="109" t="s">
        <v>1330</v>
      </c>
      <c r="D134" s="287">
        <v>15</v>
      </c>
      <c r="E134" s="110">
        <v>0</v>
      </c>
      <c r="F134" s="120">
        <v>73</v>
      </c>
      <c r="G134" s="71">
        <v>305.14</v>
      </c>
      <c r="H134" s="126">
        <v>81.900000000000006</v>
      </c>
      <c r="I134" s="113">
        <v>3.8</v>
      </c>
      <c r="J134" s="114">
        <v>1</v>
      </c>
      <c r="K134" s="114">
        <v>12.3</v>
      </c>
      <c r="L134" s="114">
        <v>0.6</v>
      </c>
      <c r="M134" s="114">
        <v>1</v>
      </c>
      <c r="N134" s="116">
        <v>96</v>
      </c>
      <c r="O134" s="117">
        <v>25</v>
      </c>
      <c r="P134" s="114">
        <v>0.65</v>
      </c>
      <c r="Q134" s="114">
        <v>0.38</v>
      </c>
      <c r="R134" s="73" t="s">
        <v>2</v>
      </c>
      <c r="S134" s="117" t="s">
        <v>2</v>
      </c>
      <c r="T134" s="117" t="s">
        <v>2</v>
      </c>
      <c r="U134" s="118" t="s">
        <v>2</v>
      </c>
      <c r="V134" s="118" t="s">
        <v>2</v>
      </c>
      <c r="W134" s="115" t="s">
        <v>2</v>
      </c>
      <c r="X134" s="119" t="s">
        <v>2</v>
      </c>
      <c r="Y134" s="118" t="s">
        <v>2</v>
      </c>
      <c r="Z134" s="118" t="s">
        <v>2</v>
      </c>
      <c r="AA134" s="118" t="s">
        <v>2</v>
      </c>
      <c r="AB134" s="118" t="s">
        <v>2</v>
      </c>
      <c r="AC134" s="118" t="s">
        <v>2</v>
      </c>
      <c r="AD134" s="117" t="s">
        <v>2</v>
      </c>
      <c r="AE134" s="117" t="s">
        <v>2</v>
      </c>
      <c r="AF134" s="114" t="s">
        <v>2</v>
      </c>
      <c r="AG134" s="115" t="s">
        <v>2</v>
      </c>
      <c r="AH134" s="120" t="s">
        <v>2</v>
      </c>
      <c r="AI134" s="120" t="s">
        <v>2</v>
      </c>
      <c r="AJ134" s="114" t="s">
        <v>2</v>
      </c>
      <c r="AK134" s="114" t="s">
        <v>2</v>
      </c>
      <c r="AL134" s="115" t="s">
        <v>2</v>
      </c>
      <c r="AM134" s="116" t="s">
        <v>2</v>
      </c>
      <c r="AN134" s="117" t="s">
        <v>2</v>
      </c>
      <c r="AO134" s="121" t="s">
        <v>2</v>
      </c>
      <c r="AP134" s="113" t="s">
        <v>2</v>
      </c>
      <c r="AQ134" s="118" t="s">
        <v>2</v>
      </c>
      <c r="AR134" s="118" t="s">
        <v>2</v>
      </c>
      <c r="AS134" s="118" t="s">
        <v>2</v>
      </c>
      <c r="AT134" s="118" t="s">
        <v>2</v>
      </c>
      <c r="AU134" s="118" t="s">
        <v>2</v>
      </c>
      <c r="AV134" s="122" t="s">
        <v>2</v>
      </c>
      <c r="AW134" s="119" t="s">
        <v>2</v>
      </c>
      <c r="AX134" s="118" t="s">
        <v>2</v>
      </c>
      <c r="AY134" s="118" t="s">
        <v>2</v>
      </c>
      <c r="AZ134" s="122" t="s">
        <v>2</v>
      </c>
      <c r="BA134" s="123" t="s">
        <v>2</v>
      </c>
      <c r="BB134" s="124" t="s">
        <v>2</v>
      </c>
      <c r="BC134" s="124" t="s">
        <v>2</v>
      </c>
      <c r="BD134" s="124" t="s">
        <v>2</v>
      </c>
      <c r="BE134" s="124" t="s">
        <v>2</v>
      </c>
      <c r="BF134" s="125" t="s">
        <v>2</v>
      </c>
      <c r="BG134" s="110" t="s">
        <v>2</v>
      </c>
      <c r="BH134" s="110" t="s">
        <v>2</v>
      </c>
      <c r="BI134" s="116" t="s">
        <v>2</v>
      </c>
      <c r="BJ134" s="117" t="s">
        <v>2</v>
      </c>
      <c r="BK134" s="117" t="s">
        <v>2</v>
      </c>
      <c r="BL134" s="117" t="s">
        <v>2</v>
      </c>
      <c r="BM134" s="117" t="s">
        <v>2</v>
      </c>
      <c r="BN134" s="117" t="s">
        <v>2</v>
      </c>
      <c r="BO134" s="117" t="s">
        <v>2</v>
      </c>
      <c r="BP134" s="117" t="s">
        <v>2</v>
      </c>
      <c r="BQ134" s="117" t="s">
        <v>2</v>
      </c>
      <c r="BR134" s="117" t="s">
        <v>2</v>
      </c>
      <c r="BS134" s="117" t="s">
        <v>2</v>
      </c>
      <c r="BT134" s="117" t="s">
        <v>2</v>
      </c>
      <c r="BU134" s="117" t="s">
        <v>2</v>
      </c>
      <c r="BV134" s="117" t="s">
        <v>2</v>
      </c>
      <c r="BW134" s="117" t="s">
        <v>2</v>
      </c>
      <c r="BX134" s="117" t="s">
        <v>2</v>
      </c>
      <c r="BY134" s="117" t="s">
        <v>2</v>
      </c>
      <c r="BZ134" s="121" t="s">
        <v>2</v>
      </c>
      <c r="CA134" s="119" t="s">
        <v>2</v>
      </c>
      <c r="CB134" s="114" t="s">
        <v>2</v>
      </c>
      <c r="CC134" s="114" t="s">
        <v>2</v>
      </c>
      <c r="CD134" s="114" t="s">
        <v>2</v>
      </c>
      <c r="CE134" s="114" t="s">
        <v>2</v>
      </c>
      <c r="CF134" s="114" t="s">
        <v>2</v>
      </c>
      <c r="CG134" s="115" t="s">
        <v>2</v>
      </c>
      <c r="CH134" s="117" t="s">
        <v>2</v>
      </c>
      <c r="CI134" s="121" t="s">
        <v>2</v>
      </c>
      <c r="CJ134" s="119" t="s">
        <v>2</v>
      </c>
      <c r="CK134" s="114" t="s">
        <v>2</v>
      </c>
      <c r="CL134" s="114" t="s">
        <v>2</v>
      </c>
      <c r="CM134" s="115" t="s">
        <v>2</v>
      </c>
      <c r="CN134" s="110" t="s">
        <v>2</v>
      </c>
      <c r="CO134" s="110" t="s">
        <v>2</v>
      </c>
    </row>
    <row r="135" spans="1:93" s="102" customFormat="1" x14ac:dyDescent="0.25">
      <c r="A135" s="107" t="s">
        <v>1186</v>
      </c>
      <c r="B135" s="108" t="s">
        <v>1259</v>
      </c>
      <c r="C135" s="109" t="s">
        <v>1331</v>
      </c>
      <c r="D135" s="287">
        <v>15</v>
      </c>
      <c r="E135" s="110">
        <v>0</v>
      </c>
      <c r="F135" s="120">
        <v>322</v>
      </c>
      <c r="G135" s="71">
        <v>1345.96</v>
      </c>
      <c r="H135" s="126">
        <v>46.7</v>
      </c>
      <c r="I135" s="113">
        <v>26.5</v>
      </c>
      <c r="J135" s="114">
        <v>23.8</v>
      </c>
      <c r="K135" s="114">
        <v>0.54</v>
      </c>
      <c r="L135" s="114">
        <v>0.5</v>
      </c>
      <c r="M135" s="114">
        <v>2.46</v>
      </c>
      <c r="N135" s="116">
        <v>140</v>
      </c>
      <c r="O135" s="117">
        <v>62</v>
      </c>
      <c r="P135" s="114">
        <v>7.88</v>
      </c>
      <c r="Q135" s="114">
        <v>2.66</v>
      </c>
      <c r="R135" s="73" t="s">
        <v>2</v>
      </c>
      <c r="S135" s="117" t="s">
        <v>2</v>
      </c>
      <c r="T135" s="117" t="s">
        <v>2</v>
      </c>
      <c r="U135" s="118" t="s">
        <v>2</v>
      </c>
      <c r="V135" s="118" t="s">
        <v>2</v>
      </c>
      <c r="W135" s="115" t="s">
        <v>2</v>
      </c>
      <c r="X135" s="119" t="s">
        <v>2</v>
      </c>
      <c r="Y135" s="118" t="s">
        <v>2</v>
      </c>
      <c r="Z135" s="118" t="s">
        <v>2</v>
      </c>
      <c r="AA135" s="118" t="s">
        <v>2</v>
      </c>
      <c r="AB135" s="118" t="s">
        <v>2</v>
      </c>
      <c r="AC135" s="118" t="s">
        <v>2</v>
      </c>
      <c r="AD135" s="117" t="s">
        <v>2</v>
      </c>
      <c r="AE135" s="117" t="s">
        <v>2</v>
      </c>
      <c r="AF135" s="114" t="s">
        <v>2</v>
      </c>
      <c r="AG135" s="115" t="s">
        <v>2</v>
      </c>
      <c r="AH135" s="120" t="s">
        <v>2</v>
      </c>
      <c r="AI135" s="120" t="s">
        <v>2</v>
      </c>
      <c r="AJ135" s="114" t="s">
        <v>2</v>
      </c>
      <c r="AK135" s="114" t="s">
        <v>2</v>
      </c>
      <c r="AL135" s="115" t="s">
        <v>2</v>
      </c>
      <c r="AM135" s="116" t="s">
        <v>2</v>
      </c>
      <c r="AN135" s="117" t="s">
        <v>2</v>
      </c>
      <c r="AO135" s="121" t="s">
        <v>2</v>
      </c>
      <c r="AP135" s="113" t="s">
        <v>2</v>
      </c>
      <c r="AQ135" s="118" t="s">
        <v>2</v>
      </c>
      <c r="AR135" s="118" t="s">
        <v>2</v>
      </c>
      <c r="AS135" s="118" t="s">
        <v>2</v>
      </c>
      <c r="AT135" s="118" t="s">
        <v>2</v>
      </c>
      <c r="AU135" s="118" t="s">
        <v>2</v>
      </c>
      <c r="AV135" s="122" t="s">
        <v>2</v>
      </c>
      <c r="AW135" s="119" t="s">
        <v>2</v>
      </c>
      <c r="AX135" s="118" t="s">
        <v>2</v>
      </c>
      <c r="AY135" s="118" t="s">
        <v>2</v>
      </c>
      <c r="AZ135" s="122" t="s">
        <v>2</v>
      </c>
      <c r="BA135" s="123" t="s">
        <v>2</v>
      </c>
      <c r="BB135" s="124" t="s">
        <v>2</v>
      </c>
      <c r="BC135" s="124" t="s">
        <v>2</v>
      </c>
      <c r="BD135" s="124" t="s">
        <v>2</v>
      </c>
      <c r="BE135" s="124" t="s">
        <v>2</v>
      </c>
      <c r="BF135" s="125" t="s">
        <v>2</v>
      </c>
      <c r="BG135" s="110" t="s">
        <v>2</v>
      </c>
      <c r="BH135" s="110" t="s">
        <v>2</v>
      </c>
      <c r="BI135" s="116" t="s">
        <v>2</v>
      </c>
      <c r="BJ135" s="117" t="s">
        <v>2</v>
      </c>
      <c r="BK135" s="117" t="s">
        <v>2</v>
      </c>
      <c r="BL135" s="117" t="s">
        <v>2</v>
      </c>
      <c r="BM135" s="117" t="s">
        <v>2</v>
      </c>
      <c r="BN135" s="117" t="s">
        <v>2</v>
      </c>
      <c r="BO135" s="117" t="s">
        <v>2</v>
      </c>
      <c r="BP135" s="117" t="s">
        <v>2</v>
      </c>
      <c r="BQ135" s="117" t="s">
        <v>2</v>
      </c>
      <c r="BR135" s="117" t="s">
        <v>2</v>
      </c>
      <c r="BS135" s="117" t="s">
        <v>2</v>
      </c>
      <c r="BT135" s="117" t="s">
        <v>2</v>
      </c>
      <c r="BU135" s="117" t="s">
        <v>2</v>
      </c>
      <c r="BV135" s="117" t="s">
        <v>2</v>
      </c>
      <c r="BW135" s="117" t="s">
        <v>2</v>
      </c>
      <c r="BX135" s="117" t="s">
        <v>2</v>
      </c>
      <c r="BY135" s="117" t="s">
        <v>2</v>
      </c>
      <c r="BZ135" s="121" t="s">
        <v>2</v>
      </c>
      <c r="CA135" s="119" t="s">
        <v>2</v>
      </c>
      <c r="CB135" s="114" t="s">
        <v>2</v>
      </c>
      <c r="CC135" s="114" t="s">
        <v>2</v>
      </c>
      <c r="CD135" s="114" t="s">
        <v>2</v>
      </c>
      <c r="CE135" s="114" t="s">
        <v>2</v>
      </c>
      <c r="CF135" s="114" t="s">
        <v>2</v>
      </c>
      <c r="CG135" s="115" t="s">
        <v>2</v>
      </c>
      <c r="CH135" s="117" t="s">
        <v>2</v>
      </c>
      <c r="CI135" s="121" t="s">
        <v>2</v>
      </c>
      <c r="CJ135" s="119" t="s">
        <v>2</v>
      </c>
      <c r="CK135" s="114" t="s">
        <v>2</v>
      </c>
      <c r="CL135" s="114" t="s">
        <v>2</v>
      </c>
      <c r="CM135" s="115" t="s">
        <v>2</v>
      </c>
      <c r="CN135" s="110" t="s">
        <v>2</v>
      </c>
      <c r="CO135" s="110" t="s">
        <v>2</v>
      </c>
    </row>
    <row r="136" spans="1:93" s="102" customFormat="1" x14ac:dyDescent="0.25">
      <c r="A136" s="107" t="s">
        <v>1187</v>
      </c>
      <c r="B136" s="108" t="s">
        <v>1260</v>
      </c>
      <c r="C136" s="109" t="s">
        <v>1332</v>
      </c>
      <c r="D136" s="287">
        <v>15</v>
      </c>
      <c r="E136" s="110">
        <v>0</v>
      </c>
      <c r="F136" s="120">
        <v>230</v>
      </c>
      <c r="G136" s="71">
        <v>961.4</v>
      </c>
      <c r="H136" s="126">
        <v>42.4</v>
      </c>
      <c r="I136" s="113">
        <v>5.5</v>
      </c>
      <c r="J136" s="114">
        <v>0.4</v>
      </c>
      <c r="K136" s="114">
        <v>51</v>
      </c>
      <c r="L136" s="114">
        <v>1.3</v>
      </c>
      <c r="M136" s="115">
        <v>0.7</v>
      </c>
      <c r="N136" s="116">
        <v>54</v>
      </c>
      <c r="O136" s="117">
        <v>110</v>
      </c>
      <c r="P136" s="114">
        <v>0.51</v>
      </c>
      <c r="Q136" s="114">
        <v>0.98</v>
      </c>
      <c r="R136" s="73" t="s">
        <v>2</v>
      </c>
      <c r="S136" s="117" t="s">
        <v>2</v>
      </c>
      <c r="T136" s="117" t="s">
        <v>2</v>
      </c>
      <c r="U136" s="118" t="s">
        <v>2</v>
      </c>
      <c r="V136" s="118" t="s">
        <v>2</v>
      </c>
      <c r="W136" s="115" t="s">
        <v>2</v>
      </c>
      <c r="X136" s="119" t="s">
        <v>2</v>
      </c>
      <c r="Y136" s="118" t="s">
        <v>2</v>
      </c>
      <c r="Z136" s="118" t="s">
        <v>2</v>
      </c>
      <c r="AA136" s="118" t="s">
        <v>2</v>
      </c>
      <c r="AB136" s="118" t="s">
        <v>2</v>
      </c>
      <c r="AC136" s="118" t="s">
        <v>2</v>
      </c>
      <c r="AD136" s="117" t="s">
        <v>2</v>
      </c>
      <c r="AE136" s="117" t="s">
        <v>2</v>
      </c>
      <c r="AF136" s="114" t="s">
        <v>2</v>
      </c>
      <c r="AG136" s="115" t="s">
        <v>2</v>
      </c>
      <c r="AH136" s="120" t="s">
        <v>2</v>
      </c>
      <c r="AI136" s="120" t="s">
        <v>2</v>
      </c>
      <c r="AJ136" s="114" t="s">
        <v>2</v>
      </c>
      <c r="AK136" s="114" t="s">
        <v>2</v>
      </c>
      <c r="AL136" s="115" t="s">
        <v>2</v>
      </c>
      <c r="AM136" s="116" t="s">
        <v>2</v>
      </c>
      <c r="AN136" s="117" t="s">
        <v>2</v>
      </c>
      <c r="AO136" s="121" t="s">
        <v>2</v>
      </c>
      <c r="AP136" s="113" t="s">
        <v>2</v>
      </c>
      <c r="AQ136" s="118" t="s">
        <v>2</v>
      </c>
      <c r="AR136" s="118" t="s">
        <v>2</v>
      </c>
      <c r="AS136" s="118" t="s">
        <v>2</v>
      </c>
      <c r="AT136" s="118" t="s">
        <v>2</v>
      </c>
      <c r="AU136" s="118" t="s">
        <v>2</v>
      </c>
      <c r="AV136" s="122" t="s">
        <v>2</v>
      </c>
      <c r="AW136" s="119" t="s">
        <v>2</v>
      </c>
      <c r="AX136" s="118" t="s">
        <v>2</v>
      </c>
      <c r="AY136" s="118" t="s">
        <v>2</v>
      </c>
      <c r="AZ136" s="122" t="s">
        <v>2</v>
      </c>
      <c r="BA136" s="123" t="s">
        <v>2</v>
      </c>
      <c r="BB136" s="124" t="s">
        <v>2</v>
      </c>
      <c r="BC136" s="124" t="s">
        <v>2</v>
      </c>
      <c r="BD136" s="124" t="s">
        <v>2</v>
      </c>
      <c r="BE136" s="124" t="s">
        <v>2</v>
      </c>
      <c r="BF136" s="125" t="s">
        <v>2</v>
      </c>
      <c r="BG136" s="110" t="s">
        <v>2</v>
      </c>
      <c r="BH136" s="110" t="s">
        <v>2</v>
      </c>
      <c r="BI136" s="116" t="s">
        <v>2</v>
      </c>
      <c r="BJ136" s="117" t="s">
        <v>2</v>
      </c>
      <c r="BK136" s="117" t="s">
        <v>2</v>
      </c>
      <c r="BL136" s="117" t="s">
        <v>2</v>
      </c>
      <c r="BM136" s="117" t="s">
        <v>2</v>
      </c>
      <c r="BN136" s="117" t="s">
        <v>2</v>
      </c>
      <c r="BO136" s="117" t="s">
        <v>2</v>
      </c>
      <c r="BP136" s="117" t="s">
        <v>2</v>
      </c>
      <c r="BQ136" s="117" t="s">
        <v>2</v>
      </c>
      <c r="BR136" s="117" t="s">
        <v>2</v>
      </c>
      <c r="BS136" s="117" t="s">
        <v>2</v>
      </c>
      <c r="BT136" s="117" t="s">
        <v>2</v>
      </c>
      <c r="BU136" s="117" t="s">
        <v>2</v>
      </c>
      <c r="BV136" s="117" t="s">
        <v>2</v>
      </c>
      <c r="BW136" s="117" t="s">
        <v>2</v>
      </c>
      <c r="BX136" s="117" t="s">
        <v>2</v>
      </c>
      <c r="BY136" s="117" t="s">
        <v>2</v>
      </c>
      <c r="BZ136" s="121" t="s">
        <v>2</v>
      </c>
      <c r="CA136" s="119" t="s">
        <v>2</v>
      </c>
      <c r="CB136" s="114" t="s">
        <v>2</v>
      </c>
      <c r="CC136" s="114" t="s">
        <v>2</v>
      </c>
      <c r="CD136" s="114" t="s">
        <v>2</v>
      </c>
      <c r="CE136" s="114" t="s">
        <v>2</v>
      </c>
      <c r="CF136" s="114" t="s">
        <v>2</v>
      </c>
      <c r="CG136" s="115" t="s">
        <v>2</v>
      </c>
      <c r="CH136" s="117" t="s">
        <v>2</v>
      </c>
      <c r="CI136" s="121" t="s">
        <v>2</v>
      </c>
      <c r="CJ136" s="119" t="s">
        <v>2</v>
      </c>
      <c r="CK136" s="114" t="s">
        <v>2</v>
      </c>
      <c r="CL136" s="114" t="s">
        <v>2</v>
      </c>
      <c r="CM136" s="115" t="s">
        <v>2</v>
      </c>
      <c r="CN136" s="110" t="s">
        <v>2</v>
      </c>
      <c r="CO136" s="110" t="s">
        <v>2</v>
      </c>
    </row>
    <row r="137" spans="1:93" s="102" customFormat="1" x14ac:dyDescent="0.25">
      <c r="A137" s="107" t="s">
        <v>1188</v>
      </c>
      <c r="B137" s="108" t="s">
        <v>1261</v>
      </c>
      <c r="C137" s="109" t="s">
        <v>1333</v>
      </c>
      <c r="D137" s="287">
        <v>15</v>
      </c>
      <c r="E137" s="110">
        <v>0</v>
      </c>
      <c r="F137" s="120">
        <v>231</v>
      </c>
      <c r="G137" s="71">
        <v>965.57999999999993</v>
      </c>
      <c r="H137" s="126">
        <v>42.8</v>
      </c>
      <c r="I137" s="113">
        <v>3.1</v>
      </c>
      <c r="J137" s="114">
        <v>0.8</v>
      </c>
      <c r="K137" s="114">
        <v>52.9</v>
      </c>
      <c r="L137" s="114">
        <v>0.1</v>
      </c>
      <c r="M137" s="115">
        <v>0.4</v>
      </c>
      <c r="N137" s="116">
        <v>24</v>
      </c>
      <c r="O137" s="117">
        <v>23</v>
      </c>
      <c r="P137" s="114">
        <v>0.28000000000000003</v>
      </c>
      <c r="Q137" s="114">
        <v>1.18</v>
      </c>
      <c r="R137" s="73" t="s">
        <v>2</v>
      </c>
      <c r="S137" s="117" t="s">
        <v>2</v>
      </c>
      <c r="T137" s="117" t="s">
        <v>2</v>
      </c>
      <c r="U137" s="118" t="s">
        <v>2</v>
      </c>
      <c r="V137" s="118" t="s">
        <v>2</v>
      </c>
      <c r="W137" s="115" t="s">
        <v>2</v>
      </c>
      <c r="X137" s="119" t="s">
        <v>2</v>
      </c>
      <c r="Y137" s="118" t="s">
        <v>2</v>
      </c>
      <c r="Z137" s="118" t="s">
        <v>2</v>
      </c>
      <c r="AA137" s="118" t="s">
        <v>2</v>
      </c>
      <c r="AB137" s="118" t="s">
        <v>2</v>
      </c>
      <c r="AC137" s="118" t="s">
        <v>2</v>
      </c>
      <c r="AD137" s="117" t="s">
        <v>2</v>
      </c>
      <c r="AE137" s="117" t="s">
        <v>2</v>
      </c>
      <c r="AF137" s="114" t="s">
        <v>2</v>
      </c>
      <c r="AG137" s="115" t="s">
        <v>2</v>
      </c>
      <c r="AH137" s="120" t="s">
        <v>2</v>
      </c>
      <c r="AI137" s="120" t="s">
        <v>2</v>
      </c>
      <c r="AJ137" s="114" t="s">
        <v>2</v>
      </c>
      <c r="AK137" s="114" t="s">
        <v>2</v>
      </c>
      <c r="AL137" s="115" t="s">
        <v>2</v>
      </c>
      <c r="AM137" s="116" t="s">
        <v>2</v>
      </c>
      <c r="AN137" s="117" t="s">
        <v>2</v>
      </c>
      <c r="AO137" s="121" t="s">
        <v>2</v>
      </c>
      <c r="AP137" s="113" t="s">
        <v>2</v>
      </c>
      <c r="AQ137" s="118" t="s">
        <v>2</v>
      </c>
      <c r="AR137" s="118" t="s">
        <v>2</v>
      </c>
      <c r="AS137" s="118" t="s">
        <v>2</v>
      </c>
      <c r="AT137" s="118" t="s">
        <v>2</v>
      </c>
      <c r="AU137" s="118" t="s">
        <v>2</v>
      </c>
      <c r="AV137" s="122" t="s">
        <v>2</v>
      </c>
      <c r="AW137" s="119" t="s">
        <v>2</v>
      </c>
      <c r="AX137" s="118" t="s">
        <v>2</v>
      </c>
      <c r="AY137" s="118" t="s">
        <v>2</v>
      </c>
      <c r="AZ137" s="122" t="s">
        <v>2</v>
      </c>
      <c r="BA137" s="123" t="s">
        <v>2</v>
      </c>
      <c r="BB137" s="124" t="s">
        <v>2</v>
      </c>
      <c r="BC137" s="124" t="s">
        <v>2</v>
      </c>
      <c r="BD137" s="124" t="s">
        <v>2</v>
      </c>
      <c r="BE137" s="124" t="s">
        <v>2</v>
      </c>
      <c r="BF137" s="125" t="s">
        <v>2</v>
      </c>
      <c r="BG137" s="110" t="s">
        <v>2</v>
      </c>
      <c r="BH137" s="110" t="s">
        <v>2</v>
      </c>
      <c r="BI137" s="116" t="s">
        <v>2</v>
      </c>
      <c r="BJ137" s="117" t="s">
        <v>2</v>
      </c>
      <c r="BK137" s="117" t="s">
        <v>2</v>
      </c>
      <c r="BL137" s="117" t="s">
        <v>2</v>
      </c>
      <c r="BM137" s="117" t="s">
        <v>2</v>
      </c>
      <c r="BN137" s="117" t="s">
        <v>2</v>
      </c>
      <c r="BO137" s="117" t="s">
        <v>2</v>
      </c>
      <c r="BP137" s="117" t="s">
        <v>2</v>
      </c>
      <c r="BQ137" s="117" t="s">
        <v>2</v>
      </c>
      <c r="BR137" s="117" t="s">
        <v>2</v>
      </c>
      <c r="BS137" s="117" t="s">
        <v>2</v>
      </c>
      <c r="BT137" s="117" t="s">
        <v>2</v>
      </c>
      <c r="BU137" s="117" t="s">
        <v>2</v>
      </c>
      <c r="BV137" s="117" t="s">
        <v>2</v>
      </c>
      <c r="BW137" s="117" t="s">
        <v>2</v>
      </c>
      <c r="BX137" s="117" t="s">
        <v>2</v>
      </c>
      <c r="BY137" s="117" t="s">
        <v>2</v>
      </c>
      <c r="BZ137" s="121" t="s">
        <v>2</v>
      </c>
      <c r="CA137" s="119" t="s">
        <v>2</v>
      </c>
      <c r="CB137" s="114" t="s">
        <v>2</v>
      </c>
      <c r="CC137" s="114" t="s">
        <v>2</v>
      </c>
      <c r="CD137" s="114" t="s">
        <v>2</v>
      </c>
      <c r="CE137" s="114" t="s">
        <v>2</v>
      </c>
      <c r="CF137" s="114" t="s">
        <v>2</v>
      </c>
      <c r="CG137" s="115" t="s">
        <v>2</v>
      </c>
      <c r="CH137" s="117" t="s">
        <v>2</v>
      </c>
      <c r="CI137" s="121" t="s">
        <v>2</v>
      </c>
      <c r="CJ137" s="119" t="s">
        <v>2</v>
      </c>
      <c r="CK137" s="114" t="s">
        <v>2</v>
      </c>
      <c r="CL137" s="114" t="s">
        <v>2</v>
      </c>
      <c r="CM137" s="115" t="s">
        <v>2</v>
      </c>
      <c r="CN137" s="110" t="s">
        <v>2</v>
      </c>
      <c r="CO137" s="110" t="s">
        <v>2</v>
      </c>
    </row>
    <row r="138" spans="1:93" s="102" customFormat="1" x14ac:dyDescent="0.25">
      <c r="A138" s="107" t="s">
        <v>1189</v>
      </c>
      <c r="B138" s="108" t="s">
        <v>1262</v>
      </c>
      <c r="C138" s="109" t="s">
        <v>1334</v>
      </c>
      <c r="D138" s="287">
        <v>15</v>
      </c>
      <c r="E138" s="110">
        <v>0</v>
      </c>
      <c r="F138" s="120">
        <v>246</v>
      </c>
      <c r="G138" s="71">
        <v>1028.28</v>
      </c>
      <c r="H138" s="126">
        <v>43.6</v>
      </c>
      <c r="I138" s="113">
        <v>4.2</v>
      </c>
      <c r="J138" s="114">
        <v>4.3</v>
      </c>
      <c r="K138" s="114">
        <v>47.5</v>
      </c>
      <c r="L138" s="114">
        <v>1.1000000000000001</v>
      </c>
      <c r="M138" s="115">
        <v>0.4</v>
      </c>
      <c r="N138" s="116">
        <v>33</v>
      </c>
      <c r="O138" s="117">
        <v>97</v>
      </c>
      <c r="P138" s="114">
        <v>0.32</v>
      </c>
      <c r="Q138" s="114">
        <v>1.04</v>
      </c>
      <c r="R138" s="73" t="s">
        <v>2</v>
      </c>
      <c r="S138" s="117" t="s">
        <v>2</v>
      </c>
      <c r="T138" s="117" t="s">
        <v>2</v>
      </c>
      <c r="U138" s="118" t="s">
        <v>2</v>
      </c>
      <c r="V138" s="118" t="s">
        <v>2</v>
      </c>
      <c r="W138" s="115" t="s">
        <v>2</v>
      </c>
      <c r="X138" s="119" t="s">
        <v>2</v>
      </c>
      <c r="Y138" s="118" t="s">
        <v>2</v>
      </c>
      <c r="Z138" s="118" t="s">
        <v>2</v>
      </c>
      <c r="AA138" s="118" t="s">
        <v>2</v>
      </c>
      <c r="AB138" s="118" t="s">
        <v>2</v>
      </c>
      <c r="AC138" s="118" t="s">
        <v>2</v>
      </c>
      <c r="AD138" s="117" t="s">
        <v>2</v>
      </c>
      <c r="AE138" s="117" t="s">
        <v>2</v>
      </c>
      <c r="AF138" s="114" t="s">
        <v>2</v>
      </c>
      <c r="AG138" s="115" t="s">
        <v>2</v>
      </c>
      <c r="AH138" s="120" t="s">
        <v>2</v>
      </c>
      <c r="AI138" s="120" t="s">
        <v>2</v>
      </c>
      <c r="AJ138" s="114" t="s">
        <v>2</v>
      </c>
      <c r="AK138" s="114" t="s">
        <v>2</v>
      </c>
      <c r="AL138" s="115" t="s">
        <v>2</v>
      </c>
      <c r="AM138" s="116" t="s">
        <v>2</v>
      </c>
      <c r="AN138" s="117" t="s">
        <v>2</v>
      </c>
      <c r="AO138" s="121" t="s">
        <v>2</v>
      </c>
      <c r="AP138" s="113" t="s">
        <v>2</v>
      </c>
      <c r="AQ138" s="118" t="s">
        <v>2</v>
      </c>
      <c r="AR138" s="118" t="s">
        <v>2</v>
      </c>
      <c r="AS138" s="118" t="s">
        <v>2</v>
      </c>
      <c r="AT138" s="118" t="s">
        <v>2</v>
      </c>
      <c r="AU138" s="118" t="s">
        <v>2</v>
      </c>
      <c r="AV138" s="122" t="s">
        <v>2</v>
      </c>
      <c r="AW138" s="119" t="s">
        <v>2</v>
      </c>
      <c r="AX138" s="118" t="s">
        <v>2</v>
      </c>
      <c r="AY138" s="118" t="s">
        <v>2</v>
      </c>
      <c r="AZ138" s="122" t="s">
        <v>2</v>
      </c>
      <c r="BA138" s="123" t="s">
        <v>2</v>
      </c>
      <c r="BB138" s="124" t="s">
        <v>2</v>
      </c>
      <c r="BC138" s="124" t="s">
        <v>2</v>
      </c>
      <c r="BD138" s="124" t="s">
        <v>2</v>
      </c>
      <c r="BE138" s="124" t="s">
        <v>2</v>
      </c>
      <c r="BF138" s="125" t="s">
        <v>2</v>
      </c>
      <c r="BG138" s="110" t="s">
        <v>2</v>
      </c>
      <c r="BH138" s="110" t="s">
        <v>2</v>
      </c>
      <c r="BI138" s="116" t="s">
        <v>2</v>
      </c>
      <c r="BJ138" s="117" t="s">
        <v>2</v>
      </c>
      <c r="BK138" s="117" t="s">
        <v>2</v>
      </c>
      <c r="BL138" s="117" t="s">
        <v>2</v>
      </c>
      <c r="BM138" s="117" t="s">
        <v>2</v>
      </c>
      <c r="BN138" s="117" t="s">
        <v>2</v>
      </c>
      <c r="BO138" s="117" t="s">
        <v>2</v>
      </c>
      <c r="BP138" s="117" t="s">
        <v>2</v>
      </c>
      <c r="BQ138" s="117" t="s">
        <v>2</v>
      </c>
      <c r="BR138" s="117" t="s">
        <v>2</v>
      </c>
      <c r="BS138" s="117" t="s">
        <v>2</v>
      </c>
      <c r="BT138" s="117" t="s">
        <v>2</v>
      </c>
      <c r="BU138" s="117" t="s">
        <v>2</v>
      </c>
      <c r="BV138" s="117" t="s">
        <v>2</v>
      </c>
      <c r="BW138" s="117" t="s">
        <v>2</v>
      </c>
      <c r="BX138" s="117" t="s">
        <v>2</v>
      </c>
      <c r="BY138" s="117" t="s">
        <v>2</v>
      </c>
      <c r="BZ138" s="121" t="s">
        <v>2</v>
      </c>
      <c r="CA138" s="119" t="s">
        <v>2</v>
      </c>
      <c r="CB138" s="114" t="s">
        <v>2</v>
      </c>
      <c r="CC138" s="114" t="s">
        <v>2</v>
      </c>
      <c r="CD138" s="114" t="s">
        <v>2</v>
      </c>
      <c r="CE138" s="114" t="s">
        <v>2</v>
      </c>
      <c r="CF138" s="114" t="s">
        <v>2</v>
      </c>
      <c r="CG138" s="115" t="s">
        <v>2</v>
      </c>
      <c r="CH138" s="117" t="s">
        <v>2</v>
      </c>
      <c r="CI138" s="121" t="s">
        <v>2</v>
      </c>
      <c r="CJ138" s="119" t="s">
        <v>2</v>
      </c>
      <c r="CK138" s="114" t="s">
        <v>2</v>
      </c>
      <c r="CL138" s="114" t="s">
        <v>2</v>
      </c>
      <c r="CM138" s="115" t="s">
        <v>2</v>
      </c>
      <c r="CN138" s="110" t="s">
        <v>2</v>
      </c>
      <c r="CO138" s="110" t="s">
        <v>2</v>
      </c>
    </row>
    <row r="139" spans="1:93" s="102" customFormat="1" x14ac:dyDescent="0.25">
      <c r="A139" s="107" t="s">
        <v>1190</v>
      </c>
      <c r="B139" s="108" t="s">
        <v>1263</v>
      </c>
      <c r="C139" s="109" t="s">
        <v>1335</v>
      </c>
      <c r="D139" s="287">
        <v>15</v>
      </c>
      <c r="E139" s="110">
        <v>0</v>
      </c>
      <c r="F139" s="120">
        <v>198</v>
      </c>
      <c r="G139" s="71">
        <v>827.64</v>
      </c>
      <c r="H139" s="126">
        <v>54.6</v>
      </c>
      <c r="I139" s="113">
        <v>4.4000000000000004</v>
      </c>
      <c r="J139" s="114">
        <v>4</v>
      </c>
      <c r="K139" s="114">
        <v>36</v>
      </c>
      <c r="L139" s="114">
        <v>1.2</v>
      </c>
      <c r="M139" s="115">
        <v>1</v>
      </c>
      <c r="N139" s="116">
        <v>31</v>
      </c>
      <c r="O139" s="117">
        <v>178</v>
      </c>
      <c r="P139" s="114">
        <v>0.21</v>
      </c>
      <c r="Q139" s="114">
        <v>1.2</v>
      </c>
      <c r="R139" s="73" t="s">
        <v>2</v>
      </c>
      <c r="S139" s="117" t="s">
        <v>2</v>
      </c>
      <c r="T139" s="117" t="s">
        <v>2</v>
      </c>
      <c r="U139" s="118" t="s">
        <v>2</v>
      </c>
      <c r="V139" s="118" t="s">
        <v>2</v>
      </c>
      <c r="W139" s="115" t="s">
        <v>2</v>
      </c>
      <c r="X139" s="119" t="s">
        <v>2</v>
      </c>
      <c r="Y139" s="118" t="s">
        <v>2</v>
      </c>
      <c r="Z139" s="118" t="s">
        <v>2</v>
      </c>
      <c r="AA139" s="118" t="s">
        <v>2</v>
      </c>
      <c r="AB139" s="118" t="s">
        <v>2</v>
      </c>
      <c r="AC139" s="118" t="s">
        <v>2</v>
      </c>
      <c r="AD139" s="117" t="s">
        <v>2</v>
      </c>
      <c r="AE139" s="117" t="s">
        <v>2</v>
      </c>
      <c r="AF139" s="114" t="s">
        <v>2</v>
      </c>
      <c r="AG139" s="115" t="s">
        <v>2</v>
      </c>
      <c r="AH139" s="120" t="s">
        <v>2</v>
      </c>
      <c r="AI139" s="120" t="s">
        <v>2</v>
      </c>
      <c r="AJ139" s="114" t="s">
        <v>2</v>
      </c>
      <c r="AK139" s="114" t="s">
        <v>2</v>
      </c>
      <c r="AL139" s="115" t="s">
        <v>2</v>
      </c>
      <c r="AM139" s="116" t="s">
        <v>2</v>
      </c>
      <c r="AN139" s="117" t="s">
        <v>2</v>
      </c>
      <c r="AO139" s="121" t="s">
        <v>2</v>
      </c>
      <c r="AP139" s="113" t="s">
        <v>2</v>
      </c>
      <c r="AQ139" s="118" t="s">
        <v>2</v>
      </c>
      <c r="AR139" s="118" t="s">
        <v>2</v>
      </c>
      <c r="AS139" s="118" t="s">
        <v>2</v>
      </c>
      <c r="AT139" s="118" t="s">
        <v>2</v>
      </c>
      <c r="AU139" s="118" t="s">
        <v>2</v>
      </c>
      <c r="AV139" s="122" t="s">
        <v>2</v>
      </c>
      <c r="AW139" s="119" t="s">
        <v>2</v>
      </c>
      <c r="AX139" s="118" t="s">
        <v>2</v>
      </c>
      <c r="AY139" s="118" t="s">
        <v>2</v>
      </c>
      <c r="AZ139" s="122" t="s">
        <v>2</v>
      </c>
      <c r="BA139" s="123" t="s">
        <v>2</v>
      </c>
      <c r="BB139" s="124" t="s">
        <v>2</v>
      </c>
      <c r="BC139" s="124" t="s">
        <v>2</v>
      </c>
      <c r="BD139" s="124" t="s">
        <v>2</v>
      </c>
      <c r="BE139" s="124" t="s">
        <v>2</v>
      </c>
      <c r="BF139" s="125" t="s">
        <v>2</v>
      </c>
      <c r="BG139" s="110" t="s">
        <v>2</v>
      </c>
      <c r="BH139" s="110" t="s">
        <v>2</v>
      </c>
      <c r="BI139" s="116" t="s">
        <v>2</v>
      </c>
      <c r="BJ139" s="117" t="s">
        <v>2</v>
      </c>
      <c r="BK139" s="117" t="s">
        <v>2</v>
      </c>
      <c r="BL139" s="117" t="s">
        <v>2</v>
      </c>
      <c r="BM139" s="117" t="s">
        <v>2</v>
      </c>
      <c r="BN139" s="117" t="s">
        <v>2</v>
      </c>
      <c r="BO139" s="117" t="s">
        <v>2</v>
      </c>
      <c r="BP139" s="117" t="s">
        <v>2</v>
      </c>
      <c r="BQ139" s="117" t="s">
        <v>2</v>
      </c>
      <c r="BR139" s="117" t="s">
        <v>2</v>
      </c>
      <c r="BS139" s="117" t="s">
        <v>2</v>
      </c>
      <c r="BT139" s="117" t="s">
        <v>2</v>
      </c>
      <c r="BU139" s="117" t="s">
        <v>2</v>
      </c>
      <c r="BV139" s="117" t="s">
        <v>2</v>
      </c>
      <c r="BW139" s="117" t="s">
        <v>2</v>
      </c>
      <c r="BX139" s="117" t="s">
        <v>2</v>
      </c>
      <c r="BY139" s="117" t="s">
        <v>2</v>
      </c>
      <c r="BZ139" s="121" t="s">
        <v>2</v>
      </c>
      <c r="CA139" s="119" t="s">
        <v>2</v>
      </c>
      <c r="CB139" s="114" t="s">
        <v>2</v>
      </c>
      <c r="CC139" s="114" t="s">
        <v>2</v>
      </c>
      <c r="CD139" s="114" t="s">
        <v>2</v>
      </c>
      <c r="CE139" s="114" t="s">
        <v>2</v>
      </c>
      <c r="CF139" s="114" t="s">
        <v>2</v>
      </c>
      <c r="CG139" s="115" t="s">
        <v>2</v>
      </c>
      <c r="CH139" s="117" t="s">
        <v>2</v>
      </c>
      <c r="CI139" s="121" t="s">
        <v>2</v>
      </c>
      <c r="CJ139" s="119" t="s">
        <v>2</v>
      </c>
      <c r="CK139" s="114" t="s">
        <v>2</v>
      </c>
      <c r="CL139" s="114" t="s">
        <v>2</v>
      </c>
      <c r="CM139" s="115" t="s">
        <v>2</v>
      </c>
      <c r="CN139" s="110" t="s">
        <v>2</v>
      </c>
      <c r="CO139" s="110" t="s">
        <v>2</v>
      </c>
    </row>
    <row r="140" spans="1:93" s="102" customFormat="1" ht="16.5" thickBot="1" x14ac:dyDescent="0.3">
      <c r="A140" s="131" t="s">
        <v>1191</v>
      </c>
      <c r="B140" s="150" t="s">
        <v>1264</v>
      </c>
      <c r="C140" s="150" t="s">
        <v>1336</v>
      </c>
      <c r="D140" s="287">
        <v>15</v>
      </c>
      <c r="E140" s="134">
        <v>0</v>
      </c>
      <c r="F140" s="135">
        <v>254</v>
      </c>
      <c r="G140" s="106">
        <v>1061.72</v>
      </c>
      <c r="H140" s="136">
        <v>40.299999999999997</v>
      </c>
      <c r="I140" s="137">
        <v>4.3</v>
      </c>
      <c r="J140" s="138">
        <v>3.7</v>
      </c>
      <c r="K140" s="138">
        <v>50.9</v>
      </c>
      <c r="L140" s="138">
        <v>0.4</v>
      </c>
      <c r="M140" s="139">
        <v>0.8</v>
      </c>
      <c r="N140" s="140">
        <v>28</v>
      </c>
      <c r="O140" s="141">
        <v>68</v>
      </c>
      <c r="P140" s="138">
        <v>0.4</v>
      </c>
      <c r="Q140" s="138">
        <v>0.88</v>
      </c>
      <c r="R140" s="105" t="s">
        <v>2</v>
      </c>
      <c r="S140" s="141" t="s">
        <v>2</v>
      </c>
      <c r="T140" s="141" t="s">
        <v>2</v>
      </c>
      <c r="U140" s="142" t="s">
        <v>2</v>
      </c>
      <c r="V140" s="142" t="s">
        <v>2</v>
      </c>
      <c r="W140" s="139" t="s">
        <v>2</v>
      </c>
      <c r="X140" s="143" t="s">
        <v>2</v>
      </c>
      <c r="Y140" s="142" t="s">
        <v>2</v>
      </c>
      <c r="Z140" s="142" t="s">
        <v>2</v>
      </c>
      <c r="AA140" s="142" t="s">
        <v>2</v>
      </c>
      <c r="AB140" s="142" t="s">
        <v>2</v>
      </c>
      <c r="AC140" s="142" t="s">
        <v>2</v>
      </c>
      <c r="AD140" s="141" t="s">
        <v>2</v>
      </c>
      <c r="AE140" s="141" t="s">
        <v>2</v>
      </c>
      <c r="AF140" s="138" t="s">
        <v>2</v>
      </c>
      <c r="AG140" s="139" t="s">
        <v>2</v>
      </c>
      <c r="AH140" s="135" t="s">
        <v>2</v>
      </c>
      <c r="AI140" s="135" t="s">
        <v>2</v>
      </c>
      <c r="AJ140" s="138" t="s">
        <v>2</v>
      </c>
      <c r="AK140" s="138" t="s">
        <v>2</v>
      </c>
      <c r="AL140" s="139" t="s">
        <v>2</v>
      </c>
      <c r="AM140" s="140" t="s">
        <v>2</v>
      </c>
      <c r="AN140" s="141" t="s">
        <v>2</v>
      </c>
      <c r="AO140" s="144" t="s">
        <v>2</v>
      </c>
      <c r="AP140" s="137" t="s">
        <v>2</v>
      </c>
      <c r="AQ140" s="142" t="s">
        <v>2</v>
      </c>
      <c r="AR140" s="142" t="s">
        <v>2</v>
      </c>
      <c r="AS140" s="142" t="s">
        <v>2</v>
      </c>
      <c r="AT140" s="142" t="s">
        <v>2</v>
      </c>
      <c r="AU140" s="142" t="s">
        <v>2</v>
      </c>
      <c r="AV140" s="145" t="s">
        <v>2</v>
      </c>
      <c r="AW140" s="143" t="s">
        <v>2</v>
      </c>
      <c r="AX140" s="142" t="s">
        <v>2</v>
      </c>
      <c r="AY140" s="142" t="s">
        <v>2</v>
      </c>
      <c r="AZ140" s="145" t="s">
        <v>2</v>
      </c>
      <c r="BA140" s="146" t="s">
        <v>2</v>
      </c>
      <c r="BB140" s="147" t="s">
        <v>2</v>
      </c>
      <c r="BC140" s="147" t="s">
        <v>2</v>
      </c>
      <c r="BD140" s="147" t="s">
        <v>2</v>
      </c>
      <c r="BE140" s="147" t="s">
        <v>2</v>
      </c>
      <c r="BF140" s="148" t="s">
        <v>2</v>
      </c>
      <c r="BG140" s="134" t="s">
        <v>2</v>
      </c>
      <c r="BH140" s="134" t="s">
        <v>2</v>
      </c>
      <c r="BI140" s="140" t="s">
        <v>2</v>
      </c>
      <c r="BJ140" s="141" t="s">
        <v>2</v>
      </c>
      <c r="BK140" s="141" t="s">
        <v>2</v>
      </c>
      <c r="BL140" s="141" t="s">
        <v>2</v>
      </c>
      <c r="BM140" s="141" t="s">
        <v>2</v>
      </c>
      <c r="BN140" s="141" t="s">
        <v>2</v>
      </c>
      <c r="BO140" s="141" t="s">
        <v>2</v>
      </c>
      <c r="BP140" s="141" t="s">
        <v>2</v>
      </c>
      <c r="BQ140" s="141" t="s">
        <v>2</v>
      </c>
      <c r="BR140" s="141" t="s">
        <v>2</v>
      </c>
      <c r="BS140" s="141" t="s">
        <v>2</v>
      </c>
      <c r="BT140" s="141" t="s">
        <v>2</v>
      </c>
      <c r="BU140" s="141" t="s">
        <v>2</v>
      </c>
      <c r="BV140" s="141" t="s">
        <v>2</v>
      </c>
      <c r="BW140" s="141" t="s">
        <v>2</v>
      </c>
      <c r="BX140" s="141" t="s">
        <v>2</v>
      </c>
      <c r="BY140" s="141" t="s">
        <v>2</v>
      </c>
      <c r="BZ140" s="144" t="s">
        <v>2</v>
      </c>
      <c r="CA140" s="143" t="s">
        <v>2</v>
      </c>
      <c r="CB140" s="138" t="s">
        <v>2</v>
      </c>
      <c r="CC140" s="138" t="s">
        <v>2</v>
      </c>
      <c r="CD140" s="138" t="s">
        <v>2</v>
      </c>
      <c r="CE140" s="138" t="s">
        <v>2</v>
      </c>
      <c r="CF140" s="138" t="s">
        <v>2</v>
      </c>
      <c r="CG140" s="139" t="s">
        <v>2</v>
      </c>
      <c r="CH140" s="141" t="s">
        <v>2</v>
      </c>
      <c r="CI140" s="144" t="s">
        <v>2</v>
      </c>
      <c r="CJ140" s="143" t="s">
        <v>2</v>
      </c>
      <c r="CK140" s="138" t="s">
        <v>2</v>
      </c>
      <c r="CL140" s="138" t="s">
        <v>2</v>
      </c>
      <c r="CM140" s="139" t="s">
        <v>2</v>
      </c>
      <c r="CN140" s="134" t="s">
        <v>2</v>
      </c>
      <c r="CO140" s="134" t="s">
        <v>2</v>
      </c>
    </row>
    <row r="141" spans="1:93" ht="16.5" thickTop="1" x14ac:dyDescent="0.25"/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O44"/>
  <sheetViews>
    <sheetView zoomScaleNormal="100" workbookViewId="0">
      <selection sqref="A1:XFD2"/>
    </sheetView>
  </sheetViews>
  <sheetFormatPr defaultColWidth="9.140625" defaultRowHeight="15.75" x14ac:dyDescent="0.25"/>
  <cols>
    <col min="1" max="1" width="15.42578125" style="58" customWidth="1"/>
    <col min="2" max="2" width="32.42578125" style="12" customWidth="1"/>
    <col min="3" max="3" width="45.28515625" style="12" customWidth="1"/>
    <col min="4" max="4" width="16.85546875" style="293" customWidth="1"/>
    <col min="5" max="5" width="7.85546875" style="12" bestFit="1" customWidth="1"/>
    <col min="6" max="6" width="11.42578125" style="12" bestFit="1" customWidth="1"/>
    <col min="7" max="7" width="16" style="12" customWidth="1"/>
    <col min="8" max="8" width="7.5703125" style="12" bestFit="1" customWidth="1"/>
    <col min="9" max="9" width="10.140625" style="12" bestFit="1" customWidth="1"/>
    <col min="10" max="10" width="9.5703125" style="12" bestFit="1" customWidth="1"/>
    <col min="11" max="11" width="15.140625" style="12" bestFit="1" customWidth="1"/>
    <col min="12" max="12" width="8.140625" style="12" bestFit="1" customWidth="1"/>
    <col min="13" max="13" width="5.5703125" style="12" bestFit="1" customWidth="1"/>
    <col min="14" max="14" width="8" style="12" customWidth="1"/>
    <col min="15" max="15" width="12.5703125" style="12" bestFit="1" customWidth="1"/>
    <col min="16" max="16" width="6.140625" style="12" bestFit="1" customWidth="1"/>
    <col min="17" max="17" width="5.7109375" style="12" bestFit="1" customWidth="1"/>
    <col min="18" max="18" width="7.85546875" style="12" bestFit="1" customWidth="1"/>
    <col min="19" max="19" width="10" style="12" bestFit="1" customWidth="1"/>
    <col min="20" max="21" width="11.140625" style="12" bestFit="1" customWidth="1"/>
    <col min="22" max="22" width="9.85546875" style="12" bestFit="1" customWidth="1"/>
    <col min="23" max="23" width="9" style="12" bestFit="1" customWidth="1"/>
    <col min="24" max="24" width="13.42578125" style="12" bestFit="1" customWidth="1"/>
    <col min="25" max="27" width="11" style="12" bestFit="1" customWidth="1"/>
    <col min="28" max="28" width="15.5703125" style="12" bestFit="1" customWidth="1"/>
    <col min="29" max="29" width="11" style="12" bestFit="1" customWidth="1"/>
    <col min="30" max="30" width="6.7109375" style="12" bestFit="1" customWidth="1"/>
    <col min="31" max="31" width="11" style="12" bestFit="1" customWidth="1"/>
    <col min="32" max="32" width="10" style="12" bestFit="1" customWidth="1"/>
    <col min="33" max="33" width="16.85546875" style="38" bestFit="1" customWidth="1"/>
    <col min="34" max="34" width="7.28515625" style="12" bestFit="1" customWidth="1"/>
    <col min="35" max="35" width="15.28515625" style="12" bestFit="1" customWidth="1"/>
    <col min="36" max="36" width="9.85546875" style="12" bestFit="1" customWidth="1"/>
    <col min="37" max="37" width="16.7109375" style="12" bestFit="1" customWidth="1"/>
    <col min="38" max="38" width="13.42578125" style="38" bestFit="1" customWidth="1"/>
    <col min="39" max="39" width="12.85546875" style="12" bestFit="1" customWidth="1"/>
    <col min="40" max="40" width="14.140625" style="12" bestFit="1" customWidth="1"/>
    <col min="41" max="41" width="17.7109375" style="12" bestFit="1" customWidth="1"/>
    <col min="42" max="42" width="23" style="12" bestFit="1" customWidth="1"/>
    <col min="43" max="43" width="8" style="12" bestFit="1" customWidth="1"/>
    <col min="44" max="44" width="9.140625" style="12" bestFit="1" customWidth="1"/>
    <col min="45" max="45" width="7.28515625" style="12" bestFit="1" customWidth="1"/>
    <col min="46" max="46" width="9.5703125" style="12" bestFit="1" customWidth="1"/>
    <col min="47" max="47" width="8.140625" style="12" bestFit="1" customWidth="1"/>
    <col min="48" max="48" width="10.28515625" style="12" bestFit="1" customWidth="1"/>
    <col min="49" max="49" width="33.28515625" style="12" bestFit="1" customWidth="1"/>
    <col min="50" max="50" width="10.85546875" style="12" bestFit="1" customWidth="1"/>
    <col min="51" max="51" width="10.5703125" style="12" bestFit="1" customWidth="1"/>
    <col min="52" max="52" width="9.85546875" style="12" bestFit="1" customWidth="1"/>
    <col min="53" max="53" width="35.28515625" style="12" bestFit="1" customWidth="1"/>
    <col min="54" max="54" width="9.85546875" style="12" bestFit="1" customWidth="1"/>
    <col min="55" max="55" width="9.5703125" style="12" bestFit="1" customWidth="1"/>
    <col min="56" max="56" width="11.85546875" style="12" bestFit="1" customWidth="1"/>
    <col min="57" max="57" width="16.5703125" style="12" bestFit="1" customWidth="1"/>
    <col min="58" max="58" width="16.85546875" style="12" bestFit="1" customWidth="1"/>
    <col min="59" max="59" width="19.7109375" style="12" bestFit="1" customWidth="1"/>
    <col min="60" max="60" width="11.140625" style="12" bestFit="1" customWidth="1"/>
    <col min="61" max="61" width="7.5703125" style="12" bestFit="1" customWidth="1"/>
    <col min="62" max="62" width="9.85546875" style="12" bestFit="1" customWidth="1"/>
    <col min="63" max="63" width="11.28515625" style="12" bestFit="1" customWidth="1"/>
    <col min="64" max="64" width="11.85546875" style="12" bestFit="1" customWidth="1"/>
    <col min="65" max="65" width="8.85546875" style="12" bestFit="1" customWidth="1"/>
    <col min="66" max="66" width="7.5703125" style="12" bestFit="1" customWidth="1"/>
    <col min="67" max="67" width="8.7109375" style="12" bestFit="1" customWidth="1"/>
    <col min="68" max="68" width="8.85546875" style="12" bestFit="1" customWidth="1"/>
    <col min="69" max="69" width="7.5703125" style="12" bestFit="1" customWidth="1"/>
    <col min="70" max="72" width="7.7109375" style="12" bestFit="1" customWidth="1"/>
    <col min="73" max="73" width="7.5703125" style="12" bestFit="1" customWidth="1"/>
    <col min="74" max="74" width="12" style="12" bestFit="1" customWidth="1"/>
    <col min="75" max="75" width="13.7109375" style="12" bestFit="1" customWidth="1"/>
    <col min="76" max="76" width="7.5703125" style="12" bestFit="1" customWidth="1"/>
    <col min="77" max="77" width="8.7109375" style="12" bestFit="1" customWidth="1"/>
    <col min="78" max="78" width="7.5703125" style="12" bestFit="1" customWidth="1"/>
    <col min="79" max="79" width="14.28515625" style="12" bestFit="1" customWidth="1"/>
    <col min="80" max="80" width="9.85546875" style="12" bestFit="1" customWidth="1"/>
    <col min="81" max="81" width="8.28515625" style="12" bestFit="1" customWidth="1"/>
    <col min="82" max="82" width="8.140625" style="12" bestFit="1" customWidth="1"/>
    <col min="83" max="83" width="8.85546875" style="12" bestFit="1" customWidth="1"/>
    <col min="84" max="84" width="8.28515625" style="12" bestFit="1" customWidth="1"/>
    <col min="85" max="85" width="9.28515625" style="12" bestFit="1" customWidth="1"/>
    <col min="86" max="86" width="8.85546875" style="12" bestFit="1" customWidth="1"/>
    <col min="87" max="87" width="18.5703125" style="12" bestFit="1" customWidth="1"/>
    <col min="88" max="88" width="16.85546875" style="12" bestFit="1" customWidth="1"/>
    <col min="89" max="89" width="8.7109375" style="12" bestFit="1" customWidth="1"/>
    <col min="90" max="90" width="9.140625" style="12" bestFit="1" customWidth="1"/>
    <col min="91" max="91" width="8.140625" style="12" bestFit="1" customWidth="1"/>
    <col min="92" max="92" width="10.85546875" style="12" bestFit="1" customWidth="1"/>
    <col min="93" max="93" width="6.42578125" style="12" bestFit="1" customWidth="1"/>
    <col min="94" max="16384" width="9.140625" style="12"/>
  </cols>
  <sheetData>
    <row r="1" spans="1:93" ht="22.5" customHeight="1" x14ac:dyDescent="0.25">
      <c r="A1" s="379" t="s">
        <v>577</v>
      </c>
      <c r="B1" s="378" t="s">
        <v>1812</v>
      </c>
      <c r="C1" s="378" t="s">
        <v>1813</v>
      </c>
      <c r="D1" s="380" t="s">
        <v>1809</v>
      </c>
      <c r="E1" s="378" t="s">
        <v>0</v>
      </c>
      <c r="F1" s="378" t="s">
        <v>1810</v>
      </c>
      <c r="G1" s="377" t="s">
        <v>1811</v>
      </c>
      <c r="H1" s="195" t="s">
        <v>2024</v>
      </c>
      <c r="I1" s="195" t="s">
        <v>2025</v>
      </c>
      <c r="J1" s="195" t="s">
        <v>2026</v>
      </c>
      <c r="K1" s="195" t="s">
        <v>2027</v>
      </c>
      <c r="L1" s="195" t="s">
        <v>2028</v>
      </c>
      <c r="M1" s="195" t="s">
        <v>2029</v>
      </c>
      <c r="N1" s="195" t="s">
        <v>2030</v>
      </c>
      <c r="O1" s="195" t="s">
        <v>2031</v>
      </c>
      <c r="P1" s="195" t="s">
        <v>2032</v>
      </c>
      <c r="Q1" s="195" t="s">
        <v>2033</v>
      </c>
      <c r="R1" s="195" t="s">
        <v>2034</v>
      </c>
      <c r="S1" s="195" t="s">
        <v>2035</v>
      </c>
      <c r="T1" s="195" t="s">
        <v>2036</v>
      </c>
      <c r="U1" s="195" t="s">
        <v>2037</v>
      </c>
      <c r="V1" s="195" t="s">
        <v>2038</v>
      </c>
      <c r="W1" s="195" t="s">
        <v>2039</v>
      </c>
      <c r="X1" s="195" t="s">
        <v>2040</v>
      </c>
      <c r="Y1" s="195" t="s">
        <v>2041</v>
      </c>
      <c r="Z1" s="195" t="s">
        <v>2042</v>
      </c>
      <c r="AA1" s="195" t="s">
        <v>2043</v>
      </c>
      <c r="AB1" s="195" t="s">
        <v>2044</v>
      </c>
      <c r="AC1" s="195" t="s">
        <v>2045</v>
      </c>
      <c r="AD1" s="195" t="s">
        <v>2046</v>
      </c>
      <c r="AE1" s="195" t="s">
        <v>2047</v>
      </c>
      <c r="AF1" s="195" t="s">
        <v>2048</v>
      </c>
      <c r="AG1" s="195" t="s">
        <v>2049</v>
      </c>
      <c r="AH1" s="195" t="s">
        <v>2050</v>
      </c>
      <c r="AI1" s="195" t="s">
        <v>2051</v>
      </c>
      <c r="AJ1" s="195" t="s">
        <v>2052</v>
      </c>
      <c r="AK1" s="195" t="s">
        <v>2053</v>
      </c>
      <c r="AL1" s="195" t="s">
        <v>2054</v>
      </c>
      <c r="AM1" s="195" t="s">
        <v>2055</v>
      </c>
      <c r="AN1" s="195" t="s">
        <v>2056</v>
      </c>
      <c r="AO1" s="195" t="s">
        <v>2057</v>
      </c>
      <c r="AP1" s="195" t="s">
        <v>2058</v>
      </c>
      <c r="AQ1" s="195" t="s">
        <v>2059</v>
      </c>
      <c r="AR1" s="195" t="s">
        <v>2060</v>
      </c>
      <c r="AS1" s="195" t="s">
        <v>2061</v>
      </c>
      <c r="AT1" s="195" t="s">
        <v>2062</v>
      </c>
      <c r="AU1" s="195" t="s">
        <v>2063</v>
      </c>
      <c r="AV1" s="195" t="s">
        <v>2064</v>
      </c>
      <c r="AW1" s="195" t="s">
        <v>2065</v>
      </c>
      <c r="AX1" s="195" t="s">
        <v>2066</v>
      </c>
      <c r="AY1" s="195" t="s">
        <v>2067</v>
      </c>
      <c r="AZ1" s="195" t="s">
        <v>2068</v>
      </c>
      <c r="BA1" s="195" t="s">
        <v>2069</v>
      </c>
      <c r="BB1" s="195" t="s">
        <v>2070</v>
      </c>
      <c r="BC1" s="195" t="s">
        <v>2071</v>
      </c>
      <c r="BD1" s="195" t="s">
        <v>2072</v>
      </c>
      <c r="BE1" s="195" t="s">
        <v>2073</v>
      </c>
      <c r="BF1" s="195" t="s">
        <v>2074</v>
      </c>
      <c r="BG1" s="195" t="s">
        <v>2075</v>
      </c>
      <c r="BH1" s="195" t="s">
        <v>2076</v>
      </c>
      <c r="BI1" s="195" t="s">
        <v>2077</v>
      </c>
      <c r="BJ1" s="195" t="s">
        <v>2078</v>
      </c>
      <c r="BK1" s="195" t="s">
        <v>2079</v>
      </c>
      <c r="BL1" s="195" t="s">
        <v>2080</v>
      </c>
      <c r="BM1" s="195" t="s">
        <v>2081</v>
      </c>
      <c r="BN1" s="195" t="s">
        <v>2082</v>
      </c>
      <c r="BO1" s="195" t="s">
        <v>2083</v>
      </c>
      <c r="BP1" s="195" t="s">
        <v>2084</v>
      </c>
      <c r="BQ1" s="195" t="s">
        <v>2085</v>
      </c>
      <c r="BR1" s="195" t="s">
        <v>2086</v>
      </c>
      <c r="BS1" s="195" t="s">
        <v>2087</v>
      </c>
      <c r="BT1" s="195" t="s">
        <v>2088</v>
      </c>
      <c r="BU1" s="195" t="s">
        <v>2089</v>
      </c>
      <c r="BV1" s="195" t="s">
        <v>2090</v>
      </c>
      <c r="BW1" s="195" t="s">
        <v>2091</v>
      </c>
      <c r="BX1" s="195" t="s">
        <v>2092</v>
      </c>
      <c r="BY1" s="195" t="s">
        <v>2093</v>
      </c>
      <c r="BZ1" s="195" t="s">
        <v>2094</v>
      </c>
      <c r="CA1" s="195" t="s">
        <v>2095</v>
      </c>
      <c r="CB1" s="195" t="s">
        <v>2096</v>
      </c>
      <c r="CC1" s="195" t="s">
        <v>2097</v>
      </c>
      <c r="CD1" s="195" t="s">
        <v>2098</v>
      </c>
      <c r="CE1" s="195" t="s">
        <v>2099</v>
      </c>
      <c r="CF1" s="195" t="s">
        <v>2100</v>
      </c>
      <c r="CG1" s="195" t="s">
        <v>2101</v>
      </c>
      <c r="CH1" s="195" t="s">
        <v>2102</v>
      </c>
      <c r="CI1" s="195" t="s">
        <v>2103</v>
      </c>
      <c r="CJ1" s="195" t="s">
        <v>2104</v>
      </c>
      <c r="CK1" s="195" t="s">
        <v>2105</v>
      </c>
      <c r="CL1" s="195" t="s">
        <v>2106</v>
      </c>
      <c r="CM1" s="195" t="s">
        <v>2107</v>
      </c>
      <c r="CN1" s="195" t="s">
        <v>2108</v>
      </c>
      <c r="CO1" s="195" t="s">
        <v>2109</v>
      </c>
    </row>
    <row r="2" spans="1:93" s="286" customFormat="1" ht="2.25" customHeight="1" x14ac:dyDescent="0.25">
      <c r="A2" s="379"/>
      <c r="B2" s="378"/>
      <c r="C2" s="378"/>
      <c r="D2" s="380"/>
      <c r="E2" s="378"/>
      <c r="F2" s="378"/>
      <c r="G2" s="378"/>
      <c r="H2" s="372">
        <v>1</v>
      </c>
      <c r="I2" s="372">
        <v>2</v>
      </c>
      <c r="J2" s="286">
        <v>3</v>
      </c>
      <c r="K2" s="286">
        <v>4</v>
      </c>
      <c r="L2" s="286">
        <v>5</v>
      </c>
      <c r="M2" s="286">
        <v>6</v>
      </c>
      <c r="N2" s="286">
        <v>14</v>
      </c>
      <c r="O2" s="286">
        <v>18</v>
      </c>
      <c r="P2" s="286">
        <v>15</v>
      </c>
      <c r="Q2" s="286">
        <v>21</v>
      </c>
      <c r="R2" s="286">
        <v>20</v>
      </c>
      <c r="S2" s="286">
        <v>19</v>
      </c>
      <c r="T2" s="286">
        <v>16</v>
      </c>
      <c r="U2" s="286">
        <v>17</v>
      </c>
      <c r="V2" s="286">
        <v>22</v>
      </c>
      <c r="W2" s="286">
        <v>23</v>
      </c>
      <c r="X2" s="286">
        <v>24</v>
      </c>
      <c r="Y2" s="286">
        <v>25</v>
      </c>
      <c r="Z2" s="286">
        <v>26</v>
      </c>
      <c r="AA2" s="286">
        <v>27</v>
      </c>
      <c r="AB2" s="286">
        <v>28</v>
      </c>
      <c r="AC2" s="286">
        <v>29</v>
      </c>
      <c r="AD2" s="286">
        <v>30</v>
      </c>
      <c r="AE2" s="286">
        <v>31</v>
      </c>
      <c r="AF2" s="286">
        <v>32</v>
      </c>
      <c r="AG2" s="286">
        <v>33</v>
      </c>
      <c r="AH2" s="286">
        <v>86</v>
      </c>
      <c r="AI2" s="286">
        <v>34</v>
      </c>
      <c r="AJ2" s="286">
        <v>35</v>
      </c>
      <c r="AK2" s="286">
        <v>36</v>
      </c>
      <c r="AL2" s="286">
        <v>37</v>
      </c>
      <c r="AM2" s="286">
        <v>38</v>
      </c>
      <c r="AN2" s="286">
        <v>39</v>
      </c>
      <c r="AO2" s="286">
        <v>40</v>
      </c>
      <c r="AP2" s="286">
        <v>48</v>
      </c>
      <c r="AQ2" s="286">
        <v>49</v>
      </c>
      <c r="AR2" s="286">
        <v>50</v>
      </c>
      <c r="AS2" s="286">
        <v>51</v>
      </c>
      <c r="AT2" s="286">
        <v>52</v>
      </c>
      <c r="AU2" s="286">
        <v>53</v>
      </c>
      <c r="AV2" s="286">
        <v>54</v>
      </c>
      <c r="AW2" s="286">
        <v>55</v>
      </c>
      <c r="AX2" s="286">
        <v>56</v>
      </c>
      <c r="AY2" s="286">
        <v>57</v>
      </c>
      <c r="AZ2" s="286">
        <v>58</v>
      </c>
      <c r="BA2" s="286">
        <v>59</v>
      </c>
      <c r="BB2" s="286">
        <v>60</v>
      </c>
      <c r="BC2" s="286">
        <v>61</v>
      </c>
      <c r="BD2" s="286">
        <v>62</v>
      </c>
      <c r="BE2" s="286">
        <v>63</v>
      </c>
      <c r="BF2" s="286">
        <v>64</v>
      </c>
      <c r="BG2" s="286">
        <v>65</v>
      </c>
      <c r="BH2" s="286">
        <v>66</v>
      </c>
      <c r="BI2" s="286">
        <v>68</v>
      </c>
      <c r="BJ2" s="286">
        <v>69</v>
      </c>
      <c r="BK2" s="286">
        <v>70</v>
      </c>
      <c r="BL2" s="286">
        <v>71</v>
      </c>
      <c r="BM2" s="286">
        <v>72</v>
      </c>
      <c r="BN2" s="286">
        <v>73</v>
      </c>
      <c r="BO2" s="286">
        <v>74</v>
      </c>
      <c r="BP2" s="286">
        <v>75</v>
      </c>
      <c r="BQ2" s="286">
        <v>76</v>
      </c>
      <c r="BR2" s="286">
        <v>77</v>
      </c>
      <c r="BS2" s="286">
        <v>78</v>
      </c>
      <c r="BT2" s="286">
        <v>79</v>
      </c>
      <c r="BU2" s="286">
        <v>80</v>
      </c>
      <c r="BV2" s="286">
        <v>81</v>
      </c>
      <c r="BW2" s="286">
        <v>82</v>
      </c>
      <c r="BX2" s="286">
        <v>83</v>
      </c>
      <c r="BY2" s="286">
        <v>84</v>
      </c>
      <c r="BZ2" s="286">
        <v>85</v>
      </c>
      <c r="CA2" s="286">
        <v>7</v>
      </c>
      <c r="CB2" s="286">
        <v>8</v>
      </c>
      <c r="CC2" s="286">
        <v>9</v>
      </c>
      <c r="CD2" s="286">
        <v>10</v>
      </c>
      <c r="CE2" s="286">
        <v>11</v>
      </c>
      <c r="CF2" s="286">
        <v>12</v>
      </c>
      <c r="CG2" s="286">
        <v>13</v>
      </c>
      <c r="CH2" s="286">
        <v>41</v>
      </c>
      <c r="CI2" s="286">
        <v>42</v>
      </c>
      <c r="CJ2" s="286">
        <v>44</v>
      </c>
      <c r="CK2" s="286">
        <v>45</v>
      </c>
      <c r="CL2" s="286">
        <v>46</v>
      </c>
      <c r="CM2" s="286">
        <v>47</v>
      </c>
      <c r="CN2" s="286">
        <v>67</v>
      </c>
      <c r="CO2" s="286">
        <v>43</v>
      </c>
    </row>
    <row r="3" spans="1:93" x14ac:dyDescent="0.25">
      <c r="A3" s="186" t="s">
        <v>1692</v>
      </c>
      <c r="B3" s="46" t="s">
        <v>347</v>
      </c>
      <c r="C3" s="1" t="s">
        <v>1693</v>
      </c>
      <c r="D3" s="291">
        <v>9</v>
      </c>
      <c r="E3" s="11">
        <v>0</v>
      </c>
      <c r="F3" s="156">
        <v>327</v>
      </c>
      <c r="G3" s="156">
        <v>1366</v>
      </c>
      <c r="H3" s="167">
        <v>54</v>
      </c>
      <c r="I3" s="3">
        <v>13.6</v>
      </c>
      <c r="J3" s="3">
        <v>29.8</v>
      </c>
      <c r="K3" s="3">
        <v>1</v>
      </c>
      <c r="L3" s="3">
        <v>0</v>
      </c>
      <c r="M3" s="7">
        <v>1.6</v>
      </c>
      <c r="N3" s="65">
        <v>134</v>
      </c>
      <c r="O3" s="65">
        <v>532</v>
      </c>
      <c r="P3" s="3">
        <v>7</v>
      </c>
      <c r="Q3" s="3">
        <v>3.7</v>
      </c>
      <c r="R3" s="65">
        <v>108</v>
      </c>
      <c r="S3" s="65">
        <v>169</v>
      </c>
      <c r="T3" s="65">
        <v>14</v>
      </c>
      <c r="U3" s="61">
        <v>5.5E-2</v>
      </c>
      <c r="V3" s="61">
        <v>125</v>
      </c>
      <c r="W3" s="7">
        <v>18.3</v>
      </c>
      <c r="X3" s="3">
        <v>0</v>
      </c>
      <c r="Y3" s="61">
        <v>0.32</v>
      </c>
      <c r="Z3" s="61">
        <v>0.52</v>
      </c>
      <c r="AA3" s="61">
        <v>0</v>
      </c>
      <c r="AB3" s="61">
        <v>2.99</v>
      </c>
      <c r="AC3" s="61">
        <v>0.35</v>
      </c>
      <c r="AD3" s="65">
        <v>146</v>
      </c>
      <c r="AE3" s="65">
        <v>0</v>
      </c>
      <c r="AF3" s="3">
        <v>60</v>
      </c>
      <c r="AG3" s="7">
        <v>1.95</v>
      </c>
      <c r="AH3" s="162">
        <v>960</v>
      </c>
      <c r="AI3" s="65">
        <v>970</v>
      </c>
      <c r="AJ3" s="3">
        <v>2.68</v>
      </c>
      <c r="AK3" s="3">
        <v>2.58</v>
      </c>
      <c r="AL3" s="7">
        <v>0.7</v>
      </c>
      <c r="AM3" s="65">
        <v>88</v>
      </c>
      <c r="AN3" s="65">
        <v>38</v>
      </c>
      <c r="AO3" s="65">
        <v>33</v>
      </c>
      <c r="AP3" s="3">
        <v>9.5510000000000002</v>
      </c>
      <c r="AQ3" s="61">
        <v>6.86</v>
      </c>
      <c r="AR3" s="61">
        <v>5.0999999999999997E-2</v>
      </c>
      <c r="AS3" s="61">
        <v>2.4169999999999998</v>
      </c>
      <c r="AT3" s="61">
        <v>3.2000000000000001E-2</v>
      </c>
      <c r="AU3" s="61">
        <v>3.7999999999999999E-2</v>
      </c>
      <c r="AV3" s="62">
        <v>8.9999999999999993E-3</v>
      </c>
      <c r="AW3" s="3">
        <v>11.738</v>
      </c>
      <c r="AX3" s="61">
        <v>2.4E-2</v>
      </c>
      <c r="AY3" s="61">
        <v>0.91800000000000004</v>
      </c>
      <c r="AZ3" s="62">
        <v>10.701000000000001</v>
      </c>
      <c r="BA3" s="3">
        <v>4.2039999999999997</v>
      </c>
      <c r="BB3" s="61">
        <v>3.5379999999999998</v>
      </c>
      <c r="BC3" s="61">
        <v>0.10299999999999999</v>
      </c>
      <c r="BD3" s="61">
        <v>0</v>
      </c>
      <c r="BE3" s="61">
        <v>1.0999999999999999E-2</v>
      </c>
      <c r="BF3" s="62">
        <v>0.114</v>
      </c>
      <c r="BG3" s="23" t="s">
        <v>2</v>
      </c>
      <c r="BH3" s="11">
        <v>2000</v>
      </c>
      <c r="BI3" s="65">
        <v>1104</v>
      </c>
      <c r="BJ3" s="65">
        <v>414</v>
      </c>
      <c r="BK3" s="65">
        <v>238</v>
      </c>
      <c r="BL3" s="65">
        <v>709</v>
      </c>
      <c r="BM3" s="65">
        <v>883</v>
      </c>
      <c r="BN3" s="65">
        <v>994</v>
      </c>
      <c r="BO3" s="65">
        <v>1387</v>
      </c>
      <c r="BP3" s="65">
        <v>934</v>
      </c>
      <c r="BQ3" s="65">
        <v>1130</v>
      </c>
      <c r="BR3" s="65">
        <v>391</v>
      </c>
      <c r="BS3" s="65">
        <v>290</v>
      </c>
      <c r="BT3" s="65">
        <v>701</v>
      </c>
      <c r="BU3" s="65">
        <v>817</v>
      </c>
      <c r="BV3" s="65">
        <v>1361</v>
      </c>
      <c r="BW3" s="65">
        <v>1995</v>
      </c>
      <c r="BX3" s="65">
        <v>692</v>
      </c>
      <c r="BY3" s="65">
        <v>678</v>
      </c>
      <c r="BZ3" s="59">
        <v>1351</v>
      </c>
      <c r="CA3" s="3">
        <v>0.56000000000000005</v>
      </c>
      <c r="CB3" s="3">
        <v>7.0000000000000007E-2</v>
      </c>
      <c r="CC3" s="3">
        <v>7.0000000000000007E-2</v>
      </c>
      <c r="CD3" s="3">
        <v>7.0000000000000007E-2</v>
      </c>
      <c r="CE3" s="3">
        <v>7.0000000000000007E-2</v>
      </c>
      <c r="CF3" s="3">
        <v>0.18</v>
      </c>
      <c r="CG3" s="7">
        <v>7.0000000000000007E-2</v>
      </c>
      <c r="CH3" s="65">
        <v>0</v>
      </c>
      <c r="CI3" s="160">
        <v>1094</v>
      </c>
      <c r="CJ3" s="65">
        <v>0</v>
      </c>
      <c r="CK3" s="65">
        <v>0</v>
      </c>
      <c r="CL3" s="65">
        <v>0</v>
      </c>
      <c r="CM3" s="59">
        <v>0</v>
      </c>
      <c r="CN3" s="161" t="s">
        <v>2</v>
      </c>
      <c r="CO3" s="161" t="s">
        <v>2</v>
      </c>
    </row>
    <row r="4" spans="1:93" x14ac:dyDescent="0.25">
      <c r="A4" s="186" t="s">
        <v>1694</v>
      </c>
      <c r="B4" s="46" t="s">
        <v>348</v>
      </c>
      <c r="C4" s="1" t="s">
        <v>1695</v>
      </c>
      <c r="D4" s="291">
        <v>9</v>
      </c>
      <c r="E4" s="11">
        <v>0</v>
      </c>
      <c r="F4" s="156">
        <v>46</v>
      </c>
      <c r="G4" s="156">
        <v>193</v>
      </c>
      <c r="H4" s="167">
        <v>88</v>
      </c>
      <c r="I4" s="3">
        <v>10.3</v>
      </c>
      <c r="J4" s="3">
        <v>0.1</v>
      </c>
      <c r="K4" s="3">
        <v>1</v>
      </c>
      <c r="L4" s="3">
        <v>0</v>
      </c>
      <c r="M4" s="7">
        <v>0.6</v>
      </c>
      <c r="N4" s="65">
        <v>19</v>
      </c>
      <c r="O4" s="65">
        <v>16</v>
      </c>
      <c r="P4" s="3">
        <v>0.3</v>
      </c>
      <c r="Q4" s="3">
        <v>0.2</v>
      </c>
      <c r="R4" s="65">
        <v>215</v>
      </c>
      <c r="S4" s="65">
        <v>172</v>
      </c>
      <c r="T4" s="65">
        <v>7</v>
      </c>
      <c r="U4" s="61">
        <v>1.0999999999999999E-2</v>
      </c>
      <c r="V4" s="61">
        <v>25</v>
      </c>
      <c r="W4" s="7">
        <v>6.8</v>
      </c>
      <c r="X4" s="3">
        <v>0</v>
      </c>
      <c r="Y4" s="61">
        <v>0.01</v>
      </c>
      <c r="Z4" s="61">
        <v>0.26</v>
      </c>
      <c r="AA4" s="61">
        <v>0.1</v>
      </c>
      <c r="AB4" s="61">
        <v>0.19</v>
      </c>
      <c r="AC4" s="61">
        <v>5.0000000000000001E-3</v>
      </c>
      <c r="AD4" s="65">
        <v>4</v>
      </c>
      <c r="AE4" s="65">
        <v>0</v>
      </c>
      <c r="AF4" s="3">
        <v>0</v>
      </c>
      <c r="AG4" s="7">
        <v>0.09</v>
      </c>
      <c r="AH4" s="162" t="s">
        <v>2</v>
      </c>
      <c r="AI4" s="65">
        <v>0</v>
      </c>
      <c r="AJ4" s="2" t="s">
        <v>2</v>
      </c>
      <c r="AK4" s="2" t="s">
        <v>2</v>
      </c>
      <c r="AL4" s="7" t="s">
        <v>2</v>
      </c>
      <c r="AM4" s="65">
        <v>0</v>
      </c>
      <c r="AN4" s="65">
        <v>0</v>
      </c>
      <c r="AO4" s="65">
        <v>0</v>
      </c>
      <c r="AP4" s="3">
        <v>0</v>
      </c>
      <c r="AQ4" s="61">
        <v>0</v>
      </c>
      <c r="AR4" s="61">
        <v>0</v>
      </c>
      <c r="AS4" s="61">
        <v>0</v>
      </c>
      <c r="AT4" s="61">
        <v>0</v>
      </c>
      <c r="AU4" s="61">
        <v>0</v>
      </c>
      <c r="AV4" s="62">
        <v>0</v>
      </c>
      <c r="AW4" s="3">
        <v>0</v>
      </c>
      <c r="AX4" s="61">
        <v>0</v>
      </c>
      <c r="AY4" s="61">
        <v>0</v>
      </c>
      <c r="AZ4" s="62">
        <v>0</v>
      </c>
      <c r="BA4" s="3">
        <v>0</v>
      </c>
      <c r="BB4" s="61">
        <v>0</v>
      </c>
      <c r="BC4" s="61">
        <v>0</v>
      </c>
      <c r="BD4" s="61">
        <v>0</v>
      </c>
      <c r="BE4" s="61">
        <v>0</v>
      </c>
      <c r="BF4" s="61">
        <v>0</v>
      </c>
      <c r="BG4" s="23" t="s">
        <v>2</v>
      </c>
      <c r="BH4" s="11">
        <v>0</v>
      </c>
      <c r="BI4" s="65">
        <v>665</v>
      </c>
      <c r="BJ4" s="65">
        <v>420</v>
      </c>
      <c r="BK4" s="65">
        <v>166</v>
      </c>
      <c r="BL4" s="65">
        <v>679</v>
      </c>
      <c r="BM4" s="65">
        <v>481</v>
      </c>
      <c r="BN4" s="65">
        <v>809</v>
      </c>
      <c r="BO4" s="65">
        <v>940</v>
      </c>
      <c r="BP4" s="65">
        <v>659</v>
      </c>
      <c r="BQ4" s="65">
        <v>631</v>
      </c>
      <c r="BR4" s="65">
        <v>245</v>
      </c>
      <c r="BS4" s="65">
        <v>268</v>
      </c>
      <c r="BT4" s="65">
        <v>434</v>
      </c>
      <c r="BU4" s="65">
        <v>697</v>
      </c>
      <c r="BV4" s="65">
        <v>956</v>
      </c>
      <c r="BW4" s="65">
        <v>1507</v>
      </c>
      <c r="BX4" s="65">
        <v>404</v>
      </c>
      <c r="BY4" s="65">
        <v>406</v>
      </c>
      <c r="BZ4" s="59">
        <v>797</v>
      </c>
      <c r="CA4" s="3">
        <v>0.71</v>
      </c>
      <c r="CB4" s="3">
        <v>7.0000000000000007E-2</v>
      </c>
      <c r="CC4" s="3">
        <v>7.0000000000000007E-2</v>
      </c>
      <c r="CD4" s="3">
        <v>7.0000000000000007E-2</v>
      </c>
      <c r="CE4" s="3">
        <v>7.0000000000000007E-2</v>
      </c>
      <c r="CF4" s="3">
        <v>0.34</v>
      </c>
      <c r="CG4" s="7">
        <v>7.0000000000000007E-2</v>
      </c>
      <c r="CH4" s="65">
        <v>0</v>
      </c>
      <c r="CI4" s="59">
        <v>0</v>
      </c>
      <c r="CJ4" s="65">
        <v>0</v>
      </c>
      <c r="CK4" s="65">
        <v>0</v>
      </c>
      <c r="CL4" s="65">
        <v>0</v>
      </c>
      <c r="CM4" s="59">
        <v>0</v>
      </c>
      <c r="CN4" s="161" t="s">
        <v>2</v>
      </c>
      <c r="CO4" s="161" t="s">
        <v>2</v>
      </c>
    </row>
    <row r="5" spans="1:93" x14ac:dyDescent="0.25">
      <c r="A5" s="186" t="s">
        <v>1696</v>
      </c>
      <c r="B5" s="46" t="s">
        <v>349</v>
      </c>
      <c r="C5" s="1" t="s">
        <v>1697</v>
      </c>
      <c r="D5" s="291">
        <v>9</v>
      </c>
      <c r="E5" s="11">
        <v>12</v>
      </c>
      <c r="F5" s="156">
        <v>172</v>
      </c>
      <c r="G5" s="156">
        <v>719</v>
      </c>
      <c r="H5" s="167">
        <v>70.900000000000006</v>
      </c>
      <c r="I5" s="3">
        <v>13.02</v>
      </c>
      <c r="J5" s="3">
        <v>12.02</v>
      </c>
      <c r="K5" s="3">
        <v>2.94</v>
      </c>
      <c r="L5" s="3">
        <v>0</v>
      </c>
      <c r="M5" s="7">
        <v>1.17</v>
      </c>
      <c r="N5" s="65">
        <v>71</v>
      </c>
      <c r="O5" s="65">
        <v>210</v>
      </c>
      <c r="P5" s="3">
        <v>3.2</v>
      </c>
      <c r="Q5" s="3">
        <v>0.8</v>
      </c>
      <c r="R5" s="65">
        <v>191</v>
      </c>
      <c r="S5" s="65">
        <v>258</v>
      </c>
      <c r="T5" s="65">
        <v>17</v>
      </c>
      <c r="U5" s="61">
        <v>3.7999999999999999E-2</v>
      </c>
      <c r="V5" s="61">
        <v>62</v>
      </c>
      <c r="W5" s="7">
        <v>36.4</v>
      </c>
      <c r="X5" s="3">
        <v>0</v>
      </c>
      <c r="Y5" s="61">
        <v>0.2</v>
      </c>
      <c r="Z5" s="61">
        <v>0.2</v>
      </c>
      <c r="AA5" s="61">
        <v>0.1</v>
      </c>
      <c r="AB5" s="61">
        <v>1.8620000000000001</v>
      </c>
      <c r="AC5" s="61">
        <v>0.25</v>
      </c>
      <c r="AD5" s="65">
        <v>17</v>
      </c>
      <c r="AE5" s="65">
        <v>0</v>
      </c>
      <c r="AF5" s="2" t="s">
        <v>2</v>
      </c>
      <c r="AG5" s="7">
        <v>5.4</v>
      </c>
      <c r="AH5" s="162">
        <v>231</v>
      </c>
      <c r="AI5" s="65">
        <v>232</v>
      </c>
      <c r="AJ5" s="2">
        <v>1.73</v>
      </c>
      <c r="AK5" s="3">
        <v>9.19</v>
      </c>
      <c r="AL5" s="7">
        <v>0.4</v>
      </c>
      <c r="AM5" s="65">
        <v>14</v>
      </c>
      <c r="AN5" s="65">
        <v>0</v>
      </c>
      <c r="AO5" s="65">
        <v>12</v>
      </c>
      <c r="AP5" s="3">
        <v>3.681</v>
      </c>
      <c r="AQ5" s="61">
        <v>2.996</v>
      </c>
      <c r="AR5" s="61">
        <v>0</v>
      </c>
      <c r="AS5" s="61">
        <v>0.63200000000000001</v>
      </c>
      <c r="AT5" s="61">
        <v>0</v>
      </c>
      <c r="AU5" s="61">
        <v>0</v>
      </c>
      <c r="AV5" s="62">
        <v>0</v>
      </c>
      <c r="AW5" s="3">
        <v>6.5250000000000004</v>
      </c>
      <c r="AX5" s="61">
        <v>0</v>
      </c>
      <c r="AY5" s="61">
        <v>0.441</v>
      </c>
      <c r="AZ5" s="62">
        <v>6.0839999999999996</v>
      </c>
      <c r="BA5" s="3">
        <v>1.2230000000000001</v>
      </c>
      <c r="BB5" s="61">
        <v>0.55800000000000005</v>
      </c>
      <c r="BC5" s="61">
        <v>0.10199999999999999</v>
      </c>
      <c r="BD5" s="61">
        <v>0.31900000000000001</v>
      </c>
      <c r="BE5" s="61">
        <v>0</v>
      </c>
      <c r="BF5" s="61">
        <v>0</v>
      </c>
      <c r="BG5" s="23" t="s">
        <v>2</v>
      </c>
      <c r="BH5" s="11">
        <v>884</v>
      </c>
      <c r="BI5" s="65">
        <v>951</v>
      </c>
      <c r="BJ5" s="65">
        <v>576</v>
      </c>
      <c r="BK5" s="65">
        <v>260</v>
      </c>
      <c r="BL5" s="65">
        <v>840</v>
      </c>
      <c r="BM5" s="65">
        <v>736</v>
      </c>
      <c r="BN5" s="65">
        <v>885</v>
      </c>
      <c r="BO5" s="65">
        <v>1097</v>
      </c>
      <c r="BP5" s="65">
        <v>598</v>
      </c>
      <c r="BQ5" s="65">
        <v>765</v>
      </c>
      <c r="BR5" s="65">
        <v>320</v>
      </c>
      <c r="BS5" s="65">
        <v>285</v>
      </c>
      <c r="BT5" s="65">
        <v>613</v>
      </c>
      <c r="BU5" s="65">
        <v>631</v>
      </c>
      <c r="BV5" s="65">
        <v>777</v>
      </c>
      <c r="BW5" s="65">
        <v>1789</v>
      </c>
      <c r="BX5" s="65">
        <v>422</v>
      </c>
      <c r="BY5" s="65">
        <v>480</v>
      </c>
      <c r="BZ5" s="59">
        <v>963</v>
      </c>
      <c r="CA5" s="3">
        <v>0.93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7" t="s">
        <v>2</v>
      </c>
      <c r="CH5" s="65">
        <v>0</v>
      </c>
      <c r="CI5" s="59">
        <v>459</v>
      </c>
      <c r="CJ5" s="65">
        <v>0</v>
      </c>
      <c r="CK5" s="65">
        <v>0</v>
      </c>
      <c r="CL5" s="65">
        <v>0</v>
      </c>
      <c r="CM5" s="59">
        <v>0</v>
      </c>
      <c r="CN5" s="161" t="s">
        <v>2</v>
      </c>
      <c r="CO5" s="161" t="s">
        <v>2</v>
      </c>
    </row>
    <row r="6" spans="1:93" x14ac:dyDescent="0.25">
      <c r="A6" s="186" t="s">
        <v>1698</v>
      </c>
      <c r="B6" s="46" t="s">
        <v>350</v>
      </c>
      <c r="C6" s="1" t="s">
        <v>1699</v>
      </c>
      <c r="D6" s="291">
        <v>9</v>
      </c>
      <c r="E6" s="11">
        <v>0</v>
      </c>
      <c r="F6" s="156">
        <v>364</v>
      </c>
      <c r="G6" s="156">
        <v>1524</v>
      </c>
      <c r="H6" s="167">
        <v>47.5</v>
      </c>
      <c r="I6" s="3">
        <v>13.6</v>
      </c>
      <c r="J6" s="3">
        <v>32.299999999999997</v>
      </c>
      <c r="K6" s="3">
        <v>4.8</v>
      </c>
      <c r="L6" s="3">
        <v>0</v>
      </c>
      <c r="M6" s="7">
        <v>1.8</v>
      </c>
      <c r="N6" s="65">
        <v>146</v>
      </c>
      <c r="O6" s="65">
        <v>328</v>
      </c>
      <c r="P6" s="3">
        <v>5.6</v>
      </c>
      <c r="Q6" s="2" t="s">
        <v>2</v>
      </c>
      <c r="R6" s="158" t="s">
        <v>2</v>
      </c>
      <c r="S6" s="158" t="s">
        <v>2</v>
      </c>
      <c r="T6" s="158" t="s">
        <v>2</v>
      </c>
      <c r="U6" s="63" t="s">
        <v>2</v>
      </c>
      <c r="V6" s="63" t="s">
        <v>2</v>
      </c>
      <c r="W6" s="7" t="s">
        <v>2</v>
      </c>
      <c r="X6" s="3">
        <v>0</v>
      </c>
      <c r="Y6" s="61">
        <v>0.54</v>
      </c>
      <c r="Z6" s="61">
        <v>0.94</v>
      </c>
      <c r="AA6" s="61">
        <v>0.2</v>
      </c>
      <c r="AB6" s="63" t="s">
        <v>2</v>
      </c>
      <c r="AC6" s="63" t="s">
        <v>2</v>
      </c>
      <c r="AD6" s="158" t="s">
        <v>2</v>
      </c>
      <c r="AE6" s="158" t="s">
        <v>2</v>
      </c>
      <c r="AF6" s="2" t="s">
        <v>2</v>
      </c>
      <c r="AG6" s="7" t="s">
        <v>2</v>
      </c>
      <c r="AH6" s="162">
        <v>1625</v>
      </c>
      <c r="AI6" s="65">
        <v>1683</v>
      </c>
      <c r="AJ6" s="2" t="s">
        <v>2</v>
      </c>
      <c r="AK6" s="2" t="s">
        <v>2</v>
      </c>
      <c r="AL6" s="7" t="s">
        <v>2</v>
      </c>
      <c r="AM6" s="65">
        <v>695</v>
      </c>
      <c r="AN6" s="158" t="s">
        <v>2</v>
      </c>
      <c r="AO6" s="158" t="s">
        <v>2</v>
      </c>
      <c r="AP6" s="2" t="s">
        <v>2</v>
      </c>
      <c r="AQ6" s="63" t="s">
        <v>2</v>
      </c>
      <c r="AR6" s="63" t="s">
        <v>2</v>
      </c>
      <c r="AS6" s="63" t="s">
        <v>2</v>
      </c>
      <c r="AT6" s="63" t="s">
        <v>2</v>
      </c>
      <c r="AU6" s="63" t="s">
        <v>2</v>
      </c>
      <c r="AV6" s="62" t="s">
        <v>2</v>
      </c>
      <c r="AW6" s="2" t="s">
        <v>2</v>
      </c>
      <c r="AX6" s="63" t="s">
        <v>2</v>
      </c>
      <c r="AY6" s="63" t="s">
        <v>2</v>
      </c>
      <c r="AZ6" s="62" t="s">
        <v>2</v>
      </c>
      <c r="BA6" s="2" t="s">
        <v>2</v>
      </c>
      <c r="BB6" s="63" t="s">
        <v>2</v>
      </c>
      <c r="BC6" s="63" t="s">
        <v>2</v>
      </c>
      <c r="BD6" s="63" t="s">
        <v>2</v>
      </c>
      <c r="BE6" s="63" t="s">
        <v>2</v>
      </c>
      <c r="BF6" s="62" t="s">
        <v>2</v>
      </c>
      <c r="BG6" s="23" t="s">
        <v>2</v>
      </c>
      <c r="BH6" s="23" t="s">
        <v>2</v>
      </c>
      <c r="BI6" s="65">
        <v>1180</v>
      </c>
      <c r="BJ6" s="65">
        <v>434</v>
      </c>
      <c r="BK6" s="65">
        <v>204</v>
      </c>
      <c r="BL6" s="65">
        <v>679</v>
      </c>
      <c r="BM6" s="65">
        <v>868</v>
      </c>
      <c r="BN6" s="65">
        <v>963</v>
      </c>
      <c r="BO6" s="65">
        <v>1315</v>
      </c>
      <c r="BP6" s="65">
        <v>827</v>
      </c>
      <c r="BQ6" s="65">
        <v>801</v>
      </c>
      <c r="BR6" s="65">
        <v>447</v>
      </c>
      <c r="BS6" s="65">
        <v>191</v>
      </c>
      <c r="BT6" s="65">
        <v>705</v>
      </c>
      <c r="BU6" s="65">
        <v>705</v>
      </c>
      <c r="BV6" s="65">
        <v>1398</v>
      </c>
      <c r="BW6" s="65">
        <v>1736</v>
      </c>
      <c r="BX6" s="65">
        <v>462</v>
      </c>
      <c r="BY6" s="65">
        <v>1059</v>
      </c>
      <c r="BZ6" s="59">
        <v>1207</v>
      </c>
      <c r="CA6" s="2" t="s">
        <v>2</v>
      </c>
      <c r="CB6" s="2" t="s">
        <v>2</v>
      </c>
      <c r="CC6" s="2" t="s">
        <v>2</v>
      </c>
      <c r="CD6" s="2" t="s">
        <v>2</v>
      </c>
      <c r="CE6" s="2" t="s">
        <v>2</v>
      </c>
      <c r="CF6" s="2" t="s">
        <v>2</v>
      </c>
      <c r="CG6" s="7" t="s">
        <v>2</v>
      </c>
      <c r="CH6" s="158" t="s">
        <v>2</v>
      </c>
      <c r="CI6" s="59" t="s">
        <v>2</v>
      </c>
      <c r="CJ6" s="65">
        <v>0</v>
      </c>
      <c r="CK6" s="65">
        <v>0</v>
      </c>
      <c r="CL6" s="65">
        <v>0</v>
      </c>
      <c r="CM6" s="59">
        <v>0</v>
      </c>
      <c r="CN6" s="161" t="s">
        <v>2</v>
      </c>
      <c r="CO6" s="161" t="s">
        <v>2</v>
      </c>
    </row>
    <row r="7" spans="1:93" x14ac:dyDescent="0.25">
      <c r="A7" s="186" t="s">
        <v>1700</v>
      </c>
      <c r="B7" s="46" t="s">
        <v>351</v>
      </c>
      <c r="C7" s="1" t="s">
        <v>1701</v>
      </c>
      <c r="D7" s="291">
        <v>9</v>
      </c>
      <c r="E7" s="11">
        <v>0</v>
      </c>
      <c r="F7" s="156">
        <v>47</v>
      </c>
      <c r="G7" s="156">
        <v>196</v>
      </c>
      <c r="H7" s="167">
        <v>87.8</v>
      </c>
      <c r="I7" s="3">
        <v>10.7</v>
      </c>
      <c r="J7" s="3">
        <v>0.1</v>
      </c>
      <c r="K7" s="3">
        <v>0.8</v>
      </c>
      <c r="L7" s="3">
        <v>0</v>
      </c>
      <c r="M7" s="7">
        <v>0.6</v>
      </c>
      <c r="N7" s="65">
        <v>6</v>
      </c>
      <c r="O7" s="65">
        <v>8</v>
      </c>
      <c r="P7" s="2" t="s">
        <v>2</v>
      </c>
      <c r="Q7" s="2" t="s">
        <v>2</v>
      </c>
      <c r="R7" s="158" t="s">
        <v>2</v>
      </c>
      <c r="S7" s="158" t="s">
        <v>2</v>
      </c>
      <c r="T7" s="158" t="s">
        <v>2</v>
      </c>
      <c r="U7" s="63" t="s">
        <v>2</v>
      </c>
      <c r="V7" s="63" t="s">
        <v>2</v>
      </c>
      <c r="W7" s="7" t="s">
        <v>2</v>
      </c>
      <c r="X7" s="3">
        <v>0</v>
      </c>
      <c r="Y7" s="63" t="s">
        <v>2</v>
      </c>
      <c r="Z7" s="61">
        <v>0.2</v>
      </c>
      <c r="AA7" s="61">
        <v>0.2</v>
      </c>
      <c r="AB7" s="63" t="s">
        <v>2</v>
      </c>
      <c r="AC7" s="63" t="s">
        <v>2</v>
      </c>
      <c r="AD7" s="158" t="s">
        <v>2</v>
      </c>
      <c r="AE7" s="158" t="s">
        <v>2</v>
      </c>
      <c r="AF7" s="2" t="s">
        <v>2</v>
      </c>
      <c r="AG7" s="7" t="s">
        <v>2</v>
      </c>
      <c r="AH7" s="162">
        <v>0</v>
      </c>
      <c r="AI7" s="65">
        <v>0</v>
      </c>
      <c r="AJ7" s="2" t="s">
        <v>2</v>
      </c>
      <c r="AK7" s="2" t="s">
        <v>2</v>
      </c>
      <c r="AL7" s="7" t="s">
        <v>2</v>
      </c>
      <c r="AM7" s="65">
        <v>0</v>
      </c>
      <c r="AN7" s="65">
        <v>0</v>
      </c>
      <c r="AO7" s="65">
        <v>0</v>
      </c>
      <c r="AP7" s="2" t="s">
        <v>2</v>
      </c>
      <c r="AQ7" s="63" t="s">
        <v>2</v>
      </c>
      <c r="AR7" s="63" t="s">
        <v>2</v>
      </c>
      <c r="AS7" s="63" t="s">
        <v>2</v>
      </c>
      <c r="AT7" s="63" t="s">
        <v>2</v>
      </c>
      <c r="AU7" s="63" t="s">
        <v>2</v>
      </c>
      <c r="AV7" s="62" t="s">
        <v>2</v>
      </c>
      <c r="AW7" s="2" t="s">
        <v>2</v>
      </c>
      <c r="AX7" s="63" t="s">
        <v>2</v>
      </c>
      <c r="AY7" s="63" t="s">
        <v>2</v>
      </c>
      <c r="AZ7" s="62" t="s">
        <v>2</v>
      </c>
      <c r="BA7" s="2" t="s">
        <v>2</v>
      </c>
      <c r="BB7" s="63" t="s">
        <v>2</v>
      </c>
      <c r="BC7" s="63" t="s">
        <v>2</v>
      </c>
      <c r="BD7" s="63" t="s">
        <v>2</v>
      </c>
      <c r="BE7" s="63" t="s">
        <v>2</v>
      </c>
      <c r="BF7" s="62" t="s">
        <v>2</v>
      </c>
      <c r="BG7" s="23" t="s">
        <v>2</v>
      </c>
      <c r="BH7" s="23" t="s">
        <v>2</v>
      </c>
      <c r="BI7" s="65">
        <v>759</v>
      </c>
      <c r="BJ7" s="65">
        <v>694</v>
      </c>
      <c r="BK7" s="65">
        <v>150</v>
      </c>
      <c r="BL7" s="65">
        <v>780</v>
      </c>
      <c r="BM7" s="65">
        <v>802</v>
      </c>
      <c r="BN7" s="65">
        <v>845</v>
      </c>
      <c r="BO7" s="65">
        <v>1026</v>
      </c>
      <c r="BP7" s="65">
        <v>535</v>
      </c>
      <c r="BQ7" s="65">
        <v>428</v>
      </c>
      <c r="BR7" s="65">
        <v>267</v>
      </c>
      <c r="BS7" s="65">
        <v>203</v>
      </c>
      <c r="BT7" s="65">
        <v>588</v>
      </c>
      <c r="BU7" s="65">
        <v>493</v>
      </c>
      <c r="BV7" s="65">
        <v>1069</v>
      </c>
      <c r="BW7" s="65">
        <v>1635</v>
      </c>
      <c r="BX7" s="65">
        <v>407</v>
      </c>
      <c r="BY7" s="65">
        <v>780</v>
      </c>
      <c r="BZ7" s="59">
        <v>994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7">
        <v>0</v>
      </c>
      <c r="CH7" s="65">
        <v>0</v>
      </c>
      <c r="CI7" s="59">
        <v>0</v>
      </c>
      <c r="CJ7" s="65">
        <v>0</v>
      </c>
      <c r="CK7" s="65">
        <v>0</v>
      </c>
      <c r="CL7" s="65">
        <v>0</v>
      </c>
      <c r="CM7" s="59">
        <v>0</v>
      </c>
      <c r="CN7" s="161" t="s">
        <v>2</v>
      </c>
      <c r="CO7" s="161" t="s">
        <v>2</v>
      </c>
    </row>
    <row r="8" spans="1:93" x14ac:dyDescent="0.25">
      <c r="A8" s="186" t="s">
        <v>1702</v>
      </c>
      <c r="B8" s="46" t="s">
        <v>352</v>
      </c>
      <c r="C8" s="1" t="s">
        <v>1703</v>
      </c>
      <c r="D8" s="291">
        <v>9</v>
      </c>
      <c r="E8" s="11">
        <v>11</v>
      </c>
      <c r="F8" s="156">
        <v>157</v>
      </c>
      <c r="G8" s="156">
        <v>656</v>
      </c>
      <c r="H8" s="167">
        <v>72.7</v>
      </c>
      <c r="I8" s="3">
        <v>12.78</v>
      </c>
      <c r="J8" s="3">
        <v>10.47</v>
      </c>
      <c r="K8" s="3">
        <v>2.89</v>
      </c>
      <c r="L8" s="3">
        <v>0</v>
      </c>
      <c r="M8" s="7">
        <v>1.19</v>
      </c>
      <c r="N8" s="65">
        <v>60</v>
      </c>
      <c r="O8" s="65">
        <v>226</v>
      </c>
      <c r="P8" s="3">
        <v>3.65</v>
      </c>
      <c r="Q8" s="3">
        <v>1.47</v>
      </c>
      <c r="R8" s="65">
        <v>141</v>
      </c>
      <c r="S8" s="65">
        <v>132</v>
      </c>
      <c r="T8" s="65">
        <v>13</v>
      </c>
      <c r="U8" s="61">
        <v>3.7999999999999999E-2</v>
      </c>
      <c r="V8" s="61">
        <v>62</v>
      </c>
      <c r="W8" s="7">
        <v>32</v>
      </c>
      <c r="X8" s="3">
        <v>0</v>
      </c>
      <c r="Y8" s="61">
        <v>0.13</v>
      </c>
      <c r="Z8" s="61">
        <v>0.79</v>
      </c>
      <c r="AA8" s="61">
        <v>0.15</v>
      </c>
      <c r="AB8" s="61">
        <v>1.7609999999999999</v>
      </c>
      <c r="AC8" s="61">
        <v>0.15</v>
      </c>
      <c r="AD8" s="65">
        <v>106</v>
      </c>
      <c r="AE8" s="65">
        <v>0</v>
      </c>
      <c r="AF8" s="2" t="s">
        <v>2</v>
      </c>
      <c r="AG8" s="7">
        <v>1.58</v>
      </c>
      <c r="AH8" s="162">
        <v>299</v>
      </c>
      <c r="AI8" s="65">
        <v>301</v>
      </c>
      <c r="AJ8" s="2">
        <v>1.38</v>
      </c>
      <c r="AK8" s="3">
        <v>1.08</v>
      </c>
      <c r="AL8" s="7">
        <v>0.3</v>
      </c>
      <c r="AM8" s="65">
        <v>11</v>
      </c>
      <c r="AN8" s="65">
        <v>0</v>
      </c>
      <c r="AO8" s="65">
        <v>10</v>
      </c>
      <c r="AP8" s="3">
        <v>3.5569999999999999</v>
      </c>
      <c r="AQ8" s="61">
        <v>2.6659999999999999</v>
      </c>
      <c r="AR8" s="61">
        <v>0</v>
      </c>
      <c r="AS8" s="61">
        <v>0.83799999999999997</v>
      </c>
      <c r="AT8" s="61">
        <v>0</v>
      </c>
      <c r="AU8" s="61">
        <v>0</v>
      </c>
      <c r="AV8" s="62">
        <v>0</v>
      </c>
      <c r="AW8" s="3">
        <v>4.3239999999999998</v>
      </c>
      <c r="AX8" s="61">
        <v>0</v>
      </c>
      <c r="AY8" s="61">
        <v>0.47299999999999998</v>
      </c>
      <c r="AZ8" s="62">
        <v>3.851</v>
      </c>
      <c r="BA8" s="3">
        <v>1.3240000000000001</v>
      </c>
      <c r="BB8" s="61">
        <v>0.94</v>
      </c>
      <c r="BC8" s="61">
        <v>4.3999999999999997E-2</v>
      </c>
      <c r="BD8" s="61">
        <v>0.122</v>
      </c>
      <c r="BE8" s="61">
        <v>0</v>
      </c>
      <c r="BF8" s="62">
        <v>0</v>
      </c>
      <c r="BG8" s="23" t="s">
        <v>2</v>
      </c>
      <c r="BH8" s="11">
        <v>844</v>
      </c>
      <c r="BI8" s="65">
        <v>881</v>
      </c>
      <c r="BJ8" s="65">
        <v>421</v>
      </c>
      <c r="BK8" s="65">
        <v>209</v>
      </c>
      <c r="BL8" s="65">
        <v>737</v>
      </c>
      <c r="BM8" s="65">
        <v>641</v>
      </c>
      <c r="BN8" s="65">
        <v>940</v>
      </c>
      <c r="BO8" s="65">
        <v>1146</v>
      </c>
      <c r="BP8" s="65">
        <v>816</v>
      </c>
      <c r="BQ8" s="65">
        <v>835</v>
      </c>
      <c r="BR8" s="65">
        <v>315</v>
      </c>
      <c r="BS8" s="65">
        <v>311</v>
      </c>
      <c r="BT8" s="65">
        <v>543</v>
      </c>
      <c r="BU8" s="65">
        <v>762</v>
      </c>
      <c r="BV8" s="65">
        <v>1294</v>
      </c>
      <c r="BW8" s="65">
        <v>1662</v>
      </c>
      <c r="BX8" s="65">
        <v>434</v>
      </c>
      <c r="BY8" s="65">
        <v>518</v>
      </c>
      <c r="BZ8" s="59">
        <v>992</v>
      </c>
      <c r="CA8" s="3">
        <v>0.41</v>
      </c>
      <c r="CB8" s="2" t="s">
        <v>2</v>
      </c>
      <c r="CC8" s="2" t="s">
        <v>2</v>
      </c>
      <c r="CD8" s="2" t="s">
        <v>2</v>
      </c>
      <c r="CE8" s="2" t="s">
        <v>2</v>
      </c>
      <c r="CF8" s="2" t="s">
        <v>2</v>
      </c>
      <c r="CG8" s="7" t="s">
        <v>2</v>
      </c>
      <c r="CH8" s="65">
        <v>0</v>
      </c>
      <c r="CI8" s="59">
        <v>369</v>
      </c>
      <c r="CJ8" s="65">
        <v>0</v>
      </c>
      <c r="CK8" s="65">
        <v>0</v>
      </c>
      <c r="CL8" s="65">
        <v>0</v>
      </c>
      <c r="CM8" s="59">
        <v>0</v>
      </c>
      <c r="CN8" s="161" t="s">
        <v>2</v>
      </c>
      <c r="CO8" s="161" t="s">
        <v>2</v>
      </c>
    </row>
    <row r="9" spans="1:93" x14ac:dyDescent="0.25">
      <c r="A9" s="186" t="s">
        <v>1704</v>
      </c>
      <c r="B9" s="46" t="s">
        <v>353</v>
      </c>
      <c r="C9" s="1" t="s">
        <v>1705</v>
      </c>
      <c r="D9" s="291">
        <v>9</v>
      </c>
      <c r="E9" s="11">
        <v>0</v>
      </c>
      <c r="F9" s="156">
        <v>171</v>
      </c>
      <c r="G9" s="156">
        <v>716</v>
      </c>
      <c r="H9" s="167">
        <v>64.900000000000006</v>
      </c>
      <c r="I9" s="3">
        <v>20.5</v>
      </c>
      <c r="J9" s="3">
        <v>9.9</v>
      </c>
      <c r="K9" s="3">
        <v>0</v>
      </c>
      <c r="L9" s="3">
        <v>0</v>
      </c>
      <c r="M9" s="7">
        <v>4.7</v>
      </c>
      <c r="N9" s="65">
        <v>28</v>
      </c>
      <c r="O9" s="65">
        <v>230</v>
      </c>
      <c r="P9" s="3">
        <v>1.1000000000000001</v>
      </c>
      <c r="Q9" s="2" t="s">
        <v>2</v>
      </c>
      <c r="R9" s="158" t="s">
        <v>2</v>
      </c>
      <c r="S9" s="158" t="s">
        <v>2</v>
      </c>
      <c r="T9" s="158" t="s">
        <v>2</v>
      </c>
      <c r="U9" s="63" t="s">
        <v>2</v>
      </c>
      <c r="V9" s="63" t="s">
        <v>2</v>
      </c>
      <c r="W9" s="7" t="s">
        <v>2</v>
      </c>
      <c r="X9" s="3">
        <v>24</v>
      </c>
      <c r="Y9" s="61">
        <v>0.93</v>
      </c>
      <c r="Z9" s="61">
        <v>0.65</v>
      </c>
      <c r="AA9" s="61">
        <v>1.5</v>
      </c>
      <c r="AB9" s="63" t="s">
        <v>2</v>
      </c>
      <c r="AC9" s="63" t="s">
        <v>2</v>
      </c>
      <c r="AD9" s="158" t="s">
        <v>2</v>
      </c>
      <c r="AE9" s="158" t="s">
        <v>2</v>
      </c>
      <c r="AF9" s="2" t="s">
        <v>2</v>
      </c>
      <c r="AG9" s="7" t="s">
        <v>2</v>
      </c>
      <c r="AH9" s="162" t="s">
        <v>2</v>
      </c>
      <c r="AI9" s="158">
        <v>0</v>
      </c>
      <c r="AJ9" s="2" t="s">
        <v>2</v>
      </c>
      <c r="AK9" s="2" t="s">
        <v>2</v>
      </c>
      <c r="AL9" s="7" t="s">
        <v>2</v>
      </c>
      <c r="AM9" s="158" t="s">
        <v>2</v>
      </c>
      <c r="AN9" s="158" t="s">
        <v>2</v>
      </c>
      <c r="AO9" s="158" t="s">
        <v>2</v>
      </c>
      <c r="AP9" s="2" t="s">
        <v>2</v>
      </c>
      <c r="AQ9" s="61">
        <v>1.1000000000000001</v>
      </c>
      <c r="AR9" s="63" t="s">
        <v>2</v>
      </c>
      <c r="AS9" s="61">
        <v>0.16</v>
      </c>
      <c r="AT9" s="63" t="s">
        <v>2</v>
      </c>
      <c r="AU9" s="63" t="s">
        <v>2</v>
      </c>
      <c r="AV9" s="62" t="s">
        <v>2</v>
      </c>
      <c r="AW9" s="2" t="s">
        <v>2</v>
      </c>
      <c r="AX9" s="63" t="s">
        <v>2</v>
      </c>
      <c r="AY9" s="63" t="s">
        <v>2</v>
      </c>
      <c r="AZ9" s="62" t="s">
        <v>2</v>
      </c>
      <c r="BA9" s="2" t="s">
        <v>2</v>
      </c>
      <c r="BB9" s="61">
        <v>0.24</v>
      </c>
      <c r="BC9" s="61">
        <v>0.37</v>
      </c>
      <c r="BD9" s="63" t="s">
        <v>2</v>
      </c>
      <c r="BE9" s="63" t="s">
        <v>2</v>
      </c>
      <c r="BF9" s="62" t="s">
        <v>2</v>
      </c>
      <c r="BG9" s="23" t="s">
        <v>2</v>
      </c>
      <c r="BH9" s="23" t="s">
        <v>2</v>
      </c>
      <c r="BI9" s="158" t="s">
        <v>2</v>
      </c>
      <c r="BJ9" s="158" t="s">
        <v>2</v>
      </c>
      <c r="BK9" s="158" t="s">
        <v>2</v>
      </c>
      <c r="BL9" s="158" t="s">
        <v>2</v>
      </c>
      <c r="BM9" s="158" t="s">
        <v>2</v>
      </c>
      <c r="BN9" s="158" t="s">
        <v>2</v>
      </c>
      <c r="BO9" s="158" t="s">
        <v>2</v>
      </c>
      <c r="BP9" s="158" t="s">
        <v>2</v>
      </c>
      <c r="BQ9" s="158" t="s">
        <v>2</v>
      </c>
      <c r="BR9" s="158" t="s">
        <v>2</v>
      </c>
      <c r="BS9" s="158" t="s">
        <v>2</v>
      </c>
      <c r="BT9" s="158" t="s">
        <v>2</v>
      </c>
      <c r="BU9" s="158" t="s">
        <v>2</v>
      </c>
      <c r="BV9" s="158" t="s">
        <v>2</v>
      </c>
      <c r="BW9" s="158" t="s">
        <v>2</v>
      </c>
      <c r="BX9" s="158" t="s">
        <v>2</v>
      </c>
      <c r="BY9" s="158" t="s">
        <v>2</v>
      </c>
      <c r="BZ9" s="160" t="s">
        <v>2</v>
      </c>
      <c r="CA9" s="2" t="s">
        <v>2</v>
      </c>
      <c r="CB9" s="2" t="s">
        <v>2</v>
      </c>
      <c r="CC9" s="2" t="s">
        <v>2</v>
      </c>
      <c r="CD9" s="2" t="s">
        <v>2</v>
      </c>
      <c r="CE9" s="2" t="s">
        <v>2</v>
      </c>
      <c r="CF9" s="2" t="s">
        <v>2</v>
      </c>
      <c r="CG9" s="7" t="s">
        <v>2</v>
      </c>
      <c r="CH9" s="158" t="s">
        <v>2</v>
      </c>
      <c r="CI9" s="59" t="s">
        <v>2</v>
      </c>
      <c r="CJ9" s="158" t="s">
        <v>2</v>
      </c>
      <c r="CK9" s="158" t="s">
        <v>2</v>
      </c>
      <c r="CL9" s="158" t="s">
        <v>2</v>
      </c>
      <c r="CM9" s="59" t="s">
        <v>2</v>
      </c>
      <c r="CN9" s="161" t="s">
        <v>2</v>
      </c>
      <c r="CO9" s="161" t="s">
        <v>2</v>
      </c>
    </row>
    <row r="10" spans="1:93" x14ac:dyDescent="0.25">
      <c r="A10" s="186" t="s">
        <v>1706</v>
      </c>
      <c r="B10" s="46" t="s">
        <v>354</v>
      </c>
      <c r="C10" s="1" t="s">
        <v>1707</v>
      </c>
      <c r="D10" s="291">
        <v>9</v>
      </c>
      <c r="E10" s="11">
        <v>0</v>
      </c>
      <c r="F10" s="156">
        <v>274</v>
      </c>
      <c r="G10" s="156">
        <v>1144</v>
      </c>
      <c r="H10" s="167">
        <v>47.5</v>
      </c>
      <c r="I10" s="3">
        <v>24.6</v>
      </c>
      <c r="J10" s="3">
        <v>17.899999999999999</v>
      </c>
      <c r="K10" s="3">
        <v>3.5</v>
      </c>
      <c r="L10" s="3">
        <v>0</v>
      </c>
      <c r="M10" s="7">
        <v>6.5</v>
      </c>
      <c r="N10" s="65">
        <v>275</v>
      </c>
      <c r="O10" s="65">
        <v>356</v>
      </c>
      <c r="P10" s="3">
        <v>11.88</v>
      </c>
      <c r="Q10" s="3">
        <v>0.95</v>
      </c>
      <c r="R10" s="65">
        <v>1500</v>
      </c>
      <c r="S10" s="65">
        <v>181</v>
      </c>
      <c r="T10" s="65">
        <v>300</v>
      </c>
      <c r="U10" s="61">
        <v>0.05</v>
      </c>
      <c r="V10" s="61">
        <v>110</v>
      </c>
      <c r="W10" s="7">
        <v>65.5</v>
      </c>
      <c r="X10" s="3">
        <v>0</v>
      </c>
      <c r="Y10" s="61">
        <v>0.19</v>
      </c>
      <c r="Z10" s="61">
        <v>0.62</v>
      </c>
      <c r="AA10" s="61">
        <v>0.1</v>
      </c>
      <c r="AB10" s="61">
        <v>3.5</v>
      </c>
      <c r="AC10" s="61">
        <v>0.32</v>
      </c>
      <c r="AD10" s="65">
        <v>50</v>
      </c>
      <c r="AE10" s="65">
        <v>0</v>
      </c>
      <c r="AF10" s="2" t="s">
        <v>2</v>
      </c>
      <c r="AG10" s="7">
        <v>20</v>
      </c>
      <c r="AH10" s="162">
        <v>561</v>
      </c>
      <c r="AI10" s="65">
        <v>561</v>
      </c>
      <c r="AJ10" s="3">
        <v>5.8</v>
      </c>
      <c r="AK10" s="3">
        <v>7</v>
      </c>
      <c r="AL10" s="7">
        <v>0.7</v>
      </c>
      <c r="AM10" s="65">
        <v>0</v>
      </c>
      <c r="AN10" s="65">
        <v>0</v>
      </c>
      <c r="AO10" s="65">
        <v>0</v>
      </c>
      <c r="AP10" s="3">
        <v>4.0599999999999996</v>
      </c>
      <c r="AQ10" s="61">
        <v>3.5550000000000002</v>
      </c>
      <c r="AR10" s="61">
        <v>0</v>
      </c>
      <c r="AS10" s="61">
        <v>0.29299999999999998</v>
      </c>
      <c r="AT10" s="61">
        <v>0</v>
      </c>
      <c r="AU10" s="61">
        <v>0</v>
      </c>
      <c r="AV10" s="62">
        <v>0</v>
      </c>
      <c r="AW10" s="3">
        <v>4.6310000000000002</v>
      </c>
      <c r="AX10" s="61">
        <v>0</v>
      </c>
      <c r="AY10" s="61">
        <v>1.0429999999999999</v>
      </c>
      <c r="AZ10" s="62">
        <v>3.165</v>
      </c>
      <c r="BA10" s="3">
        <v>7.4050000000000002</v>
      </c>
      <c r="BB10" s="61">
        <v>8.1000000000000003E-2</v>
      </c>
      <c r="BC10" s="61">
        <v>1.7000000000000001E-2</v>
      </c>
      <c r="BD10" s="61">
        <v>0.505</v>
      </c>
      <c r="BE10" s="61">
        <v>2.7410000000000001</v>
      </c>
      <c r="BF10" s="61">
        <v>3.8</v>
      </c>
      <c r="BG10" s="23" t="s">
        <v>2</v>
      </c>
      <c r="BH10" s="11">
        <v>588</v>
      </c>
      <c r="BI10" s="65">
        <v>1834</v>
      </c>
      <c r="BJ10" s="65">
        <v>646</v>
      </c>
      <c r="BK10" s="65">
        <v>323</v>
      </c>
      <c r="BL10" s="65">
        <v>1071</v>
      </c>
      <c r="BM10" s="65">
        <v>1263</v>
      </c>
      <c r="BN10" s="65">
        <v>1263</v>
      </c>
      <c r="BO10" s="65">
        <v>2133</v>
      </c>
      <c r="BP10" s="65">
        <v>1035</v>
      </c>
      <c r="BQ10" s="65">
        <v>1590</v>
      </c>
      <c r="BR10" s="65">
        <v>649</v>
      </c>
      <c r="BS10" s="65">
        <v>449</v>
      </c>
      <c r="BT10" s="65">
        <v>968</v>
      </c>
      <c r="BU10" s="65">
        <v>1653</v>
      </c>
      <c r="BV10" s="65">
        <v>2385</v>
      </c>
      <c r="BW10" s="65">
        <v>3633</v>
      </c>
      <c r="BX10" s="65">
        <v>740</v>
      </c>
      <c r="BY10" s="65">
        <v>1200</v>
      </c>
      <c r="BZ10" s="59">
        <v>1897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7">
        <v>0</v>
      </c>
      <c r="CH10" s="65">
        <v>0</v>
      </c>
      <c r="CI10" s="59">
        <v>720</v>
      </c>
      <c r="CJ10" s="65">
        <v>0</v>
      </c>
      <c r="CK10" s="65">
        <v>0</v>
      </c>
      <c r="CL10" s="65">
        <v>0</v>
      </c>
      <c r="CM10" s="59">
        <v>0</v>
      </c>
      <c r="CN10" s="161" t="s">
        <v>2</v>
      </c>
      <c r="CO10" s="161" t="s">
        <v>2</v>
      </c>
    </row>
    <row r="11" spans="1:93" x14ac:dyDescent="0.25">
      <c r="A11" s="186" t="s">
        <v>1708</v>
      </c>
      <c r="B11" s="46" t="s">
        <v>355</v>
      </c>
      <c r="C11" s="1" t="s">
        <v>1709</v>
      </c>
      <c r="D11" s="291">
        <v>9</v>
      </c>
      <c r="E11" s="11">
        <v>12</v>
      </c>
      <c r="F11" s="156">
        <v>182</v>
      </c>
      <c r="G11" s="156">
        <v>761</v>
      </c>
      <c r="H11" s="167">
        <v>67</v>
      </c>
      <c r="I11" s="3">
        <v>13.6</v>
      </c>
      <c r="J11" s="3">
        <v>12.4</v>
      </c>
      <c r="K11" s="3">
        <v>4</v>
      </c>
      <c r="L11" s="3">
        <v>0</v>
      </c>
      <c r="M11" s="7">
        <v>3</v>
      </c>
      <c r="N11" s="65">
        <v>81</v>
      </c>
      <c r="O11" s="65">
        <v>212</v>
      </c>
      <c r="P11" s="3">
        <v>3</v>
      </c>
      <c r="Q11" s="2" t="s">
        <v>2</v>
      </c>
      <c r="R11" s="158">
        <v>94</v>
      </c>
      <c r="S11" s="158">
        <v>131</v>
      </c>
      <c r="T11" s="158">
        <v>15</v>
      </c>
      <c r="U11" s="63" t="s">
        <v>2</v>
      </c>
      <c r="V11" s="63" t="s">
        <v>2</v>
      </c>
      <c r="W11" s="7" t="s">
        <v>2</v>
      </c>
      <c r="X11" s="3">
        <v>3</v>
      </c>
      <c r="Y11" s="61">
        <v>0.12</v>
      </c>
      <c r="Z11" s="61">
        <v>0.25</v>
      </c>
      <c r="AA11" s="61">
        <v>0.8</v>
      </c>
      <c r="AB11" s="63" t="s">
        <v>2</v>
      </c>
      <c r="AC11" s="63" t="s">
        <v>2</v>
      </c>
      <c r="AD11" s="158" t="s">
        <v>2</v>
      </c>
      <c r="AE11" s="158" t="s">
        <v>2</v>
      </c>
      <c r="AF11" s="2" t="s">
        <v>2</v>
      </c>
      <c r="AG11" s="7" t="s">
        <v>2</v>
      </c>
      <c r="AH11" s="162">
        <v>875</v>
      </c>
      <c r="AI11" s="65">
        <v>911</v>
      </c>
      <c r="AJ11" s="2" t="s">
        <v>2</v>
      </c>
      <c r="AK11" s="2" t="s">
        <v>2</v>
      </c>
      <c r="AL11" s="7" t="s">
        <v>2</v>
      </c>
      <c r="AM11" s="65">
        <v>435</v>
      </c>
      <c r="AN11" s="158" t="s">
        <v>2</v>
      </c>
      <c r="AO11" s="158" t="s">
        <v>2</v>
      </c>
      <c r="AP11" s="3" t="s">
        <v>2</v>
      </c>
      <c r="AQ11" s="63" t="s">
        <v>2</v>
      </c>
      <c r="AR11" s="63" t="s">
        <v>2</v>
      </c>
      <c r="AS11" s="63" t="s">
        <v>2</v>
      </c>
      <c r="AT11" s="63" t="s">
        <v>2</v>
      </c>
      <c r="AU11" s="63" t="s">
        <v>2</v>
      </c>
      <c r="AV11" s="62" t="s">
        <v>2</v>
      </c>
      <c r="AW11" s="2" t="s">
        <v>2</v>
      </c>
      <c r="AX11" s="63" t="s">
        <v>2</v>
      </c>
      <c r="AY11" s="63" t="s">
        <v>2</v>
      </c>
      <c r="AZ11" s="62" t="s">
        <v>2</v>
      </c>
      <c r="BA11" s="2" t="s">
        <v>2</v>
      </c>
      <c r="BB11" s="63" t="s">
        <v>2</v>
      </c>
      <c r="BC11" s="63" t="s">
        <v>2</v>
      </c>
      <c r="BD11" s="63" t="s">
        <v>2</v>
      </c>
      <c r="BE11" s="63" t="s">
        <v>2</v>
      </c>
      <c r="BF11" s="62" t="s">
        <v>2</v>
      </c>
      <c r="BG11" s="23" t="s">
        <v>2</v>
      </c>
      <c r="BH11" s="23" t="s">
        <v>2</v>
      </c>
      <c r="BI11" s="158" t="s">
        <v>2</v>
      </c>
      <c r="BJ11" s="158" t="s">
        <v>2</v>
      </c>
      <c r="BK11" s="158" t="s">
        <v>2</v>
      </c>
      <c r="BL11" s="158" t="s">
        <v>2</v>
      </c>
      <c r="BM11" s="158" t="s">
        <v>2</v>
      </c>
      <c r="BN11" s="158" t="s">
        <v>2</v>
      </c>
      <c r="BO11" s="158" t="s">
        <v>2</v>
      </c>
      <c r="BP11" s="158" t="s">
        <v>2</v>
      </c>
      <c r="BQ11" s="158" t="s">
        <v>2</v>
      </c>
      <c r="BR11" s="158" t="s">
        <v>2</v>
      </c>
      <c r="BS11" s="158" t="s">
        <v>2</v>
      </c>
      <c r="BT11" s="158" t="s">
        <v>2</v>
      </c>
      <c r="BU11" s="158" t="s">
        <v>2</v>
      </c>
      <c r="BV11" s="158" t="s">
        <v>2</v>
      </c>
      <c r="BW11" s="158" t="s">
        <v>2</v>
      </c>
      <c r="BX11" s="158" t="s">
        <v>2</v>
      </c>
      <c r="BY11" s="158" t="s">
        <v>2</v>
      </c>
      <c r="BZ11" s="160" t="s">
        <v>2</v>
      </c>
      <c r="CA11" s="2" t="s">
        <v>2</v>
      </c>
      <c r="CB11" s="2" t="s">
        <v>2</v>
      </c>
      <c r="CC11" s="2" t="s">
        <v>2</v>
      </c>
      <c r="CD11" s="2" t="s">
        <v>2</v>
      </c>
      <c r="CE11" s="2" t="s">
        <v>2</v>
      </c>
      <c r="CF11" s="2" t="s">
        <v>2</v>
      </c>
      <c r="CG11" s="7" t="s">
        <v>2</v>
      </c>
      <c r="CH11" s="158" t="s">
        <v>2</v>
      </c>
      <c r="CI11" s="160" t="s">
        <v>2</v>
      </c>
      <c r="CJ11" s="65">
        <v>0</v>
      </c>
      <c r="CK11" s="65">
        <v>0</v>
      </c>
      <c r="CL11" s="65">
        <v>0</v>
      </c>
      <c r="CM11" s="59" t="s">
        <v>2</v>
      </c>
      <c r="CN11" s="161" t="s">
        <v>2</v>
      </c>
      <c r="CO11" s="161" t="s">
        <v>2</v>
      </c>
    </row>
    <row r="12" spans="1:93" x14ac:dyDescent="0.25">
      <c r="A12" s="186" t="s">
        <v>1710</v>
      </c>
      <c r="B12" s="46" t="s">
        <v>356</v>
      </c>
      <c r="C12" s="192" t="s">
        <v>1711</v>
      </c>
      <c r="D12" s="291">
        <v>9</v>
      </c>
      <c r="E12" s="11">
        <v>0</v>
      </c>
      <c r="F12" s="156">
        <v>563</v>
      </c>
      <c r="G12" s="156">
        <v>2356</v>
      </c>
      <c r="H12" s="167">
        <v>8.5</v>
      </c>
      <c r="I12" s="8">
        <v>44</v>
      </c>
      <c r="J12" s="8">
        <v>42.2</v>
      </c>
      <c r="K12" s="8">
        <v>1.8</v>
      </c>
      <c r="L12" s="8">
        <v>0</v>
      </c>
      <c r="M12" s="7">
        <v>3.5</v>
      </c>
      <c r="N12" s="162">
        <v>186</v>
      </c>
      <c r="O12" s="162">
        <v>786</v>
      </c>
      <c r="P12" s="8">
        <v>9.3000000000000007</v>
      </c>
      <c r="Q12" s="28" t="s">
        <v>2</v>
      </c>
      <c r="R12" s="159" t="s">
        <v>2</v>
      </c>
      <c r="S12" s="159" t="s">
        <v>2</v>
      </c>
      <c r="T12" s="159" t="s">
        <v>2</v>
      </c>
      <c r="U12" s="187" t="s">
        <v>2</v>
      </c>
      <c r="V12" s="187" t="s">
        <v>2</v>
      </c>
      <c r="W12" s="7" t="s">
        <v>2</v>
      </c>
      <c r="X12" s="28" t="s">
        <v>2</v>
      </c>
      <c r="Y12" s="165">
        <v>0.35</v>
      </c>
      <c r="Z12" s="165">
        <v>1.23</v>
      </c>
      <c r="AA12" s="165">
        <v>0.2</v>
      </c>
      <c r="AB12" s="187" t="s">
        <v>2</v>
      </c>
      <c r="AC12" s="187" t="s">
        <v>2</v>
      </c>
      <c r="AD12" s="159" t="s">
        <v>2</v>
      </c>
      <c r="AE12" s="159" t="s">
        <v>2</v>
      </c>
      <c r="AF12" s="28" t="s">
        <v>2</v>
      </c>
      <c r="AG12" s="7" t="s">
        <v>2</v>
      </c>
      <c r="AH12" s="162">
        <v>1340</v>
      </c>
      <c r="AI12" s="162">
        <v>1340</v>
      </c>
      <c r="AJ12" s="28" t="s">
        <v>2</v>
      </c>
      <c r="AK12" s="28" t="s">
        <v>2</v>
      </c>
      <c r="AL12" s="7" t="s">
        <v>2</v>
      </c>
      <c r="AM12" s="162">
        <v>770</v>
      </c>
      <c r="AN12" s="159" t="s">
        <v>2</v>
      </c>
      <c r="AO12" s="159" t="s">
        <v>2</v>
      </c>
      <c r="AP12" s="28" t="s">
        <v>2</v>
      </c>
      <c r="AQ12" s="187" t="s">
        <v>2</v>
      </c>
      <c r="AR12" s="187" t="s">
        <v>2</v>
      </c>
      <c r="AS12" s="187" t="s">
        <v>2</v>
      </c>
      <c r="AT12" s="187" t="s">
        <v>2</v>
      </c>
      <c r="AU12" s="187" t="s">
        <v>2</v>
      </c>
      <c r="AV12" s="62" t="s">
        <v>2</v>
      </c>
      <c r="AW12" s="28" t="s">
        <v>2</v>
      </c>
      <c r="AX12" s="187" t="s">
        <v>2</v>
      </c>
      <c r="AY12" s="187" t="s">
        <v>2</v>
      </c>
      <c r="AZ12" s="62" t="s">
        <v>2</v>
      </c>
      <c r="BA12" s="28" t="s">
        <v>2</v>
      </c>
      <c r="BB12" s="187" t="s">
        <v>2</v>
      </c>
      <c r="BC12" s="187" t="s">
        <v>2</v>
      </c>
      <c r="BD12" s="187" t="s">
        <v>2</v>
      </c>
      <c r="BE12" s="187" t="s">
        <v>2</v>
      </c>
      <c r="BF12" s="62" t="s">
        <v>2</v>
      </c>
      <c r="BG12" s="23" t="s">
        <v>2</v>
      </c>
      <c r="BH12" s="23" t="s">
        <v>2</v>
      </c>
      <c r="BI12" s="159" t="s">
        <v>2</v>
      </c>
      <c r="BJ12" s="159" t="s">
        <v>2</v>
      </c>
      <c r="BK12" s="159" t="s">
        <v>2</v>
      </c>
      <c r="BL12" s="159" t="s">
        <v>2</v>
      </c>
      <c r="BM12" s="159" t="s">
        <v>2</v>
      </c>
      <c r="BN12" s="159" t="s">
        <v>2</v>
      </c>
      <c r="BO12" s="159" t="s">
        <v>2</v>
      </c>
      <c r="BP12" s="159" t="s">
        <v>2</v>
      </c>
      <c r="BQ12" s="159" t="s">
        <v>2</v>
      </c>
      <c r="BR12" s="159" t="s">
        <v>2</v>
      </c>
      <c r="BS12" s="159" t="s">
        <v>2</v>
      </c>
      <c r="BT12" s="159" t="s">
        <v>2</v>
      </c>
      <c r="BU12" s="159" t="s">
        <v>2</v>
      </c>
      <c r="BV12" s="159" t="s">
        <v>2</v>
      </c>
      <c r="BW12" s="159" t="s">
        <v>2</v>
      </c>
      <c r="BX12" s="159" t="s">
        <v>2</v>
      </c>
      <c r="BY12" s="159" t="s">
        <v>2</v>
      </c>
      <c r="BZ12" s="160" t="s">
        <v>2</v>
      </c>
      <c r="CA12" s="28" t="s">
        <v>2</v>
      </c>
      <c r="CB12" s="28" t="s">
        <v>2</v>
      </c>
      <c r="CC12" s="28" t="s">
        <v>2</v>
      </c>
      <c r="CD12" s="28" t="s">
        <v>2</v>
      </c>
      <c r="CE12" s="28" t="s">
        <v>2</v>
      </c>
      <c r="CF12" s="28" t="s">
        <v>2</v>
      </c>
      <c r="CG12" s="7" t="s">
        <v>2</v>
      </c>
      <c r="CH12" s="159" t="s">
        <v>2</v>
      </c>
      <c r="CI12" s="160" t="s">
        <v>2</v>
      </c>
      <c r="CJ12" s="162">
        <v>0</v>
      </c>
      <c r="CK12" s="162">
        <v>0</v>
      </c>
      <c r="CL12" s="162">
        <v>0</v>
      </c>
      <c r="CM12" s="59">
        <v>0</v>
      </c>
      <c r="CN12" s="161" t="s">
        <v>2</v>
      </c>
      <c r="CO12" s="161" t="s">
        <v>2</v>
      </c>
    </row>
    <row r="13" spans="1:93" s="152" customFormat="1" ht="16.5" thickBot="1" x14ac:dyDescent="0.3">
      <c r="A13" s="189" t="s">
        <v>1712</v>
      </c>
      <c r="B13" s="193" t="s">
        <v>1713</v>
      </c>
      <c r="C13" s="190" t="s">
        <v>2</v>
      </c>
      <c r="D13" s="291">
        <v>9</v>
      </c>
      <c r="E13" s="188">
        <v>0</v>
      </c>
      <c r="F13" s="188">
        <v>132</v>
      </c>
      <c r="G13" s="188">
        <v>551</v>
      </c>
      <c r="H13" s="188">
        <v>76.2</v>
      </c>
      <c r="I13" s="164">
        <v>12.79</v>
      </c>
      <c r="J13" s="164">
        <v>8.17</v>
      </c>
      <c r="K13" s="164">
        <v>1.89</v>
      </c>
      <c r="L13" s="164" t="s">
        <v>2</v>
      </c>
      <c r="M13" s="188">
        <v>0.92</v>
      </c>
      <c r="N13" s="17" t="s">
        <v>2</v>
      </c>
      <c r="O13" s="17" t="s">
        <v>2</v>
      </c>
      <c r="P13" s="17" t="s">
        <v>2</v>
      </c>
      <c r="Q13" s="17" t="s">
        <v>2</v>
      </c>
      <c r="R13" s="194" t="s">
        <v>2</v>
      </c>
      <c r="S13" s="194" t="s">
        <v>2</v>
      </c>
      <c r="T13" s="194" t="s">
        <v>2</v>
      </c>
      <c r="U13" s="191" t="s">
        <v>2</v>
      </c>
      <c r="V13" s="191" t="s">
        <v>2</v>
      </c>
      <c r="W13" s="19" t="s">
        <v>2</v>
      </c>
      <c r="X13" s="17" t="s">
        <v>2</v>
      </c>
      <c r="Y13" s="183">
        <v>0.09</v>
      </c>
      <c r="Z13" s="183">
        <v>0.18</v>
      </c>
      <c r="AA13" s="191" t="s">
        <v>2</v>
      </c>
      <c r="AB13" s="191" t="s">
        <v>2</v>
      </c>
      <c r="AC13" s="191" t="s">
        <v>2</v>
      </c>
      <c r="AD13" s="180">
        <v>17</v>
      </c>
      <c r="AE13" s="194" t="s">
        <v>2</v>
      </c>
      <c r="AF13" s="17" t="s">
        <v>2</v>
      </c>
      <c r="AG13" s="19" t="s">
        <v>2</v>
      </c>
      <c r="AH13" s="180">
        <v>166</v>
      </c>
      <c r="AI13" s="180" t="s">
        <v>2</v>
      </c>
      <c r="AJ13" s="179">
        <v>2.0499999999999998</v>
      </c>
      <c r="AK13" s="179">
        <v>9.18</v>
      </c>
      <c r="AL13" s="181" t="s">
        <v>2</v>
      </c>
      <c r="AM13" s="180" t="s">
        <v>2</v>
      </c>
      <c r="AN13" s="180" t="s">
        <v>2</v>
      </c>
      <c r="AO13" s="180" t="s">
        <v>2</v>
      </c>
      <c r="AP13" s="17" t="s">
        <v>2</v>
      </c>
      <c r="AQ13" s="17" t="s">
        <v>2</v>
      </c>
      <c r="AR13" s="17" t="s">
        <v>2</v>
      </c>
      <c r="AS13" s="17" t="s">
        <v>2</v>
      </c>
      <c r="AT13" s="17" t="s">
        <v>2</v>
      </c>
      <c r="AU13" s="17" t="s">
        <v>2</v>
      </c>
      <c r="AV13" s="20" t="s">
        <v>2</v>
      </c>
      <c r="AW13" s="17" t="s">
        <v>2</v>
      </c>
      <c r="AX13" s="17" t="s">
        <v>2</v>
      </c>
      <c r="AY13" s="17" t="s">
        <v>2</v>
      </c>
      <c r="AZ13" s="20" t="s">
        <v>2</v>
      </c>
      <c r="BA13" s="17" t="s">
        <v>2</v>
      </c>
      <c r="BB13" s="17" t="s">
        <v>2</v>
      </c>
      <c r="BC13" s="17" t="s">
        <v>2</v>
      </c>
      <c r="BD13" s="17" t="s">
        <v>2</v>
      </c>
      <c r="BE13" s="17" t="s">
        <v>2</v>
      </c>
      <c r="BF13" s="20" t="s">
        <v>2</v>
      </c>
      <c r="BG13" s="20" t="s">
        <v>2</v>
      </c>
      <c r="BH13" s="20" t="s">
        <v>2</v>
      </c>
      <c r="BI13" s="180" t="s">
        <v>2</v>
      </c>
      <c r="BJ13" s="180" t="s">
        <v>2</v>
      </c>
      <c r="BK13" s="180" t="s">
        <v>2</v>
      </c>
      <c r="BL13" s="180" t="s">
        <v>2</v>
      </c>
      <c r="BM13" s="180" t="s">
        <v>2</v>
      </c>
      <c r="BN13" s="180" t="s">
        <v>2</v>
      </c>
      <c r="BO13" s="180" t="s">
        <v>2</v>
      </c>
      <c r="BP13" s="180" t="s">
        <v>2</v>
      </c>
      <c r="BQ13" s="180" t="s">
        <v>2</v>
      </c>
      <c r="BR13" s="180" t="s">
        <v>2</v>
      </c>
      <c r="BS13" s="180" t="s">
        <v>2</v>
      </c>
      <c r="BT13" s="180" t="s">
        <v>2</v>
      </c>
      <c r="BU13" s="180" t="s">
        <v>2</v>
      </c>
      <c r="BV13" s="180" t="s">
        <v>2</v>
      </c>
      <c r="BW13" s="180" t="s">
        <v>2</v>
      </c>
      <c r="BX13" s="180" t="s">
        <v>2</v>
      </c>
      <c r="BY13" s="180" t="s">
        <v>2</v>
      </c>
      <c r="BZ13" s="181" t="s">
        <v>2</v>
      </c>
      <c r="CA13" s="179">
        <v>0.37</v>
      </c>
      <c r="CB13" s="179">
        <v>0</v>
      </c>
      <c r="CC13" s="179">
        <v>0</v>
      </c>
      <c r="CD13" s="179">
        <v>0</v>
      </c>
      <c r="CE13" s="179">
        <v>0</v>
      </c>
      <c r="CF13" s="179">
        <v>0</v>
      </c>
      <c r="CG13" s="177">
        <v>0</v>
      </c>
      <c r="CH13" s="180">
        <v>0</v>
      </c>
      <c r="CI13" s="181">
        <v>503</v>
      </c>
      <c r="CJ13" s="180">
        <v>0</v>
      </c>
      <c r="CK13" s="180">
        <v>0</v>
      </c>
      <c r="CL13" s="180">
        <v>0</v>
      </c>
      <c r="CM13" s="181">
        <v>0</v>
      </c>
      <c r="CN13" s="178" t="s">
        <v>2</v>
      </c>
      <c r="CO13" s="178" t="s">
        <v>2</v>
      </c>
    </row>
    <row r="14" spans="1:93" s="207" customFormat="1" thickTop="1" x14ac:dyDescent="0.25">
      <c r="A14" s="254">
        <v>10001</v>
      </c>
      <c r="B14" s="197" t="s">
        <v>357</v>
      </c>
      <c r="C14" s="198" t="s">
        <v>1714</v>
      </c>
      <c r="D14" s="289">
        <v>10</v>
      </c>
      <c r="E14" s="199">
        <v>0</v>
      </c>
      <c r="F14" s="231">
        <v>74</v>
      </c>
      <c r="G14" s="231">
        <v>311</v>
      </c>
      <c r="H14" s="202">
        <v>86.2</v>
      </c>
      <c r="I14" s="203">
        <v>3.9</v>
      </c>
      <c r="J14" s="203">
        <v>4.4000000000000004</v>
      </c>
      <c r="K14" s="203">
        <v>4.8</v>
      </c>
      <c r="L14" s="203">
        <v>0</v>
      </c>
      <c r="M14" s="204">
        <v>0.7</v>
      </c>
      <c r="N14" s="200">
        <v>120</v>
      </c>
      <c r="O14" s="200">
        <v>95</v>
      </c>
      <c r="P14" s="203">
        <v>0.1</v>
      </c>
      <c r="Q14" s="203">
        <v>0.4</v>
      </c>
      <c r="R14" s="200">
        <v>380</v>
      </c>
      <c r="S14" s="200">
        <v>143</v>
      </c>
      <c r="T14" s="200">
        <v>16</v>
      </c>
      <c r="U14" s="205">
        <v>3.0000000000000001E-3</v>
      </c>
      <c r="V14" s="205">
        <v>20</v>
      </c>
      <c r="W14" s="204">
        <v>1.2</v>
      </c>
      <c r="X14" s="203">
        <v>1</v>
      </c>
      <c r="Y14" s="205">
        <v>0.05</v>
      </c>
      <c r="Z14" s="205">
        <v>0.19</v>
      </c>
      <c r="AA14" s="205">
        <v>0.1</v>
      </c>
      <c r="AB14" s="205">
        <v>0.36199999999999999</v>
      </c>
      <c r="AC14" s="205">
        <v>3.5999999999999997E-2</v>
      </c>
      <c r="AD14" s="200">
        <v>5</v>
      </c>
      <c r="AE14" s="200">
        <v>0</v>
      </c>
      <c r="AF14" s="203">
        <v>1.4</v>
      </c>
      <c r="AG14" s="204">
        <v>0.44</v>
      </c>
      <c r="AH14" s="244">
        <v>50</v>
      </c>
      <c r="AI14" s="200">
        <v>52</v>
      </c>
      <c r="AJ14" s="203">
        <v>1</v>
      </c>
      <c r="AK14" s="203">
        <v>0.06</v>
      </c>
      <c r="AL14" s="204">
        <v>0.2</v>
      </c>
      <c r="AM14" s="200">
        <v>22</v>
      </c>
      <c r="AN14" s="200">
        <v>0</v>
      </c>
      <c r="AO14" s="201">
        <v>0</v>
      </c>
      <c r="AP14" s="203">
        <v>1.865</v>
      </c>
      <c r="AQ14" s="205">
        <v>0.82899999999999996</v>
      </c>
      <c r="AR14" s="205">
        <v>0</v>
      </c>
      <c r="AS14" s="205">
        <v>0.36499999999999999</v>
      </c>
      <c r="AT14" s="205">
        <v>0</v>
      </c>
      <c r="AU14" s="205">
        <v>0</v>
      </c>
      <c r="AV14" s="206">
        <v>0</v>
      </c>
      <c r="AW14" s="203">
        <v>0.81200000000000006</v>
      </c>
      <c r="AX14" s="205">
        <v>0</v>
      </c>
      <c r="AY14" s="205">
        <v>0</v>
      </c>
      <c r="AZ14" s="206">
        <v>0.81200000000000006</v>
      </c>
      <c r="BA14" s="203">
        <v>0.19500000000000001</v>
      </c>
      <c r="BB14" s="205">
        <v>0.12</v>
      </c>
      <c r="BC14" s="205">
        <v>7.4999999999999997E-2</v>
      </c>
      <c r="BD14" s="205">
        <v>0</v>
      </c>
      <c r="BE14" s="205">
        <v>0</v>
      </c>
      <c r="BF14" s="206">
        <v>0</v>
      </c>
      <c r="BG14" s="230" t="s">
        <v>2</v>
      </c>
      <c r="BH14" s="199">
        <v>42</v>
      </c>
      <c r="BI14" s="200">
        <v>320</v>
      </c>
      <c r="BJ14" s="200">
        <v>90</v>
      </c>
      <c r="BK14" s="200">
        <v>50</v>
      </c>
      <c r="BL14" s="200">
        <v>180</v>
      </c>
      <c r="BM14" s="200">
        <v>190</v>
      </c>
      <c r="BN14" s="200">
        <v>240</v>
      </c>
      <c r="BO14" s="200">
        <v>460</v>
      </c>
      <c r="BP14" s="200">
        <v>250</v>
      </c>
      <c r="BQ14" s="200">
        <v>170</v>
      </c>
      <c r="BR14" s="200">
        <v>100</v>
      </c>
      <c r="BS14" s="200">
        <v>28</v>
      </c>
      <c r="BT14" s="200">
        <v>137</v>
      </c>
      <c r="BU14" s="200">
        <v>95</v>
      </c>
      <c r="BV14" s="200">
        <v>221</v>
      </c>
      <c r="BW14" s="200">
        <v>640</v>
      </c>
      <c r="BX14" s="200">
        <v>57</v>
      </c>
      <c r="BY14" s="200">
        <v>297</v>
      </c>
      <c r="BZ14" s="201">
        <v>167</v>
      </c>
      <c r="CA14" s="203">
        <v>4.8</v>
      </c>
      <c r="CB14" s="203">
        <v>0</v>
      </c>
      <c r="CC14" s="203">
        <v>0</v>
      </c>
      <c r="CD14" s="203">
        <v>4.8</v>
      </c>
      <c r="CE14" s="203">
        <v>0</v>
      </c>
      <c r="CF14" s="203">
        <v>0</v>
      </c>
      <c r="CG14" s="204">
        <v>0</v>
      </c>
      <c r="CH14" s="200">
        <v>0</v>
      </c>
      <c r="CI14" s="201">
        <v>0</v>
      </c>
      <c r="CJ14" s="200">
        <v>0</v>
      </c>
      <c r="CK14" s="200">
        <v>0</v>
      </c>
      <c r="CL14" s="200">
        <v>0</v>
      </c>
      <c r="CM14" s="201">
        <v>0</v>
      </c>
      <c r="CN14" s="235" t="s">
        <v>2</v>
      </c>
      <c r="CO14" s="235" t="s">
        <v>2</v>
      </c>
    </row>
    <row r="15" spans="1:93" s="207" customFormat="1" ht="15" x14ac:dyDescent="0.25">
      <c r="A15" s="254">
        <v>10002</v>
      </c>
      <c r="B15" s="197" t="s">
        <v>358</v>
      </c>
      <c r="C15" s="198" t="s">
        <v>1715</v>
      </c>
      <c r="D15" s="289">
        <v>10</v>
      </c>
      <c r="E15" s="199">
        <v>0</v>
      </c>
      <c r="F15" s="231">
        <v>69</v>
      </c>
      <c r="G15" s="231">
        <v>288</v>
      </c>
      <c r="H15" s="202">
        <v>87.2</v>
      </c>
      <c r="I15" s="203">
        <v>3.5</v>
      </c>
      <c r="J15" s="203">
        <v>4.0999999999999996</v>
      </c>
      <c r="K15" s="203">
        <v>4.5</v>
      </c>
      <c r="L15" s="203">
        <v>0</v>
      </c>
      <c r="M15" s="204">
        <v>0.7</v>
      </c>
      <c r="N15" s="200">
        <v>147</v>
      </c>
      <c r="O15" s="200">
        <v>126</v>
      </c>
      <c r="P15" s="203">
        <v>0.1</v>
      </c>
      <c r="Q15" s="203">
        <v>0.3</v>
      </c>
      <c r="R15" s="200">
        <v>50</v>
      </c>
      <c r="S15" s="200">
        <v>204</v>
      </c>
      <c r="T15" s="200">
        <v>14</v>
      </c>
      <c r="U15" s="205">
        <v>1.7999999999999999E-2</v>
      </c>
      <c r="V15" s="205">
        <v>46</v>
      </c>
      <c r="W15" s="204">
        <v>1.4</v>
      </c>
      <c r="X15" s="203">
        <v>3</v>
      </c>
      <c r="Y15" s="205">
        <v>0.04</v>
      </c>
      <c r="Z15" s="205">
        <v>0.18</v>
      </c>
      <c r="AA15" s="205">
        <v>0.3</v>
      </c>
      <c r="AB15" s="205">
        <v>0.31</v>
      </c>
      <c r="AC15" s="205">
        <v>4.5999999999999999E-2</v>
      </c>
      <c r="AD15" s="200">
        <v>1</v>
      </c>
      <c r="AE15" s="200">
        <v>0</v>
      </c>
      <c r="AF15" s="203">
        <v>2</v>
      </c>
      <c r="AG15" s="204">
        <v>7.0000000000000007E-2</v>
      </c>
      <c r="AH15" s="244">
        <v>50</v>
      </c>
      <c r="AI15" s="200">
        <v>52</v>
      </c>
      <c r="AJ15" s="203">
        <v>0.3</v>
      </c>
      <c r="AK15" s="203">
        <v>7.0000000000000007E-2</v>
      </c>
      <c r="AL15" s="204">
        <v>0.3</v>
      </c>
      <c r="AM15" s="200">
        <v>20</v>
      </c>
      <c r="AN15" s="200">
        <v>0</v>
      </c>
      <c r="AO15" s="201">
        <v>0</v>
      </c>
      <c r="AP15" s="203">
        <v>2.6669999999999998</v>
      </c>
      <c r="AQ15" s="205">
        <v>0.91100000000000003</v>
      </c>
      <c r="AR15" s="205">
        <v>0</v>
      </c>
      <c r="AS15" s="205">
        <v>0.441</v>
      </c>
      <c r="AT15" s="205">
        <v>0</v>
      </c>
      <c r="AU15" s="205">
        <v>0</v>
      </c>
      <c r="AV15" s="206">
        <v>0</v>
      </c>
      <c r="AW15" s="203">
        <v>1.109</v>
      </c>
      <c r="AX15" s="205">
        <v>0</v>
      </c>
      <c r="AY15" s="205">
        <v>8.2000000000000003E-2</v>
      </c>
      <c r="AZ15" s="206">
        <v>0.97699999999999998</v>
      </c>
      <c r="BA15" s="203">
        <v>0.14899999999999999</v>
      </c>
      <c r="BB15" s="205">
        <v>0.109</v>
      </c>
      <c r="BC15" s="205">
        <v>0.04</v>
      </c>
      <c r="BD15" s="205">
        <v>0</v>
      </c>
      <c r="BE15" s="205">
        <v>0</v>
      </c>
      <c r="BF15" s="206">
        <v>0</v>
      </c>
      <c r="BG15" s="230" t="s">
        <v>2</v>
      </c>
      <c r="BH15" s="199">
        <v>2</v>
      </c>
      <c r="BI15" s="200">
        <v>249</v>
      </c>
      <c r="BJ15" s="200">
        <v>80</v>
      </c>
      <c r="BK15" s="200">
        <v>42</v>
      </c>
      <c r="BL15" s="200">
        <v>191</v>
      </c>
      <c r="BM15" s="200">
        <v>161</v>
      </c>
      <c r="BN15" s="200">
        <v>207</v>
      </c>
      <c r="BO15" s="200">
        <v>313</v>
      </c>
      <c r="BP15" s="200">
        <v>159</v>
      </c>
      <c r="BQ15" s="200">
        <v>101</v>
      </c>
      <c r="BR15" s="200">
        <v>85</v>
      </c>
      <c r="BS15" s="200">
        <v>85</v>
      </c>
      <c r="BT15" s="200">
        <v>212</v>
      </c>
      <c r="BU15" s="200">
        <v>106</v>
      </c>
      <c r="BV15" s="200">
        <v>244</v>
      </c>
      <c r="BW15" s="200">
        <v>636</v>
      </c>
      <c r="BX15" s="200">
        <v>58</v>
      </c>
      <c r="BY15" s="200">
        <v>350</v>
      </c>
      <c r="BZ15" s="201">
        <v>170</v>
      </c>
      <c r="CA15" s="203">
        <v>4.45</v>
      </c>
      <c r="CB15" s="223" t="s">
        <v>2</v>
      </c>
      <c r="CC15" s="223" t="s">
        <v>2</v>
      </c>
      <c r="CD15" s="223" t="s">
        <v>2</v>
      </c>
      <c r="CE15" s="223" t="s">
        <v>2</v>
      </c>
      <c r="CF15" s="223" t="s">
        <v>2</v>
      </c>
      <c r="CG15" s="233" t="s">
        <v>2</v>
      </c>
      <c r="CH15" s="200">
        <v>0</v>
      </c>
      <c r="CI15" s="201">
        <v>0</v>
      </c>
      <c r="CJ15" s="200">
        <v>0</v>
      </c>
      <c r="CK15" s="200">
        <v>0</v>
      </c>
      <c r="CL15" s="200">
        <v>0</v>
      </c>
      <c r="CM15" s="201">
        <v>0</v>
      </c>
      <c r="CN15" s="235" t="s">
        <v>2</v>
      </c>
      <c r="CO15" s="235" t="s">
        <v>2</v>
      </c>
    </row>
    <row r="16" spans="1:93" s="207" customFormat="1" ht="15" x14ac:dyDescent="0.25">
      <c r="A16" s="254">
        <v>10003</v>
      </c>
      <c r="B16" s="197" t="s">
        <v>359</v>
      </c>
      <c r="C16" s="198" t="s">
        <v>1716</v>
      </c>
      <c r="D16" s="289">
        <v>10</v>
      </c>
      <c r="E16" s="199">
        <v>0</v>
      </c>
      <c r="F16" s="231">
        <v>61</v>
      </c>
      <c r="G16" s="231">
        <v>255</v>
      </c>
      <c r="H16" s="202">
        <v>88.3</v>
      </c>
      <c r="I16" s="203">
        <v>1.5</v>
      </c>
      <c r="J16" s="203">
        <v>3</v>
      </c>
      <c r="K16" s="203">
        <v>7</v>
      </c>
      <c r="L16" s="203">
        <v>0</v>
      </c>
      <c r="M16" s="204">
        <v>0.2</v>
      </c>
      <c r="N16" s="200">
        <v>34</v>
      </c>
      <c r="O16" s="200">
        <v>15</v>
      </c>
      <c r="P16" s="203">
        <v>0.1</v>
      </c>
      <c r="Q16" s="203">
        <v>0.4</v>
      </c>
      <c r="R16" s="200">
        <v>15</v>
      </c>
      <c r="S16" s="200">
        <v>41</v>
      </c>
      <c r="T16" s="200">
        <v>2</v>
      </c>
      <c r="U16" s="205">
        <v>0.01</v>
      </c>
      <c r="V16" s="205">
        <v>14</v>
      </c>
      <c r="W16" s="204">
        <v>1.8</v>
      </c>
      <c r="X16" s="203">
        <v>6</v>
      </c>
      <c r="Y16" s="205">
        <v>0.01</v>
      </c>
      <c r="Z16" s="205">
        <v>0.04</v>
      </c>
      <c r="AA16" s="205">
        <v>0.1</v>
      </c>
      <c r="AB16" s="205">
        <v>0.223</v>
      </c>
      <c r="AC16" s="205">
        <v>1.0999999999999999E-2</v>
      </c>
      <c r="AD16" s="200">
        <v>5</v>
      </c>
      <c r="AE16" s="200">
        <v>0</v>
      </c>
      <c r="AF16" s="203">
        <v>0.7</v>
      </c>
      <c r="AG16" s="204">
        <v>0.05</v>
      </c>
      <c r="AH16" s="244">
        <v>90</v>
      </c>
      <c r="AI16" s="200">
        <v>90</v>
      </c>
      <c r="AJ16" s="203">
        <v>0.1</v>
      </c>
      <c r="AK16" s="203">
        <v>0.08</v>
      </c>
      <c r="AL16" s="204">
        <v>0.3</v>
      </c>
      <c r="AM16" s="200">
        <v>1</v>
      </c>
      <c r="AN16" s="200">
        <v>0</v>
      </c>
      <c r="AO16" s="201">
        <v>0</v>
      </c>
      <c r="AP16" s="203">
        <v>2.0089999999999999</v>
      </c>
      <c r="AQ16" s="205">
        <v>0.91900000000000004</v>
      </c>
      <c r="AR16" s="205">
        <v>0</v>
      </c>
      <c r="AS16" s="205">
        <v>0.29299999999999998</v>
      </c>
      <c r="AT16" s="205">
        <v>0</v>
      </c>
      <c r="AU16" s="205">
        <v>0</v>
      </c>
      <c r="AV16" s="206">
        <v>0</v>
      </c>
      <c r="AW16" s="203">
        <v>1.6579999999999999</v>
      </c>
      <c r="AX16" s="205">
        <v>0</v>
      </c>
      <c r="AY16" s="205">
        <v>0.129</v>
      </c>
      <c r="AZ16" s="206">
        <v>1.4750000000000001</v>
      </c>
      <c r="BA16" s="203">
        <v>0.497</v>
      </c>
      <c r="BB16" s="205">
        <v>0.374</v>
      </c>
      <c r="BC16" s="205">
        <v>5.1999999999999998E-2</v>
      </c>
      <c r="BD16" s="205">
        <v>2.5999999999999999E-2</v>
      </c>
      <c r="BE16" s="205">
        <v>0</v>
      </c>
      <c r="BF16" s="236">
        <v>0</v>
      </c>
      <c r="BG16" s="230" t="s">
        <v>2</v>
      </c>
      <c r="BH16" s="199">
        <v>14</v>
      </c>
      <c r="BI16" s="200">
        <v>110</v>
      </c>
      <c r="BJ16" s="200">
        <v>40</v>
      </c>
      <c r="BK16" s="200">
        <v>30</v>
      </c>
      <c r="BL16" s="200">
        <v>90</v>
      </c>
      <c r="BM16" s="200">
        <v>70</v>
      </c>
      <c r="BN16" s="200">
        <v>130</v>
      </c>
      <c r="BO16" s="200">
        <v>150</v>
      </c>
      <c r="BP16" s="200">
        <v>110</v>
      </c>
      <c r="BQ16" s="200">
        <v>60</v>
      </c>
      <c r="BR16" s="200">
        <v>59</v>
      </c>
      <c r="BS16" s="200">
        <v>26</v>
      </c>
      <c r="BT16" s="200">
        <v>82</v>
      </c>
      <c r="BU16" s="200">
        <v>58</v>
      </c>
      <c r="BV16" s="200">
        <v>130</v>
      </c>
      <c r="BW16" s="200">
        <v>264</v>
      </c>
      <c r="BX16" s="200">
        <v>34</v>
      </c>
      <c r="BY16" s="200">
        <v>137</v>
      </c>
      <c r="BZ16" s="201">
        <v>60</v>
      </c>
      <c r="CA16" s="203">
        <v>6.89</v>
      </c>
      <c r="CB16" s="223" t="s">
        <v>2</v>
      </c>
      <c r="CC16" s="223" t="s">
        <v>2</v>
      </c>
      <c r="CD16" s="223" t="s">
        <v>2</v>
      </c>
      <c r="CE16" s="223" t="s">
        <v>2</v>
      </c>
      <c r="CF16" s="223" t="s">
        <v>2</v>
      </c>
      <c r="CG16" s="233" t="s">
        <v>2</v>
      </c>
      <c r="CH16" s="200">
        <v>3</v>
      </c>
      <c r="CI16" s="201">
        <v>1</v>
      </c>
      <c r="CJ16" s="234" t="s">
        <v>2</v>
      </c>
      <c r="CK16" s="234" t="s">
        <v>2</v>
      </c>
      <c r="CL16" s="234" t="s">
        <v>2</v>
      </c>
      <c r="CM16" s="237" t="s">
        <v>2</v>
      </c>
      <c r="CN16" s="235" t="s">
        <v>2</v>
      </c>
      <c r="CO16" s="235" t="s">
        <v>2</v>
      </c>
    </row>
    <row r="17" spans="1:93" s="207" customFormat="1" ht="15" x14ac:dyDescent="0.25">
      <c r="A17" s="254">
        <v>10004</v>
      </c>
      <c r="B17" s="197" t="s">
        <v>360</v>
      </c>
      <c r="C17" s="198" t="s">
        <v>1717</v>
      </c>
      <c r="D17" s="289">
        <v>10</v>
      </c>
      <c r="E17" s="199">
        <v>0</v>
      </c>
      <c r="F17" s="231">
        <v>61</v>
      </c>
      <c r="G17" s="231">
        <v>255</v>
      </c>
      <c r="H17" s="202">
        <v>88.7</v>
      </c>
      <c r="I17" s="203">
        <v>3.3</v>
      </c>
      <c r="J17" s="203">
        <v>3.7</v>
      </c>
      <c r="K17" s="203">
        <v>3.6</v>
      </c>
      <c r="L17" s="203">
        <v>0</v>
      </c>
      <c r="M17" s="204">
        <v>0.7</v>
      </c>
      <c r="N17" s="200">
        <v>120</v>
      </c>
      <c r="O17" s="200">
        <v>95</v>
      </c>
      <c r="P17" s="203">
        <v>0.1</v>
      </c>
      <c r="Q17" s="203">
        <v>0.59</v>
      </c>
      <c r="R17" s="200">
        <v>46</v>
      </c>
      <c r="S17" s="200">
        <v>155</v>
      </c>
      <c r="T17" s="200">
        <v>12</v>
      </c>
      <c r="U17" s="205">
        <v>4.0000000000000001E-3</v>
      </c>
      <c r="V17" s="205">
        <v>9</v>
      </c>
      <c r="W17" s="204">
        <v>2.2000000000000002</v>
      </c>
      <c r="X17" s="203">
        <v>0.7</v>
      </c>
      <c r="Y17" s="205">
        <v>0.04</v>
      </c>
      <c r="Z17" s="205">
        <v>0.2</v>
      </c>
      <c r="AA17" s="205">
        <v>0.1</v>
      </c>
      <c r="AB17" s="205">
        <v>0.38900000000000001</v>
      </c>
      <c r="AC17" s="205">
        <v>3.2000000000000001E-2</v>
      </c>
      <c r="AD17" s="200">
        <v>7</v>
      </c>
      <c r="AE17" s="200">
        <v>0</v>
      </c>
      <c r="AF17" s="223" t="s">
        <v>2</v>
      </c>
      <c r="AG17" s="204">
        <v>0.37</v>
      </c>
      <c r="AH17" s="244">
        <v>25</v>
      </c>
      <c r="AI17" s="200">
        <v>26</v>
      </c>
      <c r="AJ17" s="223" t="s">
        <v>2</v>
      </c>
      <c r="AK17" s="223" t="s">
        <v>2</v>
      </c>
      <c r="AL17" s="233" t="s">
        <v>2</v>
      </c>
      <c r="AM17" s="200">
        <v>11</v>
      </c>
      <c r="AN17" s="200">
        <v>0</v>
      </c>
      <c r="AO17" s="201">
        <v>0</v>
      </c>
      <c r="AP17" s="203">
        <v>2.0960000000000001</v>
      </c>
      <c r="AQ17" s="205">
        <v>0.88600000000000001</v>
      </c>
      <c r="AR17" s="205">
        <v>0</v>
      </c>
      <c r="AS17" s="205">
        <v>0.317</v>
      </c>
      <c r="AT17" s="205">
        <v>0</v>
      </c>
      <c r="AU17" s="205">
        <v>0</v>
      </c>
      <c r="AV17" s="206">
        <v>0</v>
      </c>
      <c r="AW17" s="203">
        <v>0.89300000000000002</v>
      </c>
      <c r="AX17" s="205">
        <v>0</v>
      </c>
      <c r="AY17" s="205">
        <v>7.0999999999999994E-2</v>
      </c>
      <c r="AZ17" s="206">
        <v>0.74299999999999999</v>
      </c>
      <c r="BA17" s="203">
        <v>9.1999999999999998E-2</v>
      </c>
      <c r="BB17" s="205">
        <v>6.5000000000000002E-2</v>
      </c>
      <c r="BC17" s="205">
        <v>2.7E-2</v>
      </c>
      <c r="BD17" s="205">
        <v>0</v>
      </c>
      <c r="BE17" s="205">
        <v>0</v>
      </c>
      <c r="BF17" s="206">
        <v>0</v>
      </c>
      <c r="BG17" s="230" t="s">
        <v>2</v>
      </c>
      <c r="BH17" s="199">
        <v>13</v>
      </c>
      <c r="BI17" s="200">
        <v>360</v>
      </c>
      <c r="BJ17" s="200">
        <v>107</v>
      </c>
      <c r="BK17" s="200">
        <v>56</v>
      </c>
      <c r="BL17" s="200">
        <v>199</v>
      </c>
      <c r="BM17" s="200">
        <v>181</v>
      </c>
      <c r="BN17" s="200">
        <v>298</v>
      </c>
      <c r="BO17" s="200">
        <v>388</v>
      </c>
      <c r="BP17" s="200">
        <v>228</v>
      </c>
      <c r="BQ17" s="200">
        <v>135</v>
      </c>
      <c r="BR17" s="200">
        <v>109</v>
      </c>
      <c r="BS17" s="200">
        <v>39</v>
      </c>
      <c r="BT17" s="200">
        <v>192</v>
      </c>
      <c r="BU17" s="200">
        <v>134</v>
      </c>
      <c r="BV17" s="200">
        <v>310</v>
      </c>
      <c r="BW17" s="200">
        <v>898</v>
      </c>
      <c r="BX17" s="200">
        <v>80</v>
      </c>
      <c r="BY17" s="200">
        <v>417</v>
      </c>
      <c r="BZ17" s="201">
        <v>234</v>
      </c>
      <c r="CA17" s="203">
        <v>3.6</v>
      </c>
      <c r="CB17" s="223" t="s">
        <v>2</v>
      </c>
      <c r="CC17" s="223" t="s">
        <v>2</v>
      </c>
      <c r="CD17" s="223" t="s">
        <v>2</v>
      </c>
      <c r="CE17" s="223" t="s">
        <v>2</v>
      </c>
      <c r="CF17" s="223" t="s">
        <v>2</v>
      </c>
      <c r="CG17" s="233" t="s">
        <v>2</v>
      </c>
      <c r="CH17" s="200">
        <v>0</v>
      </c>
      <c r="CI17" s="201">
        <v>0</v>
      </c>
      <c r="CJ17" s="200">
        <v>0</v>
      </c>
      <c r="CK17" s="200">
        <v>0</v>
      </c>
      <c r="CL17" s="200">
        <v>0</v>
      </c>
      <c r="CM17" s="201">
        <v>0</v>
      </c>
      <c r="CN17" s="235" t="s">
        <v>2</v>
      </c>
      <c r="CO17" s="235" t="s">
        <v>2</v>
      </c>
    </row>
    <row r="18" spans="1:93" s="207" customFormat="1" ht="15" x14ac:dyDescent="0.25">
      <c r="A18" s="254">
        <v>10005</v>
      </c>
      <c r="B18" s="197" t="s">
        <v>361</v>
      </c>
      <c r="C18" s="198" t="s">
        <v>1718</v>
      </c>
      <c r="D18" s="289">
        <v>10</v>
      </c>
      <c r="E18" s="199">
        <v>0</v>
      </c>
      <c r="F18" s="231">
        <v>26</v>
      </c>
      <c r="G18" s="231">
        <v>109</v>
      </c>
      <c r="H18" s="202">
        <v>92.8</v>
      </c>
      <c r="I18" s="203">
        <v>3.4</v>
      </c>
      <c r="J18" s="203">
        <v>0</v>
      </c>
      <c r="K18" s="203">
        <v>3.1</v>
      </c>
      <c r="L18" s="203">
        <v>0</v>
      </c>
      <c r="M18" s="204">
        <v>0.7</v>
      </c>
      <c r="N18" s="200">
        <v>143</v>
      </c>
      <c r="O18" s="200">
        <v>109</v>
      </c>
      <c r="P18" s="203">
        <v>0.06</v>
      </c>
      <c r="Q18" s="203">
        <v>1.1299999999999999</v>
      </c>
      <c r="R18" s="200">
        <v>135</v>
      </c>
      <c r="S18" s="200">
        <v>339</v>
      </c>
      <c r="T18" s="200">
        <v>40</v>
      </c>
      <c r="U18" s="224" t="s">
        <v>2</v>
      </c>
      <c r="V18" s="205">
        <v>209</v>
      </c>
      <c r="W18" s="204">
        <v>7</v>
      </c>
      <c r="X18" s="203">
        <v>1.35</v>
      </c>
      <c r="Y18" s="205">
        <v>0.04</v>
      </c>
      <c r="Z18" s="205">
        <v>0.2</v>
      </c>
      <c r="AA18" s="205">
        <v>0.1</v>
      </c>
      <c r="AB18" s="224" t="s">
        <v>2</v>
      </c>
      <c r="AC18" s="205">
        <v>4.7E-2</v>
      </c>
      <c r="AD18" s="200">
        <v>12</v>
      </c>
      <c r="AE18" s="200">
        <v>0</v>
      </c>
      <c r="AF18" s="223" t="s">
        <v>2</v>
      </c>
      <c r="AG18" s="204">
        <v>0.5</v>
      </c>
      <c r="AH18" s="244">
        <v>4</v>
      </c>
      <c r="AI18" s="200">
        <v>4</v>
      </c>
      <c r="AJ18" s="223" t="s">
        <v>2</v>
      </c>
      <c r="AK18" s="203">
        <v>0</v>
      </c>
      <c r="AL18" s="204">
        <v>0</v>
      </c>
      <c r="AM18" s="234" t="s">
        <v>2</v>
      </c>
      <c r="AN18" s="200">
        <v>0</v>
      </c>
      <c r="AO18" s="201">
        <v>0</v>
      </c>
      <c r="AP18" s="203">
        <v>0</v>
      </c>
      <c r="AQ18" s="205">
        <v>0</v>
      </c>
      <c r="AR18" s="205">
        <v>0</v>
      </c>
      <c r="AS18" s="205">
        <v>0</v>
      </c>
      <c r="AT18" s="205">
        <v>0</v>
      </c>
      <c r="AU18" s="205">
        <v>0</v>
      </c>
      <c r="AV18" s="206">
        <v>0</v>
      </c>
      <c r="AW18" s="203">
        <v>0</v>
      </c>
      <c r="AX18" s="205">
        <v>0</v>
      </c>
      <c r="AY18" s="205">
        <v>0</v>
      </c>
      <c r="AZ18" s="206">
        <v>0</v>
      </c>
      <c r="BA18" s="203">
        <v>0</v>
      </c>
      <c r="BB18" s="205">
        <v>0</v>
      </c>
      <c r="BC18" s="205">
        <v>0</v>
      </c>
      <c r="BD18" s="205">
        <v>0</v>
      </c>
      <c r="BE18" s="205">
        <v>0</v>
      </c>
      <c r="BF18" s="206">
        <v>0</v>
      </c>
      <c r="BG18" s="230" t="s">
        <v>2</v>
      </c>
      <c r="BH18" s="199">
        <v>1</v>
      </c>
      <c r="BI18" s="234" t="s">
        <v>2</v>
      </c>
      <c r="BJ18" s="234" t="s">
        <v>2</v>
      </c>
      <c r="BK18" s="234" t="s">
        <v>2</v>
      </c>
      <c r="BL18" s="234" t="s">
        <v>2</v>
      </c>
      <c r="BM18" s="234" t="s">
        <v>2</v>
      </c>
      <c r="BN18" s="234" t="s">
        <v>2</v>
      </c>
      <c r="BO18" s="234" t="s">
        <v>2</v>
      </c>
      <c r="BP18" s="234" t="s">
        <v>2</v>
      </c>
      <c r="BQ18" s="234" t="s">
        <v>2</v>
      </c>
      <c r="BR18" s="234" t="s">
        <v>2</v>
      </c>
      <c r="BS18" s="234" t="s">
        <v>2</v>
      </c>
      <c r="BT18" s="234" t="s">
        <v>2</v>
      </c>
      <c r="BU18" s="234" t="s">
        <v>2</v>
      </c>
      <c r="BV18" s="234" t="s">
        <v>2</v>
      </c>
      <c r="BW18" s="234" t="s">
        <v>2</v>
      </c>
      <c r="BX18" s="234" t="s">
        <v>2</v>
      </c>
      <c r="BY18" s="234" t="s">
        <v>2</v>
      </c>
      <c r="BZ18" s="237" t="s">
        <v>2</v>
      </c>
      <c r="CA18" s="203">
        <v>3.1</v>
      </c>
      <c r="CB18" s="223" t="s">
        <v>2</v>
      </c>
      <c r="CC18" s="223" t="s">
        <v>2</v>
      </c>
      <c r="CD18" s="223" t="s">
        <v>2</v>
      </c>
      <c r="CE18" s="223" t="s">
        <v>2</v>
      </c>
      <c r="CF18" s="223" t="s">
        <v>2</v>
      </c>
      <c r="CG18" s="233" t="s">
        <v>2</v>
      </c>
      <c r="CH18" s="200">
        <v>0</v>
      </c>
      <c r="CI18" s="201">
        <v>0</v>
      </c>
      <c r="CJ18" s="200">
        <v>0</v>
      </c>
      <c r="CK18" s="200">
        <v>0</v>
      </c>
      <c r="CL18" s="200">
        <v>0</v>
      </c>
      <c r="CM18" s="201">
        <v>0</v>
      </c>
      <c r="CN18" s="235" t="s">
        <v>2</v>
      </c>
      <c r="CO18" s="235" t="s">
        <v>2</v>
      </c>
    </row>
    <row r="19" spans="1:93" s="207" customFormat="1" ht="15" x14ac:dyDescent="0.25">
      <c r="A19" s="254">
        <v>10006</v>
      </c>
      <c r="B19" s="197" t="s">
        <v>362</v>
      </c>
      <c r="C19" s="198" t="s">
        <v>1719</v>
      </c>
      <c r="D19" s="289">
        <v>10</v>
      </c>
      <c r="E19" s="199">
        <v>0</v>
      </c>
      <c r="F19" s="231">
        <v>494</v>
      </c>
      <c r="G19" s="231">
        <v>2067</v>
      </c>
      <c r="H19" s="202">
        <v>3.5</v>
      </c>
      <c r="I19" s="203">
        <v>27</v>
      </c>
      <c r="J19" s="203">
        <v>26</v>
      </c>
      <c r="K19" s="203">
        <v>38</v>
      </c>
      <c r="L19" s="203">
        <v>0</v>
      </c>
      <c r="M19" s="204">
        <v>5.5</v>
      </c>
      <c r="N19" s="200">
        <v>939</v>
      </c>
      <c r="O19" s="200">
        <v>790</v>
      </c>
      <c r="P19" s="203">
        <v>1.1000000000000001</v>
      </c>
      <c r="Q19" s="203">
        <v>3.34</v>
      </c>
      <c r="R19" s="200">
        <v>371</v>
      </c>
      <c r="S19" s="200">
        <v>1330</v>
      </c>
      <c r="T19" s="200">
        <v>85</v>
      </c>
      <c r="U19" s="205">
        <v>0.04</v>
      </c>
      <c r="V19" s="205">
        <v>80</v>
      </c>
      <c r="W19" s="204">
        <v>16.3</v>
      </c>
      <c r="X19" s="203">
        <v>10</v>
      </c>
      <c r="Y19" s="205">
        <v>0.24</v>
      </c>
      <c r="Z19" s="205">
        <v>1.31</v>
      </c>
      <c r="AA19" s="205">
        <v>0.7</v>
      </c>
      <c r="AB19" s="205">
        <v>2.2709999999999999</v>
      </c>
      <c r="AC19" s="205">
        <v>0.30199999999999999</v>
      </c>
      <c r="AD19" s="200">
        <v>37</v>
      </c>
      <c r="AE19" s="200">
        <v>0</v>
      </c>
      <c r="AF19" s="203">
        <v>10</v>
      </c>
      <c r="AG19" s="204">
        <v>3.25</v>
      </c>
      <c r="AH19" s="244">
        <v>318</v>
      </c>
      <c r="AI19" s="200">
        <v>322</v>
      </c>
      <c r="AJ19" s="203">
        <v>7.8</v>
      </c>
      <c r="AK19" s="203">
        <v>0.48</v>
      </c>
      <c r="AL19" s="204">
        <v>1.8</v>
      </c>
      <c r="AM19" s="200">
        <v>43</v>
      </c>
      <c r="AN19" s="200">
        <v>0</v>
      </c>
      <c r="AO19" s="201">
        <v>0</v>
      </c>
      <c r="AP19" s="203">
        <v>16.742000000000001</v>
      </c>
      <c r="AQ19" s="205">
        <v>7.5220000000000002</v>
      </c>
      <c r="AR19" s="205">
        <v>0</v>
      </c>
      <c r="AS19" s="205">
        <v>2.8530000000000002</v>
      </c>
      <c r="AT19" s="205">
        <v>0</v>
      </c>
      <c r="AU19" s="205">
        <v>0</v>
      </c>
      <c r="AV19" s="206">
        <v>0</v>
      </c>
      <c r="AW19" s="203">
        <v>7.9240000000000004</v>
      </c>
      <c r="AX19" s="205">
        <v>0</v>
      </c>
      <c r="AY19" s="205">
        <v>1.196</v>
      </c>
      <c r="AZ19" s="206">
        <v>6.1920000000000002</v>
      </c>
      <c r="BA19" s="203">
        <v>0.66500000000000004</v>
      </c>
      <c r="BB19" s="205">
        <v>0.46</v>
      </c>
      <c r="BC19" s="205">
        <v>0.20399999999999999</v>
      </c>
      <c r="BD19" s="205">
        <v>0</v>
      </c>
      <c r="BE19" s="205">
        <v>0</v>
      </c>
      <c r="BF19" s="236">
        <v>0</v>
      </c>
      <c r="BG19" s="230" t="s">
        <v>2</v>
      </c>
      <c r="BH19" s="199">
        <v>97</v>
      </c>
      <c r="BI19" s="200">
        <v>2230</v>
      </c>
      <c r="BJ19" s="200">
        <v>699</v>
      </c>
      <c r="BK19" s="200">
        <v>381</v>
      </c>
      <c r="BL19" s="200">
        <v>1291</v>
      </c>
      <c r="BM19" s="200">
        <v>1231</v>
      </c>
      <c r="BN19" s="200">
        <v>1615</v>
      </c>
      <c r="BO19" s="200">
        <v>2541</v>
      </c>
      <c r="BP19" s="200">
        <v>1301</v>
      </c>
      <c r="BQ19" s="200">
        <v>942</v>
      </c>
      <c r="BR19" s="200">
        <v>772</v>
      </c>
      <c r="BS19" s="200">
        <v>243</v>
      </c>
      <c r="BT19" s="200">
        <v>1366</v>
      </c>
      <c r="BU19" s="200">
        <v>1031</v>
      </c>
      <c r="BV19" s="200">
        <v>1909</v>
      </c>
      <c r="BW19" s="200">
        <v>5697</v>
      </c>
      <c r="BX19" s="200">
        <v>524</v>
      </c>
      <c r="BY19" s="200">
        <v>2471</v>
      </c>
      <c r="BZ19" s="201">
        <v>132</v>
      </c>
      <c r="CA19" s="203">
        <v>38</v>
      </c>
      <c r="CB19" s="223" t="s">
        <v>2</v>
      </c>
      <c r="CC19" s="223" t="s">
        <v>2</v>
      </c>
      <c r="CD19" s="223" t="s">
        <v>2</v>
      </c>
      <c r="CE19" s="223" t="s">
        <v>2</v>
      </c>
      <c r="CF19" s="223" t="s">
        <v>2</v>
      </c>
      <c r="CG19" s="233" t="s">
        <v>2</v>
      </c>
      <c r="CH19" s="200">
        <v>0</v>
      </c>
      <c r="CI19" s="201">
        <v>0</v>
      </c>
      <c r="CJ19" s="200">
        <v>0</v>
      </c>
      <c r="CK19" s="200">
        <v>0</v>
      </c>
      <c r="CL19" s="200">
        <v>0</v>
      </c>
      <c r="CM19" s="201">
        <v>0</v>
      </c>
      <c r="CN19" s="235" t="s">
        <v>2</v>
      </c>
      <c r="CO19" s="235" t="s">
        <v>2</v>
      </c>
    </row>
    <row r="20" spans="1:93" s="207" customFormat="1" ht="15" x14ac:dyDescent="0.25">
      <c r="A20" s="254">
        <v>10007</v>
      </c>
      <c r="B20" s="197" t="s">
        <v>363</v>
      </c>
      <c r="C20" s="198" t="s">
        <v>1720</v>
      </c>
      <c r="D20" s="289">
        <v>10</v>
      </c>
      <c r="E20" s="199">
        <v>0</v>
      </c>
      <c r="F20" s="231">
        <v>357</v>
      </c>
      <c r="G20" s="231">
        <v>1494</v>
      </c>
      <c r="H20" s="202">
        <v>4</v>
      </c>
      <c r="I20" s="203">
        <v>35</v>
      </c>
      <c r="J20" s="203">
        <v>1</v>
      </c>
      <c r="K20" s="203">
        <v>52</v>
      </c>
      <c r="L20" s="203">
        <v>0</v>
      </c>
      <c r="M20" s="204">
        <v>8</v>
      </c>
      <c r="N20" s="200">
        <v>1400</v>
      </c>
      <c r="O20" s="200">
        <v>980</v>
      </c>
      <c r="P20" s="203">
        <v>0.45</v>
      </c>
      <c r="Q20" s="203">
        <v>4.08</v>
      </c>
      <c r="R20" s="200">
        <v>535</v>
      </c>
      <c r="S20" s="200">
        <v>1794</v>
      </c>
      <c r="T20" s="200">
        <v>110</v>
      </c>
      <c r="U20" s="205">
        <v>0.02</v>
      </c>
      <c r="V20" s="205">
        <v>41</v>
      </c>
      <c r="W20" s="204">
        <v>27.3</v>
      </c>
      <c r="X20" s="203">
        <v>6</v>
      </c>
      <c r="Y20" s="205">
        <v>0.42</v>
      </c>
      <c r="Z20" s="205">
        <v>0.6</v>
      </c>
      <c r="AA20" s="205">
        <v>1.2</v>
      </c>
      <c r="AB20" s="205">
        <v>3.5680000000000001</v>
      </c>
      <c r="AC20" s="205">
        <v>0.36099999999999999</v>
      </c>
      <c r="AD20" s="200">
        <v>50</v>
      </c>
      <c r="AE20" s="200">
        <v>0</v>
      </c>
      <c r="AF20" s="203">
        <v>16</v>
      </c>
      <c r="AG20" s="204">
        <v>4.03</v>
      </c>
      <c r="AH20" s="244">
        <v>6</v>
      </c>
      <c r="AI20" s="200">
        <v>6</v>
      </c>
      <c r="AJ20" s="203">
        <v>8.3000000000000007</v>
      </c>
      <c r="AK20" s="203">
        <v>0</v>
      </c>
      <c r="AL20" s="204">
        <v>0.1</v>
      </c>
      <c r="AM20" s="200">
        <v>1</v>
      </c>
      <c r="AN20" s="200">
        <v>0</v>
      </c>
      <c r="AO20" s="201">
        <v>0</v>
      </c>
      <c r="AP20" s="203">
        <v>0.499</v>
      </c>
      <c r="AQ20" s="205">
        <v>0.23499999999999999</v>
      </c>
      <c r="AR20" s="205">
        <v>0</v>
      </c>
      <c r="AS20" s="205">
        <v>8.5000000000000006E-2</v>
      </c>
      <c r="AT20" s="205">
        <v>0</v>
      </c>
      <c r="AU20" s="205">
        <v>0</v>
      </c>
      <c r="AV20" s="206">
        <v>0</v>
      </c>
      <c r="AW20" s="203">
        <v>0.21</v>
      </c>
      <c r="AX20" s="205">
        <v>0</v>
      </c>
      <c r="AY20" s="205">
        <v>2.1999999999999999E-2</v>
      </c>
      <c r="AZ20" s="206">
        <v>0.16700000000000001</v>
      </c>
      <c r="BA20" s="203">
        <v>0.03</v>
      </c>
      <c r="BB20" s="205">
        <v>1.9E-2</v>
      </c>
      <c r="BC20" s="205">
        <v>1.0999999999999999E-2</v>
      </c>
      <c r="BD20" s="205">
        <v>0</v>
      </c>
      <c r="BE20" s="205">
        <v>0</v>
      </c>
      <c r="BF20" s="206">
        <v>0</v>
      </c>
      <c r="BG20" s="230" t="s">
        <v>2</v>
      </c>
      <c r="BH20" s="199">
        <v>20</v>
      </c>
      <c r="BI20" s="200">
        <v>3047</v>
      </c>
      <c r="BJ20" s="200">
        <v>1243</v>
      </c>
      <c r="BK20" s="200">
        <v>441</v>
      </c>
      <c r="BL20" s="200">
        <v>1700</v>
      </c>
      <c r="BM20" s="200">
        <v>1542</v>
      </c>
      <c r="BN20" s="200">
        <v>2310</v>
      </c>
      <c r="BO20" s="200">
        <v>3177</v>
      </c>
      <c r="BP20" s="200">
        <v>2278</v>
      </c>
      <c r="BQ20" s="200">
        <v>1025</v>
      </c>
      <c r="BR20" s="200">
        <v>877</v>
      </c>
      <c r="BS20" s="200">
        <v>131</v>
      </c>
      <c r="BT20" s="200">
        <v>1559</v>
      </c>
      <c r="BU20" s="234" t="s">
        <v>2</v>
      </c>
      <c r="BV20" s="234" t="s">
        <v>2</v>
      </c>
      <c r="BW20" s="234" t="s">
        <v>2</v>
      </c>
      <c r="BX20" s="234" t="s">
        <v>2</v>
      </c>
      <c r="BY20" s="234" t="s">
        <v>2</v>
      </c>
      <c r="BZ20" s="237" t="s">
        <v>2</v>
      </c>
      <c r="CA20" s="203">
        <v>51.48</v>
      </c>
      <c r="CB20" s="223" t="s">
        <v>2</v>
      </c>
      <c r="CC20" s="223" t="s">
        <v>2</v>
      </c>
      <c r="CD20" s="223" t="s">
        <v>2</v>
      </c>
      <c r="CE20" s="223" t="s">
        <v>2</v>
      </c>
      <c r="CF20" s="223" t="s">
        <v>2</v>
      </c>
      <c r="CG20" s="233" t="s">
        <v>2</v>
      </c>
      <c r="CH20" s="200">
        <v>0</v>
      </c>
      <c r="CI20" s="201">
        <v>0</v>
      </c>
      <c r="CJ20" s="200">
        <v>0</v>
      </c>
      <c r="CK20" s="200">
        <v>0</v>
      </c>
      <c r="CL20" s="200">
        <v>0</v>
      </c>
      <c r="CM20" s="201">
        <v>0</v>
      </c>
      <c r="CN20" s="235" t="s">
        <v>2</v>
      </c>
      <c r="CO20" s="235" t="s">
        <v>2</v>
      </c>
    </row>
    <row r="21" spans="1:93" s="207" customFormat="1" ht="15" x14ac:dyDescent="0.25">
      <c r="A21" s="254">
        <v>10008</v>
      </c>
      <c r="B21" s="197" t="s">
        <v>364</v>
      </c>
      <c r="C21" s="198" t="s">
        <v>1721</v>
      </c>
      <c r="D21" s="289">
        <v>10</v>
      </c>
      <c r="E21" s="199">
        <v>0</v>
      </c>
      <c r="F21" s="231">
        <v>336</v>
      </c>
      <c r="G21" s="231">
        <v>1404</v>
      </c>
      <c r="H21" s="202">
        <v>25.4</v>
      </c>
      <c r="I21" s="203">
        <v>8.1</v>
      </c>
      <c r="J21" s="203">
        <v>8.8000000000000007</v>
      </c>
      <c r="K21" s="203">
        <v>56</v>
      </c>
      <c r="L21" s="203">
        <v>0</v>
      </c>
      <c r="M21" s="204">
        <v>1.7</v>
      </c>
      <c r="N21" s="200">
        <v>307</v>
      </c>
      <c r="O21" s="200">
        <v>219</v>
      </c>
      <c r="P21" s="203">
        <v>0.6</v>
      </c>
      <c r="Q21" s="223" t="s">
        <v>2</v>
      </c>
      <c r="R21" s="234" t="s">
        <v>2</v>
      </c>
      <c r="S21" s="234" t="s">
        <v>2</v>
      </c>
      <c r="T21" s="234" t="s">
        <v>2</v>
      </c>
      <c r="U21" s="224" t="s">
        <v>2</v>
      </c>
      <c r="V21" s="224" t="s">
        <v>2</v>
      </c>
      <c r="W21" s="233" t="s">
        <v>2</v>
      </c>
      <c r="X21" s="203">
        <v>0</v>
      </c>
      <c r="Y21" s="205">
        <v>0.06</v>
      </c>
      <c r="Z21" s="205">
        <v>0.3</v>
      </c>
      <c r="AA21" s="205">
        <v>0.2</v>
      </c>
      <c r="AB21" s="224" t="s">
        <v>2</v>
      </c>
      <c r="AC21" s="224" t="s">
        <v>2</v>
      </c>
      <c r="AD21" s="234" t="s">
        <v>2</v>
      </c>
      <c r="AE21" s="234" t="s">
        <v>2</v>
      </c>
      <c r="AF21" s="223" t="s">
        <v>2</v>
      </c>
      <c r="AG21" s="233" t="s">
        <v>2</v>
      </c>
      <c r="AH21" s="246">
        <v>58</v>
      </c>
      <c r="AI21" s="200">
        <v>62</v>
      </c>
      <c r="AJ21" s="223" t="s">
        <v>2</v>
      </c>
      <c r="AK21" s="223" t="s">
        <v>2</v>
      </c>
      <c r="AL21" s="233" t="s">
        <v>2</v>
      </c>
      <c r="AM21" s="200">
        <v>50</v>
      </c>
      <c r="AN21" s="200">
        <v>0</v>
      </c>
      <c r="AO21" s="201">
        <v>0</v>
      </c>
      <c r="AP21" s="223" t="s">
        <v>2</v>
      </c>
      <c r="AQ21" s="224" t="s">
        <v>2</v>
      </c>
      <c r="AR21" s="224" t="s">
        <v>2</v>
      </c>
      <c r="AS21" s="224" t="s">
        <v>2</v>
      </c>
      <c r="AT21" s="224" t="s">
        <v>2</v>
      </c>
      <c r="AU21" s="224" t="s">
        <v>2</v>
      </c>
      <c r="AV21" s="236" t="s">
        <v>2</v>
      </c>
      <c r="AW21" s="223" t="s">
        <v>2</v>
      </c>
      <c r="AX21" s="224" t="s">
        <v>2</v>
      </c>
      <c r="AY21" s="224" t="s">
        <v>2</v>
      </c>
      <c r="AZ21" s="236" t="s">
        <v>2</v>
      </c>
      <c r="BA21" s="223" t="s">
        <v>2</v>
      </c>
      <c r="BB21" s="224" t="s">
        <v>2</v>
      </c>
      <c r="BC21" s="224" t="s">
        <v>2</v>
      </c>
      <c r="BD21" s="224" t="s">
        <v>2</v>
      </c>
      <c r="BE21" s="224" t="s">
        <v>2</v>
      </c>
      <c r="BF21" s="236" t="s">
        <v>2</v>
      </c>
      <c r="BG21" s="230" t="s">
        <v>2</v>
      </c>
      <c r="BH21" s="230" t="s">
        <v>2</v>
      </c>
      <c r="BI21" s="200">
        <v>536</v>
      </c>
      <c r="BJ21" s="200">
        <v>194</v>
      </c>
      <c r="BK21" s="200">
        <v>101</v>
      </c>
      <c r="BL21" s="200">
        <v>401</v>
      </c>
      <c r="BM21" s="200">
        <v>353</v>
      </c>
      <c r="BN21" s="200">
        <v>494</v>
      </c>
      <c r="BO21" s="200">
        <v>698</v>
      </c>
      <c r="BP21" s="200">
        <v>392</v>
      </c>
      <c r="BQ21" s="200">
        <v>263</v>
      </c>
      <c r="BR21" s="200">
        <v>206</v>
      </c>
      <c r="BS21" s="200">
        <v>68</v>
      </c>
      <c r="BT21" s="200">
        <v>383</v>
      </c>
      <c r="BU21" s="200">
        <v>272</v>
      </c>
      <c r="BV21" s="200">
        <v>648</v>
      </c>
      <c r="BW21" s="200">
        <v>1518</v>
      </c>
      <c r="BX21" s="200">
        <v>185</v>
      </c>
      <c r="BY21" s="200">
        <v>728</v>
      </c>
      <c r="BZ21" s="201">
        <v>428</v>
      </c>
      <c r="CA21" s="223">
        <v>56</v>
      </c>
      <c r="CB21" s="223" t="s">
        <v>2</v>
      </c>
      <c r="CC21" s="223" t="s">
        <v>2</v>
      </c>
      <c r="CD21" s="223" t="s">
        <v>2</v>
      </c>
      <c r="CE21" s="223" t="s">
        <v>2</v>
      </c>
      <c r="CF21" s="223" t="s">
        <v>2</v>
      </c>
      <c r="CG21" s="233" t="s">
        <v>2</v>
      </c>
      <c r="CH21" s="200">
        <v>0</v>
      </c>
      <c r="CI21" s="201">
        <v>0</v>
      </c>
      <c r="CJ21" s="200">
        <v>0</v>
      </c>
      <c r="CK21" s="200">
        <v>0</v>
      </c>
      <c r="CL21" s="200">
        <v>0</v>
      </c>
      <c r="CM21" s="201">
        <v>0</v>
      </c>
      <c r="CN21" s="235" t="s">
        <v>2</v>
      </c>
      <c r="CO21" s="235" t="s">
        <v>2</v>
      </c>
    </row>
    <row r="22" spans="1:93" s="207" customFormat="1" thickBot="1" x14ac:dyDescent="0.3">
      <c r="A22" s="254">
        <v>10009</v>
      </c>
      <c r="B22" s="209" t="s">
        <v>365</v>
      </c>
      <c r="C22" s="210" t="s">
        <v>1722</v>
      </c>
      <c r="D22" s="289">
        <v>10</v>
      </c>
      <c r="E22" s="211">
        <v>0</v>
      </c>
      <c r="F22" s="238">
        <v>380</v>
      </c>
      <c r="G22" s="238">
        <v>1590</v>
      </c>
      <c r="H22" s="214">
        <v>38.9</v>
      </c>
      <c r="I22" s="215">
        <v>25.5</v>
      </c>
      <c r="J22" s="215">
        <v>30.9</v>
      </c>
      <c r="K22" s="215">
        <v>0</v>
      </c>
      <c r="L22" s="215">
        <v>0</v>
      </c>
      <c r="M22" s="216">
        <v>4.7</v>
      </c>
      <c r="N22" s="212">
        <v>760</v>
      </c>
      <c r="O22" s="212">
        <v>424</v>
      </c>
      <c r="P22" s="215">
        <v>0.5</v>
      </c>
      <c r="Q22" s="215">
        <v>3.11</v>
      </c>
      <c r="R22" s="212">
        <v>621</v>
      </c>
      <c r="S22" s="212">
        <v>98</v>
      </c>
      <c r="T22" s="212">
        <v>28</v>
      </c>
      <c r="U22" s="217">
        <v>0.01</v>
      </c>
      <c r="V22" s="217">
        <v>31</v>
      </c>
      <c r="W22" s="216">
        <v>13.9</v>
      </c>
      <c r="X22" s="215">
        <v>0.5</v>
      </c>
      <c r="Y22" s="217">
        <v>0.1</v>
      </c>
      <c r="Z22" s="217">
        <v>0.51</v>
      </c>
      <c r="AA22" s="217">
        <v>0.1</v>
      </c>
      <c r="AB22" s="217">
        <v>0.41299999999999998</v>
      </c>
      <c r="AC22" s="217">
        <v>7.3999999999999996E-2</v>
      </c>
      <c r="AD22" s="212">
        <v>18</v>
      </c>
      <c r="AE22" s="212">
        <v>0</v>
      </c>
      <c r="AF22" s="215">
        <v>1.7</v>
      </c>
      <c r="AG22" s="216">
        <v>0.83</v>
      </c>
      <c r="AH22" s="212">
        <v>275</v>
      </c>
      <c r="AI22" s="212">
        <v>285</v>
      </c>
      <c r="AJ22" s="215">
        <v>0.3</v>
      </c>
      <c r="AK22" s="215">
        <v>0.28999999999999998</v>
      </c>
      <c r="AL22" s="216">
        <v>2.8</v>
      </c>
      <c r="AM22" s="212">
        <v>118</v>
      </c>
      <c r="AN22" s="212">
        <v>0</v>
      </c>
      <c r="AO22" s="213">
        <v>0</v>
      </c>
      <c r="AP22" s="215">
        <v>21.091999999999999</v>
      </c>
      <c r="AQ22" s="217">
        <v>9.8030000000000008</v>
      </c>
      <c r="AR22" s="217">
        <v>0</v>
      </c>
      <c r="AS22" s="217">
        <v>4.0069999999999997</v>
      </c>
      <c r="AT22" s="217">
        <v>0</v>
      </c>
      <c r="AU22" s="217">
        <v>0</v>
      </c>
      <c r="AV22" s="219">
        <v>0</v>
      </c>
      <c r="AW22" s="215">
        <v>9.391</v>
      </c>
      <c r="AX22" s="217">
        <v>0</v>
      </c>
      <c r="AY22" s="217">
        <v>1.004</v>
      </c>
      <c r="AZ22" s="219">
        <v>7.9050000000000002</v>
      </c>
      <c r="BA22" s="215">
        <v>0.94199999999999995</v>
      </c>
      <c r="BB22" s="217">
        <v>0.57699999999999996</v>
      </c>
      <c r="BC22" s="217">
        <v>0.36499999999999999</v>
      </c>
      <c r="BD22" s="217">
        <v>0</v>
      </c>
      <c r="BE22" s="217">
        <v>0</v>
      </c>
      <c r="BF22" s="219">
        <v>0</v>
      </c>
      <c r="BG22" s="275" t="s">
        <v>2</v>
      </c>
      <c r="BH22" s="211">
        <v>105</v>
      </c>
      <c r="BI22" s="212">
        <v>1883</v>
      </c>
      <c r="BJ22" s="212">
        <v>596</v>
      </c>
      <c r="BK22" s="212">
        <v>369</v>
      </c>
      <c r="BL22" s="212">
        <v>1286</v>
      </c>
      <c r="BM22" s="212">
        <v>943</v>
      </c>
      <c r="BN22" s="212">
        <v>1618</v>
      </c>
      <c r="BO22" s="212">
        <v>2076</v>
      </c>
      <c r="BP22" s="212">
        <v>1138</v>
      </c>
      <c r="BQ22" s="212">
        <v>808</v>
      </c>
      <c r="BR22" s="212">
        <v>683</v>
      </c>
      <c r="BS22" s="212">
        <v>141</v>
      </c>
      <c r="BT22" s="212">
        <v>1385</v>
      </c>
      <c r="BU22" s="212">
        <v>734</v>
      </c>
      <c r="BV22" s="212">
        <v>1691</v>
      </c>
      <c r="BW22" s="212">
        <v>5631</v>
      </c>
      <c r="BX22" s="212">
        <v>469</v>
      </c>
      <c r="BY22" s="212">
        <v>2612</v>
      </c>
      <c r="BZ22" s="213">
        <v>1401</v>
      </c>
      <c r="CA22" s="215">
        <v>0</v>
      </c>
      <c r="CB22" s="273" t="s">
        <v>2</v>
      </c>
      <c r="CC22" s="273" t="s">
        <v>2</v>
      </c>
      <c r="CD22" s="273" t="s">
        <v>2</v>
      </c>
      <c r="CE22" s="273" t="s">
        <v>2</v>
      </c>
      <c r="CF22" s="273" t="s">
        <v>2</v>
      </c>
      <c r="CG22" s="279" t="s">
        <v>2</v>
      </c>
      <c r="CH22" s="212">
        <v>0</v>
      </c>
      <c r="CI22" s="213">
        <v>0</v>
      </c>
      <c r="CJ22" s="212">
        <v>0</v>
      </c>
      <c r="CK22" s="212">
        <v>0</v>
      </c>
      <c r="CL22" s="212">
        <v>0</v>
      </c>
      <c r="CM22" s="213">
        <v>0</v>
      </c>
      <c r="CN22" s="278" t="s">
        <v>2</v>
      </c>
      <c r="CO22" s="278" t="s">
        <v>2</v>
      </c>
    </row>
    <row r="23" spans="1:93" ht="15.75" customHeight="1" thickTop="1" x14ac:dyDescent="0.25">
      <c r="A23" s="154">
        <v>11001</v>
      </c>
      <c r="B23" s="49" t="s">
        <v>300</v>
      </c>
      <c r="C23" s="9" t="s">
        <v>1723</v>
      </c>
      <c r="D23" s="292">
        <v>11</v>
      </c>
      <c r="E23" s="11">
        <v>0</v>
      </c>
      <c r="F23" s="162">
        <v>63</v>
      </c>
      <c r="G23" s="59">
        <v>263.33999999999997</v>
      </c>
      <c r="H23" s="68">
        <v>83.9</v>
      </c>
      <c r="I23" s="8">
        <v>0.5</v>
      </c>
      <c r="J23" s="8">
        <v>0</v>
      </c>
      <c r="K23" s="8">
        <v>15.2</v>
      </c>
      <c r="L23" s="8">
        <v>1.3</v>
      </c>
      <c r="M23" s="7">
        <v>0.4</v>
      </c>
      <c r="N23" s="166">
        <v>12</v>
      </c>
      <c r="O23" s="162">
        <v>160</v>
      </c>
      <c r="P23" s="8">
        <v>0.6</v>
      </c>
      <c r="Q23" s="8" t="s">
        <v>2</v>
      </c>
      <c r="R23" s="162" t="s">
        <v>2</v>
      </c>
      <c r="S23" s="162" t="s">
        <v>2</v>
      </c>
      <c r="T23" s="162" t="s">
        <v>2</v>
      </c>
      <c r="U23" s="165" t="s">
        <v>2</v>
      </c>
      <c r="V23" s="165" t="s">
        <v>2</v>
      </c>
      <c r="W23" s="7" t="s">
        <v>2</v>
      </c>
      <c r="X23" s="25">
        <v>9</v>
      </c>
      <c r="Y23" s="165" t="s">
        <v>2</v>
      </c>
      <c r="Z23" s="165" t="s">
        <v>2</v>
      </c>
      <c r="AA23" s="165" t="s">
        <v>2</v>
      </c>
      <c r="AB23" s="165" t="s">
        <v>2</v>
      </c>
      <c r="AC23" s="165" t="s">
        <v>2</v>
      </c>
      <c r="AD23" s="162" t="s">
        <v>2</v>
      </c>
      <c r="AE23" s="162" t="s">
        <v>2</v>
      </c>
      <c r="AF23" s="8" t="s">
        <v>2</v>
      </c>
      <c r="AG23" s="7" t="s">
        <v>2</v>
      </c>
      <c r="AH23" s="156" t="s">
        <v>2</v>
      </c>
      <c r="AI23" s="162">
        <v>0</v>
      </c>
      <c r="AJ23" s="8" t="s">
        <v>2</v>
      </c>
      <c r="AK23" s="8" t="s">
        <v>2</v>
      </c>
      <c r="AL23" s="7" t="s">
        <v>2</v>
      </c>
      <c r="AM23" s="166" t="s">
        <v>2</v>
      </c>
      <c r="AN23" s="162">
        <v>0</v>
      </c>
      <c r="AO23" s="59">
        <v>0</v>
      </c>
      <c r="AP23" s="8" t="s">
        <v>2</v>
      </c>
      <c r="AQ23" s="165" t="s">
        <v>2</v>
      </c>
      <c r="AR23" s="165" t="s">
        <v>2</v>
      </c>
      <c r="AS23" s="165" t="s">
        <v>2</v>
      </c>
      <c r="AT23" s="165" t="s">
        <v>2</v>
      </c>
      <c r="AU23" s="165" t="s">
        <v>2</v>
      </c>
      <c r="AV23" s="165" t="s">
        <v>2</v>
      </c>
      <c r="AW23" s="25" t="s">
        <v>2</v>
      </c>
      <c r="AX23" s="165" t="s">
        <v>2</v>
      </c>
      <c r="AY23" s="165" t="s">
        <v>2</v>
      </c>
      <c r="AZ23" s="62" t="s">
        <v>2</v>
      </c>
      <c r="BA23" s="25" t="s">
        <v>2</v>
      </c>
      <c r="BB23" s="165" t="s">
        <v>2</v>
      </c>
      <c r="BC23" s="165" t="s">
        <v>2</v>
      </c>
      <c r="BD23" s="165" t="s">
        <v>2</v>
      </c>
      <c r="BE23" s="165" t="s">
        <v>2</v>
      </c>
      <c r="BF23" s="62" t="s">
        <v>2</v>
      </c>
      <c r="BG23" s="11" t="s">
        <v>2</v>
      </c>
      <c r="BH23" s="11">
        <v>0</v>
      </c>
      <c r="BI23" s="166" t="s">
        <v>2</v>
      </c>
      <c r="BJ23" s="162" t="s">
        <v>2</v>
      </c>
      <c r="BK23" s="162" t="s">
        <v>2</v>
      </c>
      <c r="BL23" s="162" t="s">
        <v>2</v>
      </c>
      <c r="BM23" s="162" t="s">
        <v>2</v>
      </c>
      <c r="BN23" s="162" t="s">
        <v>2</v>
      </c>
      <c r="BO23" s="162" t="s">
        <v>2</v>
      </c>
      <c r="BP23" s="162" t="s">
        <v>2</v>
      </c>
      <c r="BQ23" s="162" t="s">
        <v>2</v>
      </c>
      <c r="BR23" s="162" t="s">
        <v>2</v>
      </c>
      <c r="BS23" s="162" t="s">
        <v>2</v>
      </c>
      <c r="BT23" s="162" t="s">
        <v>2</v>
      </c>
      <c r="BU23" s="162" t="s">
        <v>2</v>
      </c>
      <c r="BV23" s="162" t="s">
        <v>2</v>
      </c>
      <c r="BW23" s="162" t="s">
        <v>2</v>
      </c>
      <c r="BX23" s="162" t="s">
        <v>2</v>
      </c>
      <c r="BY23" s="162" t="s">
        <v>2</v>
      </c>
      <c r="BZ23" s="59" t="s">
        <v>2</v>
      </c>
      <c r="CA23" s="25" t="s">
        <v>2</v>
      </c>
      <c r="CB23" s="8" t="s">
        <v>2</v>
      </c>
      <c r="CC23" s="8" t="s">
        <v>2</v>
      </c>
      <c r="CD23" s="8" t="s">
        <v>2</v>
      </c>
      <c r="CE23" s="8" t="s">
        <v>2</v>
      </c>
      <c r="CF23" s="8" t="s">
        <v>2</v>
      </c>
      <c r="CG23" s="7" t="s">
        <v>2</v>
      </c>
      <c r="CH23" s="162">
        <v>0</v>
      </c>
      <c r="CI23" s="59">
        <v>0</v>
      </c>
      <c r="CJ23" s="162">
        <v>0</v>
      </c>
      <c r="CK23" s="162">
        <v>0</v>
      </c>
      <c r="CL23" s="162">
        <v>0</v>
      </c>
      <c r="CM23" s="59">
        <v>0</v>
      </c>
      <c r="CN23" s="156" t="s">
        <v>2</v>
      </c>
      <c r="CO23" s="156" t="s">
        <v>2</v>
      </c>
    </row>
    <row r="24" spans="1:93" ht="15.75" customHeight="1" x14ac:dyDescent="0.25">
      <c r="A24" s="154">
        <v>11002</v>
      </c>
      <c r="B24" s="49" t="s">
        <v>301</v>
      </c>
      <c r="C24" s="9" t="s">
        <v>1724</v>
      </c>
      <c r="D24" s="292">
        <v>11</v>
      </c>
      <c r="E24" s="11">
        <v>0</v>
      </c>
      <c r="F24" s="162">
        <v>19</v>
      </c>
      <c r="G24" s="59">
        <v>79.419999999999987</v>
      </c>
      <c r="H24" s="68">
        <v>95</v>
      </c>
      <c r="I24" s="8">
        <v>0.3</v>
      </c>
      <c r="J24" s="8">
        <v>0.14000000000000001</v>
      </c>
      <c r="K24" s="8">
        <v>4.16</v>
      </c>
      <c r="L24" s="8">
        <v>0.7</v>
      </c>
      <c r="M24" s="7">
        <v>0.4</v>
      </c>
      <c r="N24" s="166">
        <v>12</v>
      </c>
      <c r="O24" s="162">
        <v>16</v>
      </c>
      <c r="P24" s="8">
        <v>0.3</v>
      </c>
      <c r="Q24" s="8">
        <v>0.02</v>
      </c>
      <c r="R24" s="162">
        <v>1208</v>
      </c>
      <c r="S24" s="162">
        <v>23</v>
      </c>
      <c r="T24" s="162">
        <v>4</v>
      </c>
      <c r="U24" s="165">
        <v>0.01</v>
      </c>
      <c r="V24" s="165">
        <v>85</v>
      </c>
      <c r="W24" s="7">
        <v>0</v>
      </c>
      <c r="X24" s="25">
        <v>2</v>
      </c>
      <c r="Y24" s="165">
        <v>0.02</v>
      </c>
      <c r="Z24" s="165">
        <v>0.03</v>
      </c>
      <c r="AA24" s="165">
        <v>0.1</v>
      </c>
      <c r="AB24" s="165">
        <v>3.7999999999999999E-2</v>
      </c>
      <c r="AC24" s="165">
        <v>8.9999999999999993E-3</v>
      </c>
      <c r="AD24" s="162">
        <v>1</v>
      </c>
      <c r="AE24" s="162">
        <v>0</v>
      </c>
      <c r="AF24" s="8" t="s">
        <v>2</v>
      </c>
      <c r="AG24" s="7">
        <v>0</v>
      </c>
      <c r="AH24" s="156" t="s">
        <v>2</v>
      </c>
      <c r="AI24" s="162">
        <v>7</v>
      </c>
      <c r="AJ24" s="8" t="s">
        <v>2</v>
      </c>
      <c r="AK24" s="8">
        <v>0.06</v>
      </c>
      <c r="AL24" s="7">
        <v>13</v>
      </c>
      <c r="AM24" s="166">
        <v>55</v>
      </c>
      <c r="AN24" s="162">
        <v>14</v>
      </c>
      <c r="AO24" s="59">
        <v>32</v>
      </c>
      <c r="AP24" s="8">
        <v>5.1999999999999998E-2</v>
      </c>
      <c r="AQ24" s="165">
        <v>4.3999999999999997E-2</v>
      </c>
      <c r="AR24" s="165">
        <v>0</v>
      </c>
      <c r="AS24" s="165">
        <v>5.0000000000000001E-3</v>
      </c>
      <c r="AT24" s="165">
        <v>0</v>
      </c>
      <c r="AU24" s="165">
        <v>0</v>
      </c>
      <c r="AV24" s="165">
        <v>0</v>
      </c>
      <c r="AW24" s="25">
        <v>3.0000000000000001E-3</v>
      </c>
      <c r="AX24" s="165">
        <v>0</v>
      </c>
      <c r="AY24" s="165">
        <v>0</v>
      </c>
      <c r="AZ24" s="62">
        <v>3.0000000000000001E-3</v>
      </c>
      <c r="BA24" s="25">
        <v>8.2000000000000003E-2</v>
      </c>
      <c r="BB24" s="165">
        <v>3.5000000000000003E-2</v>
      </c>
      <c r="BC24" s="165">
        <v>4.7E-2</v>
      </c>
      <c r="BD24" s="165">
        <v>0</v>
      </c>
      <c r="BE24" s="165">
        <v>0</v>
      </c>
      <c r="BF24" s="62">
        <v>0</v>
      </c>
      <c r="BG24" s="11" t="s">
        <v>2</v>
      </c>
      <c r="BH24" s="11">
        <v>0</v>
      </c>
      <c r="BI24" s="166">
        <v>14</v>
      </c>
      <c r="BJ24" s="162">
        <v>3</v>
      </c>
      <c r="BK24" s="162">
        <v>3</v>
      </c>
      <c r="BL24" s="162">
        <v>9</v>
      </c>
      <c r="BM24" s="162">
        <v>9</v>
      </c>
      <c r="BN24" s="162">
        <v>11</v>
      </c>
      <c r="BO24" s="162">
        <v>14</v>
      </c>
      <c r="BP24" s="162">
        <v>10</v>
      </c>
      <c r="BQ24" s="162">
        <v>21</v>
      </c>
      <c r="BR24" s="162">
        <v>5</v>
      </c>
      <c r="BS24" s="162">
        <v>2</v>
      </c>
      <c r="BT24" s="162">
        <v>6</v>
      </c>
      <c r="BU24" s="162">
        <v>11</v>
      </c>
      <c r="BV24" s="162">
        <v>20</v>
      </c>
      <c r="BW24" s="162">
        <v>95</v>
      </c>
      <c r="BX24" s="162">
        <v>12</v>
      </c>
      <c r="BY24" s="162">
        <v>8</v>
      </c>
      <c r="BZ24" s="59">
        <v>10</v>
      </c>
      <c r="CA24" s="25">
        <v>1.06</v>
      </c>
      <c r="CB24" s="8" t="s">
        <v>2</v>
      </c>
      <c r="CC24" s="8" t="s">
        <v>2</v>
      </c>
      <c r="CD24" s="8" t="s">
        <v>2</v>
      </c>
      <c r="CE24" s="8" t="s">
        <v>2</v>
      </c>
      <c r="CF24" s="8" t="s">
        <v>2</v>
      </c>
      <c r="CG24" s="7" t="s">
        <v>2</v>
      </c>
      <c r="CH24" s="162">
        <v>0</v>
      </c>
      <c r="CI24" s="59">
        <v>29</v>
      </c>
      <c r="CJ24" s="162">
        <v>0</v>
      </c>
      <c r="CK24" s="162">
        <v>0</v>
      </c>
      <c r="CL24" s="162">
        <v>0</v>
      </c>
      <c r="CM24" s="59">
        <v>0</v>
      </c>
      <c r="CN24" s="156">
        <v>14</v>
      </c>
      <c r="CO24" s="156" t="s">
        <v>2</v>
      </c>
    </row>
    <row r="25" spans="1:93" ht="15.75" customHeight="1" x14ac:dyDescent="0.25">
      <c r="A25" s="154">
        <v>11003</v>
      </c>
      <c r="B25" s="49" t="s">
        <v>302</v>
      </c>
      <c r="C25" s="9" t="s">
        <v>1725</v>
      </c>
      <c r="D25" s="292">
        <v>11</v>
      </c>
      <c r="E25" s="11">
        <v>0</v>
      </c>
      <c r="F25" s="162">
        <v>57</v>
      </c>
      <c r="G25" s="59">
        <v>238.26</v>
      </c>
      <c r="H25" s="68">
        <v>85.6</v>
      </c>
      <c r="I25" s="8">
        <v>0.3</v>
      </c>
      <c r="J25" s="8">
        <v>0.06</v>
      </c>
      <c r="K25" s="8">
        <v>13.84</v>
      </c>
      <c r="L25" s="8">
        <v>0.2</v>
      </c>
      <c r="M25" s="7">
        <v>0.2</v>
      </c>
      <c r="N25" s="166">
        <v>20</v>
      </c>
      <c r="O25" s="162">
        <v>12</v>
      </c>
      <c r="P25" s="8">
        <v>0.3</v>
      </c>
      <c r="Q25" s="8">
        <v>0.12</v>
      </c>
      <c r="R25" s="162">
        <v>1</v>
      </c>
      <c r="S25" s="162">
        <v>105</v>
      </c>
      <c r="T25" s="162">
        <v>16</v>
      </c>
      <c r="U25" s="165">
        <v>1.097</v>
      </c>
      <c r="V25" s="165">
        <v>103</v>
      </c>
      <c r="W25" s="7">
        <v>0.4</v>
      </c>
      <c r="X25" s="25">
        <v>14</v>
      </c>
      <c r="Y25" s="165">
        <v>0.06</v>
      </c>
      <c r="Z25" s="165">
        <v>0.01</v>
      </c>
      <c r="AA25" s="165">
        <v>0.2</v>
      </c>
      <c r="AB25" s="165">
        <v>0.1</v>
      </c>
      <c r="AC25" s="165">
        <v>7.3999999999999996E-2</v>
      </c>
      <c r="AD25" s="162">
        <v>5</v>
      </c>
      <c r="AE25" s="162">
        <v>0</v>
      </c>
      <c r="AF25" s="8" t="s">
        <v>2</v>
      </c>
      <c r="AG25" s="7">
        <v>0</v>
      </c>
      <c r="AH25" s="156" t="s">
        <v>2</v>
      </c>
      <c r="AI25" s="162">
        <v>2</v>
      </c>
      <c r="AJ25" s="8" t="s">
        <v>2</v>
      </c>
      <c r="AK25" s="8">
        <v>0.01</v>
      </c>
      <c r="AL25" s="7">
        <v>0.3</v>
      </c>
      <c r="AM25" s="166">
        <v>23</v>
      </c>
      <c r="AN25" s="162">
        <v>0</v>
      </c>
      <c r="AO25" s="59">
        <v>0</v>
      </c>
      <c r="AP25" s="8">
        <v>8.9999999999999993E-3</v>
      </c>
      <c r="AQ25" s="165">
        <v>5.0000000000000001E-3</v>
      </c>
      <c r="AR25" s="165">
        <v>0</v>
      </c>
      <c r="AS25" s="165">
        <v>3.0000000000000001E-3</v>
      </c>
      <c r="AT25" s="165">
        <v>0</v>
      </c>
      <c r="AU25" s="165">
        <v>0</v>
      </c>
      <c r="AV25" s="165">
        <v>0</v>
      </c>
      <c r="AW25" s="25">
        <v>1.2999999999999999E-2</v>
      </c>
      <c r="AX25" s="165">
        <v>0</v>
      </c>
      <c r="AY25" s="165">
        <v>1E-3</v>
      </c>
      <c r="AZ25" s="62">
        <v>1.2E-2</v>
      </c>
      <c r="BA25" s="25">
        <v>0.04</v>
      </c>
      <c r="BB25" s="165">
        <v>2.3E-2</v>
      </c>
      <c r="BC25" s="165">
        <v>1.7000000000000001E-2</v>
      </c>
      <c r="BD25" s="165">
        <v>0</v>
      </c>
      <c r="BE25" s="165">
        <v>0</v>
      </c>
      <c r="BF25" s="62">
        <v>0</v>
      </c>
      <c r="BG25" s="11" t="s">
        <v>2</v>
      </c>
      <c r="BH25" s="11">
        <v>0</v>
      </c>
      <c r="BI25" s="166">
        <v>16</v>
      </c>
      <c r="BJ25" s="162">
        <v>9</v>
      </c>
      <c r="BK25" s="162">
        <v>5</v>
      </c>
      <c r="BL25" s="162">
        <v>9</v>
      </c>
      <c r="BM25" s="162">
        <v>9</v>
      </c>
      <c r="BN25" s="162">
        <v>12</v>
      </c>
      <c r="BO25" s="162">
        <v>14</v>
      </c>
      <c r="BP25" s="162">
        <v>9</v>
      </c>
      <c r="BQ25" s="162">
        <v>12</v>
      </c>
      <c r="BR25" s="162">
        <v>8</v>
      </c>
      <c r="BS25" s="162">
        <v>1</v>
      </c>
      <c r="BT25" s="162">
        <v>9</v>
      </c>
      <c r="BU25" s="162">
        <v>18</v>
      </c>
      <c r="BV25" s="162">
        <v>82</v>
      </c>
      <c r="BW25" s="162">
        <v>41</v>
      </c>
      <c r="BX25" s="162">
        <v>14</v>
      </c>
      <c r="BY25" s="162">
        <v>9</v>
      </c>
      <c r="BZ25" s="59">
        <v>19</v>
      </c>
      <c r="CA25" s="25">
        <v>12.65</v>
      </c>
      <c r="CB25" s="8" t="s">
        <v>2</v>
      </c>
      <c r="CC25" s="8" t="s">
        <v>2</v>
      </c>
      <c r="CD25" s="8" t="s">
        <v>2</v>
      </c>
      <c r="CE25" s="8" t="s">
        <v>2</v>
      </c>
      <c r="CF25" s="8" t="s">
        <v>2</v>
      </c>
      <c r="CG25" s="7" t="s">
        <v>2</v>
      </c>
      <c r="CH25" s="162">
        <v>0</v>
      </c>
      <c r="CI25" s="59">
        <v>0</v>
      </c>
      <c r="CJ25" s="162">
        <v>0</v>
      </c>
      <c r="CK25" s="162">
        <v>0</v>
      </c>
      <c r="CL25" s="162">
        <v>0</v>
      </c>
      <c r="CM25" s="59">
        <v>0</v>
      </c>
      <c r="CN25" s="156" t="s">
        <v>2</v>
      </c>
      <c r="CO25" s="156" t="s">
        <v>2</v>
      </c>
    </row>
    <row r="26" spans="1:93" ht="15.75" customHeight="1" x14ac:dyDescent="0.25">
      <c r="A26" s="154">
        <v>11004</v>
      </c>
      <c r="B26" s="49" t="s">
        <v>303</v>
      </c>
      <c r="C26" s="9" t="s">
        <v>1726</v>
      </c>
      <c r="D26" s="292">
        <v>11</v>
      </c>
      <c r="E26" s="11">
        <v>0</v>
      </c>
      <c r="F26" s="162">
        <v>680</v>
      </c>
      <c r="G26" s="59">
        <v>2842.3999999999996</v>
      </c>
      <c r="H26" s="68">
        <v>1.8</v>
      </c>
      <c r="I26" s="8">
        <v>25.7</v>
      </c>
      <c r="J26" s="8">
        <v>59.5</v>
      </c>
      <c r="K26" s="8">
        <v>10.3</v>
      </c>
      <c r="L26" s="8" t="s">
        <v>2</v>
      </c>
      <c r="M26" s="7">
        <v>2.7</v>
      </c>
      <c r="N26" s="166" t="s">
        <v>2</v>
      </c>
      <c r="O26" s="162" t="s">
        <v>2</v>
      </c>
      <c r="P26" s="8" t="s">
        <v>2</v>
      </c>
      <c r="Q26" s="8" t="s">
        <v>2</v>
      </c>
      <c r="R26" s="162" t="s">
        <v>2</v>
      </c>
      <c r="S26" s="162" t="s">
        <v>2</v>
      </c>
      <c r="T26" s="162" t="s">
        <v>2</v>
      </c>
      <c r="U26" s="165" t="s">
        <v>2</v>
      </c>
      <c r="V26" s="165" t="s">
        <v>2</v>
      </c>
      <c r="W26" s="7" t="s">
        <v>2</v>
      </c>
      <c r="X26" s="25" t="s">
        <v>2</v>
      </c>
      <c r="Y26" s="165" t="s">
        <v>2</v>
      </c>
      <c r="Z26" s="165" t="s">
        <v>2</v>
      </c>
      <c r="AA26" s="165" t="s">
        <v>2</v>
      </c>
      <c r="AB26" s="165" t="s">
        <v>2</v>
      </c>
      <c r="AC26" s="165" t="s">
        <v>2</v>
      </c>
      <c r="AD26" s="162" t="s">
        <v>2</v>
      </c>
      <c r="AE26" s="162" t="s">
        <v>2</v>
      </c>
      <c r="AF26" s="8" t="s">
        <v>2</v>
      </c>
      <c r="AG26" s="7" t="s">
        <v>2</v>
      </c>
      <c r="AH26" s="156" t="s">
        <v>2</v>
      </c>
      <c r="AI26" s="162">
        <v>0</v>
      </c>
      <c r="AJ26" s="8" t="s">
        <v>2</v>
      </c>
      <c r="AK26" s="8" t="s">
        <v>2</v>
      </c>
      <c r="AL26" s="7" t="s">
        <v>2</v>
      </c>
      <c r="AM26" s="166">
        <v>0</v>
      </c>
      <c r="AN26" s="162">
        <v>0</v>
      </c>
      <c r="AO26" s="59">
        <v>0</v>
      </c>
      <c r="AP26" s="8" t="s">
        <v>2</v>
      </c>
      <c r="AQ26" s="165" t="s">
        <v>2</v>
      </c>
      <c r="AR26" s="165" t="s">
        <v>2</v>
      </c>
      <c r="AS26" s="165" t="s">
        <v>2</v>
      </c>
      <c r="AT26" s="165" t="s">
        <v>2</v>
      </c>
      <c r="AU26" s="165" t="s">
        <v>2</v>
      </c>
      <c r="AV26" s="165" t="s">
        <v>2</v>
      </c>
      <c r="AW26" s="25" t="s">
        <v>2</v>
      </c>
      <c r="AX26" s="165" t="s">
        <v>2</v>
      </c>
      <c r="AY26" s="165" t="s">
        <v>2</v>
      </c>
      <c r="AZ26" s="62" t="s">
        <v>2</v>
      </c>
      <c r="BA26" s="25" t="s">
        <v>2</v>
      </c>
      <c r="BB26" s="165" t="s">
        <v>2</v>
      </c>
      <c r="BC26" s="165" t="s">
        <v>2</v>
      </c>
      <c r="BD26" s="165" t="s">
        <v>2</v>
      </c>
      <c r="BE26" s="165" t="s">
        <v>2</v>
      </c>
      <c r="BF26" s="62" t="s">
        <v>2</v>
      </c>
      <c r="BG26" s="11" t="s">
        <v>2</v>
      </c>
      <c r="BH26" s="11">
        <v>0</v>
      </c>
      <c r="BI26" s="166" t="s">
        <v>2</v>
      </c>
      <c r="BJ26" s="162" t="s">
        <v>2</v>
      </c>
      <c r="BK26" s="162" t="s">
        <v>2</v>
      </c>
      <c r="BL26" s="162" t="s">
        <v>2</v>
      </c>
      <c r="BM26" s="162" t="s">
        <v>2</v>
      </c>
      <c r="BN26" s="162" t="s">
        <v>2</v>
      </c>
      <c r="BO26" s="162" t="s">
        <v>2</v>
      </c>
      <c r="BP26" s="162" t="s">
        <v>2</v>
      </c>
      <c r="BQ26" s="162" t="s">
        <v>2</v>
      </c>
      <c r="BR26" s="162" t="s">
        <v>2</v>
      </c>
      <c r="BS26" s="162" t="s">
        <v>2</v>
      </c>
      <c r="BT26" s="162" t="s">
        <v>2</v>
      </c>
      <c r="BU26" s="162" t="s">
        <v>2</v>
      </c>
      <c r="BV26" s="162" t="s">
        <v>2</v>
      </c>
      <c r="BW26" s="162" t="s">
        <v>2</v>
      </c>
      <c r="BX26" s="162" t="s">
        <v>2</v>
      </c>
      <c r="BY26" s="162" t="s">
        <v>2</v>
      </c>
      <c r="BZ26" s="59" t="s">
        <v>2</v>
      </c>
      <c r="CA26" s="25" t="s">
        <v>2</v>
      </c>
      <c r="CB26" s="8" t="s">
        <v>2</v>
      </c>
      <c r="CC26" s="8" t="s">
        <v>2</v>
      </c>
      <c r="CD26" s="8" t="s">
        <v>2</v>
      </c>
      <c r="CE26" s="8" t="s">
        <v>2</v>
      </c>
      <c r="CF26" s="8" t="s">
        <v>2</v>
      </c>
      <c r="CG26" s="7" t="s">
        <v>2</v>
      </c>
      <c r="CH26" s="162">
        <v>0</v>
      </c>
      <c r="CI26" s="59">
        <v>0</v>
      </c>
      <c r="CJ26" s="162">
        <v>0</v>
      </c>
      <c r="CK26" s="162">
        <v>0</v>
      </c>
      <c r="CL26" s="162">
        <v>0</v>
      </c>
      <c r="CM26" s="59">
        <v>0</v>
      </c>
      <c r="CN26" s="156" t="s">
        <v>2</v>
      </c>
      <c r="CO26" s="156" t="s">
        <v>2</v>
      </c>
    </row>
    <row r="27" spans="1:93" ht="15.75" customHeight="1" x14ac:dyDescent="0.25">
      <c r="A27" s="154">
        <v>11005</v>
      </c>
      <c r="B27" s="49" t="s">
        <v>304</v>
      </c>
      <c r="C27" s="9" t="s">
        <v>1727</v>
      </c>
      <c r="D27" s="292">
        <v>11</v>
      </c>
      <c r="E27" s="11">
        <v>0</v>
      </c>
      <c r="F27" s="162">
        <v>58</v>
      </c>
      <c r="G27" s="59">
        <v>242.44</v>
      </c>
      <c r="H27" s="68">
        <v>85.1</v>
      </c>
      <c r="I27" s="8">
        <v>0.2</v>
      </c>
      <c r="J27" s="8">
        <v>0</v>
      </c>
      <c r="K27" s="8">
        <v>14.4</v>
      </c>
      <c r="L27" s="8">
        <v>0.7</v>
      </c>
      <c r="M27" s="7">
        <v>0.3</v>
      </c>
      <c r="N27" s="166">
        <v>20</v>
      </c>
      <c r="O27" s="162">
        <v>16</v>
      </c>
      <c r="P27" s="8">
        <v>0.4</v>
      </c>
      <c r="Q27" s="8" t="s">
        <v>2</v>
      </c>
      <c r="R27" s="162" t="s">
        <v>2</v>
      </c>
      <c r="S27" s="162" t="s">
        <v>2</v>
      </c>
      <c r="T27" s="162" t="s">
        <v>2</v>
      </c>
      <c r="U27" s="165" t="s">
        <v>2</v>
      </c>
      <c r="V27" s="165" t="s">
        <v>2</v>
      </c>
      <c r="W27" s="7" t="s">
        <v>2</v>
      </c>
      <c r="X27" s="25">
        <v>14</v>
      </c>
      <c r="Y27" s="165" t="s">
        <v>2</v>
      </c>
      <c r="Z27" s="165" t="s">
        <v>2</v>
      </c>
      <c r="AA27" s="165" t="s">
        <v>2</v>
      </c>
      <c r="AB27" s="165" t="s">
        <v>2</v>
      </c>
      <c r="AC27" s="165" t="s">
        <v>2</v>
      </c>
      <c r="AD27" s="162" t="s">
        <v>2</v>
      </c>
      <c r="AE27" s="162" t="s">
        <v>2</v>
      </c>
      <c r="AF27" s="8" t="s">
        <v>2</v>
      </c>
      <c r="AG27" s="7" t="s">
        <v>2</v>
      </c>
      <c r="AH27" s="156" t="s">
        <v>2</v>
      </c>
      <c r="AI27" s="162">
        <v>0</v>
      </c>
      <c r="AJ27" s="8" t="s">
        <v>2</v>
      </c>
      <c r="AK27" s="8" t="s">
        <v>2</v>
      </c>
      <c r="AL27" s="7" t="s">
        <v>2</v>
      </c>
      <c r="AM27" s="166">
        <v>0</v>
      </c>
      <c r="AN27" s="162">
        <v>0</v>
      </c>
      <c r="AO27" s="59">
        <v>0</v>
      </c>
      <c r="AP27" s="8" t="s">
        <v>2</v>
      </c>
      <c r="AQ27" s="165" t="s">
        <v>2</v>
      </c>
      <c r="AR27" s="165" t="s">
        <v>2</v>
      </c>
      <c r="AS27" s="165" t="s">
        <v>2</v>
      </c>
      <c r="AT27" s="165" t="s">
        <v>2</v>
      </c>
      <c r="AU27" s="165" t="s">
        <v>2</v>
      </c>
      <c r="AV27" s="165" t="s">
        <v>2</v>
      </c>
      <c r="AW27" s="25" t="s">
        <v>2</v>
      </c>
      <c r="AX27" s="165" t="s">
        <v>2</v>
      </c>
      <c r="AY27" s="165" t="s">
        <v>2</v>
      </c>
      <c r="AZ27" s="62" t="s">
        <v>2</v>
      </c>
      <c r="BA27" s="25" t="s">
        <v>2</v>
      </c>
      <c r="BB27" s="165" t="s">
        <v>2</v>
      </c>
      <c r="BC27" s="165" t="s">
        <v>2</v>
      </c>
      <c r="BD27" s="165" t="s">
        <v>2</v>
      </c>
      <c r="BE27" s="165" t="s">
        <v>2</v>
      </c>
      <c r="BF27" s="62" t="s">
        <v>2</v>
      </c>
      <c r="BG27" s="11" t="s">
        <v>2</v>
      </c>
      <c r="BH27" s="11">
        <v>0</v>
      </c>
      <c r="BI27" s="166" t="s">
        <v>2</v>
      </c>
      <c r="BJ27" s="162" t="s">
        <v>2</v>
      </c>
      <c r="BK27" s="162" t="s">
        <v>2</v>
      </c>
      <c r="BL27" s="162" t="s">
        <v>2</v>
      </c>
      <c r="BM27" s="162" t="s">
        <v>2</v>
      </c>
      <c r="BN27" s="162" t="s">
        <v>2</v>
      </c>
      <c r="BO27" s="162" t="s">
        <v>2</v>
      </c>
      <c r="BP27" s="162" t="s">
        <v>2</v>
      </c>
      <c r="BQ27" s="162" t="s">
        <v>2</v>
      </c>
      <c r="BR27" s="162" t="s">
        <v>2</v>
      </c>
      <c r="BS27" s="162" t="s">
        <v>2</v>
      </c>
      <c r="BT27" s="162" t="s">
        <v>2</v>
      </c>
      <c r="BU27" s="162" t="s">
        <v>2</v>
      </c>
      <c r="BV27" s="162" t="s">
        <v>2</v>
      </c>
      <c r="BW27" s="162" t="s">
        <v>2</v>
      </c>
      <c r="BX27" s="162" t="s">
        <v>2</v>
      </c>
      <c r="BY27" s="162" t="s">
        <v>2</v>
      </c>
      <c r="BZ27" s="59" t="s">
        <v>2</v>
      </c>
      <c r="CA27" s="25" t="s">
        <v>2</v>
      </c>
      <c r="CB27" s="8" t="s">
        <v>2</v>
      </c>
      <c r="CC27" s="8" t="s">
        <v>2</v>
      </c>
      <c r="CD27" s="8" t="s">
        <v>2</v>
      </c>
      <c r="CE27" s="8" t="s">
        <v>2</v>
      </c>
      <c r="CF27" s="8" t="s">
        <v>2</v>
      </c>
      <c r="CG27" s="7" t="s">
        <v>2</v>
      </c>
      <c r="CH27" s="162">
        <v>0</v>
      </c>
      <c r="CI27" s="59">
        <v>0</v>
      </c>
      <c r="CJ27" s="162">
        <v>0</v>
      </c>
      <c r="CK27" s="162">
        <v>0</v>
      </c>
      <c r="CL27" s="162">
        <v>0</v>
      </c>
      <c r="CM27" s="59">
        <v>0</v>
      </c>
      <c r="CN27" s="156" t="s">
        <v>2</v>
      </c>
      <c r="CO27" s="156" t="s">
        <v>2</v>
      </c>
    </row>
    <row r="28" spans="1:93" ht="15.75" customHeight="1" x14ac:dyDescent="0.25">
      <c r="A28" s="154">
        <v>11006</v>
      </c>
      <c r="B28" s="49" t="s">
        <v>305</v>
      </c>
      <c r="C28" s="9" t="s">
        <v>1728</v>
      </c>
      <c r="D28" s="292">
        <v>11</v>
      </c>
      <c r="E28" s="11">
        <v>10</v>
      </c>
      <c r="F28" s="162">
        <v>62</v>
      </c>
      <c r="G28" s="59">
        <v>259.15999999999997</v>
      </c>
      <c r="H28" s="68">
        <v>84.5</v>
      </c>
      <c r="I28" s="8">
        <v>0.3</v>
      </c>
      <c r="J28" s="8">
        <v>0.1</v>
      </c>
      <c r="K28" s="8">
        <v>14.9</v>
      </c>
      <c r="L28" s="8">
        <v>1.8</v>
      </c>
      <c r="M28" s="7">
        <v>0.2</v>
      </c>
      <c r="N28" s="166">
        <v>16</v>
      </c>
      <c r="O28" s="162">
        <v>15</v>
      </c>
      <c r="P28" s="8">
        <v>0.86</v>
      </c>
      <c r="Q28" s="8">
        <v>0.08</v>
      </c>
      <c r="R28" s="162">
        <v>20</v>
      </c>
      <c r="S28" s="162">
        <v>93</v>
      </c>
      <c r="T28" s="162">
        <v>5</v>
      </c>
      <c r="U28" s="165">
        <v>3.2000000000000001E-2</v>
      </c>
      <c r="V28" s="165">
        <v>38</v>
      </c>
      <c r="W28" s="7">
        <v>0</v>
      </c>
      <c r="X28" s="25">
        <v>0.4</v>
      </c>
      <c r="Y28" s="165">
        <v>1.6E-2</v>
      </c>
      <c r="Z28" s="165">
        <v>3.9E-2</v>
      </c>
      <c r="AA28" s="165">
        <v>0.29699999999999999</v>
      </c>
      <c r="AB28" s="165">
        <v>7.1999999999999995E-2</v>
      </c>
      <c r="AC28" s="165">
        <v>2.7E-2</v>
      </c>
      <c r="AD28" s="162">
        <v>3</v>
      </c>
      <c r="AE28" s="162">
        <v>0</v>
      </c>
      <c r="AF28" s="8" t="s">
        <v>2</v>
      </c>
      <c r="AG28" s="7">
        <v>0</v>
      </c>
      <c r="AH28" s="156" t="s">
        <v>2</v>
      </c>
      <c r="AI28" s="162">
        <v>12</v>
      </c>
      <c r="AJ28" s="8" t="s">
        <v>2</v>
      </c>
      <c r="AK28" s="8">
        <v>0.18</v>
      </c>
      <c r="AL28" s="7">
        <v>4.3</v>
      </c>
      <c r="AM28" s="166">
        <v>127</v>
      </c>
      <c r="AN28" s="162">
        <v>0</v>
      </c>
      <c r="AO28" s="59">
        <v>23</v>
      </c>
      <c r="AP28" s="8">
        <v>8.0000000000000002E-3</v>
      </c>
      <c r="AQ28" s="165">
        <v>7.0000000000000001E-3</v>
      </c>
      <c r="AR28" s="165">
        <v>0</v>
      </c>
      <c r="AS28" s="165">
        <v>1E-3</v>
      </c>
      <c r="AT28" s="165">
        <v>0</v>
      </c>
      <c r="AU28" s="165">
        <v>0</v>
      </c>
      <c r="AV28" s="165">
        <v>0</v>
      </c>
      <c r="AW28" s="25">
        <v>6.9000000000000006E-2</v>
      </c>
      <c r="AX28" s="165">
        <v>0</v>
      </c>
      <c r="AY28" s="165">
        <v>1E-3</v>
      </c>
      <c r="AZ28" s="62">
        <v>6.8000000000000005E-2</v>
      </c>
      <c r="BA28" s="25">
        <v>2.3E-2</v>
      </c>
      <c r="BB28" s="165">
        <v>2.3E-2</v>
      </c>
      <c r="BC28" s="165">
        <v>0</v>
      </c>
      <c r="BD28" s="165">
        <v>0</v>
      </c>
      <c r="BE28" s="165">
        <v>0</v>
      </c>
      <c r="BF28" s="62">
        <v>0</v>
      </c>
      <c r="BG28" s="11" t="s">
        <v>2</v>
      </c>
      <c r="BH28" s="11">
        <v>0</v>
      </c>
      <c r="BI28" s="166">
        <v>8</v>
      </c>
      <c r="BJ28" s="162">
        <v>3</v>
      </c>
      <c r="BK28" s="162" t="s">
        <v>2</v>
      </c>
      <c r="BL28" s="162">
        <v>8</v>
      </c>
      <c r="BM28" s="162">
        <v>8</v>
      </c>
      <c r="BN28" s="162">
        <v>9</v>
      </c>
      <c r="BO28" s="162">
        <v>10</v>
      </c>
      <c r="BP28" s="162">
        <v>7</v>
      </c>
      <c r="BQ28" s="162">
        <v>6</v>
      </c>
      <c r="BR28" s="162">
        <v>6</v>
      </c>
      <c r="BS28" s="162">
        <v>2</v>
      </c>
      <c r="BT28" s="162">
        <v>3</v>
      </c>
      <c r="BU28" s="162">
        <v>14</v>
      </c>
      <c r="BV28" s="162">
        <v>116</v>
      </c>
      <c r="BW28" s="162">
        <v>17</v>
      </c>
      <c r="BX28" s="162">
        <v>6</v>
      </c>
      <c r="BY28" s="162">
        <v>16</v>
      </c>
      <c r="BZ28" s="59">
        <v>9</v>
      </c>
      <c r="CA28" s="25">
        <v>15.35</v>
      </c>
      <c r="CB28" s="8" t="s">
        <v>2</v>
      </c>
      <c r="CC28" s="8" t="s">
        <v>2</v>
      </c>
      <c r="CD28" s="8" t="s">
        <v>2</v>
      </c>
      <c r="CE28" s="8" t="s">
        <v>2</v>
      </c>
      <c r="CF28" s="8" t="s">
        <v>2</v>
      </c>
      <c r="CG28" s="7" t="s">
        <v>2</v>
      </c>
      <c r="CH28" s="162">
        <v>0</v>
      </c>
      <c r="CI28" s="59">
        <v>49</v>
      </c>
      <c r="CJ28" s="162">
        <v>0</v>
      </c>
      <c r="CK28" s="162">
        <v>0</v>
      </c>
      <c r="CL28" s="162">
        <v>0</v>
      </c>
      <c r="CM28" s="59">
        <v>0</v>
      </c>
      <c r="CN28" s="156" t="s">
        <v>2</v>
      </c>
      <c r="CO28" s="156" t="s">
        <v>2</v>
      </c>
    </row>
    <row r="29" spans="1:93" ht="15.75" customHeight="1" x14ac:dyDescent="0.25">
      <c r="A29" s="154">
        <v>11007</v>
      </c>
      <c r="B29" s="49" t="s">
        <v>306</v>
      </c>
      <c r="C29" s="9" t="s">
        <v>1729</v>
      </c>
      <c r="D29" s="292">
        <v>11</v>
      </c>
      <c r="E29" s="11">
        <v>0</v>
      </c>
      <c r="F29" s="162">
        <v>201</v>
      </c>
      <c r="G29" s="59">
        <v>840.18</v>
      </c>
      <c r="H29" s="68">
        <v>49.4</v>
      </c>
      <c r="I29" s="8">
        <v>0.5</v>
      </c>
      <c r="J29" s="8">
        <v>0</v>
      </c>
      <c r="K29" s="8">
        <v>49.8</v>
      </c>
      <c r="L29" s="8">
        <v>0.7</v>
      </c>
      <c r="M29" s="7">
        <v>0.3</v>
      </c>
      <c r="N29" s="166">
        <v>32</v>
      </c>
      <c r="O29" s="162">
        <v>92</v>
      </c>
      <c r="P29" s="8" t="s">
        <v>2</v>
      </c>
      <c r="Q29" s="8" t="s">
        <v>2</v>
      </c>
      <c r="R29" s="162" t="s">
        <v>2</v>
      </c>
      <c r="S29" s="162" t="s">
        <v>2</v>
      </c>
      <c r="T29" s="162" t="s">
        <v>2</v>
      </c>
      <c r="U29" s="165" t="s">
        <v>2</v>
      </c>
      <c r="V29" s="165" t="s">
        <v>2</v>
      </c>
      <c r="W29" s="7" t="s">
        <v>2</v>
      </c>
      <c r="X29" s="25" t="s">
        <v>2</v>
      </c>
      <c r="Y29" s="165" t="s">
        <v>2</v>
      </c>
      <c r="Z29" s="165" t="s">
        <v>2</v>
      </c>
      <c r="AA29" s="165" t="s">
        <v>2</v>
      </c>
      <c r="AB29" s="165" t="s">
        <v>2</v>
      </c>
      <c r="AC29" s="165" t="s">
        <v>2</v>
      </c>
      <c r="AD29" s="162" t="s">
        <v>2</v>
      </c>
      <c r="AE29" s="162" t="s">
        <v>2</v>
      </c>
      <c r="AF29" s="8" t="s">
        <v>2</v>
      </c>
      <c r="AG29" s="7" t="s">
        <v>2</v>
      </c>
      <c r="AH29" s="156" t="s">
        <v>2</v>
      </c>
      <c r="AI29" s="162">
        <v>0</v>
      </c>
      <c r="AJ29" s="8" t="s">
        <v>2</v>
      </c>
      <c r="AK29" s="8" t="s">
        <v>2</v>
      </c>
      <c r="AL29" s="7" t="s">
        <v>2</v>
      </c>
      <c r="AM29" s="166">
        <v>0</v>
      </c>
      <c r="AN29" s="162">
        <v>0</v>
      </c>
      <c r="AO29" s="59">
        <v>0</v>
      </c>
      <c r="AP29" s="8" t="s">
        <v>2</v>
      </c>
      <c r="AQ29" s="165" t="s">
        <v>2</v>
      </c>
      <c r="AR29" s="165" t="s">
        <v>2</v>
      </c>
      <c r="AS29" s="165" t="s">
        <v>2</v>
      </c>
      <c r="AT29" s="165" t="s">
        <v>2</v>
      </c>
      <c r="AU29" s="165" t="s">
        <v>2</v>
      </c>
      <c r="AV29" s="165" t="s">
        <v>2</v>
      </c>
      <c r="AW29" s="25" t="s">
        <v>2</v>
      </c>
      <c r="AX29" s="165" t="s">
        <v>2</v>
      </c>
      <c r="AY29" s="165" t="s">
        <v>2</v>
      </c>
      <c r="AZ29" s="62" t="s">
        <v>2</v>
      </c>
      <c r="BA29" s="25" t="s">
        <v>2</v>
      </c>
      <c r="BB29" s="165" t="s">
        <v>2</v>
      </c>
      <c r="BC29" s="165" t="s">
        <v>2</v>
      </c>
      <c r="BD29" s="165" t="s">
        <v>2</v>
      </c>
      <c r="BE29" s="165" t="s">
        <v>2</v>
      </c>
      <c r="BF29" s="62" t="s">
        <v>2</v>
      </c>
      <c r="BG29" s="11" t="s">
        <v>2</v>
      </c>
      <c r="BH29" s="11">
        <v>0</v>
      </c>
      <c r="BI29" s="166" t="s">
        <v>2</v>
      </c>
      <c r="BJ29" s="162" t="s">
        <v>2</v>
      </c>
      <c r="BK29" s="162" t="s">
        <v>2</v>
      </c>
      <c r="BL29" s="162" t="s">
        <v>2</v>
      </c>
      <c r="BM29" s="162" t="s">
        <v>2</v>
      </c>
      <c r="BN29" s="162" t="s">
        <v>2</v>
      </c>
      <c r="BO29" s="162" t="s">
        <v>2</v>
      </c>
      <c r="BP29" s="162" t="s">
        <v>2</v>
      </c>
      <c r="BQ29" s="162" t="s">
        <v>2</v>
      </c>
      <c r="BR29" s="162" t="s">
        <v>2</v>
      </c>
      <c r="BS29" s="162" t="s">
        <v>2</v>
      </c>
      <c r="BT29" s="162" t="s">
        <v>2</v>
      </c>
      <c r="BU29" s="162" t="s">
        <v>2</v>
      </c>
      <c r="BV29" s="162" t="s">
        <v>2</v>
      </c>
      <c r="BW29" s="162" t="s">
        <v>2</v>
      </c>
      <c r="BX29" s="162" t="s">
        <v>2</v>
      </c>
      <c r="BY29" s="162" t="s">
        <v>2</v>
      </c>
      <c r="BZ29" s="59" t="s">
        <v>2</v>
      </c>
      <c r="CA29" s="25" t="s">
        <v>2</v>
      </c>
      <c r="CB29" s="8" t="s">
        <v>2</v>
      </c>
      <c r="CC29" s="8" t="s">
        <v>2</v>
      </c>
      <c r="CD29" s="8" t="s">
        <v>2</v>
      </c>
      <c r="CE29" s="8" t="s">
        <v>2</v>
      </c>
      <c r="CF29" s="8" t="s">
        <v>2</v>
      </c>
      <c r="CG29" s="7" t="s">
        <v>2</v>
      </c>
      <c r="CH29" s="162">
        <v>0</v>
      </c>
      <c r="CI29" s="59">
        <v>0</v>
      </c>
      <c r="CJ29" s="162">
        <v>0</v>
      </c>
      <c r="CK29" s="162">
        <v>0</v>
      </c>
      <c r="CL29" s="162">
        <v>0</v>
      </c>
      <c r="CM29" s="59">
        <v>0</v>
      </c>
      <c r="CN29" s="156" t="s">
        <v>2</v>
      </c>
      <c r="CO29" s="156" t="s">
        <v>2</v>
      </c>
    </row>
    <row r="30" spans="1:93" ht="15.75" customHeight="1" x14ac:dyDescent="0.25">
      <c r="A30" s="154">
        <v>11008</v>
      </c>
      <c r="B30" s="49" t="s">
        <v>307</v>
      </c>
      <c r="C30" s="9" t="s">
        <v>1730</v>
      </c>
      <c r="D30" s="292">
        <v>11</v>
      </c>
      <c r="E30" s="11">
        <v>0</v>
      </c>
      <c r="F30" s="162">
        <v>227</v>
      </c>
      <c r="G30" s="59">
        <v>948.8599999999999</v>
      </c>
      <c r="H30" s="68">
        <v>42.8</v>
      </c>
      <c r="I30" s="8">
        <v>0.4</v>
      </c>
      <c r="J30" s="8">
        <v>0</v>
      </c>
      <c r="K30" s="8">
        <v>56.4</v>
      </c>
      <c r="L30" s="8">
        <v>2.2000000000000002</v>
      </c>
      <c r="M30" s="7">
        <v>0.4</v>
      </c>
      <c r="N30" s="166">
        <v>28</v>
      </c>
      <c r="O30" s="162">
        <v>22</v>
      </c>
      <c r="P30" s="8">
        <v>0.26</v>
      </c>
      <c r="Q30" s="8" t="s">
        <v>2</v>
      </c>
      <c r="R30" s="162" t="s">
        <v>2</v>
      </c>
      <c r="S30" s="162" t="s">
        <v>2</v>
      </c>
      <c r="T30" s="162" t="s">
        <v>2</v>
      </c>
      <c r="U30" s="165" t="s">
        <v>2</v>
      </c>
      <c r="V30" s="165" t="s">
        <v>2</v>
      </c>
      <c r="W30" s="7" t="s">
        <v>2</v>
      </c>
      <c r="X30" s="25" t="s">
        <v>2</v>
      </c>
      <c r="Y30" s="165">
        <v>0.03</v>
      </c>
      <c r="Z30" s="165">
        <v>0.01</v>
      </c>
      <c r="AA30" s="165">
        <v>0</v>
      </c>
      <c r="AB30" s="165" t="s">
        <v>2</v>
      </c>
      <c r="AC30" s="165" t="s">
        <v>2</v>
      </c>
      <c r="AD30" s="162" t="s">
        <v>2</v>
      </c>
      <c r="AE30" s="162" t="s">
        <v>2</v>
      </c>
      <c r="AF30" s="8" t="s">
        <v>2</v>
      </c>
      <c r="AG30" s="7" t="s">
        <v>2</v>
      </c>
      <c r="AH30" s="156" t="s">
        <v>2</v>
      </c>
      <c r="AI30" s="162">
        <v>4</v>
      </c>
      <c r="AJ30" s="8" t="s">
        <v>2</v>
      </c>
      <c r="AK30" s="8" t="s">
        <v>2</v>
      </c>
      <c r="AL30" s="7" t="s">
        <v>2</v>
      </c>
      <c r="AM30" s="166">
        <v>50</v>
      </c>
      <c r="AN30" s="162" t="s">
        <v>2</v>
      </c>
      <c r="AO30" s="59" t="s">
        <v>2</v>
      </c>
      <c r="AP30" s="8" t="s">
        <v>2</v>
      </c>
      <c r="AQ30" s="165" t="s">
        <v>2</v>
      </c>
      <c r="AR30" s="165" t="s">
        <v>2</v>
      </c>
      <c r="AS30" s="165" t="s">
        <v>2</v>
      </c>
      <c r="AT30" s="165" t="s">
        <v>2</v>
      </c>
      <c r="AU30" s="165" t="s">
        <v>2</v>
      </c>
      <c r="AV30" s="165" t="s">
        <v>2</v>
      </c>
      <c r="AW30" s="25" t="s">
        <v>2</v>
      </c>
      <c r="AX30" s="165" t="s">
        <v>2</v>
      </c>
      <c r="AY30" s="165" t="s">
        <v>2</v>
      </c>
      <c r="AZ30" s="62" t="s">
        <v>2</v>
      </c>
      <c r="BA30" s="25" t="s">
        <v>2</v>
      </c>
      <c r="BB30" s="165" t="s">
        <v>2</v>
      </c>
      <c r="BC30" s="165" t="s">
        <v>2</v>
      </c>
      <c r="BD30" s="165" t="s">
        <v>2</v>
      </c>
      <c r="BE30" s="165" t="s">
        <v>2</v>
      </c>
      <c r="BF30" s="62" t="s">
        <v>2</v>
      </c>
      <c r="BG30" s="11" t="s">
        <v>2</v>
      </c>
      <c r="BH30" s="11">
        <v>0</v>
      </c>
      <c r="BI30" s="166" t="s">
        <v>2</v>
      </c>
      <c r="BJ30" s="162" t="s">
        <v>2</v>
      </c>
      <c r="BK30" s="162" t="s">
        <v>2</v>
      </c>
      <c r="BL30" s="162" t="s">
        <v>2</v>
      </c>
      <c r="BM30" s="162" t="s">
        <v>2</v>
      </c>
      <c r="BN30" s="162" t="s">
        <v>2</v>
      </c>
      <c r="BO30" s="162" t="s">
        <v>2</v>
      </c>
      <c r="BP30" s="162" t="s">
        <v>2</v>
      </c>
      <c r="BQ30" s="162" t="s">
        <v>2</v>
      </c>
      <c r="BR30" s="162" t="s">
        <v>2</v>
      </c>
      <c r="BS30" s="162" t="s">
        <v>2</v>
      </c>
      <c r="BT30" s="162" t="s">
        <v>2</v>
      </c>
      <c r="BU30" s="162" t="s">
        <v>2</v>
      </c>
      <c r="BV30" s="162" t="s">
        <v>2</v>
      </c>
      <c r="BW30" s="162" t="s">
        <v>2</v>
      </c>
      <c r="BX30" s="162" t="s">
        <v>2</v>
      </c>
      <c r="BY30" s="162" t="s">
        <v>2</v>
      </c>
      <c r="BZ30" s="59" t="s">
        <v>2</v>
      </c>
      <c r="CA30" s="25" t="s">
        <v>2</v>
      </c>
      <c r="CB30" s="8" t="s">
        <v>2</v>
      </c>
      <c r="CC30" s="8" t="s">
        <v>2</v>
      </c>
      <c r="CD30" s="8" t="s">
        <v>2</v>
      </c>
      <c r="CE30" s="8" t="s">
        <v>2</v>
      </c>
      <c r="CF30" s="8" t="s">
        <v>2</v>
      </c>
      <c r="CG30" s="7" t="s">
        <v>2</v>
      </c>
      <c r="CH30" s="162" t="s">
        <v>2</v>
      </c>
      <c r="CI30" s="59" t="s">
        <v>2</v>
      </c>
      <c r="CJ30" s="162">
        <v>0</v>
      </c>
      <c r="CK30" s="162">
        <v>0</v>
      </c>
      <c r="CL30" s="162">
        <v>0</v>
      </c>
      <c r="CM30" s="59">
        <v>0</v>
      </c>
      <c r="CN30" s="156" t="s">
        <v>2</v>
      </c>
      <c r="CO30" s="156" t="s">
        <v>2</v>
      </c>
    </row>
    <row r="31" spans="1:93" ht="15.75" customHeight="1" x14ac:dyDescent="0.25">
      <c r="A31" s="154">
        <v>11009</v>
      </c>
      <c r="B31" s="49" t="s">
        <v>308</v>
      </c>
      <c r="C31" s="9" t="s">
        <v>1731</v>
      </c>
      <c r="D31" s="292">
        <v>11</v>
      </c>
      <c r="E31" s="11">
        <v>0</v>
      </c>
      <c r="F31" s="162">
        <v>224</v>
      </c>
      <c r="G31" s="59">
        <v>936.31999999999994</v>
      </c>
      <c r="H31" s="68">
        <v>43.8</v>
      </c>
      <c r="I31" s="8">
        <v>0.7</v>
      </c>
      <c r="J31" s="8">
        <v>0</v>
      </c>
      <c r="K31" s="8">
        <v>55.2</v>
      </c>
      <c r="L31" s="8">
        <v>1.3</v>
      </c>
      <c r="M31" s="7">
        <v>0.3</v>
      </c>
      <c r="N31" s="166">
        <v>28</v>
      </c>
      <c r="O31" s="162">
        <v>28</v>
      </c>
      <c r="P31" s="8">
        <v>0.3</v>
      </c>
      <c r="Q31" s="8" t="s">
        <v>2</v>
      </c>
      <c r="R31" s="162" t="s">
        <v>2</v>
      </c>
      <c r="S31" s="162" t="s">
        <v>2</v>
      </c>
      <c r="T31" s="162" t="s">
        <v>2</v>
      </c>
      <c r="U31" s="165" t="s">
        <v>2</v>
      </c>
      <c r="V31" s="165" t="s">
        <v>2</v>
      </c>
      <c r="W31" s="7" t="s">
        <v>2</v>
      </c>
      <c r="X31" s="25" t="s">
        <v>2</v>
      </c>
      <c r="Y31" s="165" t="s">
        <v>2</v>
      </c>
      <c r="Z31" s="165" t="s">
        <v>2</v>
      </c>
      <c r="AA31" s="165" t="s">
        <v>2</v>
      </c>
      <c r="AB31" s="165" t="s">
        <v>2</v>
      </c>
      <c r="AC31" s="165" t="s">
        <v>2</v>
      </c>
      <c r="AD31" s="162" t="s">
        <v>2</v>
      </c>
      <c r="AE31" s="162" t="s">
        <v>2</v>
      </c>
      <c r="AF31" s="8" t="s">
        <v>2</v>
      </c>
      <c r="AG31" s="7" t="s">
        <v>2</v>
      </c>
      <c r="AH31" s="156" t="s">
        <v>2</v>
      </c>
      <c r="AI31" s="162">
        <v>0</v>
      </c>
      <c r="AJ31" s="8" t="s">
        <v>2</v>
      </c>
      <c r="AK31" s="8" t="s">
        <v>2</v>
      </c>
      <c r="AL31" s="7" t="s">
        <v>2</v>
      </c>
      <c r="AM31" s="166">
        <v>0</v>
      </c>
      <c r="AN31" s="162">
        <v>0</v>
      </c>
      <c r="AO31" s="59">
        <v>0</v>
      </c>
      <c r="AP31" s="8" t="s">
        <v>2</v>
      </c>
      <c r="AQ31" s="165" t="s">
        <v>2</v>
      </c>
      <c r="AR31" s="165" t="s">
        <v>2</v>
      </c>
      <c r="AS31" s="165" t="s">
        <v>2</v>
      </c>
      <c r="AT31" s="165" t="s">
        <v>2</v>
      </c>
      <c r="AU31" s="165" t="s">
        <v>2</v>
      </c>
      <c r="AV31" s="165" t="s">
        <v>2</v>
      </c>
      <c r="AW31" s="25" t="s">
        <v>2</v>
      </c>
      <c r="AX31" s="165" t="s">
        <v>2</v>
      </c>
      <c r="AY31" s="165" t="s">
        <v>2</v>
      </c>
      <c r="AZ31" s="62" t="s">
        <v>2</v>
      </c>
      <c r="BA31" s="25" t="s">
        <v>2</v>
      </c>
      <c r="BB31" s="165" t="s">
        <v>2</v>
      </c>
      <c r="BC31" s="165" t="s">
        <v>2</v>
      </c>
      <c r="BD31" s="165" t="s">
        <v>2</v>
      </c>
      <c r="BE31" s="165" t="s">
        <v>2</v>
      </c>
      <c r="BF31" s="62" t="s">
        <v>2</v>
      </c>
      <c r="BG31" s="11" t="s">
        <v>2</v>
      </c>
      <c r="BH31" s="11">
        <v>0</v>
      </c>
      <c r="BI31" s="166" t="s">
        <v>2</v>
      </c>
      <c r="BJ31" s="162" t="s">
        <v>2</v>
      </c>
      <c r="BK31" s="162" t="s">
        <v>2</v>
      </c>
      <c r="BL31" s="162" t="s">
        <v>2</v>
      </c>
      <c r="BM31" s="162" t="s">
        <v>2</v>
      </c>
      <c r="BN31" s="162" t="s">
        <v>2</v>
      </c>
      <c r="BO31" s="162" t="s">
        <v>2</v>
      </c>
      <c r="BP31" s="162" t="s">
        <v>2</v>
      </c>
      <c r="BQ31" s="162" t="s">
        <v>2</v>
      </c>
      <c r="BR31" s="162" t="s">
        <v>2</v>
      </c>
      <c r="BS31" s="162" t="s">
        <v>2</v>
      </c>
      <c r="BT31" s="162" t="s">
        <v>2</v>
      </c>
      <c r="BU31" s="162" t="s">
        <v>2</v>
      </c>
      <c r="BV31" s="162" t="s">
        <v>2</v>
      </c>
      <c r="BW31" s="162" t="s">
        <v>2</v>
      </c>
      <c r="BX31" s="162" t="s">
        <v>2</v>
      </c>
      <c r="BY31" s="162" t="s">
        <v>2</v>
      </c>
      <c r="BZ31" s="59" t="s">
        <v>2</v>
      </c>
      <c r="CA31" s="25" t="s">
        <v>2</v>
      </c>
      <c r="CB31" s="8" t="s">
        <v>2</v>
      </c>
      <c r="CC31" s="8" t="s">
        <v>2</v>
      </c>
      <c r="CD31" s="8" t="s">
        <v>2</v>
      </c>
      <c r="CE31" s="8" t="s">
        <v>2</v>
      </c>
      <c r="CF31" s="8" t="s">
        <v>2</v>
      </c>
      <c r="CG31" s="7" t="s">
        <v>2</v>
      </c>
      <c r="CH31" s="162">
        <v>0</v>
      </c>
      <c r="CI31" s="59">
        <v>0</v>
      </c>
      <c r="CJ31" s="162">
        <v>0</v>
      </c>
      <c r="CK31" s="162">
        <v>0</v>
      </c>
      <c r="CL31" s="162">
        <v>0</v>
      </c>
      <c r="CM31" s="59">
        <v>0</v>
      </c>
      <c r="CN31" s="156" t="s">
        <v>2</v>
      </c>
      <c r="CO31" s="156" t="s">
        <v>2</v>
      </c>
    </row>
    <row r="32" spans="1:93" ht="15.75" customHeight="1" x14ac:dyDescent="0.25">
      <c r="A32" s="154">
        <v>11010</v>
      </c>
      <c r="B32" s="49" t="s">
        <v>309</v>
      </c>
      <c r="C32" s="9" t="s">
        <v>1732</v>
      </c>
      <c r="D32" s="292">
        <v>11</v>
      </c>
      <c r="E32" s="11">
        <v>0</v>
      </c>
      <c r="F32" s="162">
        <v>210</v>
      </c>
      <c r="G32" s="59">
        <v>877.8</v>
      </c>
      <c r="H32" s="68">
        <v>47.2</v>
      </c>
      <c r="I32" s="8">
        <v>0.5</v>
      </c>
      <c r="J32" s="8">
        <v>0</v>
      </c>
      <c r="K32" s="8">
        <v>51.9</v>
      </c>
      <c r="L32" s="8">
        <v>0.4</v>
      </c>
      <c r="M32" s="7">
        <v>0.4</v>
      </c>
      <c r="N32" s="166">
        <v>20</v>
      </c>
      <c r="O32" s="162">
        <v>16</v>
      </c>
      <c r="P32" s="8">
        <v>0.3</v>
      </c>
      <c r="Q32" s="8" t="s">
        <v>2</v>
      </c>
      <c r="R32" s="162" t="s">
        <v>2</v>
      </c>
      <c r="S32" s="162" t="s">
        <v>2</v>
      </c>
      <c r="T32" s="162" t="s">
        <v>2</v>
      </c>
      <c r="U32" s="165" t="s">
        <v>2</v>
      </c>
      <c r="V32" s="165" t="s">
        <v>2</v>
      </c>
      <c r="W32" s="7" t="s">
        <v>2</v>
      </c>
      <c r="X32" s="25">
        <v>13</v>
      </c>
      <c r="Y32" s="165">
        <v>0.09</v>
      </c>
      <c r="Z32" s="165">
        <v>0.05</v>
      </c>
      <c r="AA32" s="165">
        <v>0.3</v>
      </c>
      <c r="AB32" s="165" t="s">
        <v>2</v>
      </c>
      <c r="AC32" s="165" t="s">
        <v>2</v>
      </c>
      <c r="AD32" s="162" t="s">
        <v>2</v>
      </c>
      <c r="AE32" s="162" t="s">
        <v>2</v>
      </c>
      <c r="AF32" s="8" t="s">
        <v>2</v>
      </c>
      <c r="AG32" s="7" t="s">
        <v>2</v>
      </c>
      <c r="AH32" s="156" t="s">
        <v>2</v>
      </c>
      <c r="AI32" s="162">
        <v>2</v>
      </c>
      <c r="AJ32" s="8" t="s">
        <v>2</v>
      </c>
      <c r="AK32" s="8" t="s">
        <v>2</v>
      </c>
      <c r="AL32" s="7" t="s">
        <v>2</v>
      </c>
      <c r="AM32" s="166">
        <v>20</v>
      </c>
      <c r="AN32" s="162" t="s">
        <v>2</v>
      </c>
      <c r="AO32" s="59" t="s">
        <v>2</v>
      </c>
      <c r="AP32" s="8" t="s">
        <v>2</v>
      </c>
      <c r="AQ32" s="165" t="s">
        <v>2</v>
      </c>
      <c r="AR32" s="165" t="s">
        <v>2</v>
      </c>
      <c r="AS32" s="165" t="s">
        <v>2</v>
      </c>
      <c r="AT32" s="165" t="s">
        <v>2</v>
      </c>
      <c r="AU32" s="165" t="s">
        <v>2</v>
      </c>
      <c r="AV32" s="165" t="s">
        <v>2</v>
      </c>
      <c r="AW32" s="25" t="s">
        <v>2</v>
      </c>
      <c r="AX32" s="165" t="s">
        <v>2</v>
      </c>
      <c r="AY32" s="165" t="s">
        <v>2</v>
      </c>
      <c r="AZ32" s="62" t="s">
        <v>2</v>
      </c>
      <c r="BA32" s="25" t="s">
        <v>2</v>
      </c>
      <c r="BB32" s="165" t="s">
        <v>2</v>
      </c>
      <c r="BC32" s="165" t="s">
        <v>2</v>
      </c>
      <c r="BD32" s="165" t="s">
        <v>2</v>
      </c>
      <c r="BE32" s="165" t="s">
        <v>2</v>
      </c>
      <c r="BF32" s="62" t="s">
        <v>2</v>
      </c>
      <c r="BG32" s="11" t="s">
        <v>2</v>
      </c>
      <c r="BH32" s="11">
        <v>0</v>
      </c>
      <c r="BI32" s="166" t="s">
        <v>2</v>
      </c>
      <c r="BJ32" s="162" t="s">
        <v>2</v>
      </c>
      <c r="BK32" s="162" t="s">
        <v>2</v>
      </c>
      <c r="BL32" s="162" t="s">
        <v>2</v>
      </c>
      <c r="BM32" s="162" t="s">
        <v>2</v>
      </c>
      <c r="BN32" s="162" t="s">
        <v>2</v>
      </c>
      <c r="BO32" s="162" t="s">
        <v>2</v>
      </c>
      <c r="BP32" s="162" t="s">
        <v>2</v>
      </c>
      <c r="BQ32" s="162" t="s">
        <v>2</v>
      </c>
      <c r="BR32" s="162" t="s">
        <v>2</v>
      </c>
      <c r="BS32" s="162" t="s">
        <v>2</v>
      </c>
      <c r="BT32" s="162" t="s">
        <v>2</v>
      </c>
      <c r="BU32" s="162" t="s">
        <v>2</v>
      </c>
      <c r="BV32" s="162" t="s">
        <v>2</v>
      </c>
      <c r="BW32" s="162" t="s">
        <v>2</v>
      </c>
      <c r="BX32" s="162" t="s">
        <v>2</v>
      </c>
      <c r="BY32" s="162" t="s">
        <v>2</v>
      </c>
      <c r="BZ32" s="59" t="s">
        <v>2</v>
      </c>
      <c r="CA32" s="25" t="s">
        <v>2</v>
      </c>
      <c r="CB32" s="8" t="s">
        <v>2</v>
      </c>
      <c r="CC32" s="8" t="s">
        <v>2</v>
      </c>
      <c r="CD32" s="8" t="s">
        <v>2</v>
      </c>
      <c r="CE32" s="8" t="s">
        <v>2</v>
      </c>
      <c r="CF32" s="8" t="s">
        <v>2</v>
      </c>
      <c r="CG32" s="7" t="s">
        <v>2</v>
      </c>
      <c r="CH32" s="162" t="s">
        <v>2</v>
      </c>
      <c r="CI32" s="59" t="s">
        <v>2</v>
      </c>
      <c r="CJ32" s="162">
        <v>0</v>
      </c>
      <c r="CK32" s="162">
        <v>0</v>
      </c>
      <c r="CL32" s="162">
        <v>0</v>
      </c>
      <c r="CM32" s="59">
        <v>0</v>
      </c>
      <c r="CN32" s="156" t="s">
        <v>2</v>
      </c>
      <c r="CO32" s="156" t="s">
        <v>2</v>
      </c>
    </row>
    <row r="33" spans="1:93" ht="15.75" customHeight="1" x14ac:dyDescent="0.25">
      <c r="A33" s="154">
        <v>11011</v>
      </c>
      <c r="B33" s="49" t="s">
        <v>310</v>
      </c>
      <c r="C33" s="9" t="s">
        <v>1733</v>
      </c>
      <c r="D33" s="292">
        <v>11</v>
      </c>
      <c r="E33" s="11">
        <v>0</v>
      </c>
      <c r="F33" s="162">
        <v>186</v>
      </c>
      <c r="G33" s="59">
        <v>777.4799999999999</v>
      </c>
      <c r="H33" s="68">
        <v>53.2</v>
      </c>
      <c r="I33" s="8">
        <v>0.4</v>
      </c>
      <c r="J33" s="8">
        <v>0</v>
      </c>
      <c r="K33" s="8">
        <v>46.1</v>
      </c>
      <c r="L33" s="8">
        <v>2</v>
      </c>
      <c r="M33" s="7">
        <v>0.3</v>
      </c>
      <c r="N33" s="166">
        <v>24</v>
      </c>
      <c r="O33" s="162">
        <v>30</v>
      </c>
      <c r="P33" s="8" t="s">
        <v>2</v>
      </c>
      <c r="Q33" s="8" t="s">
        <v>2</v>
      </c>
      <c r="R33" s="162" t="s">
        <v>2</v>
      </c>
      <c r="S33" s="162" t="s">
        <v>2</v>
      </c>
      <c r="T33" s="162" t="s">
        <v>2</v>
      </c>
      <c r="U33" s="165" t="s">
        <v>2</v>
      </c>
      <c r="V33" s="165" t="s">
        <v>2</v>
      </c>
      <c r="W33" s="7" t="s">
        <v>2</v>
      </c>
      <c r="X33" s="25" t="s">
        <v>2</v>
      </c>
      <c r="Y33" s="165" t="s">
        <v>2</v>
      </c>
      <c r="Z33" s="165" t="s">
        <v>2</v>
      </c>
      <c r="AA33" s="165" t="s">
        <v>2</v>
      </c>
      <c r="AB33" s="165" t="s">
        <v>2</v>
      </c>
      <c r="AC33" s="165" t="s">
        <v>2</v>
      </c>
      <c r="AD33" s="162" t="s">
        <v>2</v>
      </c>
      <c r="AE33" s="162" t="s">
        <v>2</v>
      </c>
      <c r="AF33" s="8" t="s">
        <v>2</v>
      </c>
      <c r="AG33" s="7" t="s">
        <v>2</v>
      </c>
      <c r="AH33" s="156" t="s">
        <v>2</v>
      </c>
      <c r="AI33" s="162">
        <v>0</v>
      </c>
      <c r="AJ33" s="8" t="s">
        <v>2</v>
      </c>
      <c r="AK33" s="8" t="s">
        <v>2</v>
      </c>
      <c r="AL33" s="7" t="s">
        <v>2</v>
      </c>
      <c r="AM33" s="166" t="s">
        <v>2</v>
      </c>
      <c r="AN33" s="162" t="s">
        <v>2</v>
      </c>
      <c r="AO33" s="59" t="s">
        <v>2</v>
      </c>
      <c r="AP33" s="8" t="s">
        <v>2</v>
      </c>
      <c r="AQ33" s="165" t="s">
        <v>2</v>
      </c>
      <c r="AR33" s="165" t="s">
        <v>2</v>
      </c>
      <c r="AS33" s="165" t="s">
        <v>2</v>
      </c>
      <c r="AT33" s="165" t="s">
        <v>2</v>
      </c>
      <c r="AU33" s="165" t="s">
        <v>2</v>
      </c>
      <c r="AV33" s="165" t="s">
        <v>2</v>
      </c>
      <c r="AW33" s="25" t="s">
        <v>2</v>
      </c>
      <c r="AX33" s="165" t="s">
        <v>2</v>
      </c>
      <c r="AY33" s="165" t="s">
        <v>2</v>
      </c>
      <c r="AZ33" s="62" t="s">
        <v>2</v>
      </c>
      <c r="BA33" s="25" t="s">
        <v>2</v>
      </c>
      <c r="BB33" s="165" t="s">
        <v>2</v>
      </c>
      <c r="BC33" s="165" t="s">
        <v>2</v>
      </c>
      <c r="BD33" s="165" t="s">
        <v>2</v>
      </c>
      <c r="BE33" s="165" t="s">
        <v>2</v>
      </c>
      <c r="BF33" s="62" t="s">
        <v>2</v>
      </c>
      <c r="BG33" s="11" t="s">
        <v>2</v>
      </c>
      <c r="BH33" s="11">
        <v>0</v>
      </c>
      <c r="BI33" s="166" t="s">
        <v>2</v>
      </c>
      <c r="BJ33" s="162" t="s">
        <v>2</v>
      </c>
      <c r="BK33" s="162" t="s">
        <v>2</v>
      </c>
      <c r="BL33" s="162" t="s">
        <v>2</v>
      </c>
      <c r="BM33" s="162" t="s">
        <v>2</v>
      </c>
      <c r="BN33" s="162" t="s">
        <v>2</v>
      </c>
      <c r="BO33" s="162" t="s">
        <v>2</v>
      </c>
      <c r="BP33" s="162" t="s">
        <v>2</v>
      </c>
      <c r="BQ33" s="162" t="s">
        <v>2</v>
      </c>
      <c r="BR33" s="162" t="s">
        <v>2</v>
      </c>
      <c r="BS33" s="162" t="s">
        <v>2</v>
      </c>
      <c r="BT33" s="162" t="s">
        <v>2</v>
      </c>
      <c r="BU33" s="162" t="s">
        <v>2</v>
      </c>
      <c r="BV33" s="162" t="s">
        <v>2</v>
      </c>
      <c r="BW33" s="162" t="s">
        <v>2</v>
      </c>
      <c r="BX33" s="162" t="s">
        <v>2</v>
      </c>
      <c r="BY33" s="162" t="s">
        <v>2</v>
      </c>
      <c r="BZ33" s="59" t="s">
        <v>2</v>
      </c>
      <c r="CA33" s="25" t="s">
        <v>2</v>
      </c>
      <c r="CB33" s="8" t="s">
        <v>2</v>
      </c>
      <c r="CC33" s="8" t="s">
        <v>2</v>
      </c>
      <c r="CD33" s="8" t="s">
        <v>2</v>
      </c>
      <c r="CE33" s="8" t="s">
        <v>2</v>
      </c>
      <c r="CF33" s="8" t="s">
        <v>2</v>
      </c>
      <c r="CG33" s="7" t="s">
        <v>2</v>
      </c>
      <c r="CH33" s="162" t="s">
        <v>2</v>
      </c>
      <c r="CI33" s="59" t="s">
        <v>2</v>
      </c>
      <c r="CJ33" s="162">
        <v>0</v>
      </c>
      <c r="CK33" s="162">
        <v>0</v>
      </c>
      <c r="CL33" s="162">
        <v>0</v>
      </c>
      <c r="CM33" s="59">
        <v>0</v>
      </c>
      <c r="CN33" s="156" t="s">
        <v>2</v>
      </c>
      <c r="CO33" s="156" t="s">
        <v>2</v>
      </c>
    </row>
    <row r="34" spans="1:93" ht="15.75" customHeight="1" x14ac:dyDescent="0.25">
      <c r="A34" s="154">
        <v>11012</v>
      </c>
      <c r="B34" s="49" t="s">
        <v>311</v>
      </c>
      <c r="C34" s="9" t="s">
        <v>1734</v>
      </c>
      <c r="D34" s="292">
        <v>11</v>
      </c>
      <c r="E34" s="11">
        <v>0</v>
      </c>
      <c r="F34" s="162">
        <v>66</v>
      </c>
      <c r="G34" s="59">
        <v>275.88</v>
      </c>
      <c r="H34" s="68">
        <v>83.3</v>
      </c>
      <c r="I34" s="8">
        <v>0.5</v>
      </c>
      <c r="J34" s="8">
        <v>0</v>
      </c>
      <c r="K34" s="8">
        <v>16</v>
      </c>
      <c r="L34" s="8">
        <v>1</v>
      </c>
      <c r="M34" s="7">
        <v>0.2</v>
      </c>
      <c r="N34" s="166">
        <v>12</v>
      </c>
      <c r="O34" s="162">
        <v>230</v>
      </c>
      <c r="P34" s="8">
        <v>0.3</v>
      </c>
      <c r="Q34" s="8" t="s">
        <v>2</v>
      </c>
      <c r="R34" s="162" t="s">
        <v>2</v>
      </c>
      <c r="S34" s="162" t="s">
        <v>2</v>
      </c>
      <c r="T34" s="162" t="s">
        <v>2</v>
      </c>
      <c r="U34" s="165" t="s">
        <v>2</v>
      </c>
      <c r="V34" s="165" t="s">
        <v>2</v>
      </c>
      <c r="W34" s="7" t="s">
        <v>2</v>
      </c>
      <c r="X34" s="25">
        <v>32</v>
      </c>
      <c r="Y34" s="165" t="s">
        <v>2</v>
      </c>
      <c r="Z34" s="165">
        <v>0.04</v>
      </c>
      <c r="AA34" s="165">
        <v>0.1</v>
      </c>
      <c r="AB34" s="165" t="s">
        <v>2</v>
      </c>
      <c r="AC34" s="165" t="s">
        <v>2</v>
      </c>
      <c r="AD34" s="162" t="s">
        <v>2</v>
      </c>
      <c r="AE34" s="162" t="s">
        <v>2</v>
      </c>
      <c r="AF34" s="8" t="s">
        <v>2</v>
      </c>
      <c r="AG34" s="7" t="s">
        <v>2</v>
      </c>
      <c r="AH34" s="156" t="s">
        <v>2</v>
      </c>
      <c r="AI34" s="162">
        <v>0</v>
      </c>
      <c r="AJ34" s="8" t="s">
        <v>2</v>
      </c>
      <c r="AK34" s="8" t="s">
        <v>2</v>
      </c>
      <c r="AL34" s="7" t="s">
        <v>2</v>
      </c>
      <c r="AM34" s="166">
        <v>0</v>
      </c>
      <c r="AN34" s="162">
        <v>0</v>
      </c>
      <c r="AO34" s="59">
        <v>0</v>
      </c>
      <c r="AP34" s="8" t="s">
        <v>2</v>
      </c>
      <c r="AQ34" s="165" t="s">
        <v>2</v>
      </c>
      <c r="AR34" s="165" t="s">
        <v>2</v>
      </c>
      <c r="AS34" s="165" t="s">
        <v>2</v>
      </c>
      <c r="AT34" s="165" t="s">
        <v>2</v>
      </c>
      <c r="AU34" s="165" t="s">
        <v>2</v>
      </c>
      <c r="AV34" s="165" t="s">
        <v>2</v>
      </c>
      <c r="AW34" s="25" t="s">
        <v>2</v>
      </c>
      <c r="AX34" s="165" t="s">
        <v>2</v>
      </c>
      <c r="AY34" s="165" t="s">
        <v>2</v>
      </c>
      <c r="AZ34" s="62" t="s">
        <v>2</v>
      </c>
      <c r="BA34" s="25" t="s">
        <v>2</v>
      </c>
      <c r="BB34" s="165" t="s">
        <v>2</v>
      </c>
      <c r="BC34" s="165" t="s">
        <v>2</v>
      </c>
      <c r="BD34" s="165" t="s">
        <v>2</v>
      </c>
      <c r="BE34" s="165" t="s">
        <v>2</v>
      </c>
      <c r="BF34" s="62" t="s">
        <v>2</v>
      </c>
      <c r="BG34" s="11" t="s">
        <v>2</v>
      </c>
      <c r="BH34" s="11">
        <v>0</v>
      </c>
      <c r="BI34" s="166" t="s">
        <v>2</v>
      </c>
      <c r="BJ34" s="162" t="s">
        <v>2</v>
      </c>
      <c r="BK34" s="162" t="s">
        <v>2</v>
      </c>
      <c r="BL34" s="162" t="s">
        <v>2</v>
      </c>
      <c r="BM34" s="162" t="s">
        <v>2</v>
      </c>
      <c r="BN34" s="162" t="s">
        <v>2</v>
      </c>
      <c r="BO34" s="162" t="s">
        <v>2</v>
      </c>
      <c r="BP34" s="162" t="s">
        <v>2</v>
      </c>
      <c r="BQ34" s="162" t="s">
        <v>2</v>
      </c>
      <c r="BR34" s="162" t="s">
        <v>2</v>
      </c>
      <c r="BS34" s="162" t="s">
        <v>2</v>
      </c>
      <c r="BT34" s="162" t="s">
        <v>2</v>
      </c>
      <c r="BU34" s="162" t="s">
        <v>2</v>
      </c>
      <c r="BV34" s="162" t="s">
        <v>2</v>
      </c>
      <c r="BW34" s="162" t="s">
        <v>2</v>
      </c>
      <c r="BX34" s="162" t="s">
        <v>2</v>
      </c>
      <c r="BY34" s="162" t="s">
        <v>2</v>
      </c>
      <c r="BZ34" s="59" t="s">
        <v>2</v>
      </c>
      <c r="CA34" s="25" t="s">
        <v>2</v>
      </c>
      <c r="CB34" s="8" t="s">
        <v>2</v>
      </c>
      <c r="CC34" s="8" t="s">
        <v>2</v>
      </c>
      <c r="CD34" s="8" t="s">
        <v>2</v>
      </c>
      <c r="CE34" s="8" t="s">
        <v>2</v>
      </c>
      <c r="CF34" s="8" t="s">
        <v>2</v>
      </c>
      <c r="CG34" s="7" t="s">
        <v>2</v>
      </c>
      <c r="CH34" s="162">
        <v>0</v>
      </c>
      <c r="CI34" s="59">
        <v>0</v>
      </c>
      <c r="CJ34" s="162">
        <v>0</v>
      </c>
      <c r="CK34" s="162">
        <v>0</v>
      </c>
      <c r="CL34" s="162">
        <v>0</v>
      </c>
      <c r="CM34" s="59">
        <v>0</v>
      </c>
      <c r="CN34" s="156" t="s">
        <v>2</v>
      </c>
      <c r="CO34" s="156" t="s">
        <v>2</v>
      </c>
    </row>
    <row r="35" spans="1:93" ht="15.75" customHeight="1" x14ac:dyDescent="0.25">
      <c r="A35" s="154">
        <v>11013</v>
      </c>
      <c r="B35" s="49" t="s">
        <v>312</v>
      </c>
      <c r="C35" s="9" t="s">
        <v>1735</v>
      </c>
      <c r="D35" s="292">
        <v>11</v>
      </c>
      <c r="E35" s="11">
        <v>0</v>
      </c>
      <c r="F35" s="162">
        <v>41</v>
      </c>
      <c r="G35" s="59">
        <v>171.38</v>
      </c>
      <c r="H35" s="68">
        <v>89.6</v>
      </c>
      <c r="I35" s="8">
        <v>0.3</v>
      </c>
      <c r="J35" s="8">
        <v>0.06</v>
      </c>
      <c r="K35" s="8">
        <v>9.74</v>
      </c>
      <c r="L35" s="8">
        <v>0.4</v>
      </c>
      <c r="M35" s="7">
        <v>0.3</v>
      </c>
      <c r="N35" s="166">
        <v>32</v>
      </c>
      <c r="O35" s="162">
        <v>12</v>
      </c>
      <c r="P35" s="8">
        <v>0.3</v>
      </c>
      <c r="Q35" s="8">
        <v>0.11</v>
      </c>
      <c r="R35" s="162">
        <v>2</v>
      </c>
      <c r="S35" s="162">
        <v>130</v>
      </c>
      <c r="T35" s="162">
        <v>12</v>
      </c>
      <c r="U35" s="165">
        <v>0.504</v>
      </c>
      <c r="V35" s="165">
        <v>69</v>
      </c>
      <c r="W35" s="7">
        <v>0.1</v>
      </c>
      <c r="X35" s="25">
        <v>41</v>
      </c>
      <c r="Y35" s="165">
        <v>0.04</v>
      </c>
      <c r="Z35" s="165">
        <v>0.01</v>
      </c>
      <c r="AA35" s="165">
        <v>0.2</v>
      </c>
      <c r="AB35" s="165">
        <v>5.6000000000000001E-2</v>
      </c>
      <c r="AC35" s="165">
        <v>0.1</v>
      </c>
      <c r="AD35" s="162">
        <v>18</v>
      </c>
      <c r="AE35" s="162">
        <v>0</v>
      </c>
      <c r="AF35" s="8" t="s">
        <v>2</v>
      </c>
      <c r="AG35" s="7">
        <v>0</v>
      </c>
      <c r="AH35" s="7" t="s">
        <v>2</v>
      </c>
      <c r="AI35" s="162" t="s">
        <v>2</v>
      </c>
      <c r="AJ35" s="8" t="s">
        <v>2</v>
      </c>
      <c r="AK35" s="8">
        <v>0.02</v>
      </c>
      <c r="AL35" s="7">
        <v>0.3</v>
      </c>
      <c r="AM35" s="166">
        <v>3</v>
      </c>
      <c r="AN35" s="162">
        <v>0</v>
      </c>
      <c r="AO35" s="59">
        <v>0</v>
      </c>
      <c r="AP35" s="8">
        <v>8.0000000000000002E-3</v>
      </c>
      <c r="AQ35" s="165">
        <v>5.0000000000000001E-3</v>
      </c>
      <c r="AR35" s="165">
        <v>0</v>
      </c>
      <c r="AS35" s="165">
        <v>3.0000000000000001E-3</v>
      </c>
      <c r="AT35" s="165">
        <v>0</v>
      </c>
      <c r="AU35" s="165">
        <v>0</v>
      </c>
      <c r="AV35" s="165">
        <v>0</v>
      </c>
      <c r="AW35" s="25">
        <v>1.4E-2</v>
      </c>
      <c r="AX35" s="165">
        <v>0</v>
      </c>
      <c r="AY35" s="165">
        <v>2E-3</v>
      </c>
      <c r="AZ35" s="62">
        <v>1.2E-2</v>
      </c>
      <c r="BA35" s="25">
        <v>4.2000000000000003E-2</v>
      </c>
      <c r="BB35" s="165">
        <v>2.4E-2</v>
      </c>
      <c r="BC35" s="165">
        <v>1.7999999999999999E-2</v>
      </c>
      <c r="BD35" s="165">
        <v>0</v>
      </c>
      <c r="BE35" s="165">
        <v>0</v>
      </c>
      <c r="BF35" s="62">
        <v>0</v>
      </c>
      <c r="BG35" s="11" t="s">
        <v>2</v>
      </c>
      <c r="BH35" s="11">
        <v>0</v>
      </c>
      <c r="BI35" s="166" t="s">
        <v>2</v>
      </c>
      <c r="BJ35" s="162" t="s">
        <v>2</v>
      </c>
      <c r="BK35" s="162" t="s">
        <v>2</v>
      </c>
      <c r="BL35" s="162" t="s">
        <v>2</v>
      </c>
      <c r="BM35" s="162" t="s">
        <v>2</v>
      </c>
      <c r="BN35" s="162" t="s">
        <v>2</v>
      </c>
      <c r="BO35" s="162" t="s">
        <v>2</v>
      </c>
      <c r="BP35" s="162" t="s">
        <v>2</v>
      </c>
      <c r="BQ35" s="162" t="s">
        <v>2</v>
      </c>
      <c r="BR35" s="162" t="s">
        <v>2</v>
      </c>
      <c r="BS35" s="162" t="s">
        <v>2</v>
      </c>
      <c r="BT35" s="162" t="s">
        <v>2</v>
      </c>
      <c r="BU35" s="162" t="s">
        <v>2</v>
      </c>
      <c r="BV35" s="162" t="s">
        <v>2</v>
      </c>
      <c r="BW35" s="162" t="s">
        <v>2</v>
      </c>
      <c r="BX35" s="162" t="s">
        <v>2</v>
      </c>
      <c r="BY35" s="162" t="s">
        <v>2</v>
      </c>
      <c r="BZ35" s="59" t="s">
        <v>2</v>
      </c>
      <c r="CA35" s="25">
        <v>9.98</v>
      </c>
      <c r="CB35" s="8" t="s">
        <v>2</v>
      </c>
      <c r="CC35" s="8" t="s">
        <v>2</v>
      </c>
      <c r="CD35" s="8" t="s">
        <v>2</v>
      </c>
      <c r="CE35" s="8" t="s">
        <v>2</v>
      </c>
      <c r="CF35" s="8" t="s">
        <v>2</v>
      </c>
      <c r="CG35" s="7" t="s">
        <v>2</v>
      </c>
      <c r="CH35" s="162">
        <v>0</v>
      </c>
      <c r="CI35" s="59">
        <v>0</v>
      </c>
      <c r="CJ35" s="162">
        <v>0</v>
      </c>
      <c r="CK35" s="162">
        <v>0</v>
      </c>
      <c r="CL35" s="162">
        <v>0</v>
      </c>
      <c r="CM35" s="59">
        <v>0</v>
      </c>
      <c r="CN35" s="156" t="s">
        <v>2</v>
      </c>
      <c r="CO35" s="156" t="s">
        <v>2</v>
      </c>
    </row>
    <row r="36" spans="1:93" ht="15.75" customHeight="1" x14ac:dyDescent="0.25">
      <c r="A36" s="154">
        <v>11014</v>
      </c>
      <c r="B36" s="49" t="s">
        <v>313</v>
      </c>
      <c r="C36" s="9" t="s">
        <v>1736</v>
      </c>
      <c r="D36" s="292">
        <v>11</v>
      </c>
      <c r="E36" s="11">
        <v>0</v>
      </c>
      <c r="F36" s="162">
        <v>65</v>
      </c>
      <c r="G36" s="59">
        <v>271.7</v>
      </c>
      <c r="H36" s="68">
        <v>83.6</v>
      </c>
      <c r="I36" s="8">
        <v>0.4</v>
      </c>
      <c r="J36" s="8">
        <v>0</v>
      </c>
      <c r="K36" s="8">
        <v>15.8</v>
      </c>
      <c r="L36" s="8">
        <v>1.1000000000000001</v>
      </c>
      <c r="M36" s="7">
        <v>0.2</v>
      </c>
      <c r="N36" s="166">
        <v>8</v>
      </c>
      <c r="O36" s="162">
        <v>160</v>
      </c>
      <c r="P36" s="8">
        <v>0.6</v>
      </c>
      <c r="Q36" s="8" t="s">
        <v>2</v>
      </c>
      <c r="R36" s="162" t="s">
        <v>2</v>
      </c>
      <c r="S36" s="162" t="s">
        <v>2</v>
      </c>
      <c r="T36" s="162" t="s">
        <v>2</v>
      </c>
      <c r="U36" s="165" t="s">
        <v>2</v>
      </c>
      <c r="V36" s="165" t="s">
        <v>2</v>
      </c>
      <c r="W36" s="7" t="s">
        <v>2</v>
      </c>
      <c r="X36" s="25">
        <v>10</v>
      </c>
      <c r="Y36" s="165" t="s">
        <v>2</v>
      </c>
      <c r="Z36" s="165">
        <v>0.04</v>
      </c>
      <c r="AA36" s="165">
        <v>0.1</v>
      </c>
      <c r="AB36" s="165" t="s">
        <v>2</v>
      </c>
      <c r="AC36" s="165" t="s">
        <v>2</v>
      </c>
      <c r="AD36" s="162" t="s">
        <v>2</v>
      </c>
      <c r="AE36" s="162" t="s">
        <v>2</v>
      </c>
      <c r="AF36" s="8" t="s">
        <v>2</v>
      </c>
      <c r="AG36" s="7" t="s">
        <v>2</v>
      </c>
      <c r="AH36" s="7" t="s">
        <v>2</v>
      </c>
      <c r="AI36" s="162" t="s">
        <v>2</v>
      </c>
      <c r="AJ36" s="8" t="s">
        <v>2</v>
      </c>
      <c r="AK36" s="8" t="s">
        <v>2</v>
      </c>
      <c r="AL36" s="7" t="s">
        <v>2</v>
      </c>
      <c r="AM36" s="166">
        <v>0</v>
      </c>
      <c r="AN36" s="162">
        <v>0</v>
      </c>
      <c r="AO36" s="59">
        <v>0</v>
      </c>
      <c r="AP36" s="8" t="s">
        <v>2</v>
      </c>
      <c r="AQ36" s="165" t="s">
        <v>2</v>
      </c>
      <c r="AR36" s="165" t="s">
        <v>2</v>
      </c>
      <c r="AS36" s="165" t="s">
        <v>2</v>
      </c>
      <c r="AT36" s="165" t="s">
        <v>2</v>
      </c>
      <c r="AU36" s="165" t="s">
        <v>2</v>
      </c>
      <c r="AV36" s="165" t="s">
        <v>2</v>
      </c>
      <c r="AW36" s="25" t="s">
        <v>2</v>
      </c>
      <c r="AX36" s="165" t="s">
        <v>2</v>
      </c>
      <c r="AY36" s="165" t="s">
        <v>2</v>
      </c>
      <c r="AZ36" s="62" t="s">
        <v>2</v>
      </c>
      <c r="BA36" s="25" t="s">
        <v>2</v>
      </c>
      <c r="BB36" s="165" t="s">
        <v>2</v>
      </c>
      <c r="BC36" s="165" t="s">
        <v>2</v>
      </c>
      <c r="BD36" s="165" t="s">
        <v>2</v>
      </c>
      <c r="BE36" s="165" t="s">
        <v>2</v>
      </c>
      <c r="BF36" s="62" t="s">
        <v>2</v>
      </c>
      <c r="BG36" s="11" t="s">
        <v>2</v>
      </c>
      <c r="BH36" s="11">
        <v>0</v>
      </c>
      <c r="BI36" s="166" t="s">
        <v>2</v>
      </c>
      <c r="BJ36" s="162" t="s">
        <v>2</v>
      </c>
      <c r="BK36" s="162" t="s">
        <v>2</v>
      </c>
      <c r="BL36" s="162" t="s">
        <v>2</v>
      </c>
      <c r="BM36" s="162" t="s">
        <v>2</v>
      </c>
      <c r="BN36" s="162" t="s">
        <v>2</v>
      </c>
      <c r="BO36" s="162" t="s">
        <v>2</v>
      </c>
      <c r="BP36" s="162" t="s">
        <v>2</v>
      </c>
      <c r="BQ36" s="162" t="s">
        <v>2</v>
      </c>
      <c r="BR36" s="162" t="s">
        <v>2</v>
      </c>
      <c r="BS36" s="162" t="s">
        <v>2</v>
      </c>
      <c r="BT36" s="162" t="s">
        <v>2</v>
      </c>
      <c r="BU36" s="162" t="s">
        <v>2</v>
      </c>
      <c r="BV36" s="162" t="s">
        <v>2</v>
      </c>
      <c r="BW36" s="162" t="s">
        <v>2</v>
      </c>
      <c r="BX36" s="162" t="s">
        <v>2</v>
      </c>
      <c r="BY36" s="162" t="s">
        <v>2</v>
      </c>
      <c r="BZ36" s="59" t="s">
        <v>2</v>
      </c>
      <c r="CA36" s="25" t="s">
        <v>2</v>
      </c>
      <c r="CB36" s="8" t="s">
        <v>2</v>
      </c>
      <c r="CC36" s="8" t="s">
        <v>2</v>
      </c>
      <c r="CD36" s="8" t="s">
        <v>2</v>
      </c>
      <c r="CE36" s="8" t="s">
        <v>2</v>
      </c>
      <c r="CF36" s="8" t="s">
        <v>2</v>
      </c>
      <c r="CG36" s="7" t="s">
        <v>2</v>
      </c>
      <c r="CH36" s="162">
        <v>0</v>
      </c>
      <c r="CI36" s="59">
        <v>0</v>
      </c>
      <c r="CJ36" s="162">
        <v>0</v>
      </c>
      <c r="CK36" s="162">
        <v>0</v>
      </c>
      <c r="CL36" s="162">
        <v>0</v>
      </c>
      <c r="CM36" s="59">
        <v>0</v>
      </c>
      <c r="CN36" s="156" t="s">
        <v>2</v>
      </c>
      <c r="CO36" s="156" t="s">
        <v>2</v>
      </c>
    </row>
    <row r="37" spans="1:93" ht="15.75" customHeight="1" x14ac:dyDescent="0.25">
      <c r="A37" s="154">
        <v>11015</v>
      </c>
      <c r="B37" s="49" t="s">
        <v>314</v>
      </c>
      <c r="C37" s="9" t="s">
        <v>1737</v>
      </c>
      <c r="D37" s="292">
        <v>11</v>
      </c>
      <c r="E37" s="11">
        <v>0</v>
      </c>
      <c r="F37" s="162">
        <v>207</v>
      </c>
      <c r="G37" s="59">
        <v>865.26</v>
      </c>
      <c r="H37" s="68">
        <v>57.5</v>
      </c>
      <c r="I37" s="8">
        <v>24.8</v>
      </c>
      <c r="J37" s="8">
        <v>12</v>
      </c>
      <c r="K37" s="8">
        <v>0</v>
      </c>
      <c r="L37" s="8" t="s">
        <v>2</v>
      </c>
      <c r="M37" s="7">
        <v>5.7</v>
      </c>
      <c r="N37" s="166">
        <v>50</v>
      </c>
      <c r="O37" s="162">
        <v>260</v>
      </c>
      <c r="P37" s="8">
        <v>1.6</v>
      </c>
      <c r="Q37" s="8" t="s">
        <v>2</v>
      </c>
      <c r="R37" s="162" t="s">
        <v>2</v>
      </c>
      <c r="S37" s="162" t="s">
        <v>2</v>
      </c>
      <c r="T37" s="162" t="s">
        <v>2</v>
      </c>
      <c r="U37" s="165" t="s">
        <v>2</v>
      </c>
      <c r="V37" s="165" t="s">
        <v>2</v>
      </c>
      <c r="W37" s="7" t="s">
        <v>2</v>
      </c>
      <c r="X37" s="25" t="s">
        <v>2</v>
      </c>
      <c r="Y37" s="165">
        <v>0.02</v>
      </c>
      <c r="Z37" s="165">
        <v>0.1</v>
      </c>
      <c r="AA37" s="165">
        <v>6.5</v>
      </c>
      <c r="AB37" s="165" t="s">
        <v>2</v>
      </c>
      <c r="AC37" s="165" t="s">
        <v>2</v>
      </c>
      <c r="AD37" s="162" t="s">
        <v>2</v>
      </c>
      <c r="AE37" s="162" t="s">
        <v>2</v>
      </c>
      <c r="AF37" s="8">
        <v>7</v>
      </c>
      <c r="AG37" s="7" t="s">
        <v>2</v>
      </c>
      <c r="AH37" s="7" t="s">
        <v>2</v>
      </c>
      <c r="AI37" s="162" t="s">
        <v>2</v>
      </c>
      <c r="AJ37" s="8" t="s">
        <v>2</v>
      </c>
      <c r="AK37" s="8" t="s">
        <v>2</v>
      </c>
      <c r="AL37" s="7" t="s">
        <v>2</v>
      </c>
      <c r="AM37" s="166">
        <v>0</v>
      </c>
      <c r="AN37" s="162">
        <v>0</v>
      </c>
      <c r="AO37" s="59">
        <v>0</v>
      </c>
      <c r="AP37" s="8" t="s">
        <v>2</v>
      </c>
      <c r="AQ37" s="165" t="s">
        <v>2</v>
      </c>
      <c r="AR37" s="165" t="s">
        <v>2</v>
      </c>
      <c r="AS37" s="165" t="s">
        <v>2</v>
      </c>
      <c r="AT37" s="165" t="s">
        <v>2</v>
      </c>
      <c r="AU37" s="165" t="s">
        <v>2</v>
      </c>
      <c r="AV37" s="165" t="s">
        <v>2</v>
      </c>
      <c r="AW37" s="25" t="s">
        <v>2</v>
      </c>
      <c r="AX37" s="165" t="s">
        <v>2</v>
      </c>
      <c r="AY37" s="165" t="s">
        <v>2</v>
      </c>
      <c r="AZ37" s="62" t="s">
        <v>2</v>
      </c>
      <c r="BA37" s="25" t="s">
        <v>2</v>
      </c>
      <c r="BB37" s="165" t="s">
        <v>2</v>
      </c>
      <c r="BC37" s="165" t="s">
        <v>2</v>
      </c>
      <c r="BD37" s="165" t="s">
        <v>2</v>
      </c>
      <c r="BE37" s="165" t="s">
        <v>2</v>
      </c>
      <c r="BF37" s="62" t="s">
        <v>2</v>
      </c>
      <c r="BG37" s="11" t="s">
        <v>2</v>
      </c>
      <c r="BH37" s="11" t="s">
        <v>2</v>
      </c>
      <c r="BI37" s="166" t="s">
        <v>2</v>
      </c>
      <c r="BJ37" s="162" t="s">
        <v>2</v>
      </c>
      <c r="BK37" s="162" t="s">
        <v>2</v>
      </c>
      <c r="BL37" s="162" t="s">
        <v>2</v>
      </c>
      <c r="BM37" s="162" t="s">
        <v>2</v>
      </c>
      <c r="BN37" s="162" t="s">
        <v>2</v>
      </c>
      <c r="BO37" s="162" t="s">
        <v>2</v>
      </c>
      <c r="BP37" s="162" t="s">
        <v>2</v>
      </c>
      <c r="BQ37" s="162" t="s">
        <v>2</v>
      </c>
      <c r="BR37" s="162" t="s">
        <v>2</v>
      </c>
      <c r="BS37" s="162" t="s">
        <v>2</v>
      </c>
      <c r="BT37" s="162" t="s">
        <v>2</v>
      </c>
      <c r="BU37" s="162" t="s">
        <v>2</v>
      </c>
      <c r="BV37" s="162" t="s">
        <v>2</v>
      </c>
      <c r="BW37" s="162" t="s">
        <v>2</v>
      </c>
      <c r="BX37" s="162" t="s">
        <v>2</v>
      </c>
      <c r="BY37" s="162" t="s">
        <v>2</v>
      </c>
      <c r="BZ37" s="59" t="s">
        <v>2</v>
      </c>
      <c r="CA37" s="25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7">
        <v>0</v>
      </c>
      <c r="CH37" s="162">
        <v>0</v>
      </c>
      <c r="CI37" s="59">
        <v>0</v>
      </c>
      <c r="CJ37" s="162">
        <v>0</v>
      </c>
      <c r="CK37" s="162">
        <v>0</v>
      </c>
      <c r="CL37" s="162">
        <v>0</v>
      </c>
      <c r="CM37" s="59">
        <v>0</v>
      </c>
      <c r="CN37" s="156" t="s">
        <v>2</v>
      </c>
      <c r="CO37" s="156" t="s">
        <v>2</v>
      </c>
    </row>
    <row r="38" spans="1:93" ht="15.75" customHeight="1" x14ac:dyDescent="0.25">
      <c r="A38" s="154">
        <v>11016</v>
      </c>
      <c r="B38" s="49" t="s">
        <v>315</v>
      </c>
      <c r="C38" s="9" t="s">
        <v>1738</v>
      </c>
      <c r="D38" s="292">
        <v>11</v>
      </c>
      <c r="E38" s="11">
        <v>0</v>
      </c>
      <c r="F38" s="162">
        <v>233</v>
      </c>
      <c r="G38" s="59">
        <v>973.93999999999994</v>
      </c>
      <c r="H38" s="68">
        <v>56.7</v>
      </c>
      <c r="I38" s="8">
        <v>22.3</v>
      </c>
      <c r="J38" s="8">
        <v>14.4</v>
      </c>
      <c r="K38" s="8">
        <v>3.5</v>
      </c>
      <c r="L38" s="8" t="s">
        <v>2</v>
      </c>
      <c r="M38" s="7">
        <v>3.1</v>
      </c>
      <c r="N38" s="166">
        <v>86</v>
      </c>
      <c r="O38" s="162">
        <v>437</v>
      </c>
      <c r="P38" s="8">
        <v>2.2999999999999998</v>
      </c>
      <c r="Q38" s="8" t="s">
        <v>2</v>
      </c>
      <c r="R38" s="162" t="s">
        <v>2</v>
      </c>
      <c r="S38" s="162" t="s">
        <v>2</v>
      </c>
      <c r="T38" s="162" t="s">
        <v>2</v>
      </c>
      <c r="U38" s="165" t="s">
        <v>2</v>
      </c>
      <c r="V38" s="165" t="s">
        <v>2</v>
      </c>
      <c r="W38" s="7" t="s">
        <v>2</v>
      </c>
      <c r="X38" s="25" t="s">
        <v>2</v>
      </c>
      <c r="Y38" s="165">
        <v>0.02</v>
      </c>
      <c r="Z38" s="165">
        <v>0.12</v>
      </c>
      <c r="AA38" s="165">
        <v>2.5</v>
      </c>
      <c r="AB38" s="165" t="s">
        <v>2</v>
      </c>
      <c r="AC38" s="165" t="s">
        <v>2</v>
      </c>
      <c r="AD38" s="162" t="s">
        <v>2</v>
      </c>
      <c r="AE38" s="162" t="s">
        <v>2</v>
      </c>
      <c r="AF38" s="8" t="s">
        <v>2</v>
      </c>
      <c r="AG38" s="7" t="s">
        <v>2</v>
      </c>
      <c r="AH38" s="156">
        <v>28</v>
      </c>
      <c r="AI38" s="162">
        <v>28</v>
      </c>
      <c r="AJ38" s="8" t="s">
        <v>2</v>
      </c>
      <c r="AK38" s="8" t="s">
        <v>2</v>
      </c>
      <c r="AL38" s="7" t="s">
        <v>2</v>
      </c>
      <c r="AM38" s="166">
        <v>0</v>
      </c>
      <c r="AN38" s="162">
        <v>0</v>
      </c>
      <c r="AO38" s="59">
        <v>0</v>
      </c>
      <c r="AP38" s="8" t="s">
        <v>2</v>
      </c>
      <c r="AQ38" s="165" t="s">
        <v>2</v>
      </c>
      <c r="AR38" s="165" t="s">
        <v>2</v>
      </c>
      <c r="AS38" s="165" t="s">
        <v>2</v>
      </c>
      <c r="AT38" s="165" t="s">
        <v>2</v>
      </c>
      <c r="AU38" s="165" t="s">
        <v>2</v>
      </c>
      <c r="AV38" s="165" t="s">
        <v>2</v>
      </c>
      <c r="AW38" s="25" t="s">
        <v>2</v>
      </c>
      <c r="AX38" s="165" t="s">
        <v>2</v>
      </c>
      <c r="AY38" s="165" t="s">
        <v>2</v>
      </c>
      <c r="AZ38" s="62" t="s">
        <v>2</v>
      </c>
      <c r="BA38" s="25" t="s">
        <v>2</v>
      </c>
      <c r="BB38" s="165" t="s">
        <v>2</v>
      </c>
      <c r="BC38" s="165" t="s">
        <v>2</v>
      </c>
      <c r="BD38" s="165" t="s">
        <v>2</v>
      </c>
      <c r="BE38" s="165" t="s">
        <v>2</v>
      </c>
      <c r="BF38" s="62" t="s">
        <v>2</v>
      </c>
      <c r="BG38" s="11" t="s">
        <v>2</v>
      </c>
      <c r="BH38" s="11" t="s">
        <v>2</v>
      </c>
      <c r="BI38" s="166">
        <v>1539</v>
      </c>
      <c r="BJ38" s="162">
        <v>587</v>
      </c>
      <c r="BK38" s="162">
        <v>227</v>
      </c>
      <c r="BL38" s="162">
        <v>697</v>
      </c>
      <c r="BM38" s="162">
        <v>845</v>
      </c>
      <c r="BN38" s="162">
        <v>1204</v>
      </c>
      <c r="BO38" s="162">
        <v>1539</v>
      </c>
      <c r="BP38" s="162">
        <v>1013</v>
      </c>
      <c r="BQ38" s="162">
        <v>1141</v>
      </c>
      <c r="BR38" s="162">
        <v>414</v>
      </c>
      <c r="BS38" s="162">
        <v>217</v>
      </c>
      <c r="BT38" s="162">
        <v>656</v>
      </c>
      <c r="BU38" s="162">
        <v>1202</v>
      </c>
      <c r="BV38" s="162">
        <v>1854</v>
      </c>
      <c r="BW38" s="162">
        <v>2778</v>
      </c>
      <c r="BX38" s="162">
        <v>1202</v>
      </c>
      <c r="BY38" s="162">
        <v>1162</v>
      </c>
      <c r="BZ38" s="59">
        <v>1042</v>
      </c>
      <c r="CA38" s="25" t="s">
        <v>2</v>
      </c>
      <c r="CB38" s="8" t="s">
        <v>2</v>
      </c>
      <c r="CC38" s="8" t="s">
        <v>2</v>
      </c>
      <c r="CD38" s="8" t="s">
        <v>2</v>
      </c>
      <c r="CE38" s="8" t="s">
        <v>2</v>
      </c>
      <c r="CF38" s="8" t="s">
        <v>2</v>
      </c>
      <c r="CG38" s="7" t="s">
        <v>2</v>
      </c>
      <c r="CH38" s="162">
        <v>0</v>
      </c>
      <c r="CI38" s="59">
        <v>0</v>
      </c>
      <c r="CJ38" s="162">
        <v>0</v>
      </c>
      <c r="CK38" s="162">
        <v>0</v>
      </c>
      <c r="CL38" s="162">
        <v>0</v>
      </c>
      <c r="CM38" s="59">
        <v>0</v>
      </c>
      <c r="CN38" s="156" t="s">
        <v>2</v>
      </c>
      <c r="CO38" s="156" t="s">
        <v>2</v>
      </c>
    </row>
    <row r="39" spans="1:93" ht="15.75" customHeight="1" x14ac:dyDescent="0.25">
      <c r="A39" s="154">
        <v>11017</v>
      </c>
      <c r="B39" s="49" t="s">
        <v>316</v>
      </c>
      <c r="C39" s="9" t="s">
        <v>1739</v>
      </c>
      <c r="D39" s="292">
        <v>11</v>
      </c>
      <c r="E39" s="11">
        <v>0</v>
      </c>
      <c r="F39" s="162">
        <v>251</v>
      </c>
      <c r="G39" s="59">
        <v>1049.1799999999998</v>
      </c>
      <c r="H39" s="68">
        <v>61.4</v>
      </c>
      <c r="I39" s="8">
        <v>16.399999999999999</v>
      </c>
      <c r="J39" s="8">
        <v>20.6</v>
      </c>
      <c r="K39" s="8">
        <v>0</v>
      </c>
      <c r="L39" s="8" t="s">
        <v>2</v>
      </c>
      <c r="M39" s="7">
        <v>1.6</v>
      </c>
      <c r="N39" s="166">
        <v>13</v>
      </c>
      <c r="O39" s="162">
        <v>250</v>
      </c>
      <c r="P39" s="8">
        <v>2.9</v>
      </c>
      <c r="Q39" s="8" t="s">
        <v>2</v>
      </c>
      <c r="R39" s="162" t="s">
        <v>2</v>
      </c>
      <c r="S39" s="162" t="s">
        <v>2</v>
      </c>
      <c r="T39" s="162" t="s">
        <v>2</v>
      </c>
      <c r="U39" s="165" t="s">
        <v>2</v>
      </c>
      <c r="V39" s="165" t="s">
        <v>2</v>
      </c>
      <c r="W39" s="7" t="s">
        <v>2</v>
      </c>
      <c r="X39" s="25" t="s">
        <v>2</v>
      </c>
      <c r="Y39" s="165" t="s">
        <v>2</v>
      </c>
      <c r="Z39" s="165">
        <v>0.23</v>
      </c>
      <c r="AA39" s="165">
        <v>2.5</v>
      </c>
      <c r="AB39" s="165" t="s">
        <v>2</v>
      </c>
      <c r="AC39" s="165" t="s">
        <v>2</v>
      </c>
      <c r="AD39" s="162" t="s">
        <v>2</v>
      </c>
      <c r="AE39" s="162" t="s">
        <v>2</v>
      </c>
      <c r="AF39" s="8" t="s">
        <v>2</v>
      </c>
      <c r="AG39" s="7" t="s">
        <v>2</v>
      </c>
      <c r="AH39" s="156" t="s">
        <v>2</v>
      </c>
      <c r="AI39" s="162">
        <v>0</v>
      </c>
      <c r="AJ39" s="8" t="s">
        <v>2</v>
      </c>
      <c r="AK39" s="8" t="s">
        <v>2</v>
      </c>
      <c r="AL39" s="7" t="s">
        <v>2</v>
      </c>
      <c r="AM39" s="166">
        <v>0</v>
      </c>
      <c r="AN39" s="162">
        <v>0</v>
      </c>
      <c r="AO39" s="59">
        <v>0</v>
      </c>
      <c r="AP39" s="8" t="s">
        <v>2</v>
      </c>
      <c r="AQ39" s="165">
        <v>3.3</v>
      </c>
      <c r="AR39" s="165">
        <v>0</v>
      </c>
      <c r="AS39" s="165">
        <v>2.7</v>
      </c>
      <c r="AT39" s="165">
        <v>0</v>
      </c>
      <c r="AU39" s="165">
        <v>0</v>
      </c>
      <c r="AV39" s="165">
        <v>0</v>
      </c>
      <c r="AW39" s="25" t="s">
        <v>2</v>
      </c>
      <c r="AX39" s="165" t="s">
        <v>2</v>
      </c>
      <c r="AY39" s="165" t="s">
        <v>2</v>
      </c>
      <c r="AZ39" s="62" t="s">
        <v>2</v>
      </c>
      <c r="BA39" s="25" t="s">
        <v>2</v>
      </c>
      <c r="BB39" s="165">
        <v>0.7</v>
      </c>
      <c r="BC39" s="165">
        <v>0.22</v>
      </c>
      <c r="BD39" s="165" t="s">
        <v>2</v>
      </c>
      <c r="BE39" s="165" t="s">
        <v>2</v>
      </c>
      <c r="BF39" s="62" t="s">
        <v>2</v>
      </c>
      <c r="BG39" s="11" t="s">
        <v>2</v>
      </c>
      <c r="BH39" s="11" t="s">
        <v>2</v>
      </c>
      <c r="BI39" s="166" t="s">
        <v>2</v>
      </c>
      <c r="BJ39" s="162" t="s">
        <v>2</v>
      </c>
      <c r="BK39" s="162" t="s">
        <v>2</v>
      </c>
      <c r="BL39" s="162" t="s">
        <v>2</v>
      </c>
      <c r="BM39" s="162" t="s">
        <v>2</v>
      </c>
      <c r="BN39" s="162" t="s">
        <v>2</v>
      </c>
      <c r="BO39" s="162" t="s">
        <v>2</v>
      </c>
      <c r="BP39" s="162" t="s">
        <v>2</v>
      </c>
      <c r="BQ39" s="162" t="s">
        <v>2</v>
      </c>
      <c r="BR39" s="162" t="s">
        <v>2</v>
      </c>
      <c r="BS39" s="162" t="s">
        <v>2</v>
      </c>
      <c r="BT39" s="162" t="s">
        <v>2</v>
      </c>
      <c r="BU39" s="162" t="s">
        <v>2</v>
      </c>
      <c r="BV39" s="162" t="s">
        <v>2</v>
      </c>
      <c r="BW39" s="162" t="s">
        <v>2</v>
      </c>
      <c r="BX39" s="162" t="s">
        <v>2</v>
      </c>
      <c r="BY39" s="162" t="s">
        <v>2</v>
      </c>
      <c r="BZ39" s="59" t="s">
        <v>2</v>
      </c>
      <c r="CA39" s="25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7">
        <v>0</v>
      </c>
      <c r="CH39" s="162">
        <v>0</v>
      </c>
      <c r="CI39" s="59">
        <v>0</v>
      </c>
      <c r="CJ39" s="162">
        <v>0</v>
      </c>
      <c r="CK39" s="162">
        <v>0</v>
      </c>
      <c r="CL39" s="162">
        <v>0</v>
      </c>
      <c r="CM39" s="59">
        <v>0</v>
      </c>
      <c r="CN39" s="156" t="s">
        <v>2</v>
      </c>
      <c r="CO39" s="156" t="s">
        <v>2</v>
      </c>
    </row>
    <row r="40" spans="1:93" ht="15.75" customHeight="1" x14ac:dyDescent="0.25">
      <c r="A40" s="154">
        <v>11018</v>
      </c>
      <c r="B40" s="49" t="s">
        <v>317</v>
      </c>
      <c r="C40" s="9" t="s">
        <v>1740</v>
      </c>
      <c r="D40" s="292">
        <v>11</v>
      </c>
      <c r="E40" s="11">
        <v>0</v>
      </c>
      <c r="F40" s="162">
        <v>273</v>
      </c>
      <c r="G40" s="59">
        <v>1141.1399999999999</v>
      </c>
      <c r="H40" s="68">
        <v>59</v>
      </c>
      <c r="I40" s="8">
        <v>17</v>
      </c>
      <c r="J40" s="8">
        <v>22.8</v>
      </c>
      <c r="K40" s="8">
        <v>0</v>
      </c>
      <c r="L40" s="8" t="s">
        <v>2</v>
      </c>
      <c r="M40" s="7">
        <v>1.2</v>
      </c>
      <c r="N40" s="166">
        <v>108</v>
      </c>
      <c r="O40" s="162">
        <v>138</v>
      </c>
      <c r="P40" s="8">
        <v>2.8</v>
      </c>
      <c r="Q40" s="8" t="s">
        <v>2</v>
      </c>
      <c r="R40" s="162" t="s">
        <v>2</v>
      </c>
      <c r="S40" s="162" t="s">
        <v>2</v>
      </c>
      <c r="T40" s="162" t="s">
        <v>2</v>
      </c>
      <c r="U40" s="165" t="s">
        <v>2</v>
      </c>
      <c r="V40" s="165" t="s">
        <v>2</v>
      </c>
      <c r="W40" s="7" t="s">
        <v>2</v>
      </c>
      <c r="X40" s="25" t="s">
        <v>2</v>
      </c>
      <c r="Y40" s="165">
        <v>0.09</v>
      </c>
      <c r="Z40" s="165">
        <v>0.37</v>
      </c>
      <c r="AA40" s="165">
        <v>2.4</v>
      </c>
      <c r="AB40" s="165" t="s">
        <v>2</v>
      </c>
      <c r="AC40" s="165" t="s">
        <v>2</v>
      </c>
      <c r="AD40" s="162" t="s">
        <v>2</v>
      </c>
      <c r="AE40" s="162" t="s">
        <v>2</v>
      </c>
      <c r="AF40" s="8" t="s">
        <v>2</v>
      </c>
      <c r="AG40" s="7" t="s">
        <v>2</v>
      </c>
      <c r="AH40" s="156">
        <v>520</v>
      </c>
      <c r="AI40" s="162">
        <v>520</v>
      </c>
      <c r="AJ40" s="8" t="s">
        <v>2</v>
      </c>
      <c r="AK40" s="8" t="s">
        <v>2</v>
      </c>
      <c r="AL40" s="7" t="s">
        <v>2</v>
      </c>
      <c r="AM40" s="166">
        <v>0</v>
      </c>
      <c r="AN40" s="162">
        <v>0</v>
      </c>
      <c r="AO40" s="59">
        <v>0</v>
      </c>
      <c r="AP40" s="8" t="s">
        <v>2</v>
      </c>
      <c r="AQ40" s="165" t="s">
        <v>2</v>
      </c>
      <c r="AR40" s="165" t="s">
        <v>2</v>
      </c>
      <c r="AS40" s="165" t="s">
        <v>2</v>
      </c>
      <c r="AT40" s="165" t="s">
        <v>2</v>
      </c>
      <c r="AU40" s="165" t="s">
        <v>2</v>
      </c>
      <c r="AV40" s="165" t="s">
        <v>2</v>
      </c>
      <c r="AW40" s="25" t="s">
        <v>2</v>
      </c>
      <c r="AX40" s="165" t="s">
        <v>2</v>
      </c>
      <c r="AY40" s="165" t="s">
        <v>2</v>
      </c>
      <c r="AZ40" s="62" t="s">
        <v>2</v>
      </c>
      <c r="BA40" s="25" t="s">
        <v>2</v>
      </c>
      <c r="BB40" s="165" t="s">
        <v>2</v>
      </c>
      <c r="BC40" s="165" t="s">
        <v>2</v>
      </c>
      <c r="BD40" s="165" t="s">
        <v>2</v>
      </c>
      <c r="BE40" s="165" t="s">
        <v>2</v>
      </c>
      <c r="BF40" s="62" t="s">
        <v>2</v>
      </c>
      <c r="BG40" s="11" t="s">
        <v>2</v>
      </c>
      <c r="BH40" s="11" t="s">
        <v>2</v>
      </c>
      <c r="BI40" s="166" t="s">
        <v>2</v>
      </c>
      <c r="BJ40" s="162" t="s">
        <v>2</v>
      </c>
      <c r="BK40" s="162" t="s">
        <v>2</v>
      </c>
      <c r="BL40" s="162" t="s">
        <v>2</v>
      </c>
      <c r="BM40" s="162" t="s">
        <v>2</v>
      </c>
      <c r="BN40" s="162" t="s">
        <v>2</v>
      </c>
      <c r="BO40" s="162" t="s">
        <v>2</v>
      </c>
      <c r="BP40" s="162" t="s">
        <v>2</v>
      </c>
      <c r="BQ40" s="162" t="s">
        <v>2</v>
      </c>
      <c r="BR40" s="162" t="s">
        <v>2</v>
      </c>
      <c r="BS40" s="162" t="s">
        <v>2</v>
      </c>
      <c r="BT40" s="162" t="s">
        <v>2</v>
      </c>
      <c r="BU40" s="162" t="s">
        <v>2</v>
      </c>
      <c r="BV40" s="162" t="s">
        <v>2</v>
      </c>
      <c r="BW40" s="162" t="s">
        <v>2</v>
      </c>
      <c r="BX40" s="162" t="s">
        <v>2</v>
      </c>
      <c r="BY40" s="162" t="s">
        <v>2</v>
      </c>
      <c r="BZ40" s="59" t="s">
        <v>2</v>
      </c>
      <c r="CA40" s="25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7">
        <v>0</v>
      </c>
      <c r="CH40" s="162">
        <v>0</v>
      </c>
      <c r="CI40" s="59">
        <v>0</v>
      </c>
      <c r="CJ40" s="162">
        <v>0</v>
      </c>
      <c r="CK40" s="162">
        <v>0</v>
      </c>
      <c r="CL40" s="162">
        <v>0</v>
      </c>
      <c r="CM40" s="59">
        <v>0</v>
      </c>
      <c r="CN40" s="156" t="s">
        <v>2</v>
      </c>
      <c r="CO40" s="156" t="s">
        <v>2</v>
      </c>
    </row>
    <row r="41" spans="1:93" ht="15.75" customHeight="1" x14ac:dyDescent="0.25">
      <c r="A41" s="154">
        <v>11019</v>
      </c>
      <c r="B41" s="49" t="s">
        <v>318</v>
      </c>
      <c r="C41" s="9" t="s">
        <v>1741</v>
      </c>
      <c r="D41" s="292">
        <v>11</v>
      </c>
      <c r="E41" s="11">
        <v>0</v>
      </c>
      <c r="F41" s="162">
        <v>344</v>
      </c>
      <c r="G41" s="59">
        <v>1437.9199999999998</v>
      </c>
      <c r="H41" s="68">
        <v>49</v>
      </c>
      <c r="I41" s="8">
        <v>17.3</v>
      </c>
      <c r="J41" s="8">
        <v>29.3</v>
      </c>
      <c r="K41" s="8">
        <v>2.7</v>
      </c>
      <c r="L41" s="8" t="s">
        <v>2</v>
      </c>
      <c r="M41" s="7">
        <v>1.7</v>
      </c>
      <c r="N41" s="166">
        <v>9</v>
      </c>
      <c r="O41" s="162">
        <v>200</v>
      </c>
      <c r="P41" s="8">
        <v>1.2</v>
      </c>
      <c r="Q41" s="8" t="s">
        <v>2</v>
      </c>
      <c r="R41" s="162" t="s">
        <v>2</v>
      </c>
      <c r="S41" s="162" t="s">
        <v>2</v>
      </c>
      <c r="T41" s="162" t="s">
        <v>2</v>
      </c>
      <c r="U41" s="165" t="s">
        <v>2</v>
      </c>
      <c r="V41" s="165" t="s">
        <v>2</v>
      </c>
      <c r="W41" s="7" t="s">
        <v>2</v>
      </c>
      <c r="X41" s="25">
        <v>0</v>
      </c>
      <c r="Y41" s="165">
        <v>0.19</v>
      </c>
      <c r="Z41" s="165">
        <v>0.21</v>
      </c>
      <c r="AA41" s="165">
        <v>3.2</v>
      </c>
      <c r="AB41" s="165" t="s">
        <v>2</v>
      </c>
      <c r="AC41" s="165" t="s">
        <v>2</v>
      </c>
      <c r="AD41" s="162" t="s">
        <v>2</v>
      </c>
      <c r="AE41" s="162" t="s">
        <v>2</v>
      </c>
      <c r="AF41" s="8" t="s">
        <v>2</v>
      </c>
      <c r="AG41" s="7" t="s">
        <v>2</v>
      </c>
      <c r="AH41" s="156" t="s">
        <v>2</v>
      </c>
      <c r="AI41" s="162" t="s">
        <v>2</v>
      </c>
      <c r="AJ41" s="8" t="s">
        <v>2</v>
      </c>
      <c r="AK41" s="8" t="s">
        <v>2</v>
      </c>
      <c r="AL41" s="7" t="s">
        <v>2</v>
      </c>
      <c r="AM41" s="166">
        <v>0</v>
      </c>
      <c r="AN41" s="162">
        <v>0</v>
      </c>
      <c r="AO41" s="59">
        <v>0</v>
      </c>
      <c r="AP41" s="8" t="s">
        <v>2</v>
      </c>
      <c r="AQ41" s="165">
        <v>2.1</v>
      </c>
      <c r="AR41" s="165">
        <v>0</v>
      </c>
      <c r="AS41" s="165">
        <v>0.45</v>
      </c>
      <c r="AT41" s="165">
        <v>0</v>
      </c>
      <c r="AU41" s="165">
        <v>0</v>
      </c>
      <c r="AV41" s="165">
        <v>0</v>
      </c>
      <c r="AW41" s="25" t="s">
        <v>2</v>
      </c>
      <c r="AX41" s="165" t="s">
        <v>2</v>
      </c>
      <c r="AY41" s="165" t="s">
        <v>2</v>
      </c>
      <c r="AZ41" s="62" t="s">
        <v>2</v>
      </c>
      <c r="BA41" s="25" t="s">
        <v>2</v>
      </c>
      <c r="BB41" s="165">
        <v>3.94</v>
      </c>
      <c r="BC41" s="165">
        <v>0.43</v>
      </c>
      <c r="BD41" s="165" t="s">
        <v>2</v>
      </c>
      <c r="BE41" s="165" t="s">
        <v>2</v>
      </c>
      <c r="BF41" s="62" t="s">
        <v>2</v>
      </c>
      <c r="BG41" s="11" t="s">
        <v>2</v>
      </c>
      <c r="BH41" s="11" t="s">
        <v>2</v>
      </c>
      <c r="BI41" s="166" t="s">
        <v>2</v>
      </c>
      <c r="BJ41" s="162" t="s">
        <v>2</v>
      </c>
      <c r="BK41" s="162" t="s">
        <v>2</v>
      </c>
      <c r="BL41" s="162" t="s">
        <v>2</v>
      </c>
      <c r="BM41" s="162" t="s">
        <v>2</v>
      </c>
      <c r="BN41" s="162" t="s">
        <v>2</v>
      </c>
      <c r="BO41" s="162" t="s">
        <v>2</v>
      </c>
      <c r="BP41" s="162" t="s">
        <v>2</v>
      </c>
      <c r="BQ41" s="162" t="s">
        <v>2</v>
      </c>
      <c r="BR41" s="162" t="s">
        <v>2</v>
      </c>
      <c r="BS41" s="162" t="s">
        <v>2</v>
      </c>
      <c r="BT41" s="162" t="s">
        <v>2</v>
      </c>
      <c r="BU41" s="162" t="s">
        <v>2</v>
      </c>
      <c r="BV41" s="162" t="s">
        <v>2</v>
      </c>
      <c r="BW41" s="162" t="s">
        <v>2</v>
      </c>
      <c r="BX41" s="162" t="s">
        <v>2</v>
      </c>
      <c r="BY41" s="162" t="s">
        <v>2</v>
      </c>
      <c r="BZ41" s="59" t="s">
        <v>2</v>
      </c>
      <c r="CA41" s="25" t="s">
        <v>2</v>
      </c>
      <c r="CB41" s="8" t="s">
        <v>2</v>
      </c>
      <c r="CC41" s="8" t="s">
        <v>2</v>
      </c>
      <c r="CD41" s="8" t="s">
        <v>2</v>
      </c>
      <c r="CE41" s="8" t="s">
        <v>2</v>
      </c>
      <c r="CF41" s="8" t="s">
        <v>2</v>
      </c>
      <c r="CG41" s="7" t="s">
        <v>2</v>
      </c>
      <c r="CH41" s="162">
        <v>0</v>
      </c>
      <c r="CI41" s="59">
        <v>0</v>
      </c>
      <c r="CJ41" s="162">
        <v>0</v>
      </c>
      <c r="CK41" s="162">
        <v>0</v>
      </c>
      <c r="CL41" s="162">
        <v>0</v>
      </c>
      <c r="CM41" s="59">
        <v>0</v>
      </c>
      <c r="CN41" s="156" t="s">
        <v>2</v>
      </c>
      <c r="CO41" s="156" t="s">
        <v>2</v>
      </c>
    </row>
    <row r="42" spans="1:93" ht="15.75" customHeight="1" x14ac:dyDescent="0.25">
      <c r="A42" s="154">
        <v>11020</v>
      </c>
      <c r="B42" s="49" t="s">
        <v>319</v>
      </c>
      <c r="C42" s="9" t="s">
        <v>1742</v>
      </c>
      <c r="D42" s="292">
        <v>11</v>
      </c>
      <c r="E42" s="11">
        <v>0</v>
      </c>
      <c r="F42" s="162">
        <v>244</v>
      </c>
      <c r="G42" s="59">
        <v>1019.92</v>
      </c>
      <c r="H42" s="68">
        <v>62.8</v>
      </c>
      <c r="I42" s="8">
        <v>16</v>
      </c>
      <c r="J42" s="8">
        <v>20</v>
      </c>
      <c r="K42" s="8">
        <v>0</v>
      </c>
      <c r="L42" s="8" t="s">
        <v>2</v>
      </c>
      <c r="M42" s="7">
        <v>1.2</v>
      </c>
      <c r="N42" s="166">
        <v>8</v>
      </c>
      <c r="O42" s="162">
        <v>120</v>
      </c>
      <c r="P42" s="8">
        <v>2.1</v>
      </c>
      <c r="Q42" s="8" t="s">
        <v>2</v>
      </c>
      <c r="R42" s="162" t="s">
        <v>2</v>
      </c>
      <c r="S42" s="162" t="s">
        <v>2</v>
      </c>
      <c r="T42" s="162" t="s">
        <v>2</v>
      </c>
      <c r="U42" s="165" t="s">
        <v>2</v>
      </c>
      <c r="V42" s="165" t="s">
        <v>2</v>
      </c>
      <c r="W42" s="7" t="s">
        <v>2</v>
      </c>
      <c r="X42" s="25">
        <v>0.8</v>
      </c>
      <c r="Y42" s="165">
        <v>0.26</v>
      </c>
      <c r="Z42" s="165">
        <v>0.19</v>
      </c>
      <c r="AA42" s="165">
        <v>5.5</v>
      </c>
      <c r="AB42" s="165" t="s">
        <v>2</v>
      </c>
      <c r="AC42" s="165" t="s">
        <v>2</v>
      </c>
      <c r="AD42" s="162" t="s">
        <v>2</v>
      </c>
      <c r="AE42" s="162" t="s">
        <v>2</v>
      </c>
      <c r="AF42" s="8" t="s">
        <v>2</v>
      </c>
      <c r="AG42" s="7" t="s">
        <v>2</v>
      </c>
      <c r="AH42" s="156">
        <v>8</v>
      </c>
      <c r="AI42" s="162">
        <v>8</v>
      </c>
      <c r="AJ42" s="8" t="s">
        <v>2</v>
      </c>
      <c r="AK42" s="8" t="s">
        <v>2</v>
      </c>
      <c r="AL42" s="7" t="s">
        <v>2</v>
      </c>
      <c r="AM42" s="166">
        <v>0</v>
      </c>
      <c r="AN42" s="162">
        <v>0</v>
      </c>
      <c r="AO42" s="59">
        <v>0</v>
      </c>
      <c r="AP42" s="8" t="s">
        <v>2</v>
      </c>
      <c r="AQ42" s="165" t="s">
        <v>2</v>
      </c>
      <c r="AR42" s="165" t="s">
        <v>2</v>
      </c>
      <c r="AS42" s="165" t="s">
        <v>2</v>
      </c>
      <c r="AT42" s="165" t="s">
        <v>2</v>
      </c>
      <c r="AU42" s="165" t="s">
        <v>2</v>
      </c>
      <c r="AV42" s="165" t="s">
        <v>2</v>
      </c>
      <c r="AW42" s="25" t="s">
        <v>2</v>
      </c>
      <c r="AX42" s="165" t="s">
        <v>2</v>
      </c>
      <c r="AY42" s="165" t="s">
        <v>2</v>
      </c>
      <c r="AZ42" s="62" t="s">
        <v>2</v>
      </c>
      <c r="BA42" s="25" t="s">
        <v>2</v>
      </c>
      <c r="BB42" s="165" t="s">
        <v>2</v>
      </c>
      <c r="BC42" s="165" t="s">
        <v>2</v>
      </c>
      <c r="BD42" s="165" t="s">
        <v>2</v>
      </c>
      <c r="BE42" s="165" t="s">
        <v>2</v>
      </c>
      <c r="BF42" s="62" t="s">
        <v>2</v>
      </c>
      <c r="BG42" s="11" t="s">
        <v>2</v>
      </c>
      <c r="BH42" s="11" t="s">
        <v>2</v>
      </c>
      <c r="BI42" s="166" t="s">
        <v>2</v>
      </c>
      <c r="BJ42" s="162" t="s">
        <v>2</v>
      </c>
      <c r="BK42" s="162" t="s">
        <v>2</v>
      </c>
      <c r="BL42" s="162" t="s">
        <v>2</v>
      </c>
      <c r="BM42" s="162" t="s">
        <v>2</v>
      </c>
      <c r="BN42" s="162" t="s">
        <v>2</v>
      </c>
      <c r="BO42" s="162" t="s">
        <v>2</v>
      </c>
      <c r="BP42" s="162" t="s">
        <v>2</v>
      </c>
      <c r="BQ42" s="162" t="s">
        <v>2</v>
      </c>
      <c r="BR42" s="162" t="s">
        <v>2</v>
      </c>
      <c r="BS42" s="162" t="s">
        <v>2</v>
      </c>
      <c r="BT42" s="162" t="s">
        <v>2</v>
      </c>
      <c r="BU42" s="162" t="s">
        <v>2</v>
      </c>
      <c r="BV42" s="162" t="s">
        <v>2</v>
      </c>
      <c r="BW42" s="162" t="s">
        <v>2</v>
      </c>
      <c r="BX42" s="162" t="s">
        <v>2</v>
      </c>
      <c r="BY42" s="162" t="s">
        <v>2</v>
      </c>
      <c r="BZ42" s="59" t="s">
        <v>2</v>
      </c>
      <c r="CA42" s="25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7">
        <v>0</v>
      </c>
      <c r="CH42" s="162">
        <v>0</v>
      </c>
      <c r="CI42" s="59">
        <v>0</v>
      </c>
      <c r="CJ42" s="162">
        <v>0</v>
      </c>
      <c r="CK42" s="162">
        <v>0</v>
      </c>
      <c r="CL42" s="162">
        <v>0</v>
      </c>
      <c r="CM42" s="59">
        <v>0</v>
      </c>
      <c r="CN42" s="156" t="s">
        <v>2</v>
      </c>
      <c r="CO42" s="59" t="s">
        <v>2</v>
      </c>
    </row>
    <row r="43" spans="1:93" ht="15.75" customHeight="1" thickBot="1" x14ac:dyDescent="0.3">
      <c r="A43" s="175">
        <v>11021</v>
      </c>
      <c r="B43" s="50" t="s">
        <v>320</v>
      </c>
      <c r="C43" s="16" t="s">
        <v>1743</v>
      </c>
      <c r="D43" s="292">
        <v>11</v>
      </c>
      <c r="E43" s="18">
        <v>0</v>
      </c>
      <c r="F43" s="66">
        <v>224</v>
      </c>
      <c r="G43" s="67">
        <v>936.31999999999994</v>
      </c>
      <c r="H43" s="69">
        <v>59.9</v>
      </c>
      <c r="I43" s="15">
        <v>19.600000000000001</v>
      </c>
      <c r="J43" s="15">
        <v>16.2</v>
      </c>
      <c r="K43" s="15">
        <v>0</v>
      </c>
      <c r="L43" s="15" t="s">
        <v>2</v>
      </c>
      <c r="M43" s="19">
        <v>4.3</v>
      </c>
      <c r="N43" s="151" t="s">
        <v>2</v>
      </c>
      <c r="O43" s="66" t="s">
        <v>2</v>
      </c>
      <c r="P43" s="15" t="s">
        <v>2</v>
      </c>
      <c r="Q43" s="15" t="s">
        <v>2</v>
      </c>
      <c r="R43" s="66" t="s">
        <v>2</v>
      </c>
      <c r="S43" s="66" t="s">
        <v>2</v>
      </c>
      <c r="T43" s="66" t="s">
        <v>2</v>
      </c>
      <c r="U43" s="70" t="s">
        <v>2</v>
      </c>
      <c r="V43" s="70" t="s">
        <v>2</v>
      </c>
      <c r="W43" s="19" t="s">
        <v>2</v>
      </c>
      <c r="X43" s="27">
        <v>0</v>
      </c>
      <c r="Y43" s="70" t="s">
        <v>2</v>
      </c>
      <c r="Z43" s="70" t="s">
        <v>2</v>
      </c>
      <c r="AA43" s="70" t="s">
        <v>2</v>
      </c>
      <c r="AB43" s="70" t="s">
        <v>2</v>
      </c>
      <c r="AC43" s="70" t="s">
        <v>2</v>
      </c>
      <c r="AD43" s="66" t="s">
        <v>2</v>
      </c>
      <c r="AE43" s="66" t="s">
        <v>2</v>
      </c>
      <c r="AF43" s="15" t="s">
        <v>2</v>
      </c>
      <c r="AG43" s="19" t="s">
        <v>2</v>
      </c>
      <c r="AH43" s="163" t="s">
        <v>2</v>
      </c>
      <c r="AI43" s="66" t="s">
        <v>2</v>
      </c>
      <c r="AJ43" s="15" t="s">
        <v>2</v>
      </c>
      <c r="AK43" s="15" t="s">
        <v>2</v>
      </c>
      <c r="AL43" s="19" t="s">
        <v>2</v>
      </c>
      <c r="AM43" s="151">
        <v>0</v>
      </c>
      <c r="AN43" s="66">
        <v>0</v>
      </c>
      <c r="AO43" s="67">
        <v>0</v>
      </c>
      <c r="AP43" s="15" t="s">
        <v>2</v>
      </c>
      <c r="AQ43" s="70" t="s">
        <v>2</v>
      </c>
      <c r="AR43" s="70" t="s">
        <v>2</v>
      </c>
      <c r="AS43" s="70" t="s">
        <v>2</v>
      </c>
      <c r="AT43" s="70" t="s">
        <v>2</v>
      </c>
      <c r="AU43" s="70" t="s">
        <v>2</v>
      </c>
      <c r="AV43" s="70" t="s">
        <v>2</v>
      </c>
      <c r="AW43" s="27" t="s">
        <v>2</v>
      </c>
      <c r="AX43" s="70" t="s">
        <v>2</v>
      </c>
      <c r="AY43" s="70" t="s">
        <v>2</v>
      </c>
      <c r="AZ43" s="78" t="s">
        <v>2</v>
      </c>
      <c r="BA43" s="27" t="s">
        <v>2</v>
      </c>
      <c r="BB43" s="70" t="s">
        <v>2</v>
      </c>
      <c r="BC43" s="70" t="s">
        <v>2</v>
      </c>
      <c r="BD43" s="70" t="s">
        <v>2</v>
      </c>
      <c r="BE43" s="70" t="s">
        <v>2</v>
      </c>
      <c r="BF43" s="78" t="s">
        <v>2</v>
      </c>
      <c r="BG43" s="18" t="s">
        <v>2</v>
      </c>
      <c r="BH43" s="18" t="s">
        <v>2</v>
      </c>
      <c r="BI43" s="151" t="s">
        <v>2</v>
      </c>
      <c r="BJ43" s="66" t="s">
        <v>2</v>
      </c>
      <c r="BK43" s="66" t="s">
        <v>2</v>
      </c>
      <c r="BL43" s="66" t="s">
        <v>2</v>
      </c>
      <c r="BM43" s="66" t="s">
        <v>2</v>
      </c>
      <c r="BN43" s="66" t="s">
        <v>2</v>
      </c>
      <c r="BO43" s="66" t="s">
        <v>2</v>
      </c>
      <c r="BP43" s="66" t="s">
        <v>2</v>
      </c>
      <c r="BQ43" s="66" t="s">
        <v>2</v>
      </c>
      <c r="BR43" s="66" t="s">
        <v>2</v>
      </c>
      <c r="BS43" s="66" t="s">
        <v>2</v>
      </c>
      <c r="BT43" s="66" t="s">
        <v>2</v>
      </c>
      <c r="BU43" s="66" t="s">
        <v>2</v>
      </c>
      <c r="BV43" s="66" t="s">
        <v>2</v>
      </c>
      <c r="BW43" s="66" t="s">
        <v>2</v>
      </c>
      <c r="BX43" s="66" t="s">
        <v>2</v>
      </c>
      <c r="BY43" s="66" t="s">
        <v>2</v>
      </c>
      <c r="BZ43" s="67" t="s">
        <v>2</v>
      </c>
      <c r="CA43" s="27">
        <v>0</v>
      </c>
      <c r="CB43" s="15">
        <v>0</v>
      </c>
      <c r="CC43" s="15">
        <v>0</v>
      </c>
      <c r="CD43" s="15">
        <v>0</v>
      </c>
      <c r="CE43" s="15">
        <v>0</v>
      </c>
      <c r="CF43" s="15">
        <v>0</v>
      </c>
      <c r="CG43" s="19">
        <v>0</v>
      </c>
      <c r="CH43" s="66">
        <v>0</v>
      </c>
      <c r="CI43" s="67">
        <v>0</v>
      </c>
      <c r="CJ43" s="66">
        <v>0</v>
      </c>
      <c r="CK43" s="66">
        <v>0</v>
      </c>
      <c r="CL43" s="66">
        <v>0</v>
      </c>
      <c r="CM43" s="67">
        <v>0</v>
      </c>
      <c r="CN43" s="163" t="s">
        <v>2</v>
      </c>
      <c r="CO43" s="67" t="s">
        <v>2</v>
      </c>
    </row>
    <row r="44" spans="1:93" ht="16.5" thickTop="1" x14ac:dyDescent="0.25"/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O159"/>
  <sheetViews>
    <sheetView zoomScaleNormal="100" workbookViewId="0">
      <selection sqref="A1:XFD2"/>
    </sheetView>
  </sheetViews>
  <sheetFormatPr defaultColWidth="9.140625" defaultRowHeight="15.75" x14ac:dyDescent="0.25"/>
  <cols>
    <col min="1" max="1" width="15.42578125" style="58" customWidth="1"/>
    <col min="2" max="2" width="32.42578125" style="12" customWidth="1"/>
    <col min="3" max="3" width="62.85546875" style="12" customWidth="1"/>
    <col min="4" max="4" width="16.85546875" style="293" customWidth="1"/>
    <col min="5" max="5" width="7.85546875" style="12" bestFit="1" customWidth="1"/>
    <col min="6" max="6" width="11.42578125" style="12" bestFit="1" customWidth="1"/>
    <col min="7" max="7" width="8.7109375" style="12" bestFit="1" customWidth="1"/>
    <col min="8" max="8" width="7.5703125" style="12" bestFit="1" customWidth="1"/>
    <col min="9" max="9" width="10.140625" style="12" bestFit="1" customWidth="1"/>
    <col min="10" max="10" width="9.5703125" style="12" bestFit="1" customWidth="1"/>
    <col min="11" max="11" width="15.140625" style="12" bestFit="1" customWidth="1"/>
    <col min="12" max="12" width="8.140625" style="12" bestFit="1" customWidth="1"/>
    <col min="13" max="13" width="5.5703125" style="12" bestFit="1" customWidth="1"/>
    <col min="14" max="14" width="8" style="12" customWidth="1"/>
    <col min="15" max="15" width="12.5703125" style="12" bestFit="1" customWidth="1"/>
    <col min="16" max="16" width="5.5703125" style="12" bestFit="1" customWidth="1"/>
    <col min="17" max="17" width="5.7109375" style="12" bestFit="1" customWidth="1"/>
    <col min="18" max="18" width="7.85546875" style="12" bestFit="1" customWidth="1"/>
    <col min="19" max="19" width="10" style="12" bestFit="1" customWidth="1"/>
    <col min="20" max="21" width="11.140625" style="12" bestFit="1" customWidth="1"/>
    <col min="22" max="22" width="9.85546875" style="12" bestFit="1" customWidth="1"/>
    <col min="23" max="23" width="9" style="12" bestFit="1" customWidth="1"/>
    <col min="24" max="24" width="13.42578125" style="12" bestFit="1" customWidth="1"/>
    <col min="25" max="27" width="11" style="12" bestFit="1" customWidth="1"/>
    <col min="28" max="28" width="15.5703125" style="12" bestFit="1" customWidth="1"/>
    <col min="29" max="29" width="11" style="12" bestFit="1" customWidth="1"/>
    <col min="30" max="30" width="6.7109375" style="12" bestFit="1" customWidth="1"/>
    <col min="31" max="31" width="11" style="12" bestFit="1" customWidth="1"/>
    <col min="32" max="32" width="10" style="12" bestFit="1" customWidth="1"/>
    <col min="33" max="33" width="16.85546875" style="38" bestFit="1" customWidth="1"/>
    <col min="34" max="34" width="7.28515625" style="12" bestFit="1" customWidth="1"/>
    <col min="35" max="35" width="15.28515625" style="12" bestFit="1" customWidth="1"/>
    <col min="36" max="36" width="9.85546875" style="12" bestFit="1" customWidth="1"/>
    <col min="37" max="37" width="16.7109375" style="12" bestFit="1" customWidth="1"/>
    <col min="38" max="38" width="13.42578125" style="38" bestFit="1" customWidth="1"/>
    <col min="39" max="39" width="12.85546875" style="12" bestFit="1" customWidth="1"/>
    <col min="40" max="40" width="14.140625" style="12" bestFit="1" customWidth="1"/>
    <col min="41" max="41" width="17.7109375" style="12" bestFit="1" customWidth="1"/>
    <col min="42" max="42" width="23" style="12" bestFit="1" customWidth="1"/>
    <col min="43" max="43" width="8" style="12" bestFit="1" customWidth="1"/>
    <col min="44" max="44" width="9.140625" style="12" bestFit="1" customWidth="1"/>
    <col min="45" max="45" width="7.28515625" style="12" bestFit="1" customWidth="1"/>
    <col min="46" max="46" width="9.5703125" style="12" bestFit="1" customWidth="1"/>
    <col min="47" max="47" width="8.140625" style="12" bestFit="1" customWidth="1"/>
    <col min="48" max="48" width="10.28515625" style="12" bestFit="1" customWidth="1"/>
    <col min="49" max="49" width="33.28515625" style="12" bestFit="1" customWidth="1"/>
    <col min="50" max="50" width="10.85546875" style="12" bestFit="1" customWidth="1"/>
    <col min="51" max="51" width="10.5703125" style="12" bestFit="1" customWidth="1"/>
    <col min="52" max="52" width="9.85546875" style="12" bestFit="1" customWidth="1"/>
    <col min="53" max="53" width="35.28515625" style="12" bestFit="1" customWidth="1"/>
    <col min="54" max="54" width="9.85546875" style="12" bestFit="1" customWidth="1"/>
    <col min="55" max="55" width="9.5703125" style="12" bestFit="1" customWidth="1"/>
    <col min="56" max="56" width="11.85546875" style="12" bestFit="1" customWidth="1"/>
    <col min="57" max="57" width="16.5703125" style="12" bestFit="1" customWidth="1"/>
    <col min="58" max="58" width="16.85546875" style="12" bestFit="1" customWidth="1"/>
    <col min="59" max="59" width="19.7109375" style="12" bestFit="1" customWidth="1"/>
    <col min="60" max="60" width="11.140625" style="12" bestFit="1" customWidth="1"/>
    <col min="61" max="61" width="7.5703125" style="12" bestFit="1" customWidth="1"/>
    <col min="62" max="62" width="9.85546875" style="12" bestFit="1" customWidth="1"/>
    <col min="63" max="63" width="11.28515625" style="12" bestFit="1" customWidth="1"/>
    <col min="64" max="64" width="11.85546875" style="12" bestFit="1" customWidth="1"/>
    <col min="65" max="65" width="8.85546875" style="12" bestFit="1" customWidth="1"/>
    <col min="66" max="66" width="7.5703125" style="12" bestFit="1" customWidth="1"/>
    <col min="67" max="67" width="8.7109375" style="12" bestFit="1" customWidth="1"/>
    <col min="68" max="68" width="8.85546875" style="12" bestFit="1" customWidth="1"/>
    <col min="69" max="69" width="7.5703125" style="12" bestFit="1" customWidth="1"/>
    <col min="70" max="72" width="7.7109375" style="12" bestFit="1" customWidth="1"/>
    <col min="73" max="73" width="7.5703125" style="12" bestFit="1" customWidth="1"/>
    <col min="74" max="74" width="12" style="12" bestFit="1" customWidth="1"/>
    <col min="75" max="75" width="13.7109375" style="12" bestFit="1" customWidth="1"/>
    <col min="76" max="76" width="7.5703125" style="12" bestFit="1" customWidth="1"/>
    <col min="77" max="77" width="8.7109375" style="12" bestFit="1" customWidth="1"/>
    <col min="78" max="78" width="7.5703125" style="12" bestFit="1" customWidth="1"/>
    <col min="79" max="79" width="14.28515625" style="12" bestFit="1" customWidth="1"/>
    <col min="80" max="80" width="9.85546875" style="12" bestFit="1" customWidth="1"/>
    <col min="81" max="81" width="8.28515625" style="12" bestFit="1" customWidth="1"/>
    <col min="82" max="82" width="8.140625" style="12" bestFit="1" customWidth="1"/>
    <col min="83" max="83" width="8.85546875" style="12" bestFit="1" customWidth="1"/>
    <col min="84" max="84" width="8.28515625" style="12" bestFit="1" customWidth="1"/>
    <col min="85" max="85" width="9.28515625" style="12" bestFit="1" customWidth="1"/>
    <col min="86" max="86" width="8.85546875" style="12" bestFit="1" customWidth="1"/>
    <col min="87" max="87" width="18.5703125" style="12" bestFit="1" customWidth="1"/>
    <col min="88" max="88" width="16.85546875" style="12" bestFit="1" customWidth="1"/>
    <col min="89" max="89" width="8.7109375" style="12" bestFit="1" customWidth="1"/>
    <col min="90" max="90" width="9.140625" style="12" bestFit="1" customWidth="1"/>
    <col min="91" max="91" width="8.140625" style="12" bestFit="1" customWidth="1"/>
    <col min="92" max="92" width="10.85546875" style="12" bestFit="1" customWidth="1"/>
    <col min="93" max="93" width="6.42578125" style="12" bestFit="1" customWidth="1"/>
    <col min="94" max="16384" width="9.140625" style="12"/>
  </cols>
  <sheetData>
    <row r="1" spans="1:93" ht="22.5" customHeight="1" x14ac:dyDescent="0.25">
      <c r="A1" s="379" t="s">
        <v>577</v>
      </c>
      <c r="B1" s="378" t="s">
        <v>1812</v>
      </c>
      <c r="C1" s="378" t="s">
        <v>1813</v>
      </c>
      <c r="D1" s="380" t="s">
        <v>1809</v>
      </c>
      <c r="E1" s="378" t="s">
        <v>0</v>
      </c>
      <c r="F1" s="378" t="s">
        <v>1810</v>
      </c>
      <c r="G1" s="377" t="s">
        <v>1811</v>
      </c>
      <c r="H1" s="195" t="s">
        <v>2024</v>
      </c>
      <c r="I1" s="195" t="s">
        <v>2025</v>
      </c>
      <c r="J1" s="195" t="s">
        <v>2026</v>
      </c>
      <c r="K1" s="195" t="s">
        <v>2027</v>
      </c>
      <c r="L1" s="195" t="s">
        <v>2028</v>
      </c>
      <c r="M1" s="195" t="s">
        <v>2029</v>
      </c>
      <c r="N1" s="195" t="s">
        <v>2030</v>
      </c>
      <c r="O1" s="195" t="s">
        <v>2031</v>
      </c>
      <c r="P1" s="195" t="s">
        <v>2032</v>
      </c>
      <c r="Q1" s="195" t="s">
        <v>2033</v>
      </c>
      <c r="R1" s="195" t="s">
        <v>2034</v>
      </c>
      <c r="S1" s="195" t="s">
        <v>2035</v>
      </c>
      <c r="T1" s="195" t="s">
        <v>2036</v>
      </c>
      <c r="U1" s="195" t="s">
        <v>2037</v>
      </c>
      <c r="V1" s="195" t="s">
        <v>2038</v>
      </c>
      <c r="W1" s="195" t="s">
        <v>2039</v>
      </c>
      <c r="X1" s="195" t="s">
        <v>2040</v>
      </c>
      <c r="Y1" s="195" t="s">
        <v>2041</v>
      </c>
      <c r="Z1" s="195" t="s">
        <v>2042</v>
      </c>
      <c r="AA1" s="195" t="s">
        <v>2043</v>
      </c>
      <c r="AB1" s="195" t="s">
        <v>2044</v>
      </c>
      <c r="AC1" s="195" t="s">
        <v>2045</v>
      </c>
      <c r="AD1" s="195" t="s">
        <v>2046</v>
      </c>
      <c r="AE1" s="195" t="s">
        <v>2047</v>
      </c>
      <c r="AF1" s="195" t="s">
        <v>2048</v>
      </c>
      <c r="AG1" s="195" t="s">
        <v>2049</v>
      </c>
      <c r="AH1" s="195" t="s">
        <v>2050</v>
      </c>
      <c r="AI1" s="195" t="s">
        <v>2051</v>
      </c>
      <c r="AJ1" s="195" t="s">
        <v>2052</v>
      </c>
      <c r="AK1" s="195" t="s">
        <v>2053</v>
      </c>
      <c r="AL1" s="195" t="s">
        <v>2054</v>
      </c>
      <c r="AM1" s="195" t="s">
        <v>2055</v>
      </c>
      <c r="AN1" s="195" t="s">
        <v>2056</v>
      </c>
      <c r="AO1" s="195" t="s">
        <v>2057</v>
      </c>
      <c r="AP1" s="195" t="s">
        <v>2058</v>
      </c>
      <c r="AQ1" s="195" t="s">
        <v>2059</v>
      </c>
      <c r="AR1" s="195" t="s">
        <v>2060</v>
      </c>
      <c r="AS1" s="195" t="s">
        <v>2061</v>
      </c>
      <c r="AT1" s="195" t="s">
        <v>2062</v>
      </c>
      <c r="AU1" s="195" t="s">
        <v>2063</v>
      </c>
      <c r="AV1" s="195" t="s">
        <v>2064</v>
      </c>
      <c r="AW1" s="195" t="s">
        <v>2065</v>
      </c>
      <c r="AX1" s="195" t="s">
        <v>2066</v>
      </c>
      <c r="AY1" s="195" t="s">
        <v>2067</v>
      </c>
      <c r="AZ1" s="195" t="s">
        <v>2068</v>
      </c>
      <c r="BA1" s="195" t="s">
        <v>2069</v>
      </c>
      <c r="BB1" s="195" t="s">
        <v>2070</v>
      </c>
      <c r="BC1" s="195" t="s">
        <v>2071</v>
      </c>
      <c r="BD1" s="195" t="s">
        <v>2072</v>
      </c>
      <c r="BE1" s="195" t="s">
        <v>2073</v>
      </c>
      <c r="BF1" s="195" t="s">
        <v>2074</v>
      </c>
      <c r="BG1" s="195" t="s">
        <v>2075</v>
      </c>
      <c r="BH1" s="195" t="s">
        <v>2076</v>
      </c>
      <c r="BI1" s="195" t="s">
        <v>2077</v>
      </c>
      <c r="BJ1" s="195" t="s">
        <v>2078</v>
      </c>
      <c r="BK1" s="195" t="s">
        <v>2079</v>
      </c>
      <c r="BL1" s="195" t="s">
        <v>2080</v>
      </c>
      <c r="BM1" s="195" t="s">
        <v>2081</v>
      </c>
      <c r="BN1" s="195" t="s">
        <v>2082</v>
      </c>
      <c r="BO1" s="195" t="s">
        <v>2083</v>
      </c>
      <c r="BP1" s="195" t="s">
        <v>2084</v>
      </c>
      <c r="BQ1" s="195" t="s">
        <v>2085</v>
      </c>
      <c r="BR1" s="195" t="s">
        <v>2086</v>
      </c>
      <c r="BS1" s="195" t="s">
        <v>2087</v>
      </c>
      <c r="BT1" s="195" t="s">
        <v>2088</v>
      </c>
      <c r="BU1" s="195" t="s">
        <v>2089</v>
      </c>
      <c r="BV1" s="195" t="s">
        <v>2090</v>
      </c>
      <c r="BW1" s="195" t="s">
        <v>2091</v>
      </c>
      <c r="BX1" s="195" t="s">
        <v>2092</v>
      </c>
      <c r="BY1" s="195" t="s">
        <v>2093</v>
      </c>
      <c r="BZ1" s="195" t="s">
        <v>2094</v>
      </c>
      <c r="CA1" s="195" t="s">
        <v>2095</v>
      </c>
      <c r="CB1" s="195" t="s">
        <v>2096</v>
      </c>
      <c r="CC1" s="195" t="s">
        <v>2097</v>
      </c>
      <c r="CD1" s="195" t="s">
        <v>2098</v>
      </c>
      <c r="CE1" s="195" t="s">
        <v>2099</v>
      </c>
      <c r="CF1" s="195" t="s">
        <v>2100</v>
      </c>
      <c r="CG1" s="195" t="s">
        <v>2101</v>
      </c>
      <c r="CH1" s="195" t="s">
        <v>2102</v>
      </c>
      <c r="CI1" s="195" t="s">
        <v>2103</v>
      </c>
      <c r="CJ1" s="195" t="s">
        <v>2104</v>
      </c>
      <c r="CK1" s="195" t="s">
        <v>2105</v>
      </c>
      <c r="CL1" s="195" t="s">
        <v>2106</v>
      </c>
      <c r="CM1" s="195" t="s">
        <v>2107</v>
      </c>
      <c r="CN1" s="195" t="s">
        <v>2108</v>
      </c>
      <c r="CO1" s="195" t="s">
        <v>2109</v>
      </c>
    </row>
    <row r="2" spans="1:93" s="286" customFormat="1" ht="2.25" customHeight="1" x14ac:dyDescent="0.25">
      <c r="A2" s="379"/>
      <c r="B2" s="378"/>
      <c r="C2" s="378"/>
      <c r="D2" s="380"/>
      <c r="E2" s="378"/>
      <c r="F2" s="378"/>
      <c r="G2" s="378"/>
      <c r="H2" s="372">
        <v>1</v>
      </c>
      <c r="I2" s="372">
        <v>2</v>
      </c>
      <c r="J2" s="286">
        <v>3</v>
      </c>
      <c r="K2" s="286">
        <v>4</v>
      </c>
      <c r="L2" s="286">
        <v>5</v>
      </c>
      <c r="M2" s="286">
        <v>6</v>
      </c>
      <c r="N2" s="286">
        <v>14</v>
      </c>
      <c r="O2" s="286">
        <v>18</v>
      </c>
      <c r="P2" s="286">
        <v>15</v>
      </c>
      <c r="Q2" s="286">
        <v>21</v>
      </c>
      <c r="R2" s="286">
        <v>20</v>
      </c>
      <c r="S2" s="286">
        <v>19</v>
      </c>
      <c r="T2" s="286">
        <v>16</v>
      </c>
      <c r="U2" s="286">
        <v>17</v>
      </c>
      <c r="V2" s="286">
        <v>22</v>
      </c>
      <c r="W2" s="286">
        <v>23</v>
      </c>
      <c r="X2" s="286">
        <v>24</v>
      </c>
      <c r="Y2" s="286">
        <v>25</v>
      </c>
      <c r="Z2" s="286">
        <v>26</v>
      </c>
      <c r="AA2" s="286">
        <v>27</v>
      </c>
      <c r="AB2" s="286">
        <v>28</v>
      </c>
      <c r="AC2" s="286">
        <v>29</v>
      </c>
      <c r="AD2" s="286">
        <v>30</v>
      </c>
      <c r="AE2" s="286">
        <v>31</v>
      </c>
      <c r="AF2" s="286">
        <v>32</v>
      </c>
      <c r="AG2" s="286">
        <v>33</v>
      </c>
      <c r="AH2" s="286">
        <v>86</v>
      </c>
      <c r="AI2" s="286">
        <v>34</v>
      </c>
      <c r="AJ2" s="286">
        <v>35</v>
      </c>
      <c r="AK2" s="286">
        <v>36</v>
      </c>
      <c r="AL2" s="286">
        <v>37</v>
      </c>
      <c r="AM2" s="286">
        <v>38</v>
      </c>
      <c r="AN2" s="286">
        <v>39</v>
      </c>
      <c r="AO2" s="286">
        <v>40</v>
      </c>
      <c r="AP2" s="286">
        <v>48</v>
      </c>
      <c r="AQ2" s="286">
        <v>49</v>
      </c>
      <c r="AR2" s="286">
        <v>50</v>
      </c>
      <c r="AS2" s="286">
        <v>51</v>
      </c>
      <c r="AT2" s="286">
        <v>52</v>
      </c>
      <c r="AU2" s="286">
        <v>53</v>
      </c>
      <c r="AV2" s="286">
        <v>54</v>
      </c>
      <c r="AW2" s="286">
        <v>55</v>
      </c>
      <c r="AX2" s="286">
        <v>56</v>
      </c>
      <c r="AY2" s="286">
        <v>57</v>
      </c>
      <c r="AZ2" s="286">
        <v>58</v>
      </c>
      <c r="BA2" s="286">
        <v>59</v>
      </c>
      <c r="BB2" s="286">
        <v>60</v>
      </c>
      <c r="BC2" s="286">
        <v>61</v>
      </c>
      <c r="BD2" s="286">
        <v>62</v>
      </c>
      <c r="BE2" s="286">
        <v>63</v>
      </c>
      <c r="BF2" s="286">
        <v>64</v>
      </c>
      <c r="BG2" s="286">
        <v>65</v>
      </c>
      <c r="BH2" s="286">
        <v>66</v>
      </c>
      <c r="BI2" s="286">
        <v>68</v>
      </c>
      <c r="BJ2" s="286">
        <v>69</v>
      </c>
      <c r="BK2" s="286">
        <v>70</v>
      </c>
      <c r="BL2" s="286">
        <v>71</v>
      </c>
      <c r="BM2" s="286">
        <v>72</v>
      </c>
      <c r="BN2" s="286">
        <v>73</v>
      </c>
      <c r="BO2" s="286">
        <v>74</v>
      </c>
      <c r="BP2" s="286">
        <v>75</v>
      </c>
      <c r="BQ2" s="286">
        <v>76</v>
      </c>
      <c r="BR2" s="286">
        <v>77</v>
      </c>
      <c r="BS2" s="286">
        <v>78</v>
      </c>
      <c r="BT2" s="286">
        <v>79</v>
      </c>
      <c r="BU2" s="286">
        <v>80</v>
      </c>
      <c r="BV2" s="286">
        <v>81</v>
      </c>
      <c r="BW2" s="286">
        <v>82</v>
      </c>
      <c r="BX2" s="286">
        <v>83</v>
      </c>
      <c r="BY2" s="286">
        <v>84</v>
      </c>
      <c r="BZ2" s="286">
        <v>85</v>
      </c>
      <c r="CA2" s="286">
        <v>7</v>
      </c>
      <c r="CB2" s="286">
        <v>8</v>
      </c>
      <c r="CC2" s="286">
        <v>9</v>
      </c>
      <c r="CD2" s="286">
        <v>10</v>
      </c>
      <c r="CE2" s="286">
        <v>11</v>
      </c>
      <c r="CF2" s="286">
        <v>12</v>
      </c>
      <c r="CG2" s="286">
        <v>13</v>
      </c>
      <c r="CH2" s="286">
        <v>41</v>
      </c>
      <c r="CI2" s="286">
        <v>42</v>
      </c>
      <c r="CJ2" s="286">
        <v>44</v>
      </c>
      <c r="CK2" s="286">
        <v>45</v>
      </c>
      <c r="CL2" s="286">
        <v>46</v>
      </c>
      <c r="CM2" s="286">
        <v>47</v>
      </c>
      <c r="CN2" s="286">
        <v>67</v>
      </c>
      <c r="CO2" s="286">
        <v>43</v>
      </c>
    </row>
    <row r="3" spans="1:93" s="13" customFormat="1" x14ac:dyDescent="0.25">
      <c r="A3" s="155" t="s">
        <v>1365</v>
      </c>
      <c r="B3" s="55" t="s">
        <v>370</v>
      </c>
      <c r="C3" s="10" t="s">
        <v>1366</v>
      </c>
      <c r="D3" s="291">
        <v>7</v>
      </c>
      <c r="E3" s="11">
        <v>2</v>
      </c>
      <c r="F3" s="156">
        <v>85</v>
      </c>
      <c r="G3" s="65">
        <v>354</v>
      </c>
      <c r="H3" s="68">
        <v>78.2</v>
      </c>
      <c r="I3" s="3">
        <v>20</v>
      </c>
      <c r="J3" s="3">
        <v>0.5</v>
      </c>
      <c r="K3" s="3">
        <v>0</v>
      </c>
      <c r="L3" s="3">
        <v>0</v>
      </c>
      <c r="M3" s="7">
        <v>1.3</v>
      </c>
      <c r="N3" s="65">
        <v>8</v>
      </c>
      <c r="O3" s="65">
        <v>176</v>
      </c>
      <c r="P3" s="3">
        <v>1.7</v>
      </c>
      <c r="Q3" s="3">
        <v>2.73</v>
      </c>
      <c r="R3" s="65">
        <v>80</v>
      </c>
      <c r="S3" s="65">
        <v>348</v>
      </c>
      <c r="T3" s="65">
        <v>26</v>
      </c>
      <c r="U3" s="61">
        <v>2.9000000000000001E-2</v>
      </c>
      <c r="V3" s="61">
        <v>116</v>
      </c>
      <c r="W3" s="7">
        <v>8.6999999999999993</v>
      </c>
      <c r="X3" s="3">
        <v>2</v>
      </c>
      <c r="Y3" s="61">
        <v>0.23</v>
      </c>
      <c r="Z3" s="61">
        <v>0.25</v>
      </c>
      <c r="AA3" s="61">
        <v>6.2</v>
      </c>
      <c r="AB3" s="61">
        <v>1.45</v>
      </c>
      <c r="AC3" s="61">
        <v>0.52</v>
      </c>
      <c r="AD3" s="65">
        <v>14</v>
      </c>
      <c r="AE3" s="65" t="s">
        <v>2</v>
      </c>
      <c r="AF3" s="3">
        <v>0</v>
      </c>
      <c r="AG3" s="7">
        <v>1.34</v>
      </c>
      <c r="AH3" s="162">
        <v>0</v>
      </c>
      <c r="AI3" s="65">
        <v>0</v>
      </c>
      <c r="AJ3" s="3" t="s">
        <v>2</v>
      </c>
      <c r="AK3" s="3">
        <v>0.25</v>
      </c>
      <c r="AL3" s="7" t="s">
        <v>2</v>
      </c>
      <c r="AM3" s="65">
        <v>0</v>
      </c>
      <c r="AN3" s="65">
        <v>0</v>
      </c>
      <c r="AO3" s="59">
        <v>0</v>
      </c>
      <c r="AP3" s="3">
        <v>0.78</v>
      </c>
      <c r="AQ3" s="61" t="s">
        <v>371</v>
      </c>
      <c r="AR3" s="61" t="s">
        <v>367</v>
      </c>
      <c r="AS3" s="61" t="s">
        <v>372</v>
      </c>
      <c r="AT3" s="61" t="s">
        <v>367</v>
      </c>
      <c r="AU3" s="61" t="s">
        <v>367</v>
      </c>
      <c r="AV3" s="62" t="s">
        <v>367</v>
      </c>
      <c r="AW3" s="3">
        <v>0.83</v>
      </c>
      <c r="AX3" s="61" t="s">
        <v>367</v>
      </c>
      <c r="AY3" s="61" t="s">
        <v>374</v>
      </c>
      <c r="AZ3" s="62" t="s">
        <v>375</v>
      </c>
      <c r="BA3" s="3">
        <v>0.27</v>
      </c>
      <c r="BB3" s="61" t="s">
        <v>376</v>
      </c>
      <c r="BC3" s="61" t="s">
        <v>172</v>
      </c>
      <c r="BD3" s="61">
        <v>7.0000000000000007E-2</v>
      </c>
      <c r="BE3" s="61" t="s">
        <v>367</v>
      </c>
      <c r="BF3" s="62" t="s">
        <v>367</v>
      </c>
      <c r="BG3" s="23" t="s">
        <v>2</v>
      </c>
      <c r="BH3" s="11">
        <v>79</v>
      </c>
      <c r="BI3" s="65">
        <v>1560.5</v>
      </c>
      <c r="BJ3" s="65">
        <v>478</v>
      </c>
      <c r="BK3" s="65">
        <v>201</v>
      </c>
      <c r="BL3" s="65">
        <v>764</v>
      </c>
      <c r="BM3" s="65">
        <v>796</v>
      </c>
      <c r="BN3" s="65">
        <v>987</v>
      </c>
      <c r="BO3" s="65">
        <v>1496</v>
      </c>
      <c r="BP3" s="65">
        <v>955</v>
      </c>
      <c r="BQ3" s="65">
        <v>1242</v>
      </c>
      <c r="BR3" s="65">
        <v>637</v>
      </c>
      <c r="BS3" s="65">
        <v>159</v>
      </c>
      <c r="BT3" s="65">
        <v>669</v>
      </c>
      <c r="BU3" s="65">
        <v>1146</v>
      </c>
      <c r="BV3" s="65">
        <v>1751</v>
      </c>
      <c r="BW3" s="65">
        <v>2675</v>
      </c>
      <c r="BX3" s="65">
        <v>1019</v>
      </c>
      <c r="BY3" s="65">
        <v>860</v>
      </c>
      <c r="BZ3" s="59">
        <v>796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7">
        <v>0</v>
      </c>
      <c r="CH3" s="65">
        <v>0</v>
      </c>
      <c r="CI3" s="59">
        <v>0</v>
      </c>
      <c r="CJ3" s="65">
        <v>0</v>
      </c>
      <c r="CK3" s="65">
        <v>0</v>
      </c>
      <c r="CL3" s="65">
        <v>0</v>
      </c>
      <c r="CM3" s="59">
        <v>0</v>
      </c>
      <c r="CN3" s="156">
        <v>0</v>
      </c>
      <c r="CO3" s="156">
        <v>172</v>
      </c>
    </row>
    <row r="4" spans="1:93" s="13" customFormat="1" x14ac:dyDescent="0.25">
      <c r="A4" s="155" t="s">
        <v>1367</v>
      </c>
      <c r="B4" s="55" t="s">
        <v>377</v>
      </c>
      <c r="C4" s="10" t="s">
        <v>1368</v>
      </c>
      <c r="D4" s="291">
        <v>7</v>
      </c>
      <c r="E4" s="11">
        <v>2</v>
      </c>
      <c r="F4" s="156">
        <v>118</v>
      </c>
      <c r="G4" s="65">
        <v>495</v>
      </c>
      <c r="H4" s="68">
        <v>74.099999999999994</v>
      </c>
      <c r="I4" s="3">
        <v>21</v>
      </c>
      <c r="J4" s="3">
        <v>3.8</v>
      </c>
      <c r="K4" s="3">
        <v>0</v>
      </c>
      <c r="L4" s="3">
        <v>0</v>
      </c>
      <c r="M4" s="7">
        <v>1.1000000000000001</v>
      </c>
      <c r="N4" s="65">
        <v>12</v>
      </c>
      <c r="O4" s="65">
        <v>226</v>
      </c>
      <c r="P4" s="3">
        <v>3.1</v>
      </c>
      <c r="Q4" s="3">
        <v>2.2000000000000002</v>
      </c>
      <c r="R4" s="65">
        <v>83</v>
      </c>
      <c r="S4" s="65">
        <v>378</v>
      </c>
      <c r="T4" s="65">
        <v>28</v>
      </c>
      <c r="U4" s="61" t="s">
        <v>2</v>
      </c>
      <c r="V4" s="61">
        <v>160</v>
      </c>
      <c r="W4" s="7" t="s">
        <v>2</v>
      </c>
      <c r="X4" s="3">
        <v>1</v>
      </c>
      <c r="Y4" s="61">
        <v>0.1</v>
      </c>
      <c r="Z4" s="61">
        <v>0.17</v>
      </c>
      <c r="AA4" s="61">
        <v>4.2</v>
      </c>
      <c r="AB4" s="61" t="s">
        <v>2</v>
      </c>
      <c r="AC4" s="61" t="s">
        <v>2</v>
      </c>
      <c r="AD4" s="65" t="s">
        <v>2</v>
      </c>
      <c r="AE4" s="65" t="s">
        <v>2</v>
      </c>
      <c r="AF4" s="3" t="s">
        <v>2</v>
      </c>
      <c r="AG4" s="7" t="s">
        <v>2</v>
      </c>
      <c r="AH4" s="162">
        <v>12</v>
      </c>
      <c r="AI4" s="65">
        <v>12</v>
      </c>
      <c r="AJ4" s="3" t="s">
        <v>2</v>
      </c>
      <c r="AK4" s="3" t="s">
        <v>2</v>
      </c>
      <c r="AL4" s="7" t="s">
        <v>2</v>
      </c>
      <c r="AM4" s="65">
        <v>0</v>
      </c>
      <c r="AN4" s="65">
        <v>0</v>
      </c>
      <c r="AO4" s="59">
        <v>0</v>
      </c>
      <c r="AP4" s="3" t="s">
        <v>2</v>
      </c>
      <c r="AQ4" s="61" t="s">
        <v>378</v>
      </c>
      <c r="AR4" s="61" t="s">
        <v>2</v>
      </c>
      <c r="AS4" s="61" t="s">
        <v>379</v>
      </c>
      <c r="AT4" s="61" t="s">
        <v>2</v>
      </c>
      <c r="AU4" s="61" t="s">
        <v>2</v>
      </c>
      <c r="AV4" s="62" t="s">
        <v>2</v>
      </c>
      <c r="AW4" s="3" t="s">
        <v>2</v>
      </c>
      <c r="AX4" s="61" t="s">
        <v>2</v>
      </c>
      <c r="AY4" s="61" t="s">
        <v>2</v>
      </c>
      <c r="AZ4" s="62" t="s">
        <v>2</v>
      </c>
      <c r="BA4" s="3" t="s">
        <v>2</v>
      </c>
      <c r="BB4" s="61" t="s">
        <v>380</v>
      </c>
      <c r="BC4" s="61" t="s">
        <v>381</v>
      </c>
      <c r="BD4" s="61" t="s">
        <v>2</v>
      </c>
      <c r="BE4" s="61" t="s">
        <v>2</v>
      </c>
      <c r="BF4" s="61" t="s">
        <v>2</v>
      </c>
      <c r="BG4" s="23" t="s">
        <v>2</v>
      </c>
      <c r="BH4" s="11">
        <v>59</v>
      </c>
      <c r="BI4" s="65">
        <v>1860</v>
      </c>
      <c r="BJ4" s="65">
        <v>564</v>
      </c>
      <c r="BK4" s="65">
        <v>234</v>
      </c>
      <c r="BL4" s="65">
        <v>920</v>
      </c>
      <c r="BM4" s="65">
        <v>959</v>
      </c>
      <c r="BN4" s="65">
        <v>1047</v>
      </c>
      <c r="BO4" s="65">
        <v>1695</v>
      </c>
      <c r="BP4" s="65">
        <v>1005</v>
      </c>
      <c r="BQ4" s="65">
        <v>1321</v>
      </c>
      <c r="BR4" s="65">
        <v>713</v>
      </c>
      <c r="BS4" s="65">
        <v>268</v>
      </c>
      <c r="BT4" s="65">
        <v>752</v>
      </c>
      <c r="BU4" s="65">
        <v>1221</v>
      </c>
      <c r="BV4" s="65">
        <v>179</v>
      </c>
      <c r="BW4" s="65">
        <v>3194</v>
      </c>
      <c r="BX4" s="65">
        <v>1016</v>
      </c>
      <c r="BY4" s="65">
        <v>790</v>
      </c>
      <c r="BZ4" s="59">
        <v>842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7">
        <v>0</v>
      </c>
      <c r="CH4" s="65">
        <v>0</v>
      </c>
      <c r="CI4" s="59">
        <v>0</v>
      </c>
      <c r="CJ4" s="65">
        <v>0</v>
      </c>
      <c r="CK4" s="65">
        <v>0</v>
      </c>
      <c r="CL4" s="65">
        <v>0</v>
      </c>
      <c r="CM4" s="59">
        <v>0</v>
      </c>
      <c r="CN4" s="156">
        <v>0</v>
      </c>
      <c r="CO4" s="156" t="s">
        <v>2</v>
      </c>
    </row>
    <row r="5" spans="1:93" s="13" customFormat="1" x14ac:dyDescent="0.25">
      <c r="A5" s="155" t="s">
        <v>1369</v>
      </c>
      <c r="B5" s="55" t="s">
        <v>382</v>
      </c>
      <c r="C5" s="10" t="s">
        <v>1370</v>
      </c>
      <c r="D5" s="291">
        <v>7</v>
      </c>
      <c r="E5" s="11">
        <v>2</v>
      </c>
      <c r="F5" s="156">
        <v>167</v>
      </c>
      <c r="G5" s="65">
        <v>697</v>
      </c>
      <c r="H5" s="68">
        <v>70.5</v>
      </c>
      <c r="I5" s="3">
        <v>18</v>
      </c>
      <c r="J5" s="3">
        <v>10.5</v>
      </c>
      <c r="K5" s="3">
        <v>0</v>
      </c>
      <c r="L5" s="3" t="s">
        <v>366</v>
      </c>
      <c r="M5" s="7">
        <v>1</v>
      </c>
      <c r="N5" s="65">
        <v>10</v>
      </c>
      <c r="O5" s="65">
        <v>194</v>
      </c>
      <c r="P5" s="3">
        <v>2.7</v>
      </c>
      <c r="Q5" s="3" t="s">
        <v>2</v>
      </c>
      <c r="R5" s="65" t="s">
        <v>2</v>
      </c>
      <c r="S5" s="65" t="s">
        <v>2</v>
      </c>
      <c r="T5" s="65" t="s">
        <v>2</v>
      </c>
      <c r="U5" s="61" t="s">
        <v>2</v>
      </c>
      <c r="V5" s="61" t="s">
        <v>2</v>
      </c>
      <c r="W5" s="7" t="s">
        <v>2</v>
      </c>
      <c r="X5" s="3">
        <v>1</v>
      </c>
      <c r="Y5" s="61">
        <v>0.1</v>
      </c>
      <c r="Z5" s="61">
        <v>0.17</v>
      </c>
      <c r="AA5" s="61">
        <v>4.2</v>
      </c>
      <c r="AB5" s="61" t="s">
        <v>2</v>
      </c>
      <c r="AC5" s="61" t="s">
        <v>2</v>
      </c>
      <c r="AD5" s="65" t="s">
        <v>2</v>
      </c>
      <c r="AE5" s="65" t="s">
        <v>2</v>
      </c>
      <c r="AF5" s="3" t="s">
        <v>2</v>
      </c>
      <c r="AG5" s="7" t="s">
        <v>2</v>
      </c>
      <c r="AH5" s="162">
        <v>2</v>
      </c>
      <c r="AI5" s="65">
        <v>2</v>
      </c>
      <c r="AJ5" s="3" t="s">
        <v>2</v>
      </c>
      <c r="AK5" s="3" t="s">
        <v>2</v>
      </c>
      <c r="AL5" s="7" t="s">
        <v>2</v>
      </c>
      <c r="AM5" s="65">
        <v>0</v>
      </c>
      <c r="AN5" s="65">
        <v>0</v>
      </c>
      <c r="AO5" s="59">
        <v>0</v>
      </c>
      <c r="AP5" s="3" t="s">
        <v>2</v>
      </c>
      <c r="AQ5" s="61" t="s">
        <v>2</v>
      </c>
      <c r="AR5" s="61" t="s">
        <v>2</v>
      </c>
      <c r="AS5" s="61" t="s">
        <v>2</v>
      </c>
      <c r="AT5" s="61" t="s">
        <v>2</v>
      </c>
      <c r="AU5" s="61" t="s">
        <v>2</v>
      </c>
      <c r="AV5" s="62" t="s">
        <v>2</v>
      </c>
      <c r="AW5" s="3" t="s">
        <v>2</v>
      </c>
      <c r="AX5" s="61" t="s">
        <v>2</v>
      </c>
      <c r="AY5" s="61" t="s">
        <v>2</v>
      </c>
      <c r="AZ5" s="62" t="s">
        <v>2</v>
      </c>
      <c r="BA5" s="3" t="s">
        <v>2</v>
      </c>
      <c r="BB5" s="61" t="s">
        <v>2</v>
      </c>
      <c r="BC5" s="61" t="s">
        <v>2</v>
      </c>
      <c r="BD5" s="61" t="s">
        <v>2</v>
      </c>
      <c r="BE5" s="61" t="s">
        <v>2</v>
      </c>
      <c r="BF5" s="61" t="s">
        <v>2</v>
      </c>
      <c r="BG5" s="23" t="s">
        <v>2</v>
      </c>
      <c r="BH5" s="7" t="s">
        <v>2</v>
      </c>
      <c r="BI5" s="65">
        <v>1557</v>
      </c>
      <c r="BJ5" s="65">
        <v>456</v>
      </c>
      <c r="BK5" s="65">
        <v>184</v>
      </c>
      <c r="BL5" s="65">
        <v>770</v>
      </c>
      <c r="BM5" s="65">
        <v>809</v>
      </c>
      <c r="BN5" s="65">
        <v>889</v>
      </c>
      <c r="BO5" s="65">
        <v>1419</v>
      </c>
      <c r="BP5" s="65">
        <v>833</v>
      </c>
      <c r="BQ5" s="65">
        <v>1246</v>
      </c>
      <c r="BR5" s="65">
        <v>580</v>
      </c>
      <c r="BS5" s="65">
        <v>208</v>
      </c>
      <c r="BT5" s="65">
        <v>595</v>
      </c>
      <c r="BU5" s="65">
        <v>1181</v>
      </c>
      <c r="BV5" s="65">
        <v>1633</v>
      </c>
      <c r="BW5" s="65">
        <v>2773</v>
      </c>
      <c r="BX5" s="65">
        <v>1484</v>
      </c>
      <c r="BY5" s="65">
        <v>982</v>
      </c>
      <c r="BZ5" s="59">
        <v>740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7">
        <v>0</v>
      </c>
      <c r="CH5" s="65">
        <v>0</v>
      </c>
      <c r="CI5" s="59">
        <v>0</v>
      </c>
      <c r="CJ5" s="65">
        <v>0</v>
      </c>
      <c r="CK5" s="65">
        <v>0</v>
      </c>
      <c r="CL5" s="65">
        <v>0</v>
      </c>
      <c r="CM5" s="59">
        <v>0</v>
      </c>
      <c r="CN5" s="156">
        <v>0</v>
      </c>
      <c r="CO5" s="156" t="s">
        <v>2</v>
      </c>
    </row>
    <row r="6" spans="1:93" s="13" customFormat="1" x14ac:dyDescent="0.25">
      <c r="A6" s="155" t="s">
        <v>1371</v>
      </c>
      <c r="B6" s="55" t="s">
        <v>383</v>
      </c>
      <c r="C6" s="10" t="s">
        <v>1372</v>
      </c>
      <c r="D6" s="291">
        <v>7</v>
      </c>
      <c r="E6" s="11">
        <v>2</v>
      </c>
      <c r="F6" s="156">
        <v>121</v>
      </c>
      <c r="G6" s="65">
        <v>506</v>
      </c>
      <c r="H6" s="68">
        <v>72.7</v>
      </c>
      <c r="I6" s="3">
        <v>23.07</v>
      </c>
      <c r="J6" s="3">
        <v>3.16</v>
      </c>
      <c r="K6" s="3">
        <v>0.1</v>
      </c>
      <c r="L6" s="3" t="s">
        <v>366</v>
      </c>
      <c r="M6" s="7">
        <v>0.99</v>
      </c>
      <c r="N6" s="65">
        <v>23</v>
      </c>
      <c r="O6" s="65">
        <v>214</v>
      </c>
      <c r="P6" s="3">
        <v>1.63</v>
      </c>
      <c r="Q6" s="3">
        <v>4.05</v>
      </c>
      <c r="R6" s="65">
        <v>57</v>
      </c>
      <c r="S6" s="65">
        <v>361</v>
      </c>
      <c r="T6" s="65">
        <v>24</v>
      </c>
      <c r="U6" s="61">
        <v>1.0999999999999999E-2</v>
      </c>
      <c r="V6" s="61">
        <v>78</v>
      </c>
      <c r="W6" s="7">
        <v>31.2</v>
      </c>
      <c r="X6" s="3">
        <v>0</v>
      </c>
      <c r="Y6" s="61">
        <v>0.08</v>
      </c>
      <c r="Z6" s="61">
        <v>0.12</v>
      </c>
      <c r="AA6" s="61">
        <v>6.7</v>
      </c>
      <c r="AB6" s="61">
        <v>0.67800000000000005</v>
      </c>
      <c r="AC6" s="61">
        <v>0.65100000000000002</v>
      </c>
      <c r="AD6" s="65">
        <v>13</v>
      </c>
      <c r="AE6" s="65">
        <v>0</v>
      </c>
      <c r="AF6" s="3">
        <v>0</v>
      </c>
      <c r="AG6" s="7">
        <v>0.98</v>
      </c>
      <c r="AH6" s="162">
        <v>0</v>
      </c>
      <c r="AI6" s="65">
        <v>0</v>
      </c>
      <c r="AJ6" s="3" t="s">
        <v>2</v>
      </c>
      <c r="AK6" s="3">
        <v>0.28999999999999998</v>
      </c>
      <c r="AL6" s="7">
        <v>1.2</v>
      </c>
      <c r="AM6" s="65">
        <v>0</v>
      </c>
      <c r="AN6" s="65">
        <v>0</v>
      </c>
      <c r="AO6" s="59">
        <v>0</v>
      </c>
      <c r="AP6" s="3">
        <v>1.43</v>
      </c>
      <c r="AQ6" s="61" t="s">
        <v>384</v>
      </c>
      <c r="AR6" s="61" t="s">
        <v>367</v>
      </c>
      <c r="AS6" s="61">
        <v>0.47499999999999998</v>
      </c>
      <c r="AT6" s="61" t="s">
        <v>367</v>
      </c>
      <c r="AU6" s="61" t="s">
        <v>367</v>
      </c>
      <c r="AV6" s="62" t="s">
        <v>367</v>
      </c>
      <c r="AW6" s="3">
        <v>1.5589999999999999</v>
      </c>
      <c r="AX6" s="61" t="s">
        <v>367</v>
      </c>
      <c r="AY6" s="61" t="s">
        <v>386</v>
      </c>
      <c r="AZ6" s="62">
        <v>1.4370000000000001</v>
      </c>
      <c r="BA6" s="3">
        <v>0.16800000000000001</v>
      </c>
      <c r="BB6" s="61">
        <v>0.13500000000000001</v>
      </c>
      <c r="BC6" s="61">
        <v>8.9999999999999993E-3</v>
      </c>
      <c r="BD6" s="61">
        <v>2.4E-2</v>
      </c>
      <c r="BE6" s="61" t="s">
        <v>367</v>
      </c>
      <c r="BF6" s="61" t="s">
        <v>367</v>
      </c>
      <c r="BG6" s="23" t="s">
        <v>2</v>
      </c>
      <c r="BH6" s="11">
        <v>40</v>
      </c>
      <c r="BI6" s="65">
        <v>1950</v>
      </c>
      <c r="BJ6" s="65">
        <v>601</v>
      </c>
      <c r="BK6" s="65">
        <v>152</v>
      </c>
      <c r="BL6" s="65">
        <v>911</v>
      </c>
      <c r="BM6" s="65">
        <v>922</v>
      </c>
      <c r="BN6" s="65">
        <v>1145</v>
      </c>
      <c r="BO6" s="65">
        <v>1835</v>
      </c>
      <c r="BP6" s="65">
        <v>1050</v>
      </c>
      <c r="BQ6" s="65">
        <v>1492</v>
      </c>
      <c r="BR6" s="65">
        <v>736</v>
      </c>
      <c r="BS6" s="65">
        <v>298</v>
      </c>
      <c r="BT6" s="65">
        <v>735</v>
      </c>
      <c r="BU6" s="65">
        <v>1403</v>
      </c>
      <c r="BV6" s="65">
        <v>2102</v>
      </c>
      <c r="BW6" s="65">
        <v>3464</v>
      </c>
      <c r="BX6" s="65">
        <v>1405</v>
      </c>
      <c r="BY6" s="65">
        <v>1100</v>
      </c>
      <c r="BZ6" s="59">
        <v>909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7">
        <v>0</v>
      </c>
      <c r="CH6" s="65">
        <v>0</v>
      </c>
      <c r="CI6" s="59">
        <v>0</v>
      </c>
      <c r="CJ6" s="65">
        <v>0</v>
      </c>
      <c r="CK6" s="65">
        <v>0</v>
      </c>
      <c r="CL6" s="65">
        <v>0</v>
      </c>
      <c r="CM6" s="59">
        <v>0</v>
      </c>
      <c r="CN6" s="156">
        <v>0</v>
      </c>
      <c r="CO6" s="156">
        <v>133</v>
      </c>
    </row>
    <row r="7" spans="1:93" s="13" customFormat="1" x14ac:dyDescent="0.25">
      <c r="A7" s="155" t="s">
        <v>1373</v>
      </c>
      <c r="B7" s="55" t="s">
        <v>389</v>
      </c>
      <c r="C7" s="10" t="s">
        <v>1374</v>
      </c>
      <c r="D7" s="291">
        <v>7</v>
      </c>
      <c r="E7" s="11">
        <v>2</v>
      </c>
      <c r="F7" s="156">
        <v>174</v>
      </c>
      <c r="G7" s="65">
        <v>727</v>
      </c>
      <c r="H7" s="68">
        <v>67.400000000000006</v>
      </c>
      <c r="I7" s="3">
        <v>21.53</v>
      </c>
      <c r="J7" s="3">
        <v>9.49</v>
      </c>
      <c r="K7" s="3">
        <v>0.7</v>
      </c>
      <c r="L7" s="3" t="s">
        <v>366</v>
      </c>
      <c r="M7" s="7">
        <v>0.89</v>
      </c>
      <c r="N7" s="65">
        <v>5</v>
      </c>
      <c r="O7" s="65">
        <v>185</v>
      </c>
      <c r="P7" s="3">
        <v>1.78</v>
      </c>
      <c r="Q7" s="3">
        <v>3.64</v>
      </c>
      <c r="R7" s="65">
        <v>59</v>
      </c>
      <c r="S7" s="65">
        <v>349</v>
      </c>
      <c r="T7" s="65">
        <v>22</v>
      </c>
      <c r="U7" s="61">
        <v>1.4E-2</v>
      </c>
      <c r="V7" s="61">
        <v>78</v>
      </c>
      <c r="W7" s="7">
        <v>17.8</v>
      </c>
      <c r="X7" s="3">
        <v>0</v>
      </c>
      <c r="Y7" s="61">
        <v>0.1</v>
      </c>
      <c r="Z7" s="61">
        <v>0.15</v>
      </c>
      <c r="AA7" s="61">
        <v>4.5</v>
      </c>
      <c r="AB7" s="61">
        <v>0.36</v>
      </c>
      <c r="AC7" s="61">
        <v>0.44</v>
      </c>
      <c r="AD7" s="65">
        <v>7</v>
      </c>
      <c r="AE7" s="65" t="s">
        <v>2</v>
      </c>
      <c r="AF7" s="3" t="s">
        <v>2</v>
      </c>
      <c r="AG7" s="7">
        <v>3.05</v>
      </c>
      <c r="AH7" s="162">
        <v>0</v>
      </c>
      <c r="AI7" s="65">
        <v>0</v>
      </c>
      <c r="AJ7" s="3" t="s">
        <v>2</v>
      </c>
      <c r="AK7" s="3" t="s">
        <v>2</v>
      </c>
      <c r="AL7" s="7" t="s">
        <v>2</v>
      </c>
      <c r="AM7" s="65">
        <v>0</v>
      </c>
      <c r="AN7" s="65">
        <v>0</v>
      </c>
      <c r="AO7" s="59">
        <v>0</v>
      </c>
      <c r="AP7" s="3">
        <v>4.29</v>
      </c>
      <c r="AQ7" s="61">
        <v>2.54</v>
      </c>
      <c r="AR7" s="61" t="s">
        <v>367</v>
      </c>
      <c r="AS7" s="61">
        <v>1.23</v>
      </c>
      <c r="AT7" s="61" t="s">
        <v>367</v>
      </c>
      <c r="AU7" s="61" t="s">
        <v>367</v>
      </c>
      <c r="AV7" s="62" t="s">
        <v>367</v>
      </c>
      <c r="AW7" s="3">
        <v>4.8099999999999996</v>
      </c>
      <c r="AX7" s="61" t="s">
        <v>367</v>
      </c>
      <c r="AY7" s="61" t="s">
        <v>369</v>
      </c>
      <c r="AZ7" s="62">
        <v>4.1900000000000004</v>
      </c>
      <c r="BA7" s="3">
        <v>0.39</v>
      </c>
      <c r="BB7" s="61" t="s">
        <v>390</v>
      </c>
      <c r="BC7" s="61" t="s">
        <v>391</v>
      </c>
      <c r="BD7" s="61">
        <v>0.05</v>
      </c>
      <c r="BE7" s="61" t="s">
        <v>367</v>
      </c>
      <c r="BF7" s="62" t="s">
        <v>367</v>
      </c>
      <c r="BG7" s="23" t="s">
        <v>2</v>
      </c>
      <c r="BH7" s="11">
        <v>59</v>
      </c>
      <c r="BI7" s="65">
        <v>1791</v>
      </c>
      <c r="BJ7" s="65">
        <v>551</v>
      </c>
      <c r="BK7" s="65">
        <v>241</v>
      </c>
      <c r="BL7" s="65">
        <v>841</v>
      </c>
      <c r="BM7" s="65">
        <v>940</v>
      </c>
      <c r="BN7" s="65">
        <v>1047</v>
      </c>
      <c r="BO7" s="65">
        <v>1702</v>
      </c>
      <c r="BP7" s="65">
        <v>968</v>
      </c>
      <c r="BQ7" s="65">
        <v>1361</v>
      </c>
      <c r="BR7" s="65">
        <v>737</v>
      </c>
      <c r="BS7" s="65">
        <v>241</v>
      </c>
      <c r="BT7" s="65">
        <v>723</v>
      </c>
      <c r="BU7" s="65">
        <v>1299</v>
      </c>
      <c r="BV7" s="65">
        <v>1967</v>
      </c>
      <c r="BW7" s="65">
        <v>3235</v>
      </c>
      <c r="BX7" s="65">
        <v>1175</v>
      </c>
      <c r="BY7" s="65">
        <v>951</v>
      </c>
      <c r="BZ7" s="59">
        <v>823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7">
        <v>0</v>
      </c>
      <c r="CH7" s="65">
        <v>0</v>
      </c>
      <c r="CI7" s="59">
        <v>0</v>
      </c>
      <c r="CJ7" s="65">
        <v>0</v>
      </c>
      <c r="CK7" s="65">
        <v>0</v>
      </c>
      <c r="CL7" s="65">
        <v>0</v>
      </c>
      <c r="CM7" s="59">
        <v>0</v>
      </c>
      <c r="CN7" s="156">
        <v>0</v>
      </c>
      <c r="CO7" s="156" t="s">
        <v>2</v>
      </c>
    </row>
    <row r="8" spans="1:93" s="13" customFormat="1" x14ac:dyDescent="0.25">
      <c r="A8" s="155" t="s">
        <v>1375</v>
      </c>
      <c r="B8" s="55" t="s">
        <v>392</v>
      </c>
      <c r="C8" s="10" t="s">
        <v>1376</v>
      </c>
      <c r="D8" s="291">
        <v>7</v>
      </c>
      <c r="E8" s="11">
        <v>60</v>
      </c>
      <c r="F8" s="156">
        <v>340</v>
      </c>
      <c r="G8" s="65">
        <v>1423</v>
      </c>
      <c r="H8" s="68">
        <v>51.7</v>
      </c>
      <c r="I8" s="3">
        <v>17.5</v>
      </c>
      <c r="J8" s="3">
        <v>30</v>
      </c>
      <c r="K8" s="3">
        <v>0</v>
      </c>
      <c r="L8" s="3" t="s">
        <v>366</v>
      </c>
      <c r="M8" s="7">
        <v>0.8</v>
      </c>
      <c r="N8" s="65">
        <v>45</v>
      </c>
      <c r="O8" s="65">
        <v>217</v>
      </c>
      <c r="P8" s="3">
        <v>5.4</v>
      </c>
      <c r="Q8" s="3">
        <v>2.2000000000000002</v>
      </c>
      <c r="R8" s="65">
        <v>54</v>
      </c>
      <c r="S8" s="65">
        <v>199</v>
      </c>
      <c r="T8" s="65">
        <v>22</v>
      </c>
      <c r="U8" s="61">
        <v>1.9E-2</v>
      </c>
      <c r="V8" s="61">
        <v>437</v>
      </c>
      <c r="W8" s="7">
        <v>13.3</v>
      </c>
      <c r="X8" s="3">
        <v>5.2</v>
      </c>
      <c r="Y8" s="61">
        <v>0.1</v>
      </c>
      <c r="Z8" s="61">
        <v>0.28000000000000003</v>
      </c>
      <c r="AA8" s="61">
        <v>5.3</v>
      </c>
      <c r="AB8" s="61">
        <v>0.76</v>
      </c>
      <c r="AC8" s="61">
        <v>0.41</v>
      </c>
      <c r="AD8" s="65">
        <v>6</v>
      </c>
      <c r="AE8" s="65">
        <v>0</v>
      </c>
      <c r="AF8" s="3" t="s">
        <v>2</v>
      </c>
      <c r="AG8" s="7">
        <v>0.4</v>
      </c>
      <c r="AH8" s="162">
        <v>73</v>
      </c>
      <c r="AI8" s="65">
        <v>73</v>
      </c>
      <c r="AJ8" s="3" t="s">
        <v>2</v>
      </c>
      <c r="AK8" s="3" t="s">
        <v>2</v>
      </c>
      <c r="AL8" s="7" t="s">
        <v>2</v>
      </c>
      <c r="AM8" s="65">
        <v>0</v>
      </c>
      <c r="AN8" s="65">
        <v>0</v>
      </c>
      <c r="AO8" s="59">
        <v>0</v>
      </c>
      <c r="AP8" s="3">
        <v>8.43</v>
      </c>
      <c r="AQ8" s="61">
        <v>4.79</v>
      </c>
      <c r="AR8" s="61" t="s">
        <v>367</v>
      </c>
      <c r="AS8" s="61">
        <v>2.69</v>
      </c>
      <c r="AT8" s="61" t="s">
        <v>367</v>
      </c>
      <c r="AU8" s="61" t="s">
        <v>367</v>
      </c>
      <c r="AV8" s="62" t="s">
        <v>367</v>
      </c>
      <c r="AW8" s="3">
        <v>9.7200000000000006</v>
      </c>
      <c r="AX8" s="61" t="s">
        <v>367</v>
      </c>
      <c r="AY8" s="61">
        <v>3.47</v>
      </c>
      <c r="AZ8" s="62">
        <v>6.26</v>
      </c>
      <c r="BA8" s="3">
        <v>3.07</v>
      </c>
      <c r="BB8" s="61">
        <v>2.67</v>
      </c>
      <c r="BC8" s="61" t="s">
        <v>367</v>
      </c>
      <c r="BD8" s="61">
        <v>0.16</v>
      </c>
      <c r="BE8" s="61">
        <v>0.01</v>
      </c>
      <c r="BF8" s="62">
        <v>0.02</v>
      </c>
      <c r="BG8" s="23" t="s">
        <v>2</v>
      </c>
      <c r="BH8" s="11">
        <v>95</v>
      </c>
      <c r="BI8" s="65">
        <v>1537</v>
      </c>
      <c r="BJ8" s="65">
        <v>552</v>
      </c>
      <c r="BK8" s="65">
        <v>268</v>
      </c>
      <c r="BL8" s="65">
        <v>773</v>
      </c>
      <c r="BM8" s="65">
        <v>884</v>
      </c>
      <c r="BN8" s="65">
        <v>967</v>
      </c>
      <c r="BO8" s="65">
        <v>1506</v>
      </c>
      <c r="BP8" s="65">
        <v>943</v>
      </c>
      <c r="BQ8" s="65">
        <v>1210</v>
      </c>
      <c r="BR8" s="65">
        <v>647</v>
      </c>
      <c r="BS8" s="65">
        <v>320</v>
      </c>
      <c r="BT8" s="65">
        <v>789</v>
      </c>
      <c r="BU8" s="65">
        <v>1194</v>
      </c>
      <c r="BV8" s="65">
        <v>1557</v>
      </c>
      <c r="BW8" s="65">
        <v>2378</v>
      </c>
      <c r="BX8" s="65">
        <v>1491</v>
      </c>
      <c r="BY8" s="65">
        <v>839</v>
      </c>
      <c r="BZ8" s="59">
        <v>878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7">
        <v>0</v>
      </c>
      <c r="CH8" s="65">
        <v>0</v>
      </c>
      <c r="CI8" s="59">
        <v>0</v>
      </c>
      <c r="CJ8" s="65">
        <v>0</v>
      </c>
      <c r="CK8" s="65">
        <v>0</v>
      </c>
      <c r="CL8" s="65">
        <v>0</v>
      </c>
      <c r="CM8" s="59">
        <v>0</v>
      </c>
      <c r="CN8" s="156">
        <v>0</v>
      </c>
      <c r="CO8" s="156" t="s">
        <v>2</v>
      </c>
    </row>
    <row r="9" spans="1:93" s="13" customFormat="1" x14ac:dyDescent="0.25">
      <c r="A9" s="155" t="s">
        <v>1377</v>
      </c>
      <c r="B9" s="55" t="s">
        <v>393</v>
      </c>
      <c r="C9" s="10" t="s">
        <v>1378</v>
      </c>
      <c r="D9" s="291">
        <v>7</v>
      </c>
      <c r="E9" s="11">
        <v>2</v>
      </c>
      <c r="F9" s="156">
        <v>338</v>
      </c>
      <c r="G9" s="65">
        <v>1413</v>
      </c>
      <c r="H9" s="68">
        <v>53</v>
      </c>
      <c r="I9" s="3">
        <v>16</v>
      </c>
      <c r="J9" s="3">
        <v>30.4</v>
      </c>
      <c r="K9" s="3">
        <v>0</v>
      </c>
      <c r="L9" s="3" t="s">
        <v>366</v>
      </c>
      <c r="M9" s="7">
        <v>0.6</v>
      </c>
      <c r="N9" s="65">
        <v>16</v>
      </c>
      <c r="O9" s="65">
        <v>43</v>
      </c>
      <c r="P9" s="3">
        <v>1</v>
      </c>
      <c r="Q9" s="3" t="s">
        <v>2</v>
      </c>
      <c r="R9" s="65">
        <v>20</v>
      </c>
      <c r="S9" s="65">
        <v>255</v>
      </c>
      <c r="T9" s="65">
        <v>46</v>
      </c>
      <c r="U9" s="61" t="s">
        <v>2</v>
      </c>
      <c r="V9" s="61" t="s">
        <v>2</v>
      </c>
      <c r="W9" s="7" t="s">
        <v>2</v>
      </c>
      <c r="X9" s="3" t="s">
        <v>2</v>
      </c>
      <c r="Y9" s="165">
        <v>0.04</v>
      </c>
      <c r="Z9" s="61">
        <v>0.08</v>
      </c>
      <c r="AA9" s="61">
        <v>1.8</v>
      </c>
      <c r="AB9" s="61" t="s">
        <v>2</v>
      </c>
      <c r="AC9" s="61" t="s">
        <v>2</v>
      </c>
      <c r="AD9" s="65" t="s">
        <v>2</v>
      </c>
      <c r="AE9" s="65" t="s">
        <v>2</v>
      </c>
      <c r="AF9" s="3" t="s">
        <v>2</v>
      </c>
      <c r="AG9" s="7" t="s">
        <v>2</v>
      </c>
      <c r="AH9" s="162" t="s">
        <v>2</v>
      </c>
      <c r="AI9" s="65">
        <v>0</v>
      </c>
      <c r="AJ9" s="3" t="s">
        <v>2</v>
      </c>
      <c r="AK9" s="3" t="s">
        <v>2</v>
      </c>
      <c r="AL9" s="7" t="s">
        <v>2</v>
      </c>
      <c r="AM9" s="65">
        <v>0</v>
      </c>
      <c r="AN9" s="65">
        <v>0</v>
      </c>
      <c r="AO9" s="59">
        <v>0</v>
      </c>
      <c r="AP9" s="3" t="s">
        <v>2</v>
      </c>
      <c r="AQ9" s="61" t="s">
        <v>2</v>
      </c>
      <c r="AR9" s="61" t="s">
        <v>2</v>
      </c>
      <c r="AS9" s="61" t="s">
        <v>2</v>
      </c>
      <c r="AT9" s="61" t="s">
        <v>2</v>
      </c>
      <c r="AU9" s="61" t="s">
        <v>2</v>
      </c>
      <c r="AV9" s="62" t="s">
        <v>2</v>
      </c>
      <c r="AW9" s="3" t="s">
        <v>2</v>
      </c>
      <c r="AX9" s="61" t="s">
        <v>2</v>
      </c>
      <c r="AY9" s="61" t="s">
        <v>2</v>
      </c>
      <c r="AZ9" s="62" t="s">
        <v>2</v>
      </c>
      <c r="BA9" s="3" t="s">
        <v>2</v>
      </c>
      <c r="BB9" s="61" t="s">
        <v>2</v>
      </c>
      <c r="BC9" s="61" t="s">
        <v>2</v>
      </c>
      <c r="BD9" s="61" t="s">
        <v>2</v>
      </c>
      <c r="BE9" s="61" t="s">
        <v>2</v>
      </c>
      <c r="BF9" s="62" t="s">
        <v>2</v>
      </c>
      <c r="BG9" s="23" t="s">
        <v>2</v>
      </c>
      <c r="BH9" s="7" t="s">
        <v>2</v>
      </c>
      <c r="BI9" s="65" t="s">
        <v>2</v>
      </c>
      <c r="BJ9" s="65" t="s">
        <v>2</v>
      </c>
      <c r="BK9" s="65" t="s">
        <v>2</v>
      </c>
      <c r="BL9" s="65" t="s">
        <v>2</v>
      </c>
      <c r="BM9" s="65" t="s">
        <v>2</v>
      </c>
      <c r="BN9" s="65" t="s">
        <v>2</v>
      </c>
      <c r="BO9" s="65" t="s">
        <v>2</v>
      </c>
      <c r="BP9" s="65" t="s">
        <v>2</v>
      </c>
      <c r="BQ9" s="65" t="s">
        <v>2</v>
      </c>
      <c r="BR9" s="65" t="s">
        <v>2</v>
      </c>
      <c r="BS9" s="65" t="s">
        <v>2</v>
      </c>
      <c r="BT9" s="65" t="s">
        <v>2</v>
      </c>
      <c r="BU9" s="65" t="s">
        <v>2</v>
      </c>
      <c r="BV9" s="65" t="s">
        <v>2</v>
      </c>
      <c r="BW9" s="65" t="s">
        <v>2</v>
      </c>
      <c r="BX9" s="65" t="s">
        <v>2</v>
      </c>
      <c r="BY9" s="65" t="s">
        <v>2</v>
      </c>
      <c r="BZ9" s="59" t="s">
        <v>2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7">
        <v>0</v>
      </c>
      <c r="CH9" s="65">
        <v>0</v>
      </c>
      <c r="CI9" s="59">
        <v>0</v>
      </c>
      <c r="CJ9" s="65">
        <v>0</v>
      </c>
      <c r="CK9" s="65">
        <v>0</v>
      </c>
      <c r="CL9" s="65">
        <v>0</v>
      </c>
      <c r="CM9" s="59">
        <v>0</v>
      </c>
      <c r="CN9" s="156">
        <v>0</v>
      </c>
      <c r="CO9" s="156" t="s">
        <v>2</v>
      </c>
    </row>
    <row r="10" spans="1:93" s="13" customFormat="1" x14ac:dyDescent="0.25">
      <c r="A10" s="155" t="s">
        <v>1379</v>
      </c>
      <c r="B10" s="55" t="s">
        <v>394</v>
      </c>
      <c r="C10" s="10" t="s">
        <v>1380</v>
      </c>
      <c r="D10" s="291">
        <v>7</v>
      </c>
      <c r="E10" s="11">
        <v>2</v>
      </c>
      <c r="F10" s="156">
        <v>230</v>
      </c>
      <c r="G10" s="65">
        <v>964</v>
      </c>
      <c r="H10" s="68">
        <v>63.8</v>
      </c>
      <c r="I10" s="3">
        <v>18</v>
      </c>
      <c r="J10" s="3">
        <v>17.600000000000001</v>
      </c>
      <c r="K10" s="3">
        <v>0</v>
      </c>
      <c r="L10" s="3" t="s">
        <v>366</v>
      </c>
      <c r="M10" s="7">
        <v>0.6</v>
      </c>
      <c r="N10" s="65">
        <v>20</v>
      </c>
      <c r="O10" s="65">
        <v>36</v>
      </c>
      <c r="P10" s="3">
        <v>0.7</v>
      </c>
      <c r="Q10" s="3" t="s">
        <v>2</v>
      </c>
      <c r="R10" s="65">
        <v>32</v>
      </c>
      <c r="S10" s="65">
        <v>176</v>
      </c>
      <c r="T10" s="65">
        <v>35</v>
      </c>
      <c r="U10" s="61" t="s">
        <v>2</v>
      </c>
      <c r="V10" s="61" t="s">
        <v>2</v>
      </c>
      <c r="W10" s="7" t="s">
        <v>2</v>
      </c>
      <c r="X10" s="3">
        <v>0</v>
      </c>
      <c r="Y10" s="61">
        <v>0.04</v>
      </c>
      <c r="Z10" s="61">
        <v>0.08</v>
      </c>
      <c r="AA10" s="61">
        <v>1.8</v>
      </c>
      <c r="AB10" s="61" t="s">
        <v>2</v>
      </c>
      <c r="AC10" s="61" t="s">
        <v>2</v>
      </c>
      <c r="AD10" s="65" t="s">
        <v>2</v>
      </c>
      <c r="AE10" s="65" t="s">
        <v>2</v>
      </c>
      <c r="AF10" s="3" t="s">
        <v>2</v>
      </c>
      <c r="AG10" s="7" t="s">
        <v>2</v>
      </c>
      <c r="AH10" s="162" t="s">
        <v>2</v>
      </c>
      <c r="AI10" s="65">
        <v>0</v>
      </c>
      <c r="AJ10" s="3" t="s">
        <v>2</v>
      </c>
      <c r="AK10" s="3" t="s">
        <v>2</v>
      </c>
      <c r="AL10" s="7" t="s">
        <v>2</v>
      </c>
      <c r="AM10" s="65">
        <v>0</v>
      </c>
      <c r="AN10" s="65">
        <v>0</v>
      </c>
      <c r="AO10" s="59">
        <v>0</v>
      </c>
      <c r="AP10" s="3" t="s">
        <v>2</v>
      </c>
      <c r="AQ10" s="61" t="s">
        <v>2</v>
      </c>
      <c r="AR10" s="61" t="s">
        <v>2</v>
      </c>
      <c r="AS10" s="61" t="s">
        <v>2</v>
      </c>
      <c r="AT10" s="61" t="s">
        <v>2</v>
      </c>
      <c r="AU10" s="61" t="s">
        <v>2</v>
      </c>
      <c r="AV10" s="62" t="s">
        <v>2</v>
      </c>
      <c r="AW10" s="3" t="s">
        <v>2</v>
      </c>
      <c r="AX10" s="61" t="s">
        <v>2</v>
      </c>
      <c r="AY10" s="61" t="s">
        <v>2</v>
      </c>
      <c r="AZ10" s="62" t="s">
        <v>2</v>
      </c>
      <c r="BA10" s="3" t="s">
        <v>2</v>
      </c>
      <c r="BB10" s="61" t="s">
        <v>2</v>
      </c>
      <c r="BC10" s="61" t="s">
        <v>2</v>
      </c>
      <c r="BD10" s="61" t="s">
        <v>2</v>
      </c>
      <c r="BE10" s="61" t="s">
        <v>2</v>
      </c>
      <c r="BF10" s="61" t="s">
        <v>2</v>
      </c>
      <c r="BG10" s="23" t="s">
        <v>2</v>
      </c>
      <c r="BH10" s="11" t="s">
        <v>2</v>
      </c>
      <c r="BI10" s="166" t="s">
        <v>2</v>
      </c>
      <c r="BJ10" s="162" t="s">
        <v>2</v>
      </c>
      <c r="BK10" s="65" t="s">
        <v>2</v>
      </c>
      <c r="BL10" s="162" t="s">
        <v>2</v>
      </c>
      <c r="BM10" s="162" t="s">
        <v>2</v>
      </c>
      <c r="BN10" s="65" t="s">
        <v>2</v>
      </c>
      <c r="BO10" s="162" t="s">
        <v>2</v>
      </c>
      <c r="BP10" s="162" t="s">
        <v>2</v>
      </c>
      <c r="BQ10" s="162" t="s">
        <v>2</v>
      </c>
      <c r="BR10" s="162" t="s">
        <v>2</v>
      </c>
      <c r="BS10" s="162" t="s">
        <v>2</v>
      </c>
      <c r="BT10" s="65" t="s">
        <v>2</v>
      </c>
      <c r="BU10" s="162" t="s">
        <v>2</v>
      </c>
      <c r="BV10" s="162" t="s">
        <v>2</v>
      </c>
      <c r="BW10" s="65" t="s">
        <v>2</v>
      </c>
      <c r="BX10" s="162" t="s">
        <v>2</v>
      </c>
      <c r="BY10" s="162" t="s">
        <v>2</v>
      </c>
      <c r="BZ10" s="59" t="s">
        <v>2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7">
        <v>0</v>
      </c>
      <c r="CH10" s="65">
        <v>0</v>
      </c>
      <c r="CI10" s="59">
        <v>0</v>
      </c>
      <c r="CJ10" s="65">
        <v>0</v>
      </c>
      <c r="CK10" s="65">
        <v>0</v>
      </c>
      <c r="CL10" s="65">
        <v>0</v>
      </c>
      <c r="CM10" s="59">
        <v>0</v>
      </c>
      <c r="CN10" s="156">
        <v>0</v>
      </c>
      <c r="CO10" s="156" t="s">
        <v>2</v>
      </c>
    </row>
    <row r="11" spans="1:93" s="13" customFormat="1" x14ac:dyDescent="0.25">
      <c r="A11" s="155" t="s">
        <v>1381</v>
      </c>
      <c r="B11" s="55" t="s">
        <v>395</v>
      </c>
      <c r="C11" s="10" t="s">
        <v>1382</v>
      </c>
      <c r="D11" s="291">
        <v>7</v>
      </c>
      <c r="E11" s="11">
        <v>2</v>
      </c>
      <c r="F11" s="156">
        <v>219</v>
      </c>
      <c r="G11" s="65">
        <v>915</v>
      </c>
      <c r="H11" s="68">
        <v>65.8</v>
      </c>
      <c r="I11" s="3">
        <v>16.399999999999999</v>
      </c>
      <c r="J11" s="3">
        <v>17</v>
      </c>
      <c r="K11" s="3">
        <v>0</v>
      </c>
      <c r="L11" s="3" t="s">
        <v>366</v>
      </c>
      <c r="M11" s="7">
        <v>0.8</v>
      </c>
      <c r="N11" s="65">
        <v>9</v>
      </c>
      <c r="O11" s="65">
        <v>177</v>
      </c>
      <c r="P11" s="3">
        <v>2.5</v>
      </c>
      <c r="Q11" s="3">
        <v>2.9</v>
      </c>
      <c r="R11" s="65">
        <v>91</v>
      </c>
      <c r="S11" s="65">
        <v>256</v>
      </c>
      <c r="T11" s="65">
        <v>27</v>
      </c>
      <c r="U11" s="61">
        <v>0.04</v>
      </c>
      <c r="V11" s="61">
        <v>160</v>
      </c>
      <c r="W11" s="7">
        <v>17.8</v>
      </c>
      <c r="X11" s="3">
        <v>3</v>
      </c>
      <c r="Y11" s="61">
        <v>0.17</v>
      </c>
      <c r="Z11" s="61">
        <v>0.15</v>
      </c>
      <c r="AA11" s="61">
        <v>5.8</v>
      </c>
      <c r="AB11" s="61" t="s">
        <v>2</v>
      </c>
      <c r="AC11" s="61" t="s">
        <v>2</v>
      </c>
      <c r="AD11" s="65" t="s">
        <v>2</v>
      </c>
      <c r="AE11" s="65" t="s">
        <v>2</v>
      </c>
      <c r="AF11" s="3">
        <v>1</v>
      </c>
      <c r="AG11" s="7" t="s">
        <v>2</v>
      </c>
      <c r="AH11" s="162">
        <v>30</v>
      </c>
      <c r="AI11" s="65">
        <v>30</v>
      </c>
      <c r="AJ11" s="3" t="s">
        <v>2</v>
      </c>
      <c r="AK11" s="3" t="s">
        <v>2</v>
      </c>
      <c r="AL11" s="7" t="s">
        <v>2</v>
      </c>
      <c r="AM11" s="65">
        <v>0</v>
      </c>
      <c r="AN11" s="65">
        <v>0</v>
      </c>
      <c r="AO11" s="59">
        <v>0</v>
      </c>
      <c r="AP11" s="3">
        <v>6.7</v>
      </c>
      <c r="AQ11" s="61">
        <v>3.3</v>
      </c>
      <c r="AR11" s="61" t="s">
        <v>367</v>
      </c>
      <c r="AS11" s="61">
        <v>2.5</v>
      </c>
      <c r="AT11" s="61" t="s">
        <v>367</v>
      </c>
      <c r="AU11" s="61" t="s">
        <v>367</v>
      </c>
      <c r="AV11" s="62" t="s">
        <v>367</v>
      </c>
      <c r="AW11" s="3">
        <v>9.6999999999999993</v>
      </c>
      <c r="AX11" s="61" t="s">
        <v>367</v>
      </c>
      <c r="AY11" s="61" t="s">
        <v>367</v>
      </c>
      <c r="AZ11" s="62">
        <v>7.5</v>
      </c>
      <c r="BA11" s="3" t="s">
        <v>2</v>
      </c>
      <c r="BB11" s="61">
        <v>1.2</v>
      </c>
      <c r="BC11" s="61" t="s">
        <v>396</v>
      </c>
      <c r="BD11" s="61">
        <v>0</v>
      </c>
      <c r="BE11" s="61" t="s">
        <v>367</v>
      </c>
      <c r="BF11" s="62" t="s">
        <v>367</v>
      </c>
      <c r="BG11" s="23" t="s">
        <v>2</v>
      </c>
      <c r="BH11" s="11">
        <v>78</v>
      </c>
      <c r="BI11" s="65">
        <v>1580</v>
      </c>
      <c r="BJ11" s="65">
        <v>441</v>
      </c>
      <c r="BK11" s="65">
        <v>212</v>
      </c>
      <c r="BL11" s="65">
        <v>598</v>
      </c>
      <c r="BM11" s="65">
        <v>764</v>
      </c>
      <c r="BN11" s="65">
        <v>870</v>
      </c>
      <c r="BO11" s="65">
        <v>1395</v>
      </c>
      <c r="BP11" s="65">
        <v>933</v>
      </c>
      <c r="BQ11" s="65">
        <v>212</v>
      </c>
      <c r="BR11" s="65">
        <v>870</v>
      </c>
      <c r="BS11" s="65">
        <v>307</v>
      </c>
      <c r="BT11" s="65">
        <v>598</v>
      </c>
      <c r="BU11" s="65">
        <v>1300</v>
      </c>
      <c r="BV11" s="65">
        <v>454</v>
      </c>
      <c r="BW11" s="65">
        <v>1028</v>
      </c>
      <c r="BX11" s="65">
        <v>1466</v>
      </c>
      <c r="BY11" s="65">
        <v>2320</v>
      </c>
      <c r="BZ11" s="59">
        <v>794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7">
        <v>0</v>
      </c>
      <c r="CH11" s="65">
        <v>0</v>
      </c>
      <c r="CI11" s="59">
        <v>0</v>
      </c>
      <c r="CJ11" s="65">
        <v>0</v>
      </c>
      <c r="CK11" s="65">
        <v>0</v>
      </c>
      <c r="CL11" s="65">
        <v>0</v>
      </c>
      <c r="CM11" s="59">
        <v>0</v>
      </c>
      <c r="CN11" s="156">
        <v>0</v>
      </c>
      <c r="CO11" s="156">
        <v>182</v>
      </c>
    </row>
    <row r="12" spans="1:93" s="13" customFormat="1" x14ac:dyDescent="0.25">
      <c r="A12" s="155" t="s">
        <v>1383</v>
      </c>
      <c r="B12" s="55" t="s">
        <v>397</v>
      </c>
      <c r="C12" s="10" t="s">
        <v>1384</v>
      </c>
      <c r="D12" s="291">
        <v>7</v>
      </c>
      <c r="E12" s="11">
        <v>2</v>
      </c>
      <c r="F12" s="156">
        <v>122</v>
      </c>
      <c r="G12" s="65">
        <v>508</v>
      </c>
      <c r="H12" s="68">
        <v>74.400000000000006</v>
      </c>
      <c r="I12" s="3">
        <v>20.7</v>
      </c>
      <c r="J12" s="3">
        <v>4.3</v>
      </c>
      <c r="K12" s="3">
        <v>0</v>
      </c>
      <c r="L12" s="3" t="s">
        <v>366</v>
      </c>
      <c r="M12" s="7">
        <v>0.6</v>
      </c>
      <c r="N12" s="65">
        <v>11</v>
      </c>
      <c r="O12" s="65">
        <v>129</v>
      </c>
      <c r="P12" s="3">
        <v>2</v>
      </c>
      <c r="Q12" s="3">
        <v>4</v>
      </c>
      <c r="R12" s="65">
        <v>82</v>
      </c>
      <c r="S12" s="65">
        <v>385</v>
      </c>
      <c r="T12" s="65" t="s">
        <v>2</v>
      </c>
      <c r="U12" s="61">
        <v>3.7999999999999999E-2</v>
      </c>
      <c r="V12" s="61">
        <v>256</v>
      </c>
      <c r="W12" s="7">
        <v>8.8000000000000007</v>
      </c>
      <c r="X12" s="3">
        <v>1</v>
      </c>
      <c r="Y12" s="61">
        <v>7.0000000000000007E-2</v>
      </c>
      <c r="Z12" s="61">
        <v>0.13</v>
      </c>
      <c r="AA12" s="61">
        <v>4.9000000000000004</v>
      </c>
      <c r="AB12" s="61" t="s">
        <v>2</v>
      </c>
      <c r="AC12" s="61" t="s">
        <v>2</v>
      </c>
      <c r="AD12" s="65">
        <v>5</v>
      </c>
      <c r="AE12" s="65">
        <v>0</v>
      </c>
      <c r="AF12" s="3" t="s">
        <v>2</v>
      </c>
      <c r="AG12" s="7">
        <v>1.1299999999999999</v>
      </c>
      <c r="AH12" s="162">
        <v>91</v>
      </c>
      <c r="AI12" s="65">
        <v>91</v>
      </c>
      <c r="AJ12" s="3" t="s">
        <v>2</v>
      </c>
      <c r="AK12" s="3" t="s">
        <v>2</v>
      </c>
      <c r="AL12" s="7" t="s">
        <v>2</v>
      </c>
      <c r="AM12" s="65">
        <v>0</v>
      </c>
      <c r="AN12" s="65">
        <v>0</v>
      </c>
      <c r="AO12" s="59">
        <v>0</v>
      </c>
      <c r="AP12" s="3">
        <v>0.71</v>
      </c>
      <c r="AQ12" s="61" t="s">
        <v>398</v>
      </c>
      <c r="AR12" s="61" t="s">
        <v>367</v>
      </c>
      <c r="AS12" s="61" t="s">
        <v>398</v>
      </c>
      <c r="AT12" s="61" t="s">
        <v>367</v>
      </c>
      <c r="AU12" s="61" t="s">
        <v>367</v>
      </c>
      <c r="AV12" s="62" t="s">
        <v>367</v>
      </c>
      <c r="AW12" s="3">
        <v>1.03</v>
      </c>
      <c r="AX12" s="61" t="s">
        <v>367</v>
      </c>
      <c r="AY12" s="61" t="s">
        <v>399</v>
      </c>
      <c r="AZ12" s="62" t="s">
        <v>400</v>
      </c>
      <c r="BA12" s="3">
        <v>0.17</v>
      </c>
      <c r="BB12" s="61" t="s">
        <v>401</v>
      </c>
      <c r="BC12" s="61" t="s">
        <v>391</v>
      </c>
      <c r="BD12" s="61">
        <v>0.06</v>
      </c>
      <c r="BE12" s="61" t="s">
        <v>367</v>
      </c>
      <c r="BF12" s="62" t="s">
        <v>367</v>
      </c>
      <c r="BG12" s="23" t="s">
        <v>2</v>
      </c>
      <c r="BH12" s="11">
        <v>57</v>
      </c>
      <c r="BI12" s="65">
        <v>1532</v>
      </c>
      <c r="BJ12" s="65">
        <v>552</v>
      </c>
      <c r="BK12" s="65">
        <v>306</v>
      </c>
      <c r="BL12" s="65">
        <v>715</v>
      </c>
      <c r="BM12" s="65">
        <v>981</v>
      </c>
      <c r="BN12" s="65">
        <v>1103</v>
      </c>
      <c r="BO12" s="65">
        <v>1716</v>
      </c>
      <c r="BP12" s="65">
        <v>1042</v>
      </c>
      <c r="BQ12" s="65">
        <v>1512</v>
      </c>
      <c r="BR12" s="65">
        <v>429</v>
      </c>
      <c r="BS12" s="65">
        <v>245</v>
      </c>
      <c r="BT12" s="65">
        <v>633</v>
      </c>
      <c r="BU12" s="65" t="s">
        <v>2</v>
      </c>
      <c r="BV12" s="65" t="s">
        <v>2</v>
      </c>
      <c r="BW12" s="65" t="s">
        <v>2</v>
      </c>
      <c r="BX12" s="65" t="s">
        <v>2</v>
      </c>
      <c r="BY12" s="65" t="s">
        <v>2</v>
      </c>
      <c r="BZ12" s="59" t="s">
        <v>2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7">
        <v>0</v>
      </c>
      <c r="CH12" s="65">
        <v>0</v>
      </c>
      <c r="CI12" s="59">
        <v>0</v>
      </c>
      <c r="CJ12" s="65">
        <v>0</v>
      </c>
      <c r="CK12" s="65">
        <v>0</v>
      </c>
      <c r="CL12" s="65">
        <v>0</v>
      </c>
      <c r="CM12" s="59">
        <v>0</v>
      </c>
      <c r="CN12" s="156">
        <v>0</v>
      </c>
      <c r="CO12" s="156" t="s">
        <v>2</v>
      </c>
    </row>
    <row r="13" spans="1:93" s="13" customFormat="1" x14ac:dyDescent="0.25">
      <c r="A13" s="155" t="s">
        <v>1385</v>
      </c>
      <c r="B13" s="55" t="s">
        <v>402</v>
      </c>
      <c r="C13" s="10" t="s">
        <v>1386</v>
      </c>
      <c r="D13" s="291">
        <v>7</v>
      </c>
      <c r="E13" s="11">
        <v>58</v>
      </c>
      <c r="F13" s="156">
        <v>141</v>
      </c>
      <c r="G13" s="65">
        <v>589</v>
      </c>
      <c r="H13" s="68">
        <v>69.7</v>
      </c>
      <c r="I13" s="3">
        <v>24.4</v>
      </c>
      <c r="J13" s="3">
        <v>4.8</v>
      </c>
      <c r="K13" s="3">
        <v>0</v>
      </c>
      <c r="L13" s="3" t="s">
        <v>366</v>
      </c>
      <c r="M13" s="7">
        <v>1.1000000000000001</v>
      </c>
      <c r="N13" s="65">
        <v>14</v>
      </c>
      <c r="O13" s="65">
        <v>263</v>
      </c>
      <c r="P13" s="3">
        <v>0.4</v>
      </c>
      <c r="Q13" s="3" t="s">
        <v>2</v>
      </c>
      <c r="R13" s="65" t="s">
        <v>2</v>
      </c>
      <c r="S13" s="65" t="s">
        <v>2</v>
      </c>
      <c r="T13" s="65" t="s">
        <v>2</v>
      </c>
      <c r="U13" s="61" t="s">
        <v>2</v>
      </c>
      <c r="V13" s="61" t="s">
        <v>2</v>
      </c>
      <c r="W13" s="7" t="s">
        <v>2</v>
      </c>
      <c r="X13" s="3" t="s">
        <v>2</v>
      </c>
      <c r="Y13" s="61" t="s">
        <v>2</v>
      </c>
      <c r="Z13" s="61" t="s">
        <v>2</v>
      </c>
      <c r="AA13" s="61" t="s">
        <v>2</v>
      </c>
      <c r="AB13" s="61" t="s">
        <v>2</v>
      </c>
      <c r="AC13" s="61" t="s">
        <v>2</v>
      </c>
      <c r="AD13" s="65" t="s">
        <v>2</v>
      </c>
      <c r="AE13" s="65" t="s">
        <v>2</v>
      </c>
      <c r="AF13" s="3" t="s">
        <v>2</v>
      </c>
      <c r="AG13" s="7" t="s">
        <v>2</v>
      </c>
      <c r="AH13" s="162" t="s">
        <v>2</v>
      </c>
      <c r="AI13" s="65">
        <v>0</v>
      </c>
      <c r="AJ13" s="3" t="s">
        <v>2</v>
      </c>
      <c r="AK13" s="3" t="s">
        <v>2</v>
      </c>
      <c r="AL13" s="7" t="s">
        <v>2</v>
      </c>
      <c r="AM13" s="65">
        <v>0</v>
      </c>
      <c r="AN13" s="65">
        <v>0</v>
      </c>
      <c r="AO13" s="59">
        <v>0</v>
      </c>
      <c r="AP13" s="3" t="s">
        <v>2</v>
      </c>
      <c r="AQ13" s="61" t="s">
        <v>2</v>
      </c>
      <c r="AR13" s="61" t="s">
        <v>2</v>
      </c>
      <c r="AS13" s="61" t="s">
        <v>2</v>
      </c>
      <c r="AT13" s="61" t="s">
        <v>2</v>
      </c>
      <c r="AU13" s="61" t="s">
        <v>2</v>
      </c>
      <c r="AV13" s="62" t="s">
        <v>2</v>
      </c>
      <c r="AW13" s="3" t="s">
        <v>2</v>
      </c>
      <c r="AX13" s="61" t="s">
        <v>2</v>
      </c>
      <c r="AY13" s="61" t="s">
        <v>2</v>
      </c>
      <c r="AZ13" s="62" t="s">
        <v>2</v>
      </c>
      <c r="BA13" s="3" t="s">
        <v>2</v>
      </c>
      <c r="BB13" s="61" t="s">
        <v>2</v>
      </c>
      <c r="BC13" s="61" t="s">
        <v>2</v>
      </c>
      <c r="BD13" s="61" t="s">
        <v>2</v>
      </c>
      <c r="BE13" s="61" t="s">
        <v>2</v>
      </c>
      <c r="BF13" s="61" t="s">
        <v>2</v>
      </c>
      <c r="BG13" s="23" t="s">
        <v>2</v>
      </c>
      <c r="BH13" s="7" t="s">
        <v>2</v>
      </c>
      <c r="BI13" s="65" t="s">
        <v>2</v>
      </c>
      <c r="BJ13" s="65" t="s">
        <v>2</v>
      </c>
      <c r="BK13" s="65" t="s">
        <v>2</v>
      </c>
      <c r="BL13" s="65" t="s">
        <v>2</v>
      </c>
      <c r="BM13" s="65" t="s">
        <v>2</v>
      </c>
      <c r="BN13" s="65" t="s">
        <v>2</v>
      </c>
      <c r="BO13" s="65" t="s">
        <v>2</v>
      </c>
      <c r="BP13" s="65" t="s">
        <v>2</v>
      </c>
      <c r="BQ13" s="65" t="s">
        <v>2</v>
      </c>
      <c r="BR13" s="65" t="s">
        <v>2</v>
      </c>
      <c r="BS13" s="65" t="s">
        <v>2</v>
      </c>
      <c r="BT13" s="65" t="s">
        <v>2</v>
      </c>
      <c r="BU13" s="65" t="s">
        <v>2</v>
      </c>
      <c r="BV13" s="65" t="s">
        <v>2</v>
      </c>
      <c r="BW13" s="65" t="s">
        <v>2</v>
      </c>
      <c r="BX13" s="65" t="s">
        <v>2</v>
      </c>
      <c r="BY13" s="65" t="s">
        <v>2</v>
      </c>
      <c r="BZ13" s="59" t="s">
        <v>2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7">
        <v>0</v>
      </c>
      <c r="CH13" s="65">
        <v>0</v>
      </c>
      <c r="CI13" s="59">
        <v>0</v>
      </c>
      <c r="CJ13" s="65">
        <v>0</v>
      </c>
      <c r="CK13" s="65">
        <v>0</v>
      </c>
      <c r="CL13" s="65">
        <v>0</v>
      </c>
      <c r="CM13" s="59">
        <v>0</v>
      </c>
      <c r="CN13" s="156">
        <v>0</v>
      </c>
      <c r="CO13" s="156" t="s">
        <v>2</v>
      </c>
    </row>
    <row r="14" spans="1:93" s="13" customFormat="1" x14ac:dyDescent="0.25">
      <c r="A14" s="155" t="s">
        <v>1387</v>
      </c>
      <c r="B14" s="55" t="s">
        <v>403</v>
      </c>
      <c r="C14" s="10" t="s">
        <v>1388</v>
      </c>
      <c r="D14" s="291">
        <v>7</v>
      </c>
      <c r="E14" s="11">
        <v>52</v>
      </c>
      <c r="F14" s="156">
        <v>199</v>
      </c>
      <c r="G14" s="65">
        <v>833</v>
      </c>
      <c r="H14" s="68">
        <v>65.599999999999994</v>
      </c>
      <c r="I14" s="3">
        <v>20.3</v>
      </c>
      <c r="J14" s="3">
        <v>13.1</v>
      </c>
      <c r="K14" s="3">
        <v>0</v>
      </c>
      <c r="L14" s="3" t="s">
        <v>366</v>
      </c>
      <c r="M14" s="7">
        <v>1</v>
      </c>
      <c r="N14" s="65">
        <v>12</v>
      </c>
      <c r="O14" s="65">
        <v>200</v>
      </c>
      <c r="P14" s="3">
        <v>1.5</v>
      </c>
      <c r="Q14" s="3">
        <v>1.5</v>
      </c>
      <c r="R14" s="65">
        <v>70</v>
      </c>
      <c r="S14" s="65">
        <v>189</v>
      </c>
      <c r="T14" s="65">
        <v>29</v>
      </c>
      <c r="U14" s="61">
        <v>1.9E-2</v>
      </c>
      <c r="V14" s="61">
        <v>48</v>
      </c>
      <c r="W14" s="7">
        <v>14.4</v>
      </c>
      <c r="X14" s="3">
        <v>4</v>
      </c>
      <c r="Y14" s="61">
        <v>0.15</v>
      </c>
      <c r="Z14" s="61">
        <v>0.16</v>
      </c>
      <c r="AA14" s="61">
        <v>8.1</v>
      </c>
      <c r="AB14" s="61">
        <v>0.91</v>
      </c>
      <c r="AC14" s="61">
        <v>0.35</v>
      </c>
      <c r="AD14" s="65">
        <v>6</v>
      </c>
      <c r="AE14" s="65">
        <v>0</v>
      </c>
      <c r="AF14" s="3" t="s">
        <v>2</v>
      </c>
      <c r="AG14" s="7">
        <v>0.31</v>
      </c>
      <c r="AH14" s="162">
        <v>120</v>
      </c>
      <c r="AI14" s="65">
        <v>120</v>
      </c>
      <c r="AJ14" s="3" t="s">
        <v>2</v>
      </c>
      <c r="AK14" s="3">
        <v>0.3</v>
      </c>
      <c r="AL14" s="7">
        <v>1.5</v>
      </c>
      <c r="AM14" s="65">
        <v>0</v>
      </c>
      <c r="AN14" s="65">
        <v>0</v>
      </c>
      <c r="AO14" s="59">
        <v>0</v>
      </c>
      <c r="AP14" s="3">
        <v>4.3099999999999996</v>
      </c>
      <c r="AQ14" s="61">
        <v>3.15</v>
      </c>
      <c r="AR14" s="61" t="s">
        <v>367</v>
      </c>
      <c r="AS14" s="61" t="s">
        <v>404</v>
      </c>
      <c r="AT14" s="61" t="s">
        <v>367</v>
      </c>
      <c r="AU14" s="61" t="s">
        <v>367</v>
      </c>
      <c r="AV14" s="62" t="s">
        <v>367</v>
      </c>
      <c r="AW14" s="3">
        <v>6.24</v>
      </c>
      <c r="AX14" s="61" t="s">
        <v>367</v>
      </c>
      <c r="AY14" s="61" t="s">
        <v>373</v>
      </c>
      <c r="AZ14" s="62">
        <v>5.17</v>
      </c>
      <c r="BA14" s="3">
        <v>3.23</v>
      </c>
      <c r="BB14" s="61">
        <v>2.88</v>
      </c>
      <c r="BC14" s="61" t="s">
        <v>388</v>
      </c>
      <c r="BD14" s="61">
        <v>0.08</v>
      </c>
      <c r="BE14" s="61">
        <v>0.01</v>
      </c>
      <c r="BF14" s="62">
        <v>0.03</v>
      </c>
      <c r="BG14" s="23" t="s">
        <v>2</v>
      </c>
      <c r="BH14" s="11">
        <v>75</v>
      </c>
      <c r="BI14" s="65">
        <v>1859</v>
      </c>
      <c r="BJ14" s="65">
        <v>653</v>
      </c>
      <c r="BK14" s="65">
        <v>246</v>
      </c>
      <c r="BL14" s="65">
        <v>717</v>
      </c>
      <c r="BM14" s="65">
        <v>787</v>
      </c>
      <c r="BN14" s="65">
        <v>972</v>
      </c>
      <c r="BO14" s="65">
        <v>1629</v>
      </c>
      <c r="BP14" s="65">
        <v>1293</v>
      </c>
      <c r="BQ14" s="65">
        <v>1190</v>
      </c>
      <c r="BR14" s="65">
        <v>432</v>
      </c>
      <c r="BS14" s="65">
        <v>288</v>
      </c>
      <c r="BT14" s="65">
        <v>595</v>
      </c>
      <c r="BU14" s="65">
        <v>1088</v>
      </c>
      <c r="BV14" s="65">
        <v>1965</v>
      </c>
      <c r="BW14" s="65">
        <v>2848</v>
      </c>
      <c r="BX14" s="65">
        <v>797</v>
      </c>
      <c r="BY14" s="65">
        <v>925</v>
      </c>
      <c r="BZ14" s="59">
        <v>938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7">
        <v>0</v>
      </c>
      <c r="CH14" s="65">
        <v>0</v>
      </c>
      <c r="CI14" s="59">
        <v>0</v>
      </c>
      <c r="CJ14" s="65">
        <v>0</v>
      </c>
      <c r="CK14" s="65">
        <v>0</v>
      </c>
      <c r="CL14" s="65">
        <v>0</v>
      </c>
      <c r="CM14" s="59">
        <v>0</v>
      </c>
      <c r="CN14" s="156">
        <v>0</v>
      </c>
      <c r="CO14" s="156" t="s">
        <v>2</v>
      </c>
    </row>
    <row r="15" spans="1:93" s="13" customFormat="1" x14ac:dyDescent="0.25">
      <c r="A15" s="155" t="s">
        <v>1389</v>
      </c>
      <c r="B15" s="55" t="s">
        <v>405</v>
      </c>
      <c r="C15" s="10" t="s">
        <v>1390</v>
      </c>
      <c r="D15" s="291">
        <v>7</v>
      </c>
      <c r="E15" s="11">
        <v>53</v>
      </c>
      <c r="F15" s="156">
        <v>218</v>
      </c>
      <c r="G15" s="65">
        <v>913</v>
      </c>
      <c r="H15" s="68">
        <v>63.6</v>
      </c>
      <c r="I15" s="3">
        <v>20.059999999999999</v>
      </c>
      <c r="J15" s="3">
        <v>15.3</v>
      </c>
      <c r="K15" s="3">
        <v>0.04</v>
      </c>
      <c r="L15" s="3" t="s">
        <v>366</v>
      </c>
      <c r="M15" s="7">
        <v>1</v>
      </c>
      <c r="N15" s="65">
        <v>24</v>
      </c>
      <c r="O15" s="65">
        <v>320</v>
      </c>
      <c r="P15" s="3">
        <v>3.2</v>
      </c>
      <c r="Q15" s="3">
        <v>2.67</v>
      </c>
      <c r="R15" s="65">
        <v>66</v>
      </c>
      <c r="S15" s="65">
        <v>236</v>
      </c>
      <c r="T15" s="65">
        <v>18</v>
      </c>
      <c r="U15" s="61">
        <v>0.02</v>
      </c>
      <c r="V15" s="61">
        <v>127</v>
      </c>
      <c r="W15" s="7">
        <v>26.4</v>
      </c>
      <c r="X15" s="3">
        <v>0</v>
      </c>
      <c r="Y15" s="61">
        <v>0.06</v>
      </c>
      <c r="Z15" s="61">
        <v>0.08</v>
      </c>
      <c r="AA15" s="61">
        <v>7</v>
      </c>
      <c r="AB15" s="61">
        <v>0.91700000000000004</v>
      </c>
      <c r="AC15" s="61">
        <v>0.28999999999999998</v>
      </c>
      <c r="AD15" s="65">
        <v>9</v>
      </c>
      <c r="AE15" s="65">
        <v>0</v>
      </c>
      <c r="AF15" s="3">
        <v>2</v>
      </c>
      <c r="AG15" s="7">
        <v>0.36</v>
      </c>
      <c r="AH15" s="162">
        <v>180</v>
      </c>
      <c r="AI15" s="65">
        <v>180</v>
      </c>
      <c r="AJ15" s="3" t="s">
        <v>2</v>
      </c>
      <c r="AK15" s="3" t="s">
        <v>2</v>
      </c>
      <c r="AL15" s="7" t="s">
        <v>2</v>
      </c>
      <c r="AM15" s="65">
        <v>0</v>
      </c>
      <c r="AN15" s="65">
        <v>0</v>
      </c>
      <c r="AO15" s="59">
        <v>0</v>
      </c>
      <c r="AP15" s="3">
        <v>3.66</v>
      </c>
      <c r="AQ15" s="61">
        <v>2.4300000000000002</v>
      </c>
      <c r="AR15" s="61" t="s">
        <v>367</v>
      </c>
      <c r="AS15" s="61" t="s">
        <v>406</v>
      </c>
      <c r="AT15" s="61" t="s">
        <v>367</v>
      </c>
      <c r="AU15" s="61" t="s">
        <v>367</v>
      </c>
      <c r="AV15" s="62" t="s">
        <v>367</v>
      </c>
      <c r="AW15" s="3">
        <v>4.9400000000000004</v>
      </c>
      <c r="AX15" s="61" t="s">
        <v>367</v>
      </c>
      <c r="AY15" s="61" t="s">
        <v>407</v>
      </c>
      <c r="AZ15" s="62">
        <v>3.99</v>
      </c>
      <c r="BA15" s="3">
        <v>3.23</v>
      </c>
      <c r="BB15" s="61">
        <v>2.83</v>
      </c>
      <c r="BC15" s="61" t="s">
        <v>408</v>
      </c>
      <c r="BD15" s="61">
        <v>0.14000000000000001</v>
      </c>
      <c r="BE15" s="61" t="s">
        <v>367</v>
      </c>
      <c r="BF15" s="61">
        <v>0.03</v>
      </c>
      <c r="BG15" s="23" t="s">
        <v>2</v>
      </c>
      <c r="BH15" s="11">
        <v>74</v>
      </c>
      <c r="BI15" s="65">
        <v>1356</v>
      </c>
      <c r="BJ15" s="65">
        <v>459</v>
      </c>
      <c r="BK15" s="65">
        <v>198</v>
      </c>
      <c r="BL15" s="65">
        <v>631</v>
      </c>
      <c r="BM15" s="65">
        <v>760</v>
      </c>
      <c r="BN15" s="65">
        <v>810</v>
      </c>
      <c r="BO15" s="65">
        <v>1267</v>
      </c>
      <c r="BP15" s="65">
        <v>746</v>
      </c>
      <c r="BQ15" s="65">
        <v>1088</v>
      </c>
      <c r="BR15" s="65">
        <v>472</v>
      </c>
      <c r="BS15" s="65">
        <v>154</v>
      </c>
      <c r="BT15" s="65">
        <v>538</v>
      </c>
      <c r="BU15" s="65">
        <v>1042</v>
      </c>
      <c r="BV15" s="65">
        <v>1622</v>
      </c>
      <c r="BW15" s="65">
        <v>2536</v>
      </c>
      <c r="BX15" s="65">
        <v>1071</v>
      </c>
      <c r="BY15" s="65">
        <v>829</v>
      </c>
      <c r="BZ15" s="59">
        <v>666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7">
        <v>0</v>
      </c>
      <c r="CH15" s="65">
        <v>0</v>
      </c>
      <c r="CI15" s="59">
        <v>0</v>
      </c>
      <c r="CJ15" s="65">
        <v>0</v>
      </c>
      <c r="CK15" s="65">
        <v>0</v>
      </c>
      <c r="CL15" s="65">
        <v>0</v>
      </c>
      <c r="CM15" s="59">
        <v>0</v>
      </c>
      <c r="CN15" s="156">
        <v>0</v>
      </c>
      <c r="CO15" s="156">
        <v>110</v>
      </c>
    </row>
    <row r="16" spans="1:93" s="13" customFormat="1" x14ac:dyDescent="0.25">
      <c r="A16" s="155" t="s">
        <v>1391</v>
      </c>
      <c r="B16" s="55" t="s">
        <v>409</v>
      </c>
      <c r="C16" s="10" t="s">
        <v>1392</v>
      </c>
      <c r="D16" s="291">
        <v>7</v>
      </c>
      <c r="E16" s="11">
        <v>2</v>
      </c>
      <c r="F16" s="156">
        <v>94</v>
      </c>
      <c r="G16" s="65">
        <v>393</v>
      </c>
      <c r="H16" s="68">
        <v>77.900000000000006</v>
      </c>
      <c r="I16" s="3">
        <v>19</v>
      </c>
      <c r="J16" s="3">
        <v>2</v>
      </c>
      <c r="K16" s="3">
        <v>0</v>
      </c>
      <c r="L16" s="3" t="s">
        <v>366</v>
      </c>
      <c r="M16" s="7">
        <v>1.1000000000000001</v>
      </c>
      <c r="N16" s="65">
        <v>11</v>
      </c>
      <c r="O16" s="65">
        <v>205</v>
      </c>
      <c r="P16" s="3">
        <v>2.8</v>
      </c>
      <c r="Q16" s="3">
        <v>2.09</v>
      </c>
      <c r="R16" s="65">
        <v>51</v>
      </c>
      <c r="S16" s="65">
        <v>318</v>
      </c>
      <c r="T16" s="65">
        <v>23</v>
      </c>
      <c r="U16" s="61">
        <v>4.1000000000000002E-2</v>
      </c>
      <c r="V16" s="61">
        <v>253</v>
      </c>
      <c r="W16" s="7">
        <v>9.6999999999999993</v>
      </c>
      <c r="X16" s="3">
        <v>0</v>
      </c>
      <c r="Y16" s="61">
        <v>0.26</v>
      </c>
      <c r="Z16" s="61">
        <v>0.6</v>
      </c>
      <c r="AA16" s="61">
        <v>5.0999999999999996</v>
      </c>
      <c r="AB16" s="61" t="s">
        <v>2</v>
      </c>
      <c r="AC16" s="61">
        <v>0.37</v>
      </c>
      <c r="AD16" s="65">
        <v>4</v>
      </c>
      <c r="AE16" s="65">
        <v>0</v>
      </c>
      <c r="AF16" s="3" t="s">
        <v>2</v>
      </c>
      <c r="AG16" s="7">
        <v>6.31</v>
      </c>
      <c r="AH16" s="162">
        <v>8</v>
      </c>
      <c r="AI16" s="65">
        <v>8</v>
      </c>
      <c r="AJ16" s="3" t="s">
        <v>2</v>
      </c>
      <c r="AK16" s="3">
        <v>0.2</v>
      </c>
      <c r="AL16" s="7">
        <v>1.1000000000000001</v>
      </c>
      <c r="AM16" s="65">
        <v>0</v>
      </c>
      <c r="AN16" s="65">
        <v>0</v>
      </c>
      <c r="AO16" s="59">
        <v>0</v>
      </c>
      <c r="AP16" s="3">
        <v>0.95</v>
      </c>
      <c r="AQ16" s="61" t="s">
        <v>410</v>
      </c>
      <c r="AR16" s="61" t="s">
        <v>367</v>
      </c>
      <c r="AS16" s="61" t="s">
        <v>368</v>
      </c>
      <c r="AT16" s="61" t="s">
        <v>367</v>
      </c>
      <c r="AU16" s="61" t="s">
        <v>367</v>
      </c>
      <c r="AV16" s="62" t="s">
        <v>367</v>
      </c>
      <c r="AW16" s="3">
        <v>0.67</v>
      </c>
      <c r="AX16" s="61" t="s">
        <v>367</v>
      </c>
      <c r="AY16" s="61" t="s">
        <v>381</v>
      </c>
      <c r="AZ16" s="62">
        <v>0.63</v>
      </c>
      <c r="BA16" s="3">
        <v>0.47</v>
      </c>
      <c r="BB16" s="61" t="s">
        <v>390</v>
      </c>
      <c r="BC16" s="61" t="s">
        <v>411</v>
      </c>
      <c r="BD16" s="61">
        <v>0.1</v>
      </c>
      <c r="BE16" s="61" t="s">
        <v>367</v>
      </c>
      <c r="BF16" s="62" t="s">
        <v>367</v>
      </c>
      <c r="BG16" s="23" t="s">
        <v>2</v>
      </c>
      <c r="BH16" s="11">
        <v>85</v>
      </c>
      <c r="BI16" s="166" t="s">
        <v>2</v>
      </c>
      <c r="BJ16" s="162" t="s">
        <v>2</v>
      </c>
      <c r="BK16" s="162" t="s">
        <v>2</v>
      </c>
      <c r="BL16" s="162" t="s">
        <v>2</v>
      </c>
      <c r="BM16" s="162" t="s">
        <v>2</v>
      </c>
      <c r="BN16" s="162" t="s">
        <v>2</v>
      </c>
      <c r="BO16" s="162" t="s">
        <v>2</v>
      </c>
      <c r="BP16" s="162" t="s">
        <v>2</v>
      </c>
      <c r="BQ16" s="162" t="s">
        <v>2</v>
      </c>
      <c r="BR16" s="162" t="s">
        <v>2</v>
      </c>
      <c r="BS16" s="162" t="s">
        <v>2</v>
      </c>
      <c r="BT16" s="162" t="s">
        <v>2</v>
      </c>
      <c r="BU16" s="162" t="s">
        <v>2</v>
      </c>
      <c r="BV16" s="162" t="s">
        <v>2</v>
      </c>
      <c r="BW16" s="162" t="s">
        <v>2</v>
      </c>
      <c r="BX16" s="162" t="s">
        <v>2</v>
      </c>
      <c r="BY16" s="162" t="s">
        <v>2</v>
      </c>
      <c r="BZ16" s="59" t="s">
        <v>2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7">
        <v>0</v>
      </c>
      <c r="CH16" s="65">
        <v>0</v>
      </c>
      <c r="CI16" s="59">
        <v>0</v>
      </c>
      <c r="CJ16" s="65">
        <v>0</v>
      </c>
      <c r="CK16" s="65">
        <v>0</v>
      </c>
      <c r="CL16" s="65">
        <v>0</v>
      </c>
      <c r="CM16" s="59">
        <v>0</v>
      </c>
      <c r="CN16" s="156">
        <v>0</v>
      </c>
      <c r="CO16" s="156" t="s">
        <v>2</v>
      </c>
    </row>
    <row r="17" spans="1:93" s="13" customFormat="1" x14ac:dyDescent="0.25">
      <c r="A17" s="155" t="s">
        <v>1393</v>
      </c>
      <c r="B17" s="55" t="s">
        <v>412</v>
      </c>
      <c r="C17" s="10" t="s">
        <v>1394</v>
      </c>
      <c r="D17" s="291">
        <v>7</v>
      </c>
      <c r="E17" s="11">
        <v>2</v>
      </c>
      <c r="F17" s="156">
        <v>394</v>
      </c>
      <c r="G17" s="65">
        <v>1647</v>
      </c>
      <c r="H17" s="68">
        <v>47.5</v>
      </c>
      <c r="I17" s="3">
        <v>14.5</v>
      </c>
      <c r="J17" s="3">
        <v>37.299999999999997</v>
      </c>
      <c r="K17" s="3">
        <v>0</v>
      </c>
      <c r="L17" s="3" t="s">
        <v>366</v>
      </c>
      <c r="M17" s="7">
        <v>0.7</v>
      </c>
      <c r="N17" s="65">
        <v>8</v>
      </c>
      <c r="O17" s="65">
        <v>156</v>
      </c>
      <c r="P17" s="3">
        <v>0.4</v>
      </c>
      <c r="Q17" s="3">
        <v>1.59</v>
      </c>
      <c r="R17" s="65">
        <v>42</v>
      </c>
      <c r="S17" s="65">
        <v>253</v>
      </c>
      <c r="T17" s="65">
        <v>13</v>
      </c>
      <c r="U17" s="61">
        <v>1.0999999999999999E-2</v>
      </c>
      <c r="V17" s="61">
        <v>55</v>
      </c>
      <c r="W17" s="7">
        <v>28.4</v>
      </c>
      <c r="X17" s="3">
        <v>0</v>
      </c>
      <c r="Y17" s="61">
        <v>0</v>
      </c>
      <c r="Z17" s="61">
        <v>0</v>
      </c>
      <c r="AA17" s="61">
        <v>0</v>
      </c>
      <c r="AB17" s="61">
        <v>0.52600000000000002</v>
      </c>
      <c r="AC17" s="61">
        <v>0.28399999999999997</v>
      </c>
      <c r="AD17" s="65">
        <v>4</v>
      </c>
      <c r="AE17" s="65">
        <v>0</v>
      </c>
      <c r="AF17" s="3" t="s">
        <v>2</v>
      </c>
      <c r="AG17" s="7">
        <v>0.61</v>
      </c>
      <c r="AH17" s="162">
        <v>2</v>
      </c>
      <c r="AI17" s="65">
        <v>2</v>
      </c>
      <c r="AJ17" s="3" t="s">
        <v>2</v>
      </c>
      <c r="AK17" s="3" t="s">
        <v>2</v>
      </c>
      <c r="AL17" s="7" t="s">
        <v>2</v>
      </c>
      <c r="AM17" s="65">
        <v>0</v>
      </c>
      <c r="AN17" s="65">
        <v>0</v>
      </c>
      <c r="AO17" s="59">
        <v>0</v>
      </c>
      <c r="AP17" s="3">
        <v>12.44</v>
      </c>
      <c r="AQ17" s="61">
        <v>7.65</v>
      </c>
      <c r="AR17" s="61" t="s">
        <v>367</v>
      </c>
      <c r="AS17" s="61">
        <v>4.2</v>
      </c>
      <c r="AT17" s="61" t="s">
        <v>367</v>
      </c>
      <c r="AU17" s="61" t="s">
        <v>367</v>
      </c>
      <c r="AV17" s="62" t="s">
        <v>367</v>
      </c>
      <c r="AW17" s="3">
        <v>15.93</v>
      </c>
      <c r="AX17" s="61" t="s">
        <v>367</v>
      </c>
      <c r="AY17" s="61" t="s">
        <v>413</v>
      </c>
      <c r="AZ17" s="62">
        <v>14.66</v>
      </c>
      <c r="BA17" s="3">
        <v>3.8</v>
      </c>
      <c r="BB17" s="61">
        <v>3.3</v>
      </c>
      <c r="BC17" s="61" t="s">
        <v>176</v>
      </c>
      <c r="BD17" s="61">
        <v>0.11</v>
      </c>
      <c r="BE17" s="61" t="s">
        <v>367</v>
      </c>
      <c r="BF17" s="62" t="s">
        <v>367</v>
      </c>
      <c r="BG17" s="23" t="s">
        <v>2</v>
      </c>
      <c r="BH17" s="11">
        <v>74</v>
      </c>
      <c r="BI17" s="65">
        <v>1230</v>
      </c>
      <c r="BJ17" s="65">
        <v>347</v>
      </c>
      <c r="BK17" s="65">
        <v>160</v>
      </c>
      <c r="BL17" s="65">
        <v>547</v>
      </c>
      <c r="BM17" s="65">
        <v>610</v>
      </c>
      <c r="BN17" s="65">
        <v>737</v>
      </c>
      <c r="BO17" s="65">
        <v>1088</v>
      </c>
      <c r="BP17" s="65">
        <v>616</v>
      </c>
      <c r="BQ17" s="65">
        <v>911</v>
      </c>
      <c r="BR17" s="65">
        <v>509</v>
      </c>
      <c r="BS17" s="65">
        <v>169</v>
      </c>
      <c r="BT17" s="65">
        <v>454</v>
      </c>
      <c r="BU17" s="65">
        <v>832</v>
      </c>
      <c r="BV17" s="65">
        <v>1249</v>
      </c>
      <c r="BW17" s="65">
        <v>2062</v>
      </c>
      <c r="BX17" s="65">
        <v>868</v>
      </c>
      <c r="BY17" s="65">
        <v>672</v>
      </c>
      <c r="BZ17" s="59">
        <v>574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7">
        <v>0</v>
      </c>
      <c r="CH17" s="65">
        <v>0</v>
      </c>
      <c r="CI17" s="59">
        <v>0</v>
      </c>
      <c r="CJ17" s="65">
        <v>0</v>
      </c>
      <c r="CK17" s="65">
        <v>0</v>
      </c>
      <c r="CL17" s="65">
        <v>0</v>
      </c>
      <c r="CM17" s="59">
        <v>0</v>
      </c>
      <c r="CN17" s="156">
        <v>0</v>
      </c>
      <c r="CO17" s="156" t="s">
        <v>2</v>
      </c>
    </row>
    <row r="18" spans="1:93" s="13" customFormat="1" x14ac:dyDescent="0.25">
      <c r="A18" s="155" t="s">
        <v>1395</v>
      </c>
      <c r="B18" s="55" t="s">
        <v>414</v>
      </c>
      <c r="C18" s="10" t="s">
        <v>1396</v>
      </c>
      <c r="D18" s="291">
        <v>7</v>
      </c>
      <c r="E18" s="11">
        <v>2</v>
      </c>
      <c r="F18" s="156">
        <v>139</v>
      </c>
      <c r="G18" s="65">
        <v>582</v>
      </c>
      <c r="H18" s="68">
        <v>73</v>
      </c>
      <c r="I18" s="3">
        <v>19</v>
      </c>
      <c r="J18" s="3">
        <v>7</v>
      </c>
      <c r="K18" s="3">
        <v>0</v>
      </c>
      <c r="L18" s="3" t="s">
        <v>366</v>
      </c>
      <c r="M18" s="7">
        <v>1</v>
      </c>
      <c r="N18" s="65">
        <v>7</v>
      </c>
      <c r="O18" s="65">
        <v>190</v>
      </c>
      <c r="P18" s="3">
        <v>0.96</v>
      </c>
      <c r="Q18" s="3">
        <v>2.5</v>
      </c>
      <c r="R18" s="65">
        <v>76</v>
      </c>
      <c r="S18" s="65">
        <v>341</v>
      </c>
      <c r="T18" s="65">
        <v>32</v>
      </c>
      <c r="U18" s="61">
        <v>1.2E-2</v>
      </c>
      <c r="V18" s="61">
        <v>190</v>
      </c>
      <c r="W18" s="7">
        <v>23.9</v>
      </c>
      <c r="X18" s="3">
        <v>0.8</v>
      </c>
      <c r="Y18" s="61">
        <v>0.9</v>
      </c>
      <c r="Z18" s="61">
        <v>0.18</v>
      </c>
      <c r="AA18" s="61">
        <v>4.4000000000000004</v>
      </c>
      <c r="AB18" s="61">
        <v>0.82199999999999995</v>
      </c>
      <c r="AC18" s="61">
        <v>0.41499999999999998</v>
      </c>
      <c r="AD18" s="65">
        <v>5</v>
      </c>
      <c r="AE18" s="65">
        <v>0</v>
      </c>
      <c r="AF18" s="3">
        <v>2.6</v>
      </c>
      <c r="AG18" s="7">
        <v>0.84</v>
      </c>
      <c r="AH18" s="162" t="s">
        <v>2</v>
      </c>
      <c r="AI18" s="65">
        <v>2</v>
      </c>
      <c r="AJ18" s="3" t="s">
        <v>2</v>
      </c>
      <c r="AK18" s="3" t="s">
        <v>2</v>
      </c>
      <c r="AL18" s="7" t="s">
        <v>2</v>
      </c>
      <c r="AM18" s="65">
        <v>0</v>
      </c>
      <c r="AN18" s="65">
        <v>0</v>
      </c>
      <c r="AO18" s="59">
        <v>0</v>
      </c>
      <c r="AP18" s="3">
        <v>2.4700000000000002</v>
      </c>
      <c r="AQ18" s="61">
        <v>1.57</v>
      </c>
      <c r="AR18" s="61" t="s">
        <v>367</v>
      </c>
      <c r="AS18" s="61" t="s">
        <v>415</v>
      </c>
      <c r="AT18" s="61" t="s">
        <v>367</v>
      </c>
      <c r="AU18" s="61" t="s">
        <v>367</v>
      </c>
      <c r="AV18" s="62" t="s">
        <v>367</v>
      </c>
      <c r="AW18" s="3">
        <v>3.23</v>
      </c>
      <c r="AX18" s="61" t="s">
        <v>367</v>
      </c>
      <c r="AY18" s="61" t="s">
        <v>416</v>
      </c>
      <c r="AZ18" s="62">
        <v>2.93</v>
      </c>
      <c r="BA18" s="3">
        <v>0.77</v>
      </c>
      <c r="BB18" s="61" t="s">
        <v>417</v>
      </c>
      <c r="BC18" s="61" t="s">
        <v>381</v>
      </c>
      <c r="BD18" s="61">
        <v>0.09</v>
      </c>
      <c r="BE18" s="61" t="s">
        <v>367</v>
      </c>
      <c r="BF18" s="62" t="s">
        <v>367</v>
      </c>
      <c r="BG18" s="23" t="s">
        <v>2</v>
      </c>
      <c r="BH18" s="11">
        <v>67</v>
      </c>
      <c r="BI18" s="65">
        <v>1440</v>
      </c>
      <c r="BJ18" s="65">
        <v>400</v>
      </c>
      <c r="BK18" s="65">
        <v>230</v>
      </c>
      <c r="BL18" s="65">
        <v>690</v>
      </c>
      <c r="BM18" s="65">
        <v>740</v>
      </c>
      <c r="BN18" s="65">
        <v>910</v>
      </c>
      <c r="BO18" s="65">
        <v>1190</v>
      </c>
      <c r="BP18" s="65">
        <v>940</v>
      </c>
      <c r="BQ18" s="65">
        <v>1010</v>
      </c>
      <c r="BR18" s="65">
        <v>510</v>
      </c>
      <c r="BS18" s="65">
        <v>202</v>
      </c>
      <c r="BT18" s="65">
        <v>644</v>
      </c>
      <c r="BU18" s="65">
        <v>990</v>
      </c>
      <c r="BV18" s="65">
        <v>1607</v>
      </c>
      <c r="BW18" s="65">
        <v>2603</v>
      </c>
      <c r="BX18" s="65">
        <v>1023</v>
      </c>
      <c r="BY18" s="65">
        <v>821</v>
      </c>
      <c r="BZ18" s="59">
        <v>752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7">
        <v>0</v>
      </c>
      <c r="CH18" s="65">
        <v>0</v>
      </c>
      <c r="CI18" s="59">
        <v>0</v>
      </c>
      <c r="CJ18" s="65">
        <v>0</v>
      </c>
      <c r="CK18" s="65">
        <v>0</v>
      </c>
      <c r="CL18" s="65">
        <v>0</v>
      </c>
      <c r="CM18" s="59">
        <v>0</v>
      </c>
      <c r="CN18" s="156">
        <v>0</v>
      </c>
      <c r="CO18" s="156">
        <v>166</v>
      </c>
    </row>
    <row r="19" spans="1:93" s="13" customFormat="1" x14ac:dyDescent="0.25">
      <c r="A19" s="155" t="s">
        <v>1397</v>
      </c>
      <c r="B19" s="55" t="s">
        <v>418</v>
      </c>
      <c r="C19" s="10" t="s">
        <v>1398</v>
      </c>
      <c r="D19" s="291">
        <v>7</v>
      </c>
      <c r="E19" s="11">
        <v>2</v>
      </c>
      <c r="F19" s="156">
        <v>260</v>
      </c>
      <c r="G19" s="65">
        <v>1086</v>
      </c>
      <c r="H19" s="68">
        <v>60.9</v>
      </c>
      <c r="I19" s="3">
        <v>16.5</v>
      </c>
      <c r="J19" s="3">
        <v>21.5</v>
      </c>
      <c r="K19" s="3">
        <v>0</v>
      </c>
      <c r="L19" s="3" t="s">
        <v>366</v>
      </c>
      <c r="M19" s="7">
        <v>1.1000000000000001</v>
      </c>
      <c r="N19" s="65">
        <v>9</v>
      </c>
      <c r="O19" s="65">
        <v>178</v>
      </c>
      <c r="P19" s="3">
        <v>1.5</v>
      </c>
      <c r="Q19" s="3">
        <v>1.91</v>
      </c>
      <c r="R19" s="65">
        <v>55</v>
      </c>
      <c r="S19" s="65">
        <v>285</v>
      </c>
      <c r="T19" s="65">
        <v>19</v>
      </c>
      <c r="U19" s="61">
        <v>1.0999999999999999E-2</v>
      </c>
      <c r="V19" s="61">
        <v>63</v>
      </c>
      <c r="W19" s="7">
        <v>28.7</v>
      </c>
      <c r="X19" s="3">
        <v>2</v>
      </c>
      <c r="Y19" s="61">
        <v>0.53</v>
      </c>
      <c r="Z19" s="61">
        <v>0.16</v>
      </c>
      <c r="AA19" s="61">
        <v>2.7</v>
      </c>
      <c r="AB19" s="61">
        <v>0.67200000000000004</v>
      </c>
      <c r="AC19" s="61">
        <v>0.39300000000000002</v>
      </c>
      <c r="AD19" s="65">
        <v>4</v>
      </c>
      <c r="AE19" s="65">
        <v>0</v>
      </c>
      <c r="AF19" s="3">
        <v>2.6</v>
      </c>
      <c r="AG19" s="7">
        <v>0.6</v>
      </c>
      <c r="AH19" s="162">
        <v>10</v>
      </c>
      <c r="AI19" s="65">
        <v>10</v>
      </c>
      <c r="AJ19" s="3" t="s">
        <v>2</v>
      </c>
      <c r="AK19" s="3" t="s">
        <v>2</v>
      </c>
      <c r="AL19" s="7" t="s">
        <v>2</v>
      </c>
      <c r="AM19" s="65">
        <v>0</v>
      </c>
      <c r="AN19" s="65">
        <v>0</v>
      </c>
      <c r="AO19" s="59">
        <v>0</v>
      </c>
      <c r="AP19" s="3">
        <v>7.29</v>
      </c>
      <c r="AQ19" s="61">
        <v>4.5199999999999996</v>
      </c>
      <c r="AR19" s="61" t="s">
        <v>367</v>
      </c>
      <c r="AS19" s="61">
        <v>2.41</v>
      </c>
      <c r="AT19" s="61" t="s">
        <v>367</v>
      </c>
      <c r="AU19" s="61" t="s">
        <v>367</v>
      </c>
      <c r="AV19" s="62" t="s">
        <v>367</v>
      </c>
      <c r="AW19" s="3">
        <v>9.34</v>
      </c>
      <c r="AX19" s="61" t="s">
        <v>367</v>
      </c>
      <c r="AY19" s="61" t="s">
        <v>419</v>
      </c>
      <c r="AZ19" s="62">
        <v>8.58</v>
      </c>
      <c r="BA19" s="3">
        <v>2.2400000000000002</v>
      </c>
      <c r="BB19" s="61">
        <v>1.88</v>
      </c>
      <c r="BC19" s="61" t="s">
        <v>420</v>
      </c>
      <c r="BD19" s="61">
        <v>0.09</v>
      </c>
      <c r="BE19" s="61" t="s">
        <v>367</v>
      </c>
      <c r="BF19" s="62" t="s">
        <v>367</v>
      </c>
      <c r="BG19" s="23" t="s">
        <v>2</v>
      </c>
      <c r="BH19" s="11">
        <v>68</v>
      </c>
      <c r="BI19" s="65">
        <v>1517</v>
      </c>
      <c r="BJ19" s="65">
        <v>432</v>
      </c>
      <c r="BK19" s="65">
        <v>202</v>
      </c>
      <c r="BL19" s="65">
        <v>674</v>
      </c>
      <c r="BM19" s="65">
        <v>757</v>
      </c>
      <c r="BN19" s="65">
        <v>911</v>
      </c>
      <c r="BO19" s="65">
        <v>1344</v>
      </c>
      <c r="BP19" s="65">
        <v>767</v>
      </c>
      <c r="BQ19" s="65">
        <v>1104</v>
      </c>
      <c r="BR19" s="65">
        <v>640</v>
      </c>
      <c r="BS19" s="65">
        <v>210</v>
      </c>
      <c r="BT19" s="65">
        <v>567</v>
      </c>
      <c r="BU19" s="65">
        <v>1014</v>
      </c>
      <c r="BV19" s="65">
        <v>1547</v>
      </c>
      <c r="BW19" s="65">
        <v>2568</v>
      </c>
      <c r="BX19" s="65">
        <v>999</v>
      </c>
      <c r="BY19" s="65">
        <v>789</v>
      </c>
      <c r="BZ19" s="59">
        <v>705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7">
        <v>0</v>
      </c>
      <c r="CH19" s="65">
        <v>0</v>
      </c>
      <c r="CI19" s="59">
        <v>0</v>
      </c>
      <c r="CJ19" s="65">
        <v>0</v>
      </c>
      <c r="CK19" s="65">
        <v>0</v>
      </c>
      <c r="CL19" s="65">
        <v>0</v>
      </c>
      <c r="CM19" s="59">
        <v>0</v>
      </c>
      <c r="CN19" s="156">
        <v>0</v>
      </c>
      <c r="CO19" s="156" t="s">
        <v>2</v>
      </c>
    </row>
    <row r="20" spans="1:93" s="13" customFormat="1" x14ac:dyDescent="0.25">
      <c r="A20" s="155" t="s">
        <v>1399</v>
      </c>
      <c r="B20" s="55" t="s">
        <v>421</v>
      </c>
      <c r="C20" s="10" t="s">
        <v>1400</v>
      </c>
      <c r="D20" s="291">
        <v>7</v>
      </c>
      <c r="E20" s="11">
        <v>52</v>
      </c>
      <c r="F20" s="156">
        <v>409</v>
      </c>
      <c r="G20" s="65">
        <v>1710</v>
      </c>
      <c r="H20" s="68">
        <v>46.1</v>
      </c>
      <c r="I20" s="3">
        <v>14</v>
      </c>
      <c r="J20" s="3">
        <v>39.200000000000003</v>
      </c>
      <c r="K20" s="3">
        <v>0</v>
      </c>
      <c r="L20" s="3" t="s">
        <v>366</v>
      </c>
      <c r="M20" s="7">
        <v>0.7</v>
      </c>
      <c r="N20" s="65">
        <v>13</v>
      </c>
      <c r="O20" s="65">
        <v>210</v>
      </c>
      <c r="P20" s="3">
        <v>1.8</v>
      </c>
      <c r="Q20" s="3">
        <v>1.72</v>
      </c>
      <c r="R20" s="65">
        <v>73</v>
      </c>
      <c r="S20" s="65">
        <v>308</v>
      </c>
      <c r="T20" s="65">
        <v>18</v>
      </c>
      <c r="U20" s="61">
        <v>0.02</v>
      </c>
      <c r="V20" s="61">
        <v>270</v>
      </c>
      <c r="W20" s="7">
        <v>14.4</v>
      </c>
      <c r="X20" s="3">
        <v>4.2</v>
      </c>
      <c r="Y20" s="61">
        <v>0.2</v>
      </c>
      <c r="Z20" s="61">
        <v>0.19</v>
      </c>
      <c r="AA20" s="61">
        <v>5.7</v>
      </c>
      <c r="AB20" s="61">
        <v>1.294</v>
      </c>
      <c r="AC20" s="61">
        <v>0.39</v>
      </c>
      <c r="AD20" s="65">
        <v>4</v>
      </c>
      <c r="AE20" s="65">
        <v>0</v>
      </c>
      <c r="AF20" s="3" t="s">
        <v>2</v>
      </c>
      <c r="AG20" s="7">
        <v>0.34</v>
      </c>
      <c r="AH20" s="162">
        <v>17</v>
      </c>
      <c r="AI20" s="65">
        <v>17</v>
      </c>
      <c r="AJ20" s="3" t="s">
        <v>2</v>
      </c>
      <c r="AK20" s="3" t="s">
        <v>2</v>
      </c>
      <c r="AL20" s="7" t="s">
        <v>2</v>
      </c>
      <c r="AM20" s="65">
        <v>0</v>
      </c>
      <c r="AN20" s="65">
        <v>0</v>
      </c>
      <c r="AO20" s="59">
        <v>0</v>
      </c>
      <c r="AP20" s="3">
        <v>9.7799999999999994</v>
      </c>
      <c r="AQ20" s="61">
        <v>6.95</v>
      </c>
      <c r="AR20" s="61" t="s">
        <v>367</v>
      </c>
      <c r="AS20" s="61">
        <v>2.33</v>
      </c>
      <c r="AT20" s="61" t="s">
        <v>367</v>
      </c>
      <c r="AU20" s="61" t="s">
        <v>367</v>
      </c>
      <c r="AV20" s="62" t="s">
        <v>367</v>
      </c>
      <c r="AW20" s="3">
        <v>17.77</v>
      </c>
      <c r="AX20" s="61" t="s">
        <v>367</v>
      </c>
      <c r="AY20" s="61" t="s">
        <v>422</v>
      </c>
      <c r="AZ20" s="62">
        <v>16.68</v>
      </c>
      <c r="BA20" s="3">
        <v>3.76</v>
      </c>
      <c r="BB20" s="61">
        <v>3.34</v>
      </c>
      <c r="BC20" s="61" t="s">
        <v>423</v>
      </c>
      <c r="BD20" s="61">
        <v>0</v>
      </c>
      <c r="BE20" s="61" t="s">
        <v>367</v>
      </c>
      <c r="BF20" s="62" t="s">
        <v>367</v>
      </c>
      <c r="BG20" s="23" t="s">
        <v>2</v>
      </c>
      <c r="BH20" s="11">
        <v>80</v>
      </c>
      <c r="BI20" s="65">
        <v>1252</v>
      </c>
      <c r="BJ20" s="65">
        <v>350</v>
      </c>
      <c r="BK20" s="65">
        <v>204</v>
      </c>
      <c r="BL20" s="65">
        <v>618</v>
      </c>
      <c r="BM20" s="65">
        <v>651</v>
      </c>
      <c r="BN20" s="65">
        <v>699</v>
      </c>
      <c r="BO20" s="65">
        <v>1199</v>
      </c>
      <c r="BP20" s="65">
        <v>641</v>
      </c>
      <c r="BQ20" s="65">
        <v>948</v>
      </c>
      <c r="BR20" s="65">
        <v>395</v>
      </c>
      <c r="BS20" s="65">
        <v>99</v>
      </c>
      <c r="BT20" s="65">
        <v>501</v>
      </c>
      <c r="BU20" s="65">
        <v>888</v>
      </c>
      <c r="BV20" s="65">
        <v>1330</v>
      </c>
      <c r="BW20" s="65">
        <v>2231</v>
      </c>
      <c r="BX20" s="65">
        <v>869</v>
      </c>
      <c r="BY20" s="65">
        <v>627</v>
      </c>
      <c r="BZ20" s="59">
        <v>565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7">
        <v>0</v>
      </c>
      <c r="CH20" s="65">
        <v>0</v>
      </c>
      <c r="CI20" s="59">
        <v>0</v>
      </c>
      <c r="CJ20" s="65">
        <v>0</v>
      </c>
      <c r="CK20" s="65">
        <v>0</v>
      </c>
      <c r="CL20" s="65">
        <v>0</v>
      </c>
      <c r="CM20" s="59">
        <v>0</v>
      </c>
      <c r="CN20" s="156">
        <v>0</v>
      </c>
      <c r="CO20" s="156">
        <v>165</v>
      </c>
    </row>
    <row r="21" spans="1:93" s="13" customFormat="1" x14ac:dyDescent="0.25">
      <c r="A21" s="155" t="s">
        <v>1401</v>
      </c>
      <c r="B21" s="55" t="s">
        <v>424</v>
      </c>
      <c r="C21" s="10" t="s">
        <v>1402</v>
      </c>
      <c r="D21" s="291">
        <v>7</v>
      </c>
      <c r="E21" s="11" t="s">
        <v>425</v>
      </c>
      <c r="F21" s="156">
        <v>176</v>
      </c>
      <c r="G21" s="65">
        <v>736</v>
      </c>
      <c r="H21" s="68">
        <v>66.8</v>
      </c>
      <c r="I21" s="3">
        <v>21.5</v>
      </c>
      <c r="J21" s="3">
        <v>10</v>
      </c>
      <c r="K21" s="3">
        <v>0</v>
      </c>
      <c r="L21" s="3" t="s">
        <v>366</v>
      </c>
      <c r="M21" s="7">
        <v>1.7</v>
      </c>
      <c r="N21" s="65">
        <v>13</v>
      </c>
      <c r="O21" s="65">
        <v>200</v>
      </c>
      <c r="P21" s="3">
        <v>3.1</v>
      </c>
      <c r="Q21" s="3">
        <v>4.6100000000000003</v>
      </c>
      <c r="R21" s="65">
        <v>62</v>
      </c>
      <c r="S21" s="65">
        <v>291</v>
      </c>
      <c r="T21" s="65">
        <v>20</v>
      </c>
      <c r="U21" s="61">
        <v>0.02</v>
      </c>
      <c r="V21" s="61">
        <v>140</v>
      </c>
      <c r="W21" s="7">
        <v>6</v>
      </c>
      <c r="X21" s="3">
        <v>0.6</v>
      </c>
      <c r="Y21" s="61">
        <v>7.0000000000000007E-2</v>
      </c>
      <c r="Z21" s="61">
        <v>0.1</v>
      </c>
      <c r="AA21" s="61">
        <v>4.2</v>
      </c>
      <c r="AB21" s="61">
        <v>0.6</v>
      </c>
      <c r="AC21" s="61">
        <v>0.5</v>
      </c>
      <c r="AD21" s="65">
        <v>8</v>
      </c>
      <c r="AE21" s="65">
        <v>0</v>
      </c>
      <c r="AF21" s="3">
        <v>2.6</v>
      </c>
      <c r="AG21" s="7">
        <v>3.1</v>
      </c>
      <c r="AH21" s="162">
        <v>37</v>
      </c>
      <c r="AI21" s="65">
        <v>37</v>
      </c>
      <c r="AJ21" s="3">
        <v>0.3</v>
      </c>
      <c r="AK21" s="3">
        <v>0.23</v>
      </c>
      <c r="AL21" s="7">
        <v>0</v>
      </c>
      <c r="AM21" s="65">
        <v>0</v>
      </c>
      <c r="AN21" s="65">
        <v>0</v>
      </c>
      <c r="AO21" s="59">
        <v>0</v>
      </c>
      <c r="AP21" s="3">
        <v>3.48</v>
      </c>
      <c r="AQ21" s="61">
        <v>2.67</v>
      </c>
      <c r="AR21" s="61" t="s">
        <v>426</v>
      </c>
      <c r="AS21" s="61">
        <v>0.76</v>
      </c>
      <c r="AT21" s="61" t="s">
        <v>367</v>
      </c>
      <c r="AU21" s="61" t="s">
        <v>367</v>
      </c>
      <c r="AV21" s="62" t="s">
        <v>367</v>
      </c>
      <c r="AW21" s="3">
        <v>3.2</v>
      </c>
      <c r="AX21" s="61" t="s">
        <v>367</v>
      </c>
      <c r="AY21" s="61" t="s">
        <v>385</v>
      </c>
      <c r="AZ21" s="62">
        <v>2.67</v>
      </c>
      <c r="BA21" s="3">
        <v>2.25</v>
      </c>
      <c r="BB21" s="61">
        <v>1.1000000000000001</v>
      </c>
      <c r="BC21" s="61" t="s">
        <v>427</v>
      </c>
      <c r="BD21" s="61">
        <v>0.19</v>
      </c>
      <c r="BE21" s="61" t="s">
        <v>367</v>
      </c>
      <c r="BF21" s="62" t="s">
        <v>367</v>
      </c>
      <c r="BG21" s="23" t="s">
        <v>2</v>
      </c>
      <c r="BH21" s="11">
        <v>75</v>
      </c>
      <c r="BI21" s="65">
        <v>2150</v>
      </c>
      <c r="BJ21" s="65">
        <v>602</v>
      </c>
      <c r="BK21" s="65">
        <v>217</v>
      </c>
      <c r="BL21" s="65">
        <v>819</v>
      </c>
      <c r="BM21" s="65">
        <v>839</v>
      </c>
      <c r="BN21" s="65">
        <v>1077</v>
      </c>
      <c r="BO21" s="65">
        <v>2043</v>
      </c>
      <c r="BP21" s="65">
        <v>1398</v>
      </c>
      <c r="BQ21" s="65">
        <v>1548</v>
      </c>
      <c r="BR21" s="65">
        <v>602</v>
      </c>
      <c r="BS21" s="65">
        <v>280</v>
      </c>
      <c r="BT21" s="65">
        <v>796</v>
      </c>
      <c r="BU21" s="65">
        <v>1163</v>
      </c>
      <c r="BV21" s="65">
        <v>1785</v>
      </c>
      <c r="BW21" s="65">
        <v>2625</v>
      </c>
      <c r="BX21" s="65">
        <v>925</v>
      </c>
      <c r="BY21" s="65">
        <v>860</v>
      </c>
      <c r="BZ21" s="59">
        <v>908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7">
        <v>0</v>
      </c>
      <c r="CH21" s="65">
        <v>0</v>
      </c>
      <c r="CI21" s="59">
        <v>0</v>
      </c>
      <c r="CJ21" s="65">
        <v>0</v>
      </c>
      <c r="CK21" s="65">
        <v>0</v>
      </c>
      <c r="CL21" s="65">
        <v>0</v>
      </c>
      <c r="CM21" s="59">
        <v>0</v>
      </c>
      <c r="CN21" s="156">
        <v>0</v>
      </c>
      <c r="CO21" s="156">
        <v>200</v>
      </c>
    </row>
    <row r="22" spans="1:93" s="13" customFormat="1" x14ac:dyDescent="0.25">
      <c r="A22" s="155" t="s">
        <v>1403</v>
      </c>
      <c r="B22" s="55" t="s">
        <v>428</v>
      </c>
      <c r="C22" s="10" t="s">
        <v>1404</v>
      </c>
      <c r="D22" s="291">
        <v>7</v>
      </c>
      <c r="E22" s="11">
        <v>45</v>
      </c>
      <c r="F22" s="156">
        <v>158</v>
      </c>
      <c r="G22" s="65">
        <v>661</v>
      </c>
      <c r="H22" s="68">
        <v>69.3</v>
      </c>
      <c r="I22" s="3">
        <v>21.5</v>
      </c>
      <c r="J22" s="3">
        <v>8</v>
      </c>
      <c r="K22" s="3">
        <v>0</v>
      </c>
      <c r="L22" s="3" t="s">
        <v>366</v>
      </c>
      <c r="M22" s="7">
        <v>1.2</v>
      </c>
      <c r="N22" s="65">
        <v>21</v>
      </c>
      <c r="O22" s="65">
        <v>224</v>
      </c>
      <c r="P22" s="3">
        <v>1.6</v>
      </c>
      <c r="Q22" s="3">
        <v>1.57</v>
      </c>
      <c r="R22" s="65">
        <v>41</v>
      </c>
      <c r="S22" s="65">
        <v>330</v>
      </c>
      <c r="T22" s="65">
        <v>19</v>
      </c>
      <c r="U22" s="61">
        <v>2.5999999999999999E-2</v>
      </c>
      <c r="V22" s="61">
        <v>145</v>
      </c>
      <c r="W22" s="7">
        <v>23.7</v>
      </c>
      <c r="X22" s="3">
        <v>0</v>
      </c>
      <c r="Y22" s="61">
        <v>0.08</v>
      </c>
      <c r="Z22" s="61">
        <v>0.06</v>
      </c>
      <c r="AA22" s="61">
        <v>7.6</v>
      </c>
      <c r="AB22" s="61">
        <v>0.8</v>
      </c>
      <c r="AC22" s="61">
        <v>0.5</v>
      </c>
      <c r="AD22" s="65">
        <v>8</v>
      </c>
      <c r="AE22" s="65">
        <v>0</v>
      </c>
      <c r="AF22" s="3">
        <v>1</v>
      </c>
      <c r="AG22" s="7">
        <v>7.16</v>
      </c>
      <c r="AH22" s="162">
        <v>10</v>
      </c>
      <c r="AI22" s="65">
        <v>10</v>
      </c>
      <c r="AJ22" s="3" t="s">
        <v>2</v>
      </c>
      <c r="AK22" s="3">
        <v>0.4</v>
      </c>
      <c r="AL22" s="7">
        <v>0</v>
      </c>
      <c r="AM22" s="65">
        <v>0</v>
      </c>
      <c r="AN22" s="65">
        <v>0</v>
      </c>
      <c r="AO22" s="59">
        <v>0</v>
      </c>
      <c r="AP22" s="3">
        <v>1.66</v>
      </c>
      <c r="AQ22" s="61">
        <v>1.25</v>
      </c>
      <c r="AR22" s="61" t="s">
        <v>367</v>
      </c>
      <c r="AS22" s="61" t="s">
        <v>429</v>
      </c>
      <c r="AT22" s="61" t="s">
        <v>367</v>
      </c>
      <c r="AU22" s="61" t="s">
        <v>367</v>
      </c>
      <c r="AV22" s="62" t="s">
        <v>367</v>
      </c>
      <c r="AW22" s="3">
        <v>1.5</v>
      </c>
      <c r="AX22" s="61" t="s">
        <v>367</v>
      </c>
      <c r="AY22" s="61" t="s">
        <v>408</v>
      </c>
      <c r="AZ22" s="62">
        <v>1.28</v>
      </c>
      <c r="BA22" s="3">
        <v>1.08</v>
      </c>
      <c r="BB22" s="61" t="s">
        <v>384</v>
      </c>
      <c r="BC22" s="61" t="s">
        <v>430</v>
      </c>
      <c r="BD22" s="61">
        <v>0</v>
      </c>
      <c r="BE22" s="61" t="s">
        <v>367</v>
      </c>
      <c r="BF22" s="62" t="s">
        <v>367</v>
      </c>
      <c r="BG22" s="23" t="s">
        <v>2</v>
      </c>
      <c r="BH22" s="11">
        <v>57</v>
      </c>
      <c r="BI22" s="65">
        <v>1811</v>
      </c>
      <c r="BJ22" s="65">
        <v>675</v>
      </c>
      <c r="BK22" s="65">
        <v>337</v>
      </c>
      <c r="BL22" s="65">
        <v>781</v>
      </c>
      <c r="BM22" s="65">
        <v>1136</v>
      </c>
      <c r="BN22" s="65">
        <v>1420</v>
      </c>
      <c r="BO22" s="65">
        <v>1456</v>
      </c>
      <c r="BP22" s="65">
        <v>1207</v>
      </c>
      <c r="BQ22" s="65">
        <v>1243</v>
      </c>
      <c r="BR22" s="65">
        <v>568</v>
      </c>
      <c r="BS22" s="65">
        <v>273</v>
      </c>
      <c r="BT22" s="65">
        <v>746</v>
      </c>
      <c r="BU22" s="65">
        <v>1314</v>
      </c>
      <c r="BV22" s="65">
        <v>2201</v>
      </c>
      <c r="BW22" s="65">
        <v>3550</v>
      </c>
      <c r="BX22" s="65">
        <v>1136</v>
      </c>
      <c r="BY22" s="65">
        <v>1101</v>
      </c>
      <c r="BZ22" s="59">
        <v>1139</v>
      </c>
      <c r="CA22" s="3" t="s">
        <v>2</v>
      </c>
      <c r="CB22" s="3" t="s">
        <v>2</v>
      </c>
      <c r="CC22" s="3" t="s">
        <v>2</v>
      </c>
      <c r="CD22" s="3" t="s">
        <v>2</v>
      </c>
      <c r="CE22" s="3" t="s">
        <v>2</v>
      </c>
      <c r="CF22" s="3" t="s">
        <v>2</v>
      </c>
      <c r="CG22" s="7" t="s">
        <v>2</v>
      </c>
      <c r="CH22" s="65">
        <v>0</v>
      </c>
      <c r="CI22" s="59">
        <v>0</v>
      </c>
      <c r="CJ22" s="65">
        <v>0</v>
      </c>
      <c r="CK22" s="65">
        <v>0</v>
      </c>
      <c r="CL22" s="65">
        <v>0</v>
      </c>
      <c r="CM22" s="59">
        <v>0</v>
      </c>
      <c r="CN22" s="156">
        <v>0</v>
      </c>
      <c r="CO22" s="156">
        <v>132</v>
      </c>
    </row>
    <row r="23" spans="1:93" s="13" customFormat="1" x14ac:dyDescent="0.25">
      <c r="A23" s="155" t="s">
        <v>1405</v>
      </c>
      <c r="B23" s="55" t="s">
        <v>431</v>
      </c>
      <c r="C23" s="10" t="s">
        <v>1406</v>
      </c>
      <c r="D23" s="291">
        <v>7</v>
      </c>
      <c r="E23" s="11">
        <v>45</v>
      </c>
      <c r="F23" s="156">
        <v>103</v>
      </c>
      <c r="G23" s="65">
        <v>431</v>
      </c>
      <c r="H23" s="68">
        <v>74.3</v>
      </c>
      <c r="I23" s="3">
        <v>23.5</v>
      </c>
      <c r="J23" s="3">
        <v>1</v>
      </c>
      <c r="K23" s="3">
        <v>0</v>
      </c>
      <c r="L23" s="3" t="s">
        <v>366</v>
      </c>
      <c r="M23" s="7">
        <v>1.2</v>
      </c>
      <c r="N23" s="65">
        <v>17</v>
      </c>
      <c r="O23" s="65">
        <v>226</v>
      </c>
      <c r="P23" s="3">
        <v>4.8</v>
      </c>
      <c r="Q23" s="3" t="s">
        <v>2</v>
      </c>
      <c r="R23" s="65">
        <v>50</v>
      </c>
      <c r="S23" s="65">
        <v>378</v>
      </c>
      <c r="T23" s="65">
        <v>29</v>
      </c>
      <c r="U23" s="61" t="s">
        <v>2</v>
      </c>
      <c r="V23" s="61" t="s">
        <v>2</v>
      </c>
      <c r="W23" s="7">
        <v>9.4</v>
      </c>
      <c r="X23" s="3" t="s">
        <v>2</v>
      </c>
      <c r="Y23" s="61">
        <v>0.09</v>
      </c>
      <c r="Z23" s="61">
        <v>0.06</v>
      </c>
      <c r="AA23" s="61">
        <v>8.1</v>
      </c>
      <c r="AB23" s="61" t="s">
        <v>2</v>
      </c>
      <c r="AC23" s="61" t="s">
        <v>2</v>
      </c>
      <c r="AD23" s="65" t="s">
        <v>2</v>
      </c>
      <c r="AE23" s="65" t="s">
        <v>2</v>
      </c>
      <c r="AF23" s="3" t="s">
        <v>2</v>
      </c>
      <c r="AG23" s="7" t="s">
        <v>2</v>
      </c>
      <c r="AH23" s="162" t="s">
        <v>2</v>
      </c>
      <c r="AI23" s="65">
        <v>0</v>
      </c>
      <c r="AJ23" s="3" t="s">
        <v>2</v>
      </c>
      <c r="AK23" s="3" t="s">
        <v>2</v>
      </c>
      <c r="AL23" s="7" t="s">
        <v>2</v>
      </c>
      <c r="AM23" s="65">
        <v>0</v>
      </c>
      <c r="AN23" s="65">
        <v>0</v>
      </c>
      <c r="AO23" s="59">
        <v>0</v>
      </c>
      <c r="AP23" s="3">
        <v>0.69</v>
      </c>
      <c r="AQ23" s="61" t="s">
        <v>432</v>
      </c>
      <c r="AR23" s="61" t="s">
        <v>367</v>
      </c>
      <c r="AS23" s="61" t="s">
        <v>433</v>
      </c>
      <c r="AT23" s="61" t="s">
        <v>367</v>
      </c>
      <c r="AU23" s="61" t="s">
        <v>367</v>
      </c>
      <c r="AV23" s="62" t="s">
        <v>367</v>
      </c>
      <c r="AW23" s="3">
        <v>0.63</v>
      </c>
      <c r="AX23" s="61" t="s">
        <v>367</v>
      </c>
      <c r="AY23" s="61" t="s">
        <v>374</v>
      </c>
      <c r="AZ23" s="62" t="s">
        <v>434</v>
      </c>
      <c r="BA23" s="3">
        <v>0.45</v>
      </c>
      <c r="BB23" s="61" t="s">
        <v>435</v>
      </c>
      <c r="BC23" s="61" t="s">
        <v>380</v>
      </c>
      <c r="BD23" s="61">
        <v>0</v>
      </c>
      <c r="BE23" s="61" t="s">
        <v>367</v>
      </c>
      <c r="BF23" s="62" t="s">
        <v>367</v>
      </c>
      <c r="BG23" s="23" t="s">
        <v>2</v>
      </c>
      <c r="BH23" s="11">
        <v>81</v>
      </c>
      <c r="BI23" s="65">
        <v>1908</v>
      </c>
      <c r="BJ23" s="65">
        <v>545</v>
      </c>
      <c r="BK23" s="65">
        <v>288</v>
      </c>
      <c r="BL23" s="65">
        <v>895</v>
      </c>
      <c r="BM23" s="65">
        <v>975</v>
      </c>
      <c r="BN23" s="65">
        <v>1108</v>
      </c>
      <c r="BO23" s="65">
        <v>1698</v>
      </c>
      <c r="BP23" s="65">
        <v>1034</v>
      </c>
      <c r="BQ23" s="65">
        <v>1346</v>
      </c>
      <c r="BR23" s="65">
        <v>611</v>
      </c>
      <c r="BS23" s="65">
        <v>274</v>
      </c>
      <c r="BT23" s="65">
        <v>776</v>
      </c>
      <c r="BU23" s="65">
        <v>1315</v>
      </c>
      <c r="BV23" s="65">
        <v>2129</v>
      </c>
      <c r="BW23" s="65">
        <v>3496</v>
      </c>
      <c r="BX23" s="65">
        <v>1183</v>
      </c>
      <c r="BY23" s="65">
        <v>1065</v>
      </c>
      <c r="BZ23" s="59">
        <v>966</v>
      </c>
      <c r="CA23" s="3" t="s">
        <v>2</v>
      </c>
      <c r="CB23" s="3" t="s">
        <v>2</v>
      </c>
      <c r="CC23" s="3" t="s">
        <v>2</v>
      </c>
      <c r="CD23" s="3" t="s">
        <v>2</v>
      </c>
      <c r="CE23" s="3" t="s">
        <v>2</v>
      </c>
      <c r="CF23" s="3" t="s">
        <v>2</v>
      </c>
      <c r="CG23" s="7" t="s">
        <v>2</v>
      </c>
      <c r="CH23" s="65">
        <v>0</v>
      </c>
      <c r="CI23" s="59">
        <v>0</v>
      </c>
      <c r="CJ23" s="65">
        <v>0</v>
      </c>
      <c r="CK23" s="65">
        <v>0</v>
      </c>
      <c r="CL23" s="65">
        <v>0</v>
      </c>
      <c r="CM23" s="59">
        <v>0</v>
      </c>
      <c r="CN23" s="156">
        <v>0</v>
      </c>
      <c r="CO23" s="156" t="s">
        <v>2</v>
      </c>
    </row>
    <row r="24" spans="1:93" s="13" customFormat="1" x14ac:dyDescent="0.25">
      <c r="A24" s="155" t="s">
        <v>1407</v>
      </c>
      <c r="B24" s="55" t="s">
        <v>436</v>
      </c>
      <c r="C24" s="10" t="s">
        <v>1408</v>
      </c>
      <c r="D24" s="291">
        <v>7</v>
      </c>
      <c r="E24" s="11">
        <v>0</v>
      </c>
      <c r="F24" s="156">
        <v>97</v>
      </c>
      <c r="G24" s="65">
        <v>408</v>
      </c>
      <c r="H24" s="68">
        <v>76.3</v>
      </c>
      <c r="I24" s="3">
        <v>20.39</v>
      </c>
      <c r="J24" s="3">
        <v>1.37</v>
      </c>
      <c r="K24" s="3">
        <v>0.89</v>
      </c>
      <c r="L24" s="3" t="s">
        <v>366</v>
      </c>
      <c r="M24" s="7">
        <v>1.05</v>
      </c>
      <c r="N24" s="65">
        <v>12</v>
      </c>
      <c r="O24" s="65">
        <v>197</v>
      </c>
      <c r="P24" s="3">
        <v>1.61</v>
      </c>
      <c r="Q24" s="3">
        <v>1.93</v>
      </c>
      <c r="R24" s="65">
        <v>53</v>
      </c>
      <c r="S24" s="65">
        <v>297</v>
      </c>
      <c r="T24" s="65">
        <v>32</v>
      </c>
      <c r="U24" s="61" t="s">
        <v>2</v>
      </c>
      <c r="V24" s="61">
        <v>151</v>
      </c>
      <c r="W24" s="7">
        <v>9</v>
      </c>
      <c r="X24" s="3">
        <v>0</v>
      </c>
      <c r="Y24" s="61">
        <v>0.04</v>
      </c>
      <c r="Z24" s="61">
        <v>0.2</v>
      </c>
      <c r="AA24" s="61">
        <v>6</v>
      </c>
      <c r="AB24" s="61">
        <v>0.16</v>
      </c>
      <c r="AC24" s="61">
        <v>0.53</v>
      </c>
      <c r="AD24" s="65">
        <v>8</v>
      </c>
      <c r="AE24" s="65">
        <v>0</v>
      </c>
      <c r="AF24" s="3" t="s">
        <v>2</v>
      </c>
      <c r="AG24" s="7" t="s">
        <v>2</v>
      </c>
      <c r="AH24" s="162" t="s">
        <v>2</v>
      </c>
      <c r="AI24" s="65">
        <v>0</v>
      </c>
      <c r="AJ24" s="3" t="s">
        <v>2</v>
      </c>
      <c r="AK24" s="3" t="s">
        <v>2</v>
      </c>
      <c r="AL24" s="7" t="s">
        <v>2</v>
      </c>
      <c r="AM24" s="65">
        <v>0</v>
      </c>
      <c r="AN24" s="65">
        <v>0</v>
      </c>
      <c r="AO24" s="59">
        <v>0</v>
      </c>
      <c r="AP24" s="3">
        <v>0.46</v>
      </c>
      <c r="AQ24" s="61" t="s">
        <v>437</v>
      </c>
      <c r="AR24" s="61" t="s">
        <v>367</v>
      </c>
      <c r="AS24" s="61" t="s">
        <v>376</v>
      </c>
      <c r="AT24" s="61" t="s">
        <v>367</v>
      </c>
      <c r="AU24" s="61" t="s">
        <v>367</v>
      </c>
      <c r="AV24" s="62" t="s">
        <v>367</v>
      </c>
      <c r="AW24" s="3">
        <v>0.42</v>
      </c>
      <c r="AX24" s="61" t="s">
        <v>367</v>
      </c>
      <c r="AY24" s="61" t="s">
        <v>381</v>
      </c>
      <c r="AZ24" s="62" t="s">
        <v>438</v>
      </c>
      <c r="BA24" s="3">
        <v>0.27</v>
      </c>
      <c r="BB24" s="61" t="s">
        <v>420</v>
      </c>
      <c r="BC24" s="61" t="s">
        <v>399</v>
      </c>
      <c r="BD24" s="61">
        <v>7.0000000000000007E-2</v>
      </c>
      <c r="BE24" s="61" t="s">
        <v>367</v>
      </c>
      <c r="BF24" s="62" t="s">
        <v>367</v>
      </c>
      <c r="BG24" s="23" t="s">
        <v>2</v>
      </c>
      <c r="BH24" s="11">
        <v>46</v>
      </c>
      <c r="BI24" s="65">
        <v>1610</v>
      </c>
      <c r="BJ24" s="65">
        <v>511</v>
      </c>
      <c r="BK24" s="65">
        <v>249</v>
      </c>
      <c r="BL24" s="65">
        <v>817</v>
      </c>
      <c r="BM24" s="65">
        <v>976</v>
      </c>
      <c r="BN24" s="65">
        <v>1084</v>
      </c>
      <c r="BO24" s="65">
        <v>1755</v>
      </c>
      <c r="BP24" s="65">
        <v>1023</v>
      </c>
      <c r="BQ24" s="65">
        <v>1278</v>
      </c>
      <c r="BR24" s="65">
        <v>675</v>
      </c>
      <c r="BS24" s="65">
        <v>326</v>
      </c>
      <c r="BT24" s="162">
        <v>818</v>
      </c>
      <c r="BU24" s="162" t="s">
        <v>2</v>
      </c>
      <c r="BV24" s="65">
        <v>2034</v>
      </c>
      <c r="BW24" s="65">
        <v>2956</v>
      </c>
      <c r="BX24" s="65">
        <v>795</v>
      </c>
      <c r="BY24" s="65">
        <v>780</v>
      </c>
      <c r="BZ24" s="59">
        <v>875</v>
      </c>
      <c r="CA24" s="3" t="s">
        <v>2</v>
      </c>
      <c r="CB24" s="3" t="s">
        <v>2</v>
      </c>
      <c r="CC24" s="3" t="s">
        <v>2</v>
      </c>
      <c r="CD24" s="3" t="s">
        <v>2</v>
      </c>
      <c r="CE24" s="3" t="s">
        <v>2</v>
      </c>
      <c r="CF24" s="3" t="s">
        <v>2</v>
      </c>
      <c r="CG24" s="7" t="s">
        <v>2</v>
      </c>
      <c r="CH24" s="65">
        <v>0</v>
      </c>
      <c r="CI24" s="59">
        <v>0</v>
      </c>
      <c r="CJ24" s="65">
        <v>0</v>
      </c>
      <c r="CK24" s="65">
        <v>0</v>
      </c>
      <c r="CL24" s="65">
        <v>0</v>
      </c>
      <c r="CM24" s="59">
        <v>0</v>
      </c>
      <c r="CN24" s="156">
        <v>0</v>
      </c>
      <c r="CO24" s="156" t="s">
        <v>2</v>
      </c>
    </row>
    <row r="25" spans="1:93" s="13" customFormat="1" x14ac:dyDescent="0.25">
      <c r="A25" s="155" t="s">
        <v>1409</v>
      </c>
      <c r="B25" s="55" t="s">
        <v>439</v>
      </c>
      <c r="C25" s="10" t="s">
        <v>1410</v>
      </c>
      <c r="D25" s="291">
        <v>7</v>
      </c>
      <c r="E25" s="11">
        <v>2</v>
      </c>
      <c r="F25" s="156">
        <v>115</v>
      </c>
      <c r="G25" s="65">
        <v>479</v>
      </c>
      <c r="H25" s="68">
        <v>74.2</v>
      </c>
      <c r="I25" s="3">
        <v>21.9</v>
      </c>
      <c r="J25" s="3">
        <v>3</v>
      </c>
      <c r="K25" s="3">
        <v>0</v>
      </c>
      <c r="L25" s="3" t="s">
        <v>366</v>
      </c>
      <c r="M25" s="7">
        <v>0.9</v>
      </c>
      <c r="N25" s="65">
        <v>30</v>
      </c>
      <c r="O25" s="65">
        <v>150</v>
      </c>
      <c r="P25" s="3" t="s">
        <v>2</v>
      </c>
      <c r="Q25" s="3" t="s">
        <v>2</v>
      </c>
      <c r="R25" s="65" t="s">
        <v>2</v>
      </c>
      <c r="S25" s="65" t="s">
        <v>2</v>
      </c>
      <c r="T25" s="65" t="s">
        <v>2</v>
      </c>
      <c r="U25" s="61" t="s">
        <v>2</v>
      </c>
      <c r="V25" s="61" t="s">
        <v>2</v>
      </c>
      <c r="W25" s="7" t="s">
        <v>2</v>
      </c>
      <c r="X25" s="3" t="s">
        <v>2</v>
      </c>
      <c r="Y25" s="61" t="s">
        <v>2</v>
      </c>
      <c r="Z25" s="61" t="s">
        <v>2</v>
      </c>
      <c r="AA25" s="61" t="s">
        <v>2</v>
      </c>
      <c r="AB25" s="61" t="s">
        <v>2</v>
      </c>
      <c r="AC25" s="61" t="s">
        <v>2</v>
      </c>
      <c r="AD25" s="65" t="s">
        <v>2</v>
      </c>
      <c r="AE25" s="65" t="s">
        <v>2</v>
      </c>
      <c r="AF25" s="3" t="s">
        <v>2</v>
      </c>
      <c r="AG25" s="7" t="s">
        <v>2</v>
      </c>
      <c r="AH25" s="162" t="s">
        <v>2</v>
      </c>
      <c r="AI25" s="65">
        <v>0</v>
      </c>
      <c r="AJ25" s="3" t="s">
        <v>2</v>
      </c>
      <c r="AK25" s="3" t="s">
        <v>2</v>
      </c>
      <c r="AL25" s="7" t="s">
        <v>2</v>
      </c>
      <c r="AM25" s="65">
        <v>0</v>
      </c>
      <c r="AN25" s="65">
        <v>0</v>
      </c>
      <c r="AO25" s="59">
        <v>0</v>
      </c>
      <c r="AP25" s="3" t="s">
        <v>2</v>
      </c>
      <c r="AQ25" s="61" t="s">
        <v>2</v>
      </c>
      <c r="AR25" s="61" t="s">
        <v>2</v>
      </c>
      <c r="AS25" s="61" t="s">
        <v>2</v>
      </c>
      <c r="AT25" s="61" t="s">
        <v>2</v>
      </c>
      <c r="AU25" s="61" t="s">
        <v>2</v>
      </c>
      <c r="AV25" s="62" t="s">
        <v>2</v>
      </c>
      <c r="AW25" s="3" t="s">
        <v>2</v>
      </c>
      <c r="AX25" s="61" t="s">
        <v>2</v>
      </c>
      <c r="AY25" s="61" t="s">
        <v>2</v>
      </c>
      <c r="AZ25" s="62" t="s">
        <v>2</v>
      </c>
      <c r="BA25" s="3" t="s">
        <v>2</v>
      </c>
      <c r="BB25" s="61" t="s">
        <v>2</v>
      </c>
      <c r="BC25" s="61" t="s">
        <v>2</v>
      </c>
      <c r="BD25" s="61" t="s">
        <v>2</v>
      </c>
      <c r="BE25" s="61" t="s">
        <v>2</v>
      </c>
      <c r="BF25" s="61" t="s">
        <v>2</v>
      </c>
      <c r="BG25" s="23" t="s">
        <v>2</v>
      </c>
      <c r="BH25" s="7" t="s">
        <v>2</v>
      </c>
      <c r="BI25" s="65" t="s">
        <v>2</v>
      </c>
      <c r="BJ25" s="65" t="s">
        <v>2</v>
      </c>
      <c r="BK25" s="65" t="s">
        <v>2</v>
      </c>
      <c r="BL25" s="65" t="s">
        <v>2</v>
      </c>
      <c r="BM25" s="65" t="s">
        <v>2</v>
      </c>
      <c r="BN25" s="65" t="s">
        <v>2</v>
      </c>
      <c r="BO25" s="65" t="s">
        <v>2</v>
      </c>
      <c r="BP25" s="65" t="s">
        <v>2</v>
      </c>
      <c r="BQ25" s="65" t="s">
        <v>2</v>
      </c>
      <c r="BR25" s="65" t="s">
        <v>2</v>
      </c>
      <c r="BS25" s="65" t="s">
        <v>2</v>
      </c>
      <c r="BT25" s="65" t="s">
        <v>2</v>
      </c>
      <c r="BU25" s="65" t="s">
        <v>2</v>
      </c>
      <c r="BV25" s="65" t="s">
        <v>2</v>
      </c>
      <c r="BW25" s="65" t="s">
        <v>2</v>
      </c>
      <c r="BX25" s="65" t="s">
        <v>2</v>
      </c>
      <c r="BY25" s="65" t="s">
        <v>2</v>
      </c>
      <c r="BZ25" s="59" t="s">
        <v>2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7">
        <v>0</v>
      </c>
      <c r="CH25" s="65">
        <v>0</v>
      </c>
      <c r="CI25" s="59">
        <v>0</v>
      </c>
      <c r="CJ25" s="65">
        <v>0</v>
      </c>
      <c r="CK25" s="65">
        <v>0</v>
      </c>
      <c r="CL25" s="65">
        <v>0</v>
      </c>
      <c r="CM25" s="59">
        <v>0</v>
      </c>
      <c r="CN25" s="156">
        <v>0</v>
      </c>
      <c r="CO25" s="156" t="s">
        <v>2</v>
      </c>
    </row>
    <row r="26" spans="1:93" s="13" customFormat="1" x14ac:dyDescent="0.25">
      <c r="A26" s="155" t="s">
        <v>1411</v>
      </c>
      <c r="B26" s="55" t="s">
        <v>440</v>
      </c>
      <c r="C26" s="10" t="s">
        <v>1412</v>
      </c>
      <c r="D26" s="291">
        <v>7</v>
      </c>
      <c r="E26" s="11">
        <v>2</v>
      </c>
      <c r="F26" s="156">
        <v>112</v>
      </c>
      <c r="G26" s="65">
        <v>467</v>
      </c>
      <c r="H26" s="68">
        <v>74.900000000000006</v>
      </c>
      <c r="I26" s="3">
        <v>20.9</v>
      </c>
      <c r="J26" s="3">
        <v>3.1</v>
      </c>
      <c r="K26" s="3">
        <v>0</v>
      </c>
      <c r="L26" s="3" t="s">
        <v>366</v>
      </c>
      <c r="M26" s="7">
        <v>1.1000000000000001</v>
      </c>
      <c r="N26" s="65">
        <v>20</v>
      </c>
      <c r="O26" s="65">
        <v>160</v>
      </c>
      <c r="P26" s="3" t="s">
        <v>2</v>
      </c>
      <c r="Q26" s="3" t="s">
        <v>2</v>
      </c>
      <c r="R26" s="65" t="s">
        <v>2</v>
      </c>
      <c r="S26" s="65" t="s">
        <v>2</v>
      </c>
      <c r="T26" s="65" t="s">
        <v>2</v>
      </c>
      <c r="U26" s="61" t="s">
        <v>2</v>
      </c>
      <c r="V26" s="61" t="s">
        <v>2</v>
      </c>
      <c r="W26" s="7" t="s">
        <v>2</v>
      </c>
      <c r="X26" s="3" t="s">
        <v>2</v>
      </c>
      <c r="Y26" s="61" t="s">
        <v>2</v>
      </c>
      <c r="Z26" s="61" t="s">
        <v>2</v>
      </c>
      <c r="AA26" s="61" t="s">
        <v>2</v>
      </c>
      <c r="AB26" s="61" t="s">
        <v>2</v>
      </c>
      <c r="AC26" s="61" t="s">
        <v>2</v>
      </c>
      <c r="AD26" s="65" t="s">
        <v>2</v>
      </c>
      <c r="AE26" s="65" t="s">
        <v>2</v>
      </c>
      <c r="AF26" s="3" t="s">
        <v>2</v>
      </c>
      <c r="AG26" s="7" t="s">
        <v>2</v>
      </c>
      <c r="AH26" s="162" t="s">
        <v>2</v>
      </c>
      <c r="AI26" s="65">
        <v>0</v>
      </c>
      <c r="AJ26" s="3" t="s">
        <v>2</v>
      </c>
      <c r="AK26" s="3" t="s">
        <v>2</v>
      </c>
      <c r="AL26" s="7" t="s">
        <v>2</v>
      </c>
      <c r="AM26" s="65">
        <v>0</v>
      </c>
      <c r="AN26" s="65">
        <v>0</v>
      </c>
      <c r="AO26" s="59">
        <v>0</v>
      </c>
      <c r="AP26" s="3" t="s">
        <v>2</v>
      </c>
      <c r="AQ26" s="61" t="s">
        <v>2</v>
      </c>
      <c r="AR26" s="61" t="s">
        <v>2</v>
      </c>
      <c r="AS26" s="61" t="s">
        <v>2</v>
      </c>
      <c r="AT26" s="61" t="s">
        <v>2</v>
      </c>
      <c r="AU26" s="61" t="s">
        <v>2</v>
      </c>
      <c r="AV26" s="62" t="s">
        <v>2</v>
      </c>
      <c r="AW26" s="3" t="s">
        <v>2</v>
      </c>
      <c r="AX26" s="61" t="s">
        <v>2</v>
      </c>
      <c r="AY26" s="61" t="s">
        <v>2</v>
      </c>
      <c r="AZ26" s="62" t="s">
        <v>2</v>
      </c>
      <c r="BA26" s="3" t="s">
        <v>2</v>
      </c>
      <c r="BB26" s="61" t="s">
        <v>2</v>
      </c>
      <c r="BC26" s="61" t="s">
        <v>2</v>
      </c>
      <c r="BD26" s="61" t="s">
        <v>2</v>
      </c>
      <c r="BE26" s="61" t="s">
        <v>2</v>
      </c>
      <c r="BF26" s="61" t="s">
        <v>2</v>
      </c>
      <c r="BG26" s="23" t="s">
        <v>2</v>
      </c>
      <c r="BH26" s="7" t="s">
        <v>2</v>
      </c>
      <c r="BI26" s="65" t="s">
        <v>2</v>
      </c>
      <c r="BJ26" s="65" t="s">
        <v>2</v>
      </c>
      <c r="BK26" s="65" t="s">
        <v>2</v>
      </c>
      <c r="BL26" s="65" t="s">
        <v>2</v>
      </c>
      <c r="BM26" s="65" t="s">
        <v>2</v>
      </c>
      <c r="BN26" s="65" t="s">
        <v>2</v>
      </c>
      <c r="BO26" s="65" t="s">
        <v>2</v>
      </c>
      <c r="BP26" s="65" t="s">
        <v>2</v>
      </c>
      <c r="BQ26" s="65" t="s">
        <v>2</v>
      </c>
      <c r="BR26" s="65" t="s">
        <v>2</v>
      </c>
      <c r="BS26" s="65" t="s">
        <v>2</v>
      </c>
      <c r="BT26" s="65" t="s">
        <v>2</v>
      </c>
      <c r="BU26" s="65" t="s">
        <v>2</v>
      </c>
      <c r="BV26" s="65" t="s">
        <v>2</v>
      </c>
      <c r="BW26" s="65" t="s">
        <v>2</v>
      </c>
      <c r="BX26" s="65" t="s">
        <v>2</v>
      </c>
      <c r="BY26" s="65" t="s">
        <v>2</v>
      </c>
      <c r="BZ26" s="59" t="s">
        <v>2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7">
        <v>0</v>
      </c>
      <c r="CH26" s="65">
        <v>0</v>
      </c>
      <c r="CI26" s="59">
        <v>0</v>
      </c>
      <c r="CJ26" s="65">
        <v>0</v>
      </c>
      <c r="CK26" s="65">
        <v>0</v>
      </c>
      <c r="CL26" s="65">
        <v>0</v>
      </c>
      <c r="CM26" s="59">
        <v>0</v>
      </c>
      <c r="CN26" s="156">
        <v>0</v>
      </c>
      <c r="CO26" s="156" t="s">
        <v>2</v>
      </c>
    </row>
    <row r="27" spans="1:93" s="13" customFormat="1" x14ac:dyDescent="0.25">
      <c r="A27" s="155" t="s">
        <v>1413</v>
      </c>
      <c r="B27" s="55" t="s">
        <v>441</v>
      </c>
      <c r="C27" s="10" t="s">
        <v>1414</v>
      </c>
      <c r="D27" s="291">
        <v>7</v>
      </c>
      <c r="E27" s="11">
        <v>2</v>
      </c>
      <c r="F27" s="156">
        <v>112</v>
      </c>
      <c r="G27" s="65">
        <v>468</v>
      </c>
      <c r="H27" s="68">
        <v>74.900000000000006</v>
      </c>
      <c r="I27" s="3">
        <v>21.2</v>
      </c>
      <c r="J27" s="3">
        <v>3</v>
      </c>
      <c r="K27" s="3">
        <v>0</v>
      </c>
      <c r="L27" s="3" t="s">
        <v>366</v>
      </c>
      <c r="M27" s="7">
        <v>0.9</v>
      </c>
      <c r="N27" s="65">
        <v>20</v>
      </c>
      <c r="O27" s="65">
        <v>215</v>
      </c>
      <c r="P27" s="3" t="s">
        <v>2</v>
      </c>
      <c r="Q27" s="3" t="s">
        <v>2</v>
      </c>
      <c r="R27" s="65" t="s">
        <v>2</v>
      </c>
      <c r="S27" s="65" t="s">
        <v>2</v>
      </c>
      <c r="T27" s="65" t="s">
        <v>2</v>
      </c>
      <c r="U27" s="61" t="s">
        <v>2</v>
      </c>
      <c r="V27" s="61" t="s">
        <v>2</v>
      </c>
      <c r="W27" s="7" t="s">
        <v>2</v>
      </c>
      <c r="X27" s="3" t="s">
        <v>2</v>
      </c>
      <c r="Y27" s="61" t="s">
        <v>2</v>
      </c>
      <c r="Z27" s="61" t="s">
        <v>2</v>
      </c>
      <c r="AA27" s="61" t="s">
        <v>2</v>
      </c>
      <c r="AB27" s="61" t="s">
        <v>2</v>
      </c>
      <c r="AC27" s="61" t="s">
        <v>2</v>
      </c>
      <c r="AD27" s="65" t="s">
        <v>2</v>
      </c>
      <c r="AE27" s="65" t="s">
        <v>2</v>
      </c>
      <c r="AF27" s="3" t="s">
        <v>2</v>
      </c>
      <c r="AG27" s="7" t="s">
        <v>2</v>
      </c>
      <c r="AH27" s="162" t="s">
        <v>2</v>
      </c>
      <c r="AI27" s="65">
        <v>0</v>
      </c>
      <c r="AJ27" s="3" t="s">
        <v>2</v>
      </c>
      <c r="AK27" s="3" t="s">
        <v>2</v>
      </c>
      <c r="AL27" s="7" t="s">
        <v>2</v>
      </c>
      <c r="AM27" s="65">
        <v>0</v>
      </c>
      <c r="AN27" s="65">
        <v>0</v>
      </c>
      <c r="AO27" s="59">
        <v>0</v>
      </c>
      <c r="AP27" s="3" t="s">
        <v>2</v>
      </c>
      <c r="AQ27" s="61" t="s">
        <v>2</v>
      </c>
      <c r="AR27" s="61" t="s">
        <v>2</v>
      </c>
      <c r="AS27" s="61" t="s">
        <v>2</v>
      </c>
      <c r="AT27" s="61" t="s">
        <v>2</v>
      </c>
      <c r="AU27" s="61" t="s">
        <v>2</v>
      </c>
      <c r="AV27" s="62" t="s">
        <v>2</v>
      </c>
      <c r="AW27" s="3" t="s">
        <v>2</v>
      </c>
      <c r="AX27" s="61" t="s">
        <v>2</v>
      </c>
      <c r="AY27" s="61" t="s">
        <v>2</v>
      </c>
      <c r="AZ27" s="62" t="s">
        <v>2</v>
      </c>
      <c r="BA27" s="3" t="s">
        <v>2</v>
      </c>
      <c r="BB27" s="61" t="s">
        <v>2</v>
      </c>
      <c r="BC27" s="61" t="s">
        <v>2</v>
      </c>
      <c r="BD27" s="61" t="s">
        <v>2</v>
      </c>
      <c r="BE27" s="61" t="s">
        <v>2</v>
      </c>
      <c r="BF27" s="61" t="s">
        <v>2</v>
      </c>
      <c r="BG27" s="23" t="s">
        <v>2</v>
      </c>
      <c r="BH27" s="7" t="s">
        <v>2</v>
      </c>
      <c r="BI27" s="65" t="s">
        <v>2</v>
      </c>
      <c r="BJ27" s="65" t="s">
        <v>2</v>
      </c>
      <c r="BK27" s="65" t="s">
        <v>2</v>
      </c>
      <c r="BL27" s="65" t="s">
        <v>2</v>
      </c>
      <c r="BM27" s="65" t="s">
        <v>2</v>
      </c>
      <c r="BN27" s="65" t="s">
        <v>2</v>
      </c>
      <c r="BO27" s="65" t="s">
        <v>2</v>
      </c>
      <c r="BP27" s="65" t="s">
        <v>2</v>
      </c>
      <c r="BQ27" s="65" t="s">
        <v>2</v>
      </c>
      <c r="BR27" s="65" t="s">
        <v>2</v>
      </c>
      <c r="BS27" s="65" t="s">
        <v>2</v>
      </c>
      <c r="BT27" s="65" t="s">
        <v>2</v>
      </c>
      <c r="BU27" s="65" t="s">
        <v>2</v>
      </c>
      <c r="BV27" s="65" t="s">
        <v>2</v>
      </c>
      <c r="BW27" s="65" t="s">
        <v>2</v>
      </c>
      <c r="BX27" s="65" t="s">
        <v>2</v>
      </c>
      <c r="BY27" s="65" t="s">
        <v>2</v>
      </c>
      <c r="BZ27" s="59" t="s">
        <v>2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7">
        <v>0</v>
      </c>
      <c r="CH27" s="65">
        <v>0</v>
      </c>
      <c r="CI27" s="59">
        <v>0</v>
      </c>
      <c r="CJ27" s="65">
        <v>0</v>
      </c>
      <c r="CK27" s="65">
        <v>0</v>
      </c>
      <c r="CL27" s="65">
        <v>0</v>
      </c>
      <c r="CM27" s="59">
        <v>0</v>
      </c>
      <c r="CN27" s="156">
        <v>0</v>
      </c>
      <c r="CO27" s="156" t="s">
        <v>2</v>
      </c>
    </row>
    <row r="28" spans="1:93" s="13" customFormat="1" x14ac:dyDescent="0.25">
      <c r="A28" s="155" t="s">
        <v>1415</v>
      </c>
      <c r="B28" s="55" t="s">
        <v>442</v>
      </c>
      <c r="C28" s="10" t="s">
        <v>1416</v>
      </c>
      <c r="D28" s="291">
        <v>7</v>
      </c>
      <c r="E28" s="11">
        <v>2</v>
      </c>
      <c r="F28" s="156">
        <v>121</v>
      </c>
      <c r="G28" s="65">
        <v>506</v>
      </c>
      <c r="H28" s="68">
        <v>73</v>
      </c>
      <c r="I28" s="3">
        <v>22.8</v>
      </c>
      <c r="J28" s="3">
        <v>3.3</v>
      </c>
      <c r="K28" s="3">
        <v>0</v>
      </c>
      <c r="L28" s="3" t="s">
        <v>366</v>
      </c>
      <c r="M28" s="7">
        <v>0.9</v>
      </c>
      <c r="N28" s="65">
        <v>26</v>
      </c>
      <c r="O28" s="65">
        <v>165</v>
      </c>
      <c r="P28" s="3">
        <v>3.3</v>
      </c>
      <c r="Q28" s="3" t="s">
        <v>2</v>
      </c>
      <c r="R28" s="65" t="s">
        <v>2</v>
      </c>
      <c r="S28" s="65" t="s">
        <v>2</v>
      </c>
      <c r="T28" s="65" t="s">
        <v>2</v>
      </c>
      <c r="U28" s="61" t="s">
        <v>2</v>
      </c>
      <c r="V28" s="61" t="s">
        <v>2</v>
      </c>
      <c r="W28" s="7" t="s">
        <v>2</v>
      </c>
      <c r="X28" s="3" t="s">
        <v>2</v>
      </c>
      <c r="Y28" s="61">
        <v>0.06</v>
      </c>
      <c r="Z28" s="61">
        <v>0.16</v>
      </c>
      <c r="AA28" s="61">
        <v>3.5</v>
      </c>
      <c r="AB28" s="61" t="s">
        <v>2</v>
      </c>
      <c r="AC28" s="61" t="s">
        <v>2</v>
      </c>
      <c r="AD28" s="65" t="s">
        <v>2</v>
      </c>
      <c r="AE28" s="65" t="s">
        <v>2</v>
      </c>
      <c r="AF28" s="3" t="s">
        <v>2</v>
      </c>
      <c r="AG28" s="7" t="s">
        <v>2</v>
      </c>
      <c r="AH28" s="162">
        <v>5</v>
      </c>
      <c r="AI28" s="65">
        <v>5</v>
      </c>
      <c r="AJ28" s="3" t="s">
        <v>2</v>
      </c>
      <c r="AK28" s="3" t="s">
        <v>2</v>
      </c>
      <c r="AL28" s="7" t="s">
        <v>2</v>
      </c>
      <c r="AM28" s="65">
        <v>0</v>
      </c>
      <c r="AN28" s="65">
        <v>0</v>
      </c>
      <c r="AO28" s="59">
        <v>0</v>
      </c>
      <c r="AP28" s="3" t="s">
        <v>2</v>
      </c>
      <c r="AQ28" s="61" t="s">
        <v>2</v>
      </c>
      <c r="AR28" s="61" t="s">
        <v>2</v>
      </c>
      <c r="AS28" s="61" t="s">
        <v>2</v>
      </c>
      <c r="AT28" s="61" t="s">
        <v>2</v>
      </c>
      <c r="AU28" s="61" t="s">
        <v>2</v>
      </c>
      <c r="AV28" s="62" t="s">
        <v>2</v>
      </c>
      <c r="AW28" s="3" t="s">
        <v>2</v>
      </c>
      <c r="AX28" s="61" t="s">
        <v>2</v>
      </c>
      <c r="AY28" s="61" t="s">
        <v>2</v>
      </c>
      <c r="AZ28" s="62" t="s">
        <v>2</v>
      </c>
      <c r="BA28" s="3" t="s">
        <v>2</v>
      </c>
      <c r="BB28" s="61" t="s">
        <v>2</v>
      </c>
      <c r="BC28" s="61" t="s">
        <v>2</v>
      </c>
      <c r="BD28" s="61" t="s">
        <v>2</v>
      </c>
      <c r="BE28" s="61" t="s">
        <v>2</v>
      </c>
      <c r="BF28" s="61" t="s">
        <v>2</v>
      </c>
      <c r="BG28" s="23" t="s">
        <v>2</v>
      </c>
      <c r="BH28" s="7" t="s">
        <v>2</v>
      </c>
      <c r="BI28" s="65" t="s">
        <v>2</v>
      </c>
      <c r="BJ28" s="65" t="s">
        <v>2</v>
      </c>
      <c r="BK28" s="65" t="s">
        <v>2</v>
      </c>
      <c r="BL28" s="65" t="s">
        <v>2</v>
      </c>
      <c r="BM28" s="65" t="s">
        <v>2</v>
      </c>
      <c r="BN28" s="65" t="s">
        <v>2</v>
      </c>
      <c r="BO28" s="65" t="s">
        <v>2</v>
      </c>
      <c r="BP28" s="65" t="s">
        <v>2</v>
      </c>
      <c r="BQ28" s="65" t="s">
        <v>2</v>
      </c>
      <c r="BR28" s="65" t="s">
        <v>2</v>
      </c>
      <c r="BS28" s="65" t="s">
        <v>2</v>
      </c>
      <c r="BT28" s="65" t="s">
        <v>2</v>
      </c>
      <c r="BU28" s="65" t="s">
        <v>2</v>
      </c>
      <c r="BV28" s="65" t="s">
        <v>2</v>
      </c>
      <c r="BW28" s="65" t="s">
        <v>2</v>
      </c>
      <c r="BX28" s="65" t="s">
        <v>2</v>
      </c>
      <c r="BY28" s="65" t="s">
        <v>2</v>
      </c>
      <c r="BZ28" s="59" t="s">
        <v>2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7">
        <v>0</v>
      </c>
      <c r="CH28" s="65">
        <v>0</v>
      </c>
      <c r="CI28" s="59">
        <v>0</v>
      </c>
      <c r="CJ28" s="65">
        <v>0</v>
      </c>
      <c r="CK28" s="65">
        <v>0</v>
      </c>
      <c r="CL28" s="65">
        <v>0</v>
      </c>
      <c r="CM28" s="59">
        <v>0</v>
      </c>
      <c r="CN28" s="156">
        <v>0</v>
      </c>
      <c r="CO28" s="156" t="s">
        <v>2</v>
      </c>
    </row>
    <row r="29" spans="1:93" s="13" customFormat="1" x14ac:dyDescent="0.25">
      <c r="A29" s="155" t="s">
        <v>1417</v>
      </c>
      <c r="B29" s="55" t="s">
        <v>443</v>
      </c>
      <c r="C29" s="10" t="s">
        <v>1418</v>
      </c>
      <c r="D29" s="291">
        <v>7</v>
      </c>
      <c r="E29" s="11">
        <v>55</v>
      </c>
      <c r="F29" s="156">
        <v>267</v>
      </c>
      <c r="G29" s="65">
        <v>1119</v>
      </c>
      <c r="H29" s="68">
        <v>59.5</v>
      </c>
      <c r="I29" s="3">
        <v>17.8</v>
      </c>
      <c r="J29" s="3">
        <v>21.8</v>
      </c>
      <c r="K29" s="3">
        <v>0</v>
      </c>
      <c r="L29" s="3" t="s">
        <v>366</v>
      </c>
      <c r="M29" s="7">
        <v>0.9</v>
      </c>
      <c r="N29" s="65">
        <v>13</v>
      </c>
      <c r="O29" s="65">
        <v>145</v>
      </c>
      <c r="P29" s="3">
        <v>1.8</v>
      </c>
      <c r="Q29" s="3">
        <v>1.36</v>
      </c>
      <c r="R29" s="65">
        <v>63</v>
      </c>
      <c r="S29" s="65">
        <v>209</v>
      </c>
      <c r="T29" s="65">
        <v>15</v>
      </c>
      <c r="U29" s="61">
        <v>1.7000000000000001E-2</v>
      </c>
      <c r="V29" s="61">
        <v>236</v>
      </c>
      <c r="W29" s="7">
        <v>12.4</v>
      </c>
      <c r="X29" s="3">
        <v>2.8</v>
      </c>
      <c r="Y29" s="61">
        <v>7.0000000000000007E-2</v>
      </c>
      <c r="Z29" s="61">
        <v>0.15</v>
      </c>
      <c r="AA29" s="61">
        <v>4.7</v>
      </c>
      <c r="AB29" s="61">
        <v>0.95099999999999996</v>
      </c>
      <c r="AC29" s="61">
        <v>0.19</v>
      </c>
      <c r="AD29" s="65">
        <v>13</v>
      </c>
      <c r="AE29" s="65">
        <v>0</v>
      </c>
      <c r="AF29" s="3" t="s">
        <v>2</v>
      </c>
      <c r="AG29" s="7">
        <v>0.25</v>
      </c>
      <c r="AH29" s="162">
        <v>270</v>
      </c>
      <c r="AI29" s="65">
        <v>270</v>
      </c>
      <c r="AJ29" s="3" t="s">
        <v>2</v>
      </c>
      <c r="AK29" s="3">
        <v>0.7</v>
      </c>
      <c r="AL29" s="7">
        <v>5.5</v>
      </c>
      <c r="AM29" s="65">
        <v>0</v>
      </c>
      <c r="AN29" s="65">
        <v>0</v>
      </c>
      <c r="AO29" s="59">
        <v>0</v>
      </c>
      <c r="AP29" s="3">
        <v>13.22</v>
      </c>
      <c r="AQ29" s="61">
        <v>9.58</v>
      </c>
      <c r="AR29" s="61" t="s">
        <v>367</v>
      </c>
      <c r="AS29" s="61">
        <v>3.2</v>
      </c>
      <c r="AT29" s="61" t="s">
        <v>367</v>
      </c>
      <c r="AU29" s="61" t="s">
        <v>367</v>
      </c>
      <c r="AV29" s="62" t="s">
        <v>367</v>
      </c>
      <c r="AW29" s="3">
        <v>18.690000000000001</v>
      </c>
      <c r="AX29" s="61" t="s">
        <v>367</v>
      </c>
      <c r="AY29" s="61">
        <v>1.54</v>
      </c>
      <c r="AZ29" s="62">
        <v>16.73</v>
      </c>
      <c r="BA29" s="3">
        <v>5.08</v>
      </c>
      <c r="BB29" s="61">
        <v>4.6900000000000004</v>
      </c>
      <c r="BC29" s="61">
        <v>0.39</v>
      </c>
      <c r="BD29" s="61" t="s">
        <v>367</v>
      </c>
      <c r="BE29" s="61" t="s">
        <v>367</v>
      </c>
      <c r="BF29" s="62" t="s">
        <v>367</v>
      </c>
      <c r="BG29" s="23" t="s">
        <v>2</v>
      </c>
      <c r="BH29" s="11">
        <v>76</v>
      </c>
      <c r="BI29" s="65">
        <v>912</v>
      </c>
      <c r="BJ29" s="65">
        <v>291</v>
      </c>
      <c r="BK29" s="65">
        <v>144</v>
      </c>
      <c r="BL29" s="65">
        <v>459</v>
      </c>
      <c r="BM29" s="65">
        <v>471</v>
      </c>
      <c r="BN29" s="65">
        <v>573</v>
      </c>
      <c r="BO29" s="65">
        <v>900</v>
      </c>
      <c r="BP29" s="65">
        <v>537</v>
      </c>
      <c r="BQ29" s="65">
        <v>770</v>
      </c>
      <c r="BR29" s="65">
        <v>283</v>
      </c>
      <c r="BS29" s="65">
        <v>180</v>
      </c>
      <c r="BT29" s="65">
        <v>395</v>
      </c>
      <c r="BU29" s="65">
        <v>777</v>
      </c>
      <c r="BV29" s="65">
        <v>1102</v>
      </c>
      <c r="BW29" s="65">
        <v>1709</v>
      </c>
      <c r="BX29" s="65">
        <v>928</v>
      </c>
      <c r="BY29" s="65">
        <v>686</v>
      </c>
      <c r="BZ29" s="59">
        <v>488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7">
        <v>0</v>
      </c>
      <c r="CH29" s="65">
        <v>0</v>
      </c>
      <c r="CI29" s="59">
        <v>0</v>
      </c>
      <c r="CJ29" s="65">
        <v>0</v>
      </c>
      <c r="CK29" s="65">
        <v>0</v>
      </c>
      <c r="CL29" s="65">
        <v>0</v>
      </c>
      <c r="CM29" s="59">
        <v>0</v>
      </c>
      <c r="CN29" s="156">
        <v>0</v>
      </c>
      <c r="CO29" s="156">
        <v>138</v>
      </c>
    </row>
    <row r="30" spans="1:93" s="13" customFormat="1" x14ac:dyDescent="0.25">
      <c r="A30" s="155" t="s">
        <v>1419</v>
      </c>
      <c r="B30" s="55" t="s">
        <v>444</v>
      </c>
      <c r="C30" s="10" t="s">
        <v>1420</v>
      </c>
      <c r="D30" s="291">
        <v>7</v>
      </c>
      <c r="E30" s="11">
        <v>7</v>
      </c>
      <c r="F30" s="156">
        <v>67</v>
      </c>
      <c r="G30" s="65">
        <v>282</v>
      </c>
      <c r="H30" s="68">
        <v>84.3</v>
      </c>
      <c r="I30" s="3">
        <v>12.5</v>
      </c>
      <c r="J30" s="3">
        <v>1.8</v>
      </c>
      <c r="K30" s="3">
        <v>0.3</v>
      </c>
      <c r="L30" s="3" t="s">
        <v>366</v>
      </c>
      <c r="M30" s="7">
        <v>1.1000000000000001</v>
      </c>
      <c r="N30" s="65">
        <v>9</v>
      </c>
      <c r="O30" s="65">
        <v>219</v>
      </c>
      <c r="P30" s="3">
        <v>7.1</v>
      </c>
      <c r="Q30" s="3">
        <v>1.92</v>
      </c>
      <c r="R30" s="65">
        <v>200</v>
      </c>
      <c r="S30" s="65">
        <v>262</v>
      </c>
      <c r="T30" s="65">
        <v>13</v>
      </c>
      <c r="U30" s="61">
        <v>0.1</v>
      </c>
      <c r="V30" s="61">
        <v>323</v>
      </c>
      <c r="W30" s="7">
        <v>141</v>
      </c>
      <c r="X30" s="3">
        <v>6</v>
      </c>
      <c r="Y30" s="61">
        <v>0.4</v>
      </c>
      <c r="Z30" s="61">
        <v>1.75</v>
      </c>
      <c r="AA30" s="61">
        <v>5.0999999999999996</v>
      </c>
      <c r="AB30" s="61">
        <v>3.97</v>
      </c>
      <c r="AC30" s="61">
        <v>0.66500000000000004</v>
      </c>
      <c r="AD30" s="65">
        <v>98</v>
      </c>
      <c r="AE30" s="65">
        <v>0</v>
      </c>
      <c r="AF30" s="3" t="s">
        <v>2</v>
      </c>
      <c r="AG30" s="7">
        <v>27.5</v>
      </c>
      <c r="AH30" s="162">
        <v>330</v>
      </c>
      <c r="AI30" s="65">
        <v>330</v>
      </c>
      <c r="AJ30" s="3">
        <v>0.8</v>
      </c>
      <c r="AK30" s="3">
        <v>0.22</v>
      </c>
      <c r="AL30" s="7">
        <v>0</v>
      </c>
      <c r="AM30" s="65">
        <v>0</v>
      </c>
      <c r="AN30" s="65">
        <v>0</v>
      </c>
      <c r="AO30" s="59">
        <v>0</v>
      </c>
      <c r="AP30" s="3">
        <v>0.86799999999999999</v>
      </c>
      <c r="AQ30" s="61">
        <v>0.39300000000000002</v>
      </c>
      <c r="AR30" s="61">
        <v>2.3E-2</v>
      </c>
      <c r="AS30" s="61">
        <v>0.374</v>
      </c>
      <c r="AT30" s="61">
        <v>1.2E-2</v>
      </c>
      <c r="AU30" s="61">
        <v>3.5000000000000003E-2</v>
      </c>
      <c r="AV30" s="62" t="s">
        <v>367</v>
      </c>
      <c r="AW30" s="3">
        <v>0.58599999999999997</v>
      </c>
      <c r="AX30" s="61" t="s">
        <v>367</v>
      </c>
      <c r="AY30" s="61">
        <v>3.9E-2</v>
      </c>
      <c r="AZ30" s="62">
        <v>0.53500000000000003</v>
      </c>
      <c r="BA30" s="3">
        <v>0.54500000000000004</v>
      </c>
      <c r="BB30" s="61">
        <v>0.29199999999999998</v>
      </c>
      <c r="BC30" s="61">
        <v>6.0000000000000001E-3</v>
      </c>
      <c r="BD30" s="61">
        <v>0.22800000000000001</v>
      </c>
      <c r="BE30" s="61" t="s">
        <v>367</v>
      </c>
      <c r="BF30" s="62" t="s">
        <v>367</v>
      </c>
      <c r="BG30" s="11">
        <v>0.1</v>
      </c>
      <c r="BH30" s="11">
        <v>411</v>
      </c>
      <c r="BI30" s="65">
        <v>1138</v>
      </c>
      <c r="BJ30" s="65">
        <v>451</v>
      </c>
      <c r="BK30" s="65">
        <v>172</v>
      </c>
      <c r="BL30" s="65">
        <v>809</v>
      </c>
      <c r="BM30" s="65">
        <v>667</v>
      </c>
      <c r="BN30" s="65">
        <v>919</v>
      </c>
      <c r="BO30" s="65">
        <v>1514</v>
      </c>
      <c r="BP30" s="65">
        <v>1011</v>
      </c>
      <c r="BQ30" s="65">
        <v>971</v>
      </c>
      <c r="BR30" s="65">
        <v>446</v>
      </c>
      <c r="BS30" s="65">
        <v>286</v>
      </c>
      <c r="BT30" s="65">
        <v>575</v>
      </c>
      <c r="BU30" s="65">
        <v>824</v>
      </c>
      <c r="BV30" s="65">
        <v>1183</v>
      </c>
      <c r="BW30" s="65">
        <v>2241</v>
      </c>
      <c r="BX30" s="65">
        <v>1106</v>
      </c>
      <c r="BY30" s="65">
        <v>779</v>
      </c>
      <c r="BZ30" s="59">
        <v>732</v>
      </c>
      <c r="CA30" s="3" t="s">
        <v>2</v>
      </c>
      <c r="CB30" s="3" t="s">
        <v>2</v>
      </c>
      <c r="CC30" s="3" t="s">
        <v>2</v>
      </c>
      <c r="CD30" s="3" t="s">
        <v>2</v>
      </c>
      <c r="CE30" s="3" t="s">
        <v>2</v>
      </c>
      <c r="CF30" s="3" t="s">
        <v>2</v>
      </c>
      <c r="CG30" s="7" t="s">
        <v>2</v>
      </c>
      <c r="CH30" s="65">
        <v>20</v>
      </c>
      <c r="CI30" s="59">
        <v>0</v>
      </c>
      <c r="CJ30" s="65">
        <v>0</v>
      </c>
      <c r="CK30" s="65">
        <v>0</v>
      </c>
      <c r="CL30" s="65">
        <v>0</v>
      </c>
      <c r="CM30" s="59">
        <v>0</v>
      </c>
      <c r="CN30" s="156">
        <v>0</v>
      </c>
      <c r="CO30" s="156" t="s">
        <v>2</v>
      </c>
    </row>
    <row r="31" spans="1:93" s="13" customFormat="1" x14ac:dyDescent="0.25">
      <c r="A31" s="155" t="s">
        <v>1421</v>
      </c>
      <c r="B31" s="55" t="s">
        <v>445</v>
      </c>
      <c r="C31" s="10" t="s">
        <v>1422</v>
      </c>
      <c r="D31" s="291">
        <v>7</v>
      </c>
      <c r="E31" s="11">
        <v>2</v>
      </c>
      <c r="F31" s="156">
        <v>81</v>
      </c>
      <c r="G31" s="65">
        <v>339</v>
      </c>
      <c r="H31" s="68">
        <v>82.5</v>
      </c>
      <c r="I31" s="3">
        <v>13</v>
      </c>
      <c r="J31" s="3">
        <v>3.1</v>
      </c>
      <c r="K31" s="3">
        <v>0.3</v>
      </c>
      <c r="L31" s="3" t="s">
        <v>366</v>
      </c>
      <c r="M31" s="7">
        <v>1.1000000000000001</v>
      </c>
      <c r="N31" s="65">
        <v>8</v>
      </c>
      <c r="O31" s="65">
        <v>223</v>
      </c>
      <c r="P31" s="3">
        <v>8</v>
      </c>
      <c r="Q31" s="3">
        <v>2.75</v>
      </c>
      <c r="R31" s="65">
        <v>121</v>
      </c>
      <c r="S31" s="65">
        <v>390</v>
      </c>
      <c r="T31" s="65">
        <v>17</v>
      </c>
      <c r="U31" s="61">
        <v>0.1</v>
      </c>
      <c r="V31" s="61">
        <v>445</v>
      </c>
      <c r="W31" s="7">
        <v>190</v>
      </c>
      <c r="X31" s="3">
        <v>5</v>
      </c>
      <c r="Y31" s="61">
        <v>0.38</v>
      </c>
      <c r="Z31" s="61">
        <v>1.1200000000000001</v>
      </c>
      <c r="AA31" s="61">
        <v>4.8</v>
      </c>
      <c r="AB31" s="61">
        <v>3.13</v>
      </c>
      <c r="AC31" s="61">
        <v>0.44</v>
      </c>
      <c r="AD31" s="65">
        <v>42</v>
      </c>
      <c r="AE31" s="65">
        <v>0</v>
      </c>
      <c r="AF31" s="3" t="s">
        <v>2</v>
      </c>
      <c r="AG31" s="7">
        <v>8.49</v>
      </c>
      <c r="AH31" s="162">
        <v>150</v>
      </c>
      <c r="AI31" s="65">
        <v>150</v>
      </c>
      <c r="AJ31" s="3" t="s">
        <v>2</v>
      </c>
      <c r="AK31" s="3" t="s">
        <v>2</v>
      </c>
      <c r="AL31" s="7" t="s">
        <v>2</v>
      </c>
      <c r="AM31" s="65">
        <v>0</v>
      </c>
      <c r="AN31" s="65">
        <v>0</v>
      </c>
      <c r="AO31" s="59">
        <v>0</v>
      </c>
      <c r="AP31" s="3">
        <v>1.04</v>
      </c>
      <c r="AQ31" s="61" t="s">
        <v>419</v>
      </c>
      <c r="AR31" s="61" t="s">
        <v>367</v>
      </c>
      <c r="AS31" s="61" t="s">
        <v>410</v>
      </c>
      <c r="AT31" s="61" t="s">
        <v>367</v>
      </c>
      <c r="AU31" s="61" t="s">
        <v>367</v>
      </c>
      <c r="AV31" s="62" t="s">
        <v>367</v>
      </c>
      <c r="AW31" s="3">
        <v>1.07</v>
      </c>
      <c r="AX31" s="61" t="s">
        <v>367</v>
      </c>
      <c r="AY31" s="61" t="s">
        <v>380</v>
      </c>
      <c r="AZ31" s="62" t="s">
        <v>446</v>
      </c>
      <c r="BA31" s="3">
        <v>0.26</v>
      </c>
      <c r="BB31" s="61" t="s">
        <v>387</v>
      </c>
      <c r="BC31" s="61" t="s">
        <v>172</v>
      </c>
      <c r="BD31" s="61" t="s">
        <v>374</v>
      </c>
      <c r="BE31" s="61" t="s">
        <v>367</v>
      </c>
      <c r="BF31" s="61" t="s">
        <v>367</v>
      </c>
      <c r="BG31" s="11" t="s">
        <v>2</v>
      </c>
      <c r="BH31" s="7">
        <v>319</v>
      </c>
      <c r="BI31" s="65">
        <v>1330</v>
      </c>
      <c r="BJ31" s="65">
        <v>339</v>
      </c>
      <c r="BK31" s="65">
        <v>209</v>
      </c>
      <c r="BL31" s="65">
        <v>548</v>
      </c>
      <c r="BM31" s="65">
        <v>704</v>
      </c>
      <c r="BN31" s="65">
        <v>913</v>
      </c>
      <c r="BO31" s="65">
        <v>1728</v>
      </c>
      <c r="BP31" s="65">
        <v>678</v>
      </c>
      <c r="BQ31" s="65">
        <v>913</v>
      </c>
      <c r="BR31" s="65">
        <v>574</v>
      </c>
      <c r="BS31" s="65">
        <v>235</v>
      </c>
      <c r="BT31" s="65">
        <v>522</v>
      </c>
      <c r="BU31" s="65">
        <v>861</v>
      </c>
      <c r="BV31" s="65">
        <v>1434</v>
      </c>
      <c r="BW31" s="65">
        <v>2008</v>
      </c>
      <c r="BX31" s="65">
        <v>965</v>
      </c>
      <c r="BY31" s="65">
        <v>913</v>
      </c>
      <c r="BZ31" s="59">
        <v>782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7">
        <v>0</v>
      </c>
      <c r="CH31" s="65">
        <v>0</v>
      </c>
      <c r="CI31" s="59">
        <v>0</v>
      </c>
      <c r="CJ31" s="65">
        <v>0</v>
      </c>
      <c r="CK31" s="65">
        <v>0</v>
      </c>
      <c r="CL31" s="65">
        <v>0</v>
      </c>
      <c r="CM31" s="59">
        <v>0</v>
      </c>
      <c r="CN31" s="156">
        <v>0</v>
      </c>
      <c r="CO31" s="156">
        <v>334</v>
      </c>
    </row>
    <row r="32" spans="1:93" s="13" customFormat="1" x14ac:dyDescent="0.25">
      <c r="A32" s="155" t="s">
        <v>1423</v>
      </c>
      <c r="B32" s="55" t="s">
        <v>447</v>
      </c>
      <c r="C32" s="10" t="s">
        <v>1424</v>
      </c>
      <c r="D32" s="291">
        <v>7</v>
      </c>
      <c r="E32" s="11">
        <v>10</v>
      </c>
      <c r="F32" s="156">
        <v>118</v>
      </c>
      <c r="G32" s="65">
        <v>492</v>
      </c>
      <c r="H32" s="68">
        <v>73.3</v>
      </c>
      <c r="I32" s="3">
        <v>23.3</v>
      </c>
      <c r="J32" s="3">
        <v>2.7</v>
      </c>
      <c r="K32" s="3">
        <v>0</v>
      </c>
      <c r="L32" s="3" t="s">
        <v>366</v>
      </c>
      <c r="M32" s="7">
        <v>0.7</v>
      </c>
      <c r="N32" s="65">
        <v>11</v>
      </c>
      <c r="O32" s="65">
        <v>8</v>
      </c>
      <c r="P32" s="3">
        <v>0.4</v>
      </c>
      <c r="Q32" s="3" t="s">
        <v>2</v>
      </c>
      <c r="R32" s="65" t="s">
        <v>2</v>
      </c>
      <c r="S32" s="65" t="s">
        <v>2</v>
      </c>
      <c r="T32" s="65" t="s">
        <v>2</v>
      </c>
      <c r="U32" s="61" t="s">
        <v>2</v>
      </c>
      <c r="V32" s="61" t="s">
        <v>2</v>
      </c>
      <c r="W32" s="7" t="s">
        <v>2</v>
      </c>
      <c r="X32" s="3" t="s">
        <v>2</v>
      </c>
      <c r="Y32" s="61">
        <v>0.28999999999999998</v>
      </c>
      <c r="Z32" s="61">
        <v>0.05</v>
      </c>
      <c r="AA32" s="61" t="s">
        <v>2</v>
      </c>
      <c r="AB32" s="61" t="s">
        <v>2</v>
      </c>
      <c r="AC32" s="61" t="s">
        <v>2</v>
      </c>
      <c r="AD32" s="65" t="s">
        <v>2</v>
      </c>
      <c r="AE32" s="65" t="s">
        <v>2</v>
      </c>
      <c r="AF32" s="3" t="s">
        <v>2</v>
      </c>
      <c r="AG32" s="7" t="s">
        <v>2</v>
      </c>
      <c r="AH32" s="162" t="s">
        <v>2</v>
      </c>
      <c r="AI32" s="65">
        <v>0</v>
      </c>
      <c r="AJ32" s="3" t="s">
        <v>2</v>
      </c>
      <c r="AK32" s="3" t="s">
        <v>2</v>
      </c>
      <c r="AL32" s="7" t="s">
        <v>2</v>
      </c>
      <c r="AM32" s="65">
        <v>0</v>
      </c>
      <c r="AN32" s="65">
        <v>0</v>
      </c>
      <c r="AO32" s="59">
        <v>0</v>
      </c>
      <c r="AP32" s="3" t="s">
        <v>2</v>
      </c>
      <c r="AQ32" s="61" t="s">
        <v>2</v>
      </c>
      <c r="AR32" s="61" t="s">
        <v>2</v>
      </c>
      <c r="AS32" s="61" t="s">
        <v>2</v>
      </c>
      <c r="AT32" s="61" t="s">
        <v>2</v>
      </c>
      <c r="AU32" s="61" t="s">
        <v>2</v>
      </c>
      <c r="AV32" s="62" t="s">
        <v>2</v>
      </c>
      <c r="AW32" s="3" t="s">
        <v>2</v>
      </c>
      <c r="AX32" s="61" t="s">
        <v>2</v>
      </c>
      <c r="AY32" s="61" t="s">
        <v>2</v>
      </c>
      <c r="AZ32" s="62" t="s">
        <v>2</v>
      </c>
      <c r="BA32" s="3" t="s">
        <v>2</v>
      </c>
      <c r="BB32" s="61" t="s">
        <v>2</v>
      </c>
      <c r="BC32" s="61" t="s">
        <v>2</v>
      </c>
      <c r="BD32" s="61" t="s">
        <v>2</v>
      </c>
      <c r="BE32" s="61" t="s">
        <v>2</v>
      </c>
      <c r="BF32" s="62" t="s">
        <v>2</v>
      </c>
      <c r="BG32" s="7" t="s">
        <v>2</v>
      </c>
      <c r="BH32" s="7" t="s">
        <v>2</v>
      </c>
      <c r="BI32" s="65" t="s">
        <v>2</v>
      </c>
      <c r="BJ32" s="65" t="s">
        <v>2</v>
      </c>
      <c r="BK32" s="65" t="s">
        <v>2</v>
      </c>
      <c r="BL32" s="65" t="s">
        <v>2</v>
      </c>
      <c r="BM32" s="65" t="s">
        <v>2</v>
      </c>
      <c r="BN32" s="65" t="s">
        <v>2</v>
      </c>
      <c r="BO32" s="65" t="s">
        <v>2</v>
      </c>
      <c r="BP32" s="65" t="s">
        <v>2</v>
      </c>
      <c r="BQ32" s="65" t="s">
        <v>2</v>
      </c>
      <c r="BR32" s="65" t="s">
        <v>2</v>
      </c>
      <c r="BS32" s="65" t="s">
        <v>2</v>
      </c>
      <c r="BT32" s="65" t="s">
        <v>2</v>
      </c>
      <c r="BU32" s="65" t="s">
        <v>2</v>
      </c>
      <c r="BV32" s="65" t="s">
        <v>2</v>
      </c>
      <c r="BW32" s="65" t="s">
        <v>2</v>
      </c>
      <c r="BX32" s="65" t="s">
        <v>2</v>
      </c>
      <c r="BY32" s="65" t="s">
        <v>2</v>
      </c>
      <c r="BZ32" s="59" t="s">
        <v>2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7">
        <v>0</v>
      </c>
      <c r="CH32" s="65">
        <v>0</v>
      </c>
      <c r="CI32" s="59">
        <v>0</v>
      </c>
      <c r="CJ32" s="65">
        <v>0</v>
      </c>
      <c r="CK32" s="65">
        <v>0</v>
      </c>
      <c r="CL32" s="65">
        <v>0</v>
      </c>
      <c r="CM32" s="59">
        <v>0</v>
      </c>
      <c r="CN32" s="156">
        <v>0</v>
      </c>
      <c r="CO32" s="156" t="s">
        <v>2</v>
      </c>
    </row>
    <row r="33" spans="1:93" s="13" customFormat="1" x14ac:dyDescent="0.25">
      <c r="A33" s="155" t="s">
        <v>1425</v>
      </c>
      <c r="B33" s="55" t="s">
        <v>448</v>
      </c>
      <c r="C33" s="10" t="s">
        <v>1426</v>
      </c>
      <c r="D33" s="291">
        <v>7</v>
      </c>
      <c r="E33" s="11">
        <v>38</v>
      </c>
      <c r="F33" s="156">
        <v>230</v>
      </c>
      <c r="G33" s="65">
        <v>963</v>
      </c>
      <c r="H33" s="68">
        <v>64.7</v>
      </c>
      <c r="I33" s="3">
        <v>15.7</v>
      </c>
      <c r="J33" s="3">
        <v>18.600000000000001</v>
      </c>
      <c r="K33" s="3">
        <v>0</v>
      </c>
      <c r="L33" s="3" t="s">
        <v>366</v>
      </c>
      <c r="M33" s="7">
        <v>1</v>
      </c>
      <c r="N33" s="65">
        <v>24</v>
      </c>
      <c r="O33" s="65">
        <v>106</v>
      </c>
      <c r="P33" s="3">
        <v>2.1</v>
      </c>
      <c r="Q33" s="3">
        <v>1.93</v>
      </c>
      <c r="R33" s="65">
        <v>47</v>
      </c>
      <c r="S33" s="65">
        <v>315</v>
      </c>
      <c r="T33" s="65">
        <v>20</v>
      </c>
      <c r="U33" s="61">
        <v>2.3E-2</v>
      </c>
      <c r="V33" s="61">
        <v>65</v>
      </c>
      <c r="W33" s="7">
        <v>29.4</v>
      </c>
      <c r="X33" s="3">
        <v>0.7</v>
      </c>
      <c r="Y33" s="61">
        <v>0.01</v>
      </c>
      <c r="Z33" s="61">
        <v>7.0000000000000007E-2</v>
      </c>
      <c r="AA33" s="61">
        <v>1.6</v>
      </c>
      <c r="AB33" s="61">
        <v>0.68500000000000005</v>
      </c>
      <c r="AC33" s="61">
        <v>0.40100000000000002</v>
      </c>
      <c r="AD33" s="65">
        <v>7</v>
      </c>
      <c r="AE33" s="65">
        <v>0</v>
      </c>
      <c r="AF33" s="3">
        <v>2.6</v>
      </c>
      <c r="AG33" s="7">
        <v>0.63</v>
      </c>
      <c r="AH33" s="162">
        <v>30</v>
      </c>
      <c r="AI33" s="65">
        <v>30</v>
      </c>
      <c r="AJ33" s="3" t="s">
        <v>2</v>
      </c>
      <c r="AK33" s="3" t="s">
        <v>2</v>
      </c>
      <c r="AL33" s="7" t="s">
        <v>2</v>
      </c>
      <c r="AM33" s="65">
        <v>0</v>
      </c>
      <c r="AN33" s="65">
        <v>0</v>
      </c>
      <c r="AO33" s="59">
        <v>0</v>
      </c>
      <c r="AP33" s="3">
        <v>6.54</v>
      </c>
      <c r="AQ33" s="61">
        <v>4.0599999999999996</v>
      </c>
      <c r="AR33" s="61" t="s">
        <v>367</v>
      </c>
      <c r="AS33" s="61">
        <v>2.16</v>
      </c>
      <c r="AT33" s="61" t="s">
        <v>367</v>
      </c>
      <c r="AU33" s="61" t="s">
        <v>367</v>
      </c>
      <c r="AV33" s="62" t="s">
        <v>367</v>
      </c>
      <c r="AW33" s="3">
        <v>8.3800000000000008</v>
      </c>
      <c r="AX33" s="61" t="s">
        <v>367</v>
      </c>
      <c r="AY33" s="61" t="s">
        <v>449</v>
      </c>
      <c r="AZ33" s="62">
        <v>7.7</v>
      </c>
      <c r="BA33" s="3">
        <v>2.0099999999999998</v>
      </c>
      <c r="BB33" s="61">
        <v>1.69</v>
      </c>
      <c r="BC33" s="61" t="s">
        <v>388</v>
      </c>
      <c r="BD33" s="61" t="s">
        <v>380</v>
      </c>
      <c r="BE33" s="61" t="s">
        <v>367</v>
      </c>
      <c r="BF33" s="62" t="s">
        <v>367</v>
      </c>
      <c r="BG33" s="7" t="s">
        <v>2</v>
      </c>
      <c r="BH33" s="7">
        <v>73</v>
      </c>
      <c r="BI33" s="65">
        <v>1550</v>
      </c>
      <c r="BJ33" s="65">
        <v>444</v>
      </c>
      <c r="BK33" s="65">
        <v>208</v>
      </c>
      <c r="BL33" s="65">
        <v>689</v>
      </c>
      <c r="BM33" s="65">
        <v>776</v>
      </c>
      <c r="BN33" s="65">
        <v>931</v>
      </c>
      <c r="BO33" s="65">
        <v>1376</v>
      </c>
      <c r="BP33" s="65">
        <v>787</v>
      </c>
      <c r="BQ33" s="65">
        <v>1120</v>
      </c>
      <c r="BR33" s="65">
        <v>659</v>
      </c>
      <c r="BS33" s="65">
        <v>216</v>
      </c>
      <c r="BT33" s="65">
        <v>583</v>
      </c>
      <c r="BU33" s="65">
        <v>1032</v>
      </c>
      <c r="BV33" s="65">
        <v>1584</v>
      </c>
      <c r="BW33" s="65">
        <v>2636</v>
      </c>
      <c r="BX33" s="65">
        <v>992</v>
      </c>
      <c r="BY33" s="65">
        <v>790</v>
      </c>
      <c r="BZ33" s="59">
        <v>720</v>
      </c>
      <c r="CA33" s="3" t="s">
        <v>2</v>
      </c>
      <c r="CB33" s="3" t="s">
        <v>2</v>
      </c>
      <c r="CC33" s="3" t="s">
        <v>2</v>
      </c>
      <c r="CD33" s="3" t="s">
        <v>2</v>
      </c>
      <c r="CE33" s="3" t="s">
        <v>2</v>
      </c>
      <c r="CF33" s="3" t="s">
        <v>2</v>
      </c>
      <c r="CG33" s="7" t="s">
        <v>2</v>
      </c>
      <c r="CH33" s="65">
        <v>0</v>
      </c>
      <c r="CI33" s="59">
        <v>0</v>
      </c>
      <c r="CJ33" s="65">
        <v>0</v>
      </c>
      <c r="CK33" s="65">
        <v>0</v>
      </c>
      <c r="CL33" s="65">
        <v>0</v>
      </c>
      <c r="CM33" s="59">
        <v>0</v>
      </c>
      <c r="CN33" s="156">
        <v>0</v>
      </c>
      <c r="CO33" s="156">
        <v>160</v>
      </c>
    </row>
    <row r="34" spans="1:93" s="13" customFormat="1" x14ac:dyDescent="0.25">
      <c r="A34" s="155" t="s">
        <v>1427</v>
      </c>
      <c r="B34" s="55" t="s">
        <v>450</v>
      </c>
      <c r="C34" s="10" t="s">
        <v>1428</v>
      </c>
      <c r="D34" s="291">
        <v>7</v>
      </c>
      <c r="E34" s="11">
        <v>5</v>
      </c>
      <c r="F34" s="156">
        <v>97</v>
      </c>
      <c r="G34" s="65">
        <v>406</v>
      </c>
      <c r="H34" s="68">
        <v>80.5</v>
      </c>
      <c r="I34" s="3">
        <v>14.8</v>
      </c>
      <c r="J34" s="3">
        <v>4.2</v>
      </c>
      <c r="K34" s="3">
        <v>0</v>
      </c>
      <c r="L34" s="3" t="s">
        <v>366</v>
      </c>
      <c r="M34" s="7">
        <v>0.5</v>
      </c>
      <c r="N34" s="65">
        <v>150</v>
      </c>
      <c r="O34" s="65">
        <v>85</v>
      </c>
      <c r="P34" s="3">
        <v>0.9</v>
      </c>
      <c r="Q34" s="3">
        <v>1.42</v>
      </c>
      <c r="R34" s="65">
        <v>97</v>
      </c>
      <c r="S34" s="65">
        <v>67</v>
      </c>
      <c r="T34" s="65">
        <v>13</v>
      </c>
      <c r="U34" s="61">
        <v>8.5000000000000006E-2</v>
      </c>
      <c r="V34" s="61">
        <v>70</v>
      </c>
      <c r="W34" s="7">
        <v>12.5</v>
      </c>
      <c r="X34" s="3">
        <v>0</v>
      </c>
      <c r="Y34" s="61">
        <v>0.04</v>
      </c>
      <c r="Z34" s="61">
        <v>0.2</v>
      </c>
      <c r="AA34" s="61">
        <v>3.6</v>
      </c>
      <c r="AB34" s="61">
        <v>0.22700000000000001</v>
      </c>
      <c r="AC34" s="61">
        <v>1.4E-2</v>
      </c>
      <c r="AD34" s="65">
        <v>5</v>
      </c>
      <c r="AE34" s="65">
        <v>0</v>
      </c>
      <c r="AF34" s="3" t="s">
        <v>2</v>
      </c>
      <c r="AG34" s="7">
        <v>1.39</v>
      </c>
      <c r="AH34" s="162">
        <v>0</v>
      </c>
      <c r="AI34" s="65">
        <v>0</v>
      </c>
      <c r="AJ34" s="3" t="s">
        <v>2</v>
      </c>
      <c r="AK34" s="3">
        <v>0.09</v>
      </c>
      <c r="AL34" s="7">
        <v>0</v>
      </c>
      <c r="AM34" s="65">
        <v>0</v>
      </c>
      <c r="AN34" s="65">
        <v>0</v>
      </c>
      <c r="AO34" s="59">
        <v>0</v>
      </c>
      <c r="AP34" s="3">
        <v>1.2909999999999999</v>
      </c>
      <c r="AQ34" s="61">
        <v>0.64300000000000002</v>
      </c>
      <c r="AR34" s="61">
        <v>8.1000000000000003E-2</v>
      </c>
      <c r="AS34" s="61">
        <v>0.46300000000000002</v>
      </c>
      <c r="AT34" s="61">
        <v>4.0000000000000001E-3</v>
      </c>
      <c r="AU34" s="61">
        <v>6.0000000000000001E-3</v>
      </c>
      <c r="AV34" s="62" t="s">
        <v>367</v>
      </c>
      <c r="AW34" s="3">
        <v>1.53</v>
      </c>
      <c r="AX34" s="61" t="s">
        <v>367</v>
      </c>
      <c r="AY34" s="61">
        <v>8.7999999999999995E-2</v>
      </c>
      <c r="AZ34" s="62">
        <v>1.413</v>
      </c>
      <c r="BA34" s="3">
        <v>0.18</v>
      </c>
      <c r="BB34" s="61">
        <v>0.11600000000000001</v>
      </c>
      <c r="BC34" s="61">
        <v>1.0999999999999999E-2</v>
      </c>
      <c r="BD34" s="61">
        <v>4.8000000000000001E-2</v>
      </c>
      <c r="BE34" s="61" t="s">
        <v>367</v>
      </c>
      <c r="BF34" s="62" t="s">
        <v>367</v>
      </c>
      <c r="BG34" s="7">
        <v>0.15</v>
      </c>
      <c r="BH34" s="7">
        <v>122</v>
      </c>
      <c r="BI34" s="65">
        <v>933</v>
      </c>
      <c r="BJ34" s="162">
        <v>280</v>
      </c>
      <c r="BK34" s="65">
        <v>149</v>
      </c>
      <c r="BL34" s="65">
        <v>448</v>
      </c>
      <c r="BM34" s="65">
        <v>504</v>
      </c>
      <c r="BN34" s="65">
        <v>579</v>
      </c>
      <c r="BO34" s="65">
        <v>784</v>
      </c>
      <c r="BP34" s="65">
        <v>467</v>
      </c>
      <c r="BQ34" s="65">
        <v>821</v>
      </c>
      <c r="BR34" s="65">
        <v>336</v>
      </c>
      <c r="BS34" s="65">
        <v>149</v>
      </c>
      <c r="BT34" s="65">
        <v>336</v>
      </c>
      <c r="BU34" s="65">
        <v>784</v>
      </c>
      <c r="BV34" s="65">
        <v>989</v>
      </c>
      <c r="BW34" s="65">
        <v>1754</v>
      </c>
      <c r="BX34" s="65">
        <v>1213</v>
      </c>
      <c r="BY34" s="65">
        <v>989</v>
      </c>
      <c r="BZ34" s="59">
        <v>579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7">
        <v>0</v>
      </c>
      <c r="CH34" s="65">
        <v>0</v>
      </c>
      <c r="CI34" s="59">
        <v>0</v>
      </c>
      <c r="CJ34" s="65">
        <v>0</v>
      </c>
      <c r="CK34" s="65">
        <v>0</v>
      </c>
      <c r="CL34" s="65">
        <v>0</v>
      </c>
      <c r="CM34" s="59">
        <v>0</v>
      </c>
      <c r="CN34" s="156">
        <v>0</v>
      </c>
      <c r="CO34" s="156" t="s">
        <v>2</v>
      </c>
    </row>
    <row r="35" spans="1:93" s="13" customFormat="1" x14ac:dyDescent="0.25">
      <c r="A35" s="155" t="s">
        <v>1429</v>
      </c>
      <c r="B35" s="55" t="s">
        <v>451</v>
      </c>
      <c r="C35" s="10" t="s">
        <v>1430</v>
      </c>
      <c r="D35" s="291">
        <v>7</v>
      </c>
      <c r="E35" s="11">
        <v>2</v>
      </c>
      <c r="F35" s="156">
        <v>85</v>
      </c>
      <c r="G35" s="65">
        <v>354</v>
      </c>
      <c r="H35" s="68">
        <v>81.7</v>
      </c>
      <c r="I35" s="3">
        <v>14.6</v>
      </c>
      <c r="J35" s="3">
        <v>2.9</v>
      </c>
      <c r="K35" s="3">
        <v>0</v>
      </c>
      <c r="L35" s="3" t="s">
        <v>366</v>
      </c>
      <c r="M35" s="7">
        <v>0.8</v>
      </c>
      <c r="N35" s="65">
        <v>8</v>
      </c>
      <c r="O35" s="65">
        <v>144</v>
      </c>
      <c r="P35" s="3">
        <v>1.4</v>
      </c>
      <c r="Q35" s="3">
        <v>1.85</v>
      </c>
      <c r="R35" s="65">
        <v>75</v>
      </c>
      <c r="S35" s="65">
        <v>140</v>
      </c>
      <c r="T35" s="65">
        <v>11</v>
      </c>
      <c r="U35" s="61">
        <v>3.7999999999999999E-2</v>
      </c>
      <c r="V35" s="61">
        <v>169</v>
      </c>
      <c r="W35" s="7">
        <v>31.1</v>
      </c>
      <c r="X35" s="3">
        <v>0</v>
      </c>
      <c r="Y35" s="61">
        <v>0.05</v>
      </c>
      <c r="Z35" s="61">
        <v>0.18</v>
      </c>
      <c r="AA35" s="61">
        <v>2.5</v>
      </c>
      <c r="AB35" s="61">
        <v>1.22</v>
      </c>
      <c r="AC35" s="61">
        <v>3.4000000000000002E-2</v>
      </c>
      <c r="AD35" s="65">
        <v>3</v>
      </c>
      <c r="AE35" s="65">
        <v>0</v>
      </c>
      <c r="AF35" s="3" t="s">
        <v>2</v>
      </c>
      <c r="AG35" s="7">
        <v>0.3</v>
      </c>
      <c r="AH35" s="162">
        <v>0</v>
      </c>
      <c r="AI35" s="65">
        <v>0</v>
      </c>
      <c r="AJ35" s="3" t="s">
        <v>2</v>
      </c>
      <c r="AK35" s="3">
        <v>0.04</v>
      </c>
      <c r="AL35" s="7">
        <v>0</v>
      </c>
      <c r="AM35" s="65">
        <v>0</v>
      </c>
      <c r="AN35" s="65">
        <v>0</v>
      </c>
      <c r="AO35" s="59">
        <v>0</v>
      </c>
      <c r="AP35" s="3">
        <v>4.0250000000000004</v>
      </c>
      <c r="AQ35" s="61">
        <v>2.2639999999999998</v>
      </c>
      <c r="AR35" s="61">
        <v>2.5000000000000001E-2</v>
      </c>
      <c r="AS35" s="61">
        <v>1.591</v>
      </c>
      <c r="AT35" s="61" t="s">
        <v>391</v>
      </c>
      <c r="AU35" s="61" t="s">
        <v>367</v>
      </c>
      <c r="AV35" s="62" t="s">
        <v>367</v>
      </c>
      <c r="AW35" s="3">
        <v>3.59</v>
      </c>
      <c r="AX35" s="61" t="s">
        <v>367</v>
      </c>
      <c r="AY35" s="61" t="s">
        <v>367</v>
      </c>
      <c r="AZ35" s="62" t="s">
        <v>367</v>
      </c>
      <c r="BA35" s="3">
        <v>0.89200000000000002</v>
      </c>
      <c r="BB35" s="61">
        <v>0.72399999999999998</v>
      </c>
      <c r="BC35" s="61">
        <v>2.1000000000000001E-2</v>
      </c>
      <c r="BD35" s="61" t="s">
        <v>433</v>
      </c>
      <c r="BE35" s="61" t="s">
        <v>367</v>
      </c>
      <c r="BF35" s="62" t="s">
        <v>367</v>
      </c>
      <c r="BG35" s="7">
        <v>0.13</v>
      </c>
      <c r="BH35" s="7">
        <v>223</v>
      </c>
      <c r="BI35" s="166" t="s">
        <v>2</v>
      </c>
      <c r="BJ35" s="162" t="s">
        <v>2</v>
      </c>
      <c r="BK35" s="162" t="s">
        <v>2</v>
      </c>
      <c r="BL35" s="162" t="s">
        <v>2</v>
      </c>
      <c r="BM35" s="162" t="s">
        <v>2</v>
      </c>
      <c r="BN35" s="162" t="s">
        <v>2</v>
      </c>
      <c r="BO35" s="162" t="s">
        <v>2</v>
      </c>
      <c r="BP35" s="162" t="s">
        <v>2</v>
      </c>
      <c r="BQ35" s="162" t="s">
        <v>2</v>
      </c>
      <c r="BR35" s="162" t="s">
        <v>2</v>
      </c>
      <c r="BS35" s="162" t="s">
        <v>2</v>
      </c>
      <c r="BT35" s="162" t="s">
        <v>2</v>
      </c>
      <c r="BU35" s="162" t="s">
        <v>2</v>
      </c>
      <c r="BV35" s="162" t="s">
        <v>2</v>
      </c>
      <c r="BW35" s="162" t="s">
        <v>2</v>
      </c>
      <c r="BX35" s="162" t="s">
        <v>2</v>
      </c>
      <c r="BY35" s="162" t="s">
        <v>2</v>
      </c>
      <c r="BZ35" s="59" t="s">
        <v>2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7">
        <v>0</v>
      </c>
      <c r="CH35" s="65">
        <v>0</v>
      </c>
      <c r="CI35" s="59">
        <v>0</v>
      </c>
      <c r="CJ35" s="65">
        <v>0</v>
      </c>
      <c r="CK35" s="65">
        <v>0</v>
      </c>
      <c r="CL35" s="65">
        <v>0</v>
      </c>
      <c r="CM35" s="59">
        <v>0</v>
      </c>
      <c r="CN35" s="156">
        <v>0</v>
      </c>
      <c r="CO35" s="156" t="s">
        <v>2</v>
      </c>
    </row>
    <row r="36" spans="1:93" s="13" customFormat="1" x14ac:dyDescent="0.25">
      <c r="A36" s="155" t="s">
        <v>1431</v>
      </c>
      <c r="B36" s="55" t="s">
        <v>452</v>
      </c>
      <c r="C36" s="10" t="s">
        <v>1432</v>
      </c>
      <c r="D36" s="291">
        <v>7</v>
      </c>
      <c r="E36" s="11">
        <v>68</v>
      </c>
      <c r="F36" s="156">
        <v>185</v>
      </c>
      <c r="G36" s="65">
        <v>774</v>
      </c>
      <c r="H36" s="68">
        <v>68.7</v>
      </c>
      <c r="I36" s="3">
        <v>18.100000000000001</v>
      </c>
      <c r="J36" s="3">
        <v>12.5</v>
      </c>
      <c r="K36" s="3">
        <v>0</v>
      </c>
      <c r="L36" s="3" t="s">
        <v>366</v>
      </c>
      <c r="M36" s="7">
        <v>0.7</v>
      </c>
      <c r="N36" s="65" t="s">
        <v>2</v>
      </c>
      <c r="O36" s="65" t="s">
        <v>2</v>
      </c>
      <c r="P36" s="3" t="s">
        <v>2</v>
      </c>
      <c r="Q36" s="3" t="s">
        <v>2</v>
      </c>
      <c r="R36" s="65" t="s">
        <v>2</v>
      </c>
      <c r="S36" s="65" t="s">
        <v>2</v>
      </c>
      <c r="T36" s="65" t="s">
        <v>2</v>
      </c>
      <c r="U36" s="61" t="s">
        <v>2</v>
      </c>
      <c r="V36" s="61" t="s">
        <v>2</v>
      </c>
      <c r="W36" s="7" t="s">
        <v>2</v>
      </c>
      <c r="X36" s="3" t="s">
        <v>2</v>
      </c>
      <c r="Y36" s="61" t="s">
        <v>2</v>
      </c>
      <c r="Z36" s="61" t="s">
        <v>2</v>
      </c>
      <c r="AA36" s="61" t="s">
        <v>2</v>
      </c>
      <c r="AB36" s="61" t="s">
        <v>2</v>
      </c>
      <c r="AC36" s="61" t="s">
        <v>2</v>
      </c>
      <c r="AD36" s="65" t="s">
        <v>2</v>
      </c>
      <c r="AE36" s="65" t="s">
        <v>2</v>
      </c>
      <c r="AF36" s="3" t="s">
        <v>2</v>
      </c>
      <c r="AG36" s="7" t="s">
        <v>2</v>
      </c>
      <c r="AH36" s="162" t="s">
        <v>2</v>
      </c>
      <c r="AI36" s="65">
        <v>0</v>
      </c>
      <c r="AJ36" s="3" t="s">
        <v>2</v>
      </c>
      <c r="AK36" s="3" t="s">
        <v>2</v>
      </c>
      <c r="AL36" s="7" t="s">
        <v>2</v>
      </c>
      <c r="AM36" s="65">
        <v>0</v>
      </c>
      <c r="AN36" s="65">
        <v>0</v>
      </c>
      <c r="AO36" s="59">
        <v>0</v>
      </c>
      <c r="AP36" s="3" t="s">
        <v>2</v>
      </c>
      <c r="AQ36" s="61" t="s">
        <v>2</v>
      </c>
      <c r="AR36" s="61" t="s">
        <v>2</v>
      </c>
      <c r="AS36" s="61" t="s">
        <v>2</v>
      </c>
      <c r="AT36" s="61" t="s">
        <v>2</v>
      </c>
      <c r="AU36" s="61" t="s">
        <v>2</v>
      </c>
      <c r="AV36" s="62" t="s">
        <v>2</v>
      </c>
      <c r="AW36" s="3" t="s">
        <v>2</v>
      </c>
      <c r="AX36" s="61" t="s">
        <v>2</v>
      </c>
      <c r="AY36" s="61" t="s">
        <v>2</v>
      </c>
      <c r="AZ36" s="62" t="s">
        <v>2</v>
      </c>
      <c r="BA36" s="3" t="s">
        <v>2</v>
      </c>
      <c r="BB36" s="61" t="s">
        <v>2</v>
      </c>
      <c r="BC36" s="61" t="s">
        <v>2</v>
      </c>
      <c r="BD36" s="61" t="s">
        <v>2</v>
      </c>
      <c r="BE36" s="61" t="s">
        <v>2</v>
      </c>
      <c r="BF36" s="62" t="s">
        <v>2</v>
      </c>
      <c r="BG36" s="7" t="s">
        <v>2</v>
      </c>
      <c r="BH36" s="7" t="s">
        <v>2</v>
      </c>
      <c r="BI36" s="65" t="s">
        <v>2</v>
      </c>
      <c r="BJ36" s="65" t="s">
        <v>2</v>
      </c>
      <c r="BK36" s="65" t="s">
        <v>2</v>
      </c>
      <c r="BL36" s="65" t="s">
        <v>2</v>
      </c>
      <c r="BM36" s="65" t="s">
        <v>2</v>
      </c>
      <c r="BN36" s="65" t="s">
        <v>2</v>
      </c>
      <c r="BO36" s="65" t="s">
        <v>2</v>
      </c>
      <c r="BP36" s="65" t="s">
        <v>2</v>
      </c>
      <c r="BQ36" s="65" t="s">
        <v>2</v>
      </c>
      <c r="BR36" s="65" t="s">
        <v>2</v>
      </c>
      <c r="BS36" s="65" t="s">
        <v>2</v>
      </c>
      <c r="BT36" s="65" t="s">
        <v>2</v>
      </c>
      <c r="BU36" s="65" t="s">
        <v>2</v>
      </c>
      <c r="BV36" s="65" t="s">
        <v>2</v>
      </c>
      <c r="BW36" s="65" t="s">
        <v>2</v>
      </c>
      <c r="BX36" s="65" t="s">
        <v>2</v>
      </c>
      <c r="BY36" s="65" t="s">
        <v>2</v>
      </c>
      <c r="BZ36" s="59" t="s">
        <v>2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7">
        <v>0</v>
      </c>
      <c r="CH36" s="65">
        <v>0</v>
      </c>
      <c r="CI36" s="59">
        <v>0</v>
      </c>
      <c r="CJ36" s="65">
        <v>0</v>
      </c>
      <c r="CK36" s="65">
        <v>0</v>
      </c>
      <c r="CL36" s="65">
        <v>0</v>
      </c>
      <c r="CM36" s="59">
        <v>0</v>
      </c>
      <c r="CN36" s="156">
        <v>0</v>
      </c>
      <c r="CO36" s="156" t="s">
        <v>2</v>
      </c>
    </row>
    <row r="37" spans="1:93" s="13" customFormat="1" x14ac:dyDescent="0.25">
      <c r="A37" s="155" t="s">
        <v>1433</v>
      </c>
      <c r="B37" s="55" t="s">
        <v>453</v>
      </c>
      <c r="C37" s="10" t="s">
        <v>1434</v>
      </c>
      <c r="D37" s="291">
        <v>7</v>
      </c>
      <c r="E37" s="11">
        <v>68</v>
      </c>
      <c r="F37" s="156">
        <v>335</v>
      </c>
      <c r="G37" s="65">
        <v>1403</v>
      </c>
      <c r="H37" s="68">
        <v>54.6</v>
      </c>
      <c r="I37" s="3">
        <v>13.4</v>
      </c>
      <c r="J37" s="3">
        <v>31.3</v>
      </c>
      <c r="K37" s="3">
        <v>0</v>
      </c>
      <c r="L37" s="3" t="s">
        <v>366</v>
      </c>
      <c r="M37" s="7">
        <v>0.7</v>
      </c>
      <c r="N37" s="65" t="s">
        <v>2</v>
      </c>
      <c r="O37" s="65" t="s">
        <v>2</v>
      </c>
      <c r="P37" s="3" t="s">
        <v>2</v>
      </c>
      <c r="Q37" s="3" t="s">
        <v>2</v>
      </c>
      <c r="R37" s="65" t="s">
        <v>2</v>
      </c>
      <c r="S37" s="65" t="s">
        <v>2</v>
      </c>
      <c r="T37" s="65" t="s">
        <v>2</v>
      </c>
      <c r="U37" s="61" t="s">
        <v>2</v>
      </c>
      <c r="V37" s="61" t="s">
        <v>2</v>
      </c>
      <c r="W37" s="7" t="s">
        <v>2</v>
      </c>
      <c r="X37" s="3" t="s">
        <v>2</v>
      </c>
      <c r="Y37" s="61" t="s">
        <v>2</v>
      </c>
      <c r="Z37" s="61" t="s">
        <v>2</v>
      </c>
      <c r="AA37" s="61" t="s">
        <v>2</v>
      </c>
      <c r="AB37" s="61" t="s">
        <v>2</v>
      </c>
      <c r="AC37" s="61" t="s">
        <v>2</v>
      </c>
      <c r="AD37" s="65" t="s">
        <v>2</v>
      </c>
      <c r="AE37" s="65" t="s">
        <v>2</v>
      </c>
      <c r="AF37" s="3" t="s">
        <v>2</v>
      </c>
      <c r="AG37" s="7" t="s">
        <v>2</v>
      </c>
      <c r="AH37" s="162" t="s">
        <v>2</v>
      </c>
      <c r="AI37" s="65">
        <v>0</v>
      </c>
      <c r="AJ37" s="3" t="s">
        <v>2</v>
      </c>
      <c r="AK37" s="3" t="s">
        <v>2</v>
      </c>
      <c r="AL37" s="7" t="s">
        <v>2</v>
      </c>
      <c r="AM37" s="65">
        <v>0</v>
      </c>
      <c r="AN37" s="65">
        <v>0</v>
      </c>
      <c r="AO37" s="59">
        <v>0</v>
      </c>
      <c r="AP37" s="3" t="s">
        <v>2</v>
      </c>
      <c r="AQ37" s="61" t="s">
        <v>2</v>
      </c>
      <c r="AR37" s="61" t="s">
        <v>2</v>
      </c>
      <c r="AS37" s="61" t="s">
        <v>2</v>
      </c>
      <c r="AT37" s="61" t="s">
        <v>2</v>
      </c>
      <c r="AU37" s="61" t="s">
        <v>2</v>
      </c>
      <c r="AV37" s="62" t="s">
        <v>2</v>
      </c>
      <c r="AW37" s="3" t="s">
        <v>2</v>
      </c>
      <c r="AX37" s="61" t="s">
        <v>2</v>
      </c>
      <c r="AY37" s="61" t="s">
        <v>2</v>
      </c>
      <c r="AZ37" s="62" t="s">
        <v>2</v>
      </c>
      <c r="BA37" s="3" t="s">
        <v>2</v>
      </c>
      <c r="BB37" s="61" t="s">
        <v>2</v>
      </c>
      <c r="BC37" s="61" t="s">
        <v>2</v>
      </c>
      <c r="BD37" s="61" t="s">
        <v>2</v>
      </c>
      <c r="BE37" s="61" t="s">
        <v>2</v>
      </c>
      <c r="BF37" s="62" t="s">
        <v>2</v>
      </c>
      <c r="BG37" s="7" t="s">
        <v>2</v>
      </c>
      <c r="BH37" s="7" t="s">
        <v>2</v>
      </c>
      <c r="BI37" s="65" t="s">
        <v>2</v>
      </c>
      <c r="BJ37" s="65" t="s">
        <v>2</v>
      </c>
      <c r="BK37" s="65" t="s">
        <v>2</v>
      </c>
      <c r="BL37" s="65" t="s">
        <v>2</v>
      </c>
      <c r="BM37" s="65" t="s">
        <v>2</v>
      </c>
      <c r="BN37" s="65" t="s">
        <v>2</v>
      </c>
      <c r="BO37" s="65" t="s">
        <v>2</v>
      </c>
      <c r="BP37" s="65" t="s">
        <v>2</v>
      </c>
      <c r="BQ37" s="65" t="s">
        <v>2</v>
      </c>
      <c r="BR37" s="65" t="s">
        <v>2</v>
      </c>
      <c r="BS37" s="65" t="s">
        <v>2</v>
      </c>
      <c r="BT37" s="65" t="s">
        <v>2</v>
      </c>
      <c r="BU37" s="65" t="s">
        <v>2</v>
      </c>
      <c r="BV37" s="65" t="s">
        <v>2</v>
      </c>
      <c r="BW37" s="65" t="s">
        <v>2</v>
      </c>
      <c r="BX37" s="65" t="s">
        <v>2</v>
      </c>
      <c r="BY37" s="65" t="s">
        <v>2</v>
      </c>
      <c r="BZ37" s="59" t="s">
        <v>2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7">
        <v>0</v>
      </c>
      <c r="CH37" s="65">
        <v>0</v>
      </c>
      <c r="CI37" s="59">
        <v>0</v>
      </c>
      <c r="CJ37" s="65">
        <v>0</v>
      </c>
      <c r="CK37" s="65">
        <v>0</v>
      </c>
      <c r="CL37" s="65">
        <v>0</v>
      </c>
      <c r="CM37" s="59">
        <v>0</v>
      </c>
      <c r="CN37" s="156">
        <v>0</v>
      </c>
      <c r="CO37" s="156" t="s">
        <v>2</v>
      </c>
    </row>
    <row r="38" spans="1:93" s="13" customFormat="1" x14ac:dyDescent="0.25">
      <c r="A38" s="155" t="s">
        <v>1435</v>
      </c>
      <c r="B38" s="55" t="s">
        <v>454</v>
      </c>
      <c r="C38" s="10" t="s">
        <v>1436</v>
      </c>
      <c r="D38" s="291">
        <v>7</v>
      </c>
      <c r="E38" s="11">
        <v>46</v>
      </c>
      <c r="F38" s="156">
        <v>137</v>
      </c>
      <c r="G38" s="65">
        <v>574</v>
      </c>
      <c r="H38" s="68">
        <v>73</v>
      </c>
      <c r="I38" s="3">
        <v>19.7</v>
      </c>
      <c r="J38" s="3">
        <v>6.5</v>
      </c>
      <c r="K38" s="3">
        <v>0</v>
      </c>
      <c r="L38" s="3" t="s">
        <v>366</v>
      </c>
      <c r="M38" s="7">
        <v>0.8</v>
      </c>
      <c r="N38" s="65">
        <v>7</v>
      </c>
      <c r="O38" s="65">
        <v>162</v>
      </c>
      <c r="P38" s="3">
        <v>2.5</v>
      </c>
      <c r="Q38" s="3" t="s">
        <v>2</v>
      </c>
      <c r="R38" s="65" t="s">
        <v>2</v>
      </c>
      <c r="S38" s="65" t="s">
        <v>2</v>
      </c>
      <c r="T38" s="65" t="s">
        <v>2</v>
      </c>
      <c r="U38" s="61" t="s">
        <v>2</v>
      </c>
      <c r="V38" s="61" t="s">
        <v>2</v>
      </c>
      <c r="W38" s="7" t="s">
        <v>2</v>
      </c>
      <c r="X38" s="3" t="s">
        <v>2</v>
      </c>
      <c r="Y38" s="61">
        <v>0.03</v>
      </c>
      <c r="Z38" s="61">
        <v>0.03</v>
      </c>
      <c r="AA38" s="61">
        <v>5.4</v>
      </c>
      <c r="AB38" s="61" t="s">
        <v>2</v>
      </c>
      <c r="AC38" s="61" t="s">
        <v>2</v>
      </c>
      <c r="AD38" s="65" t="s">
        <v>2</v>
      </c>
      <c r="AE38" s="65" t="s">
        <v>2</v>
      </c>
      <c r="AF38" s="3" t="s">
        <v>2</v>
      </c>
      <c r="AG38" s="7" t="s">
        <v>2</v>
      </c>
      <c r="AH38" s="162" t="s">
        <v>2</v>
      </c>
      <c r="AI38" s="65">
        <v>0</v>
      </c>
      <c r="AJ38" s="3" t="s">
        <v>2</v>
      </c>
      <c r="AK38" s="3" t="s">
        <v>2</v>
      </c>
      <c r="AL38" s="7" t="s">
        <v>2</v>
      </c>
      <c r="AM38" s="65">
        <v>0</v>
      </c>
      <c r="AN38" s="65">
        <v>0</v>
      </c>
      <c r="AO38" s="59">
        <v>0</v>
      </c>
      <c r="AP38" s="3" t="s">
        <v>2</v>
      </c>
      <c r="AQ38" s="61" t="s">
        <v>2</v>
      </c>
      <c r="AR38" s="61" t="s">
        <v>2</v>
      </c>
      <c r="AS38" s="61" t="s">
        <v>2</v>
      </c>
      <c r="AT38" s="61" t="s">
        <v>2</v>
      </c>
      <c r="AU38" s="61" t="s">
        <v>2</v>
      </c>
      <c r="AV38" s="62" t="s">
        <v>2</v>
      </c>
      <c r="AW38" s="3" t="s">
        <v>2</v>
      </c>
      <c r="AX38" s="61" t="s">
        <v>2</v>
      </c>
      <c r="AY38" s="61" t="s">
        <v>2</v>
      </c>
      <c r="AZ38" s="62" t="s">
        <v>2</v>
      </c>
      <c r="BA38" s="3" t="s">
        <v>2</v>
      </c>
      <c r="BB38" s="61" t="s">
        <v>2</v>
      </c>
      <c r="BC38" s="61" t="s">
        <v>2</v>
      </c>
      <c r="BD38" s="61" t="s">
        <v>2</v>
      </c>
      <c r="BE38" s="61" t="s">
        <v>2</v>
      </c>
      <c r="BF38" s="62" t="s">
        <v>2</v>
      </c>
      <c r="BG38" s="7" t="s">
        <v>2</v>
      </c>
      <c r="BH38" s="7" t="s">
        <v>2</v>
      </c>
      <c r="BI38" s="65" t="s">
        <v>2</v>
      </c>
      <c r="BJ38" s="65" t="s">
        <v>2</v>
      </c>
      <c r="BK38" s="65" t="s">
        <v>2</v>
      </c>
      <c r="BL38" s="65" t="s">
        <v>2</v>
      </c>
      <c r="BM38" s="65" t="s">
        <v>2</v>
      </c>
      <c r="BN38" s="65" t="s">
        <v>2</v>
      </c>
      <c r="BO38" s="65" t="s">
        <v>2</v>
      </c>
      <c r="BP38" s="65" t="s">
        <v>2</v>
      </c>
      <c r="BQ38" s="65" t="s">
        <v>2</v>
      </c>
      <c r="BR38" s="65" t="s">
        <v>2</v>
      </c>
      <c r="BS38" s="65" t="s">
        <v>2</v>
      </c>
      <c r="BT38" s="65" t="s">
        <v>2</v>
      </c>
      <c r="BU38" s="65" t="s">
        <v>2</v>
      </c>
      <c r="BV38" s="65" t="s">
        <v>2</v>
      </c>
      <c r="BW38" s="65" t="s">
        <v>2</v>
      </c>
      <c r="BX38" s="65" t="s">
        <v>2</v>
      </c>
      <c r="BY38" s="65" t="s">
        <v>2</v>
      </c>
      <c r="BZ38" s="59" t="s">
        <v>2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7">
        <v>0</v>
      </c>
      <c r="CH38" s="65">
        <v>0</v>
      </c>
      <c r="CI38" s="59">
        <v>0</v>
      </c>
      <c r="CJ38" s="65">
        <v>0</v>
      </c>
      <c r="CK38" s="65">
        <v>0</v>
      </c>
      <c r="CL38" s="65">
        <v>0</v>
      </c>
      <c r="CM38" s="59">
        <v>0</v>
      </c>
      <c r="CN38" s="156">
        <v>0</v>
      </c>
      <c r="CO38" s="156" t="s">
        <v>2</v>
      </c>
    </row>
    <row r="39" spans="1:93" s="13" customFormat="1" x14ac:dyDescent="0.25">
      <c r="A39" s="155" t="s">
        <v>1437</v>
      </c>
      <c r="B39" s="55" t="s">
        <v>455</v>
      </c>
      <c r="C39" s="10" t="s">
        <v>1438</v>
      </c>
      <c r="D39" s="291">
        <v>7</v>
      </c>
      <c r="E39" s="11">
        <v>30</v>
      </c>
      <c r="F39" s="156">
        <v>467</v>
      </c>
      <c r="G39" s="65">
        <v>1954</v>
      </c>
      <c r="H39" s="68">
        <v>41.8</v>
      </c>
      <c r="I39" s="3">
        <v>10.8</v>
      </c>
      <c r="J39" s="3">
        <v>47.1</v>
      </c>
      <c r="K39" s="3">
        <v>0</v>
      </c>
      <c r="L39" s="3" t="s">
        <v>366</v>
      </c>
      <c r="M39" s="7">
        <v>0.3</v>
      </c>
      <c r="N39" s="65">
        <v>18</v>
      </c>
      <c r="O39" s="65">
        <v>50</v>
      </c>
      <c r="P39" s="3">
        <v>0.99</v>
      </c>
      <c r="Q39" s="3">
        <v>2.31</v>
      </c>
      <c r="R39" s="65">
        <v>21</v>
      </c>
      <c r="S39" s="65">
        <v>114</v>
      </c>
      <c r="T39" s="65">
        <v>56</v>
      </c>
      <c r="U39" s="61">
        <v>1.0999999999999999E-2</v>
      </c>
      <c r="V39" s="61">
        <v>84</v>
      </c>
      <c r="W39" s="7">
        <v>2.7</v>
      </c>
      <c r="X39" s="3">
        <v>0</v>
      </c>
      <c r="Y39" s="61">
        <v>0.21</v>
      </c>
      <c r="Z39" s="61">
        <v>0.11</v>
      </c>
      <c r="AA39" s="61">
        <v>2.06</v>
      </c>
      <c r="AB39" s="61">
        <v>0.67300000000000004</v>
      </c>
      <c r="AC39" s="61">
        <v>0.37</v>
      </c>
      <c r="AD39" s="65">
        <v>5</v>
      </c>
      <c r="AE39" s="65">
        <v>0</v>
      </c>
      <c r="AF39" s="3" t="s">
        <v>2</v>
      </c>
      <c r="AG39" s="7">
        <v>0.88</v>
      </c>
      <c r="AH39" s="162">
        <v>0</v>
      </c>
      <c r="AI39" s="65">
        <v>0</v>
      </c>
      <c r="AJ39" s="3" t="s">
        <v>2</v>
      </c>
      <c r="AK39" s="3" t="s">
        <v>2</v>
      </c>
      <c r="AL39" s="7" t="s">
        <v>2</v>
      </c>
      <c r="AM39" s="65">
        <v>0</v>
      </c>
      <c r="AN39" s="65">
        <v>0</v>
      </c>
      <c r="AO39" s="59">
        <v>0</v>
      </c>
      <c r="AP39" s="3">
        <v>11.64</v>
      </c>
      <c r="AQ39" s="61">
        <v>7.6</v>
      </c>
      <c r="AR39" s="61" t="s">
        <v>367</v>
      </c>
      <c r="AS39" s="61">
        <v>3.51</v>
      </c>
      <c r="AT39" s="61" t="s">
        <v>367</v>
      </c>
      <c r="AU39" s="61" t="s">
        <v>367</v>
      </c>
      <c r="AV39" s="62" t="s">
        <v>367</v>
      </c>
      <c r="AW39" s="3">
        <v>15.8</v>
      </c>
      <c r="AX39" s="61" t="s">
        <v>367</v>
      </c>
      <c r="AY39" s="61">
        <v>1.22</v>
      </c>
      <c r="AZ39" s="62">
        <v>14.58</v>
      </c>
      <c r="BA39" s="3">
        <v>3.68</v>
      </c>
      <c r="BB39" s="61">
        <v>3.19</v>
      </c>
      <c r="BC39" s="61" t="s">
        <v>456</v>
      </c>
      <c r="BD39" s="61" t="s">
        <v>423</v>
      </c>
      <c r="BE39" s="61" t="s">
        <v>367</v>
      </c>
      <c r="BF39" s="62" t="s">
        <v>367</v>
      </c>
      <c r="BG39" s="7" t="s">
        <v>2</v>
      </c>
      <c r="BH39" s="11">
        <v>97</v>
      </c>
      <c r="BI39" s="65">
        <v>1012</v>
      </c>
      <c r="BJ39" s="65">
        <v>320</v>
      </c>
      <c r="BK39" s="65">
        <v>89</v>
      </c>
      <c r="BL39" s="65">
        <v>479</v>
      </c>
      <c r="BM39" s="65">
        <v>550</v>
      </c>
      <c r="BN39" s="65">
        <v>515</v>
      </c>
      <c r="BO39" s="65">
        <v>905</v>
      </c>
      <c r="BP39" s="65">
        <v>408</v>
      </c>
      <c r="BQ39" s="65">
        <v>1189</v>
      </c>
      <c r="BR39" s="65">
        <v>302</v>
      </c>
      <c r="BS39" s="65">
        <v>230</v>
      </c>
      <c r="BT39" s="65">
        <v>320</v>
      </c>
      <c r="BU39" s="65">
        <v>1278</v>
      </c>
      <c r="BV39" s="65">
        <v>1384</v>
      </c>
      <c r="BW39" s="65">
        <v>2130</v>
      </c>
      <c r="BX39" s="65">
        <v>2361</v>
      </c>
      <c r="BY39" s="65">
        <v>1509</v>
      </c>
      <c r="BZ39" s="59">
        <v>692</v>
      </c>
      <c r="CA39" s="3" t="s">
        <v>2</v>
      </c>
      <c r="CB39" s="3" t="s">
        <v>2</v>
      </c>
      <c r="CC39" s="3" t="s">
        <v>2</v>
      </c>
      <c r="CD39" s="3" t="s">
        <v>2</v>
      </c>
      <c r="CE39" s="3" t="s">
        <v>2</v>
      </c>
      <c r="CF39" s="3" t="s">
        <v>2</v>
      </c>
      <c r="CG39" s="7" t="s">
        <v>2</v>
      </c>
      <c r="CH39" s="65">
        <v>0</v>
      </c>
      <c r="CI39" s="59">
        <v>0</v>
      </c>
      <c r="CJ39" s="65">
        <v>0</v>
      </c>
      <c r="CK39" s="65">
        <v>0</v>
      </c>
      <c r="CL39" s="65">
        <v>0</v>
      </c>
      <c r="CM39" s="59">
        <v>0</v>
      </c>
      <c r="CN39" s="156">
        <v>0</v>
      </c>
      <c r="CO39" s="156" t="s">
        <v>2</v>
      </c>
    </row>
    <row r="40" spans="1:93" s="13" customFormat="1" x14ac:dyDescent="0.25">
      <c r="A40" s="155" t="s">
        <v>1439</v>
      </c>
      <c r="B40" s="55" t="s">
        <v>457</v>
      </c>
      <c r="C40" s="10" t="s">
        <v>1440</v>
      </c>
      <c r="D40" s="291">
        <v>7</v>
      </c>
      <c r="E40" s="11">
        <v>0</v>
      </c>
      <c r="F40" s="156">
        <v>110</v>
      </c>
      <c r="G40" s="65">
        <v>460</v>
      </c>
      <c r="H40" s="68">
        <v>75.2</v>
      </c>
      <c r="I40" s="3">
        <v>17.399999999999999</v>
      </c>
      <c r="J40" s="3">
        <v>3.1</v>
      </c>
      <c r="K40" s="3">
        <v>3</v>
      </c>
      <c r="L40" s="3" t="s">
        <v>366</v>
      </c>
      <c r="M40" s="7">
        <v>1.3</v>
      </c>
      <c r="N40" s="65">
        <v>5</v>
      </c>
      <c r="O40" s="65">
        <v>340</v>
      </c>
      <c r="P40" s="3">
        <v>9</v>
      </c>
      <c r="Q40" s="3">
        <v>4</v>
      </c>
      <c r="R40" s="65">
        <v>110</v>
      </c>
      <c r="S40" s="65">
        <v>213</v>
      </c>
      <c r="T40" s="65">
        <v>13</v>
      </c>
      <c r="U40" s="61">
        <v>0.3</v>
      </c>
      <c r="V40" s="61">
        <v>1500</v>
      </c>
      <c r="W40" s="7">
        <v>39.700000000000003</v>
      </c>
      <c r="X40" s="3">
        <v>30</v>
      </c>
      <c r="Y40" s="61">
        <v>0.4</v>
      </c>
      <c r="Z40" s="61">
        <v>3</v>
      </c>
      <c r="AA40" s="61">
        <v>17</v>
      </c>
      <c r="AB40" s="61">
        <v>7.7130000000000001</v>
      </c>
      <c r="AC40" s="61">
        <v>1.083</v>
      </c>
      <c r="AD40" s="65">
        <v>290</v>
      </c>
      <c r="AE40" s="65">
        <v>0</v>
      </c>
      <c r="AF40" s="3" t="s">
        <v>2</v>
      </c>
      <c r="AG40" s="7">
        <v>59.3</v>
      </c>
      <c r="AH40" s="162">
        <v>5000</v>
      </c>
      <c r="AI40" s="65">
        <v>5062</v>
      </c>
      <c r="AJ40" s="3">
        <v>0.4</v>
      </c>
      <c r="AK40" s="3">
        <v>0.38</v>
      </c>
      <c r="AL40" s="7">
        <v>3.1</v>
      </c>
      <c r="AM40" s="65">
        <v>621</v>
      </c>
      <c r="AN40" s="65">
        <v>232</v>
      </c>
      <c r="AO40" s="59">
        <v>11</v>
      </c>
      <c r="AP40" s="3">
        <v>1.2330000000000001</v>
      </c>
      <c r="AQ40" s="61">
        <v>0.312</v>
      </c>
      <c r="AR40" s="61" t="s">
        <v>381</v>
      </c>
      <c r="AS40" s="61">
        <v>0.86199999999999999</v>
      </c>
      <c r="AT40" s="61" t="s">
        <v>367</v>
      </c>
      <c r="AU40" s="61">
        <v>8.9999999999999993E-3</v>
      </c>
      <c r="AV40" s="62" t="s">
        <v>367</v>
      </c>
      <c r="AW40" s="3">
        <v>0.47899999999999998</v>
      </c>
      <c r="AX40" s="61" t="s">
        <v>367</v>
      </c>
      <c r="AY40" s="61">
        <v>3.5999999999999997E-2</v>
      </c>
      <c r="AZ40" s="62">
        <v>0.42299999999999999</v>
      </c>
      <c r="BA40" s="3">
        <v>0.46500000000000002</v>
      </c>
      <c r="BB40" s="61">
        <v>0.29899999999999999</v>
      </c>
      <c r="BC40" s="61">
        <v>1.6E-2</v>
      </c>
      <c r="BD40" s="61">
        <v>0.14099999999999999</v>
      </c>
      <c r="BE40" s="61" t="s">
        <v>367</v>
      </c>
      <c r="BF40" s="62" t="s">
        <v>367</v>
      </c>
      <c r="BG40" s="3">
        <v>0.17</v>
      </c>
      <c r="BH40" s="11">
        <v>275</v>
      </c>
      <c r="BI40" s="65">
        <v>1523</v>
      </c>
      <c r="BJ40" s="65">
        <v>641</v>
      </c>
      <c r="BK40" s="65">
        <v>280</v>
      </c>
      <c r="BL40" s="65">
        <v>1122</v>
      </c>
      <c r="BM40" s="65">
        <v>754</v>
      </c>
      <c r="BN40" s="65">
        <v>1388</v>
      </c>
      <c r="BO40" s="65">
        <v>1818</v>
      </c>
      <c r="BP40" s="65">
        <v>1119</v>
      </c>
      <c r="BQ40" s="65">
        <v>1283</v>
      </c>
      <c r="BR40" s="65">
        <v>562</v>
      </c>
      <c r="BS40" s="65">
        <v>243</v>
      </c>
      <c r="BT40" s="65">
        <v>690</v>
      </c>
      <c r="BU40" s="65">
        <v>1097</v>
      </c>
      <c r="BV40" s="65">
        <v>1742</v>
      </c>
      <c r="BW40" s="65">
        <v>2675</v>
      </c>
      <c r="BX40" s="65">
        <v>1180</v>
      </c>
      <c r="BY40" s="65">
        <v>948</v>
      </c>
      <c r="BZ40" s="59">
        <v>793</v>
      </c>
      <c r="CA40" s="3" t="s">
        <v>2</v>
      </c>
      <c r="CB40" s="3" t="s">
        <v>2</v>
      </c>
      <c r="CC40" s="3" t="s">
        <v>2</v>
      </c>
      <c r="CD40" s="3" t="s">
        <v>2</v>
      </c>
      <c r="CE40" s="3" t="s">
        <v>2</v>
      </c>
      <c r="CF40" s="3" t="s">
        <v>2</v>
      </c>
      <c r="CG40" s="7" t="s">
        <v>2</v>
      </c>
      <c r="CH40" s="65">
        <v>13</v>
      </c>
      <c r="CI40" s="59">
        <v>0</v>
      </c>
      <c r="CJ40" s="65">
        <v>0</v>
      </c>
      <c r="CK40" s="65">
        <v>0</v>
      </c>
      <c r="CL40" s="65">
        <v>0</v>
      </c>
      <c r="CM40" s="59">
        <v>0</v>
      </c>
      <c r="CN40" s="156">
        <v>0</v>
      </c>
      <c r="CO40" s="156" t="s">
        <v>2</v>
      </c>
    </row>
    <row r="41" spans="1:93" s="13" customFormat="1" x14ac:dyDescent="0.25">
      <c r="A41" s="155" t="s">
        <v>1441</v>
      </c>
      <c r="B41" s="55" t="s">
        <v>458</v>
      </c>
      <c r="C41" s="10" t="s">
        <v>1442</v>
      </c>
      <c r="D41" s="291">
        <v>7</v>
      </c>
      <c r="E41" s="11">
        <v>0</v>
      </c>
      <c r="F41" s="156">
        <v>111</v>
      </c>
      <c r="G41" s="65">
        <v>466</v>
      </c>
      <c r="H41" s="68">
        <v>75</v>
      </c>
      <c r="I41" s="3">
        <v>18.2</v>
      </c>
      <c r="J41" s="3">
        <v>3.4</v>
      </c>
      <c r="K41" s="3">
        <v>2</v>
      </c>
      <c r="L41" s="3">
        <v>0</v>
      </c>
      <c r="M41" s="7">
        <v>1.4</v>
      </c>
      <c r="N41" s="65">
        <v>21</v>
      </c>
      <c r="O41" s="65">
        <v>260</v>
      </c>
      <c r="P41" s="3">
        <v>8.1999999999999993</v>
      </c>
      <c r="Q41" s="3">
        <v>2.67</v>
      </c>
      <c r="R41" s="65">
        <v>71</v>
      </c>
      <c r="S41" s="65">
        <v>335</v>
      </c>
      <c r="T41" s="65">
        <v>17</v>
      </c>
      <c r="U41" s="61">
        <v>0.2</v>
      </c>
      <c r="V41" s="61">
        <v>300</v>
      </c>
      <c r="W41" s="7">
        <v>54.6</v>
      </c>
      <c r="X41" s="3">
        <v>7</v>
      </c>
      <c r="Y41" s="61">
        <v>0.38</v>
      </c>
      <c r="Z41" s="61">
        <v>1.63</v>
      </c>
      <c r="AA41" s="61">
        <v>10.4</v>
      </c>
      <c r="AB41" s="61">
        <v>6.2329999999999997</v>
      </c>
      <c r="AC41" s="61">
        <v>0.85299999999999998</v>
      </c>
      <c r="AD41" s="65">
        <v>588</v>
      </c>
      <c r="AE41" s="65">
        <v>0</v>
      </c>
      <c r="AF41" s="3">
        <v>210</v>
      </c>
      <c r="AG41" s="7">
        <v>16.579999999999998</v>
      </c>
      <c r="AH41" s="162">
        <v>3290</v>
      </c>
      <c r="AI41" s="65">
        <v>3296</v>
      </c>
      <c r="AJ41" s="3" t="s">
        <v>2</v>
      </c>
      <c r="AK41" s="3">
        <v>0.7</v>
      </c>
      <c r="AL41" s="7">
        <v>0</v>
      </c>
      <c r="AM41" s="65">
        <v>56</v>
      </c>
      <c r="AN41" s="65">
        <v>11</v>
      </c>
      <c r="AO41" s="59">
        <v>11</v>
      </c>
      <c r="AP41" s="3">
        <v>1.5629999999999999</v>
      </c>
      <c r="AQ41" s="61">
        <v>0.88300000000000001</v>
      </c>
      <c r="AR41" s="61">
        <v>2E-3</v>
      </c>
      <c r="AS41" s="61">
        <v>0.65900000000000003</v>
      </c>
      <c r="AT41" s="61" t="s">
        <v>367</v>
      </c>
      <c r="AU41" s="61">
        <v>7.0000000000000001E-3</v>
      </c>
      <c r="AV41" s="62" t="s">
        <v>367</v>
      </c>
      <c r="AW41" s="3">
        <v>1.2490000000000001</v>
      </c>
      <c r="AX41" s="61" t="s">
        <v>367</v>
      </c>
      <c r="AY41" s="61">
        <v>0.106</v>
      </c>
      <c r="AZ41" s="62">
        <v>1.127</v>
      </c>
      <c r="BA41" s="3">
        <v>0.81899999999999995</v>
      </c>
      <c r="BB41" s="61">
        <v>0.47499999999999998</v>
      </c>
      <c r="BC41" s="61">
        <v>6.0000000000000001E-3</v>
      </c>
      <c r="BD41" s="61">
        <v>0.32600000000000001</v>
      </c>
      <c r="BE41" s="61" t="s">
        <v>367</v>
      </c>
      <c r="BF41" s="62" t="s">
        <v>367</v>
      </c>
      <c r="BG41" s="3">
        <v>6.5000000000000002E-2</v>
      </c>
      <c r="BH41" s="11">
        <v>345</v>
      </c>
      <c r="BI41" s="65">
        <v>1244</v>
      </c>
      <c r="BJ41" s="65">
        <v>463</v>
      </c>
      <c r="BK41" s="65">
        <v>179</v>
      </c>
      <c r="BL41" s="65">
        <v>764</v>
      </c>
      <c r="BM41" s="65">
        <v>676</v>
      </c>
      <c r="BN41" s="65">
        <v>889</v>
      </c>
      <c r="BO41" s="65">
        <v>1633</v>
      </c>
      <c r="BP41" s="65">
        <v>1295</v>
      </c>
      <c r="BQ41" s="65">
        <v>960</v>
      </c>
      <c r="BR41" s="65">
        <v>338</v>
      </c>
      <c r="BS41" s="65">
        <v>213</v>
      </c>
      <c r="BT41" s="65">
        <v>534</v>
      </c>
      <c r="BU41" s="65">
        <v>940</v>
      </c>
      <c r="BV41" s="65">
        <v>1437</v>
      </c>
      <c r="BW41" s="65">
        <v>2417</v>
      </c>
      <c r="BX41" s="65">
        <v>798</v>
      </c>
      <c r="BY41" s="65">
        <v>747</v>
      </c>
      <c r="BZ41" s="59">
        <v>710</v>
      </c>
      <c r="CA41" s="3" t="s">
        <v>2</v>
      </c>
      <c r="CB41" s="3" t="s">
        <v>2</v>
      </c>
      <c r="CC41" s="3" t="s">
        <v>2</v>
      </c>
      <c r="CD41" s="3" t="s">
        <v>2</v>
      </c>
      <c r="CE41" s="3" t="s">
        <v>2</v>
      </c>
      <c r="CF41" s="3" t="s">
        <v>2</v>
      </c>
      <c r="CG41" s="7" t="s">
        <v>2</v>
      </c>
      <c r="CH41" s="65">
        <v>40</v>
      </c>
      <c r="CI41" s="59">
        <v>0</v>
      </c>
      <c r="CJ41" s="65">
        <v>0</v>
      </c>
      <c r="CK41" s="65">
        <v>0</v>
      </c>
      <c r="CL41" s="65">
        <v>0</v>
      </c>
      <c r="CM41" s="59">
        <v>0</v>
      </c>
      <c r="CN41" s="156">
        <v>0</v>
      </c>
      <c r="CO41" s="156">
        <v>243</v>
      </c>
    </row>
    <row r="42" spans="1:93" s="13" customFormat="1" x14ac:dyDescent="0.25">
      <c r="A42" s="155" t="s">
        <v>1443</v>
      </c>
      <c r="B42" s="55" t="s">
        <v>459</v>
      </c>
      <c r="C42" s="10" t="s">
        <v>1444</v>
      </c>
      <c r="D42" s="291">
        <v>7</v>
      </c>
      <c r="E42" s="11">
        <v>0</v>
      </c>
      <c r="F42" s="156">
        <v>116</v>
      </c>
      <c r="G42" s="65">
        <v>484</v>
      </c>
      <c r="H42" s="68">
        <v>74.099999999999994</v>
      </c>
      <c r="I42" s="3">
        <v>18.8</v>
      </c>
      <c r="J42" s="3">
        <v>3.6</v>
      </c>
      <c r="K42" s="3">
        <v>2</v>
      </c>
      <c r="L42" s="3">
        <v>0</v>
      </c>
      <c r="M42" s="7">
        <v>1.5</v>
      </c>
      <c r="N42" s="65">
        <v>7</v>
      </c>
      <c r="O42" s="65">
        <v>353</v>
      </c>
      <c r="P42" s="3">
        <v>12</v>
      </c>
      <c r="Q42" s="3">
        <v>5.76</v>
      </c>
      <c r="R42" s="65">
        <v>110</v>
      </c>
      <c r="S42" s="65">
        <v>447</v>
      </c>
      <c r="T42" s="65">
        <v>17</v>
      </c>
      <c r="U42" s="61">
        <v>0.3</v>
      </c>
      <c r="V42" s="61">
        <v>510</v>
      </c>
      <c r="W42" s="7">
        <v>52.7</v>
      </c>
      <c r="X42" s="3">
        <v>18</v>
      </c>
      <c r="Y42" s="61">
        <v>0.4</v>
      </c>
      <c r="Z42" s="61">
        <v>2.11</v>
      </c>
      <c r="AA42" s="61">
        <v>16.2</v>
      </c>
      <c r="AB42" s="61">
        <v>6.65</v>
      </c>
      <c r="AC42" s="61">
        <v>0.69</v>
      </c>
      <c r="AD42" s="65">
        <v>211</v>
      </c>
      <c r="AE42" s="65">
        <v>0</v>
      </c>
      <c r="AF42" s="3" t="s">
        <v>2</v>
      </c>
      <c r="AG42" s="7">
        <v>26</v>
      </c>
      <c r="AH42" s="162">
        <v>6000</v>
      </c>
      <c r="AI42" s="65">
        <v>6000</v>
      </c>
      <c r="AJ42" s="3" t="s">
        <v>2</v>
      </c>
      <c r="AK42" s="3" t="s">
        <v>2</v>
      </c>
      <c r="AL42" s="7" t="s">
        <v>2</v>
      </c>
      <c r="AM42" s="65" t="s">
        <v>2</v>
      </c>
      <c r="AN42" s="65" t="s">
        <v>2</v>
      </c>
      <c r="AO42" s="59" t="s">
        <v>2</v>
      </c>
      <c r="AP42" s="3">
        <v>1.17</v>
      </c>
      <c r="AQ42" s="61">
        <v>0.44</v>
      </c>
      <c r="AR42" s="61">
        <v>0</v>
      </c>
      <c r="AS42" s="61">
        <v>0.7</v>
      </c>
      <c r="AT42" s="61">
        <v>0</v>
      </c>
      <c r="AU42" s="61">
        <v>0</v>
      </c>
      <c r="AV42" s="62">
        <v>0</v>
      </c>
      <c r="AW42" s="3">
        <v>0.52</v>
      </c>
      <c r="AX42" s="61">
        <v>0</v>
      </c>
      <c r="AY42" s="61">
        <v>0.03</v>
      </c>
      <c r="AZ42" s="62">
        <v>0.46</v>
      </c>
      <c r="BA42" s="3">
        <v>0.87</v>
      </c>
      <c r="BB42" s="61">
        <v>0.35</v>
      </c>
      <c r="BC42" s="61">
        <v>0.03</v>
      </c>
      <c r="BD42" s="61">
        <v>0.44</v>
      </c>
      <c r="BE42" s="61">
        <v>0</v>
      </c>
      <c r="BF42" s="62">
        <v>0.02</v>
      </c>
      <c r="BG42" s="11" t="s">
        <v>2</v>
      </c>
      <c r="BH42" s="11">
        <v>301</v>
      </c>
      <c r="BI42" s="65">
        <v>1260</v>
      </c>
      <c r="BJ42" s="65">
        <v>600</v>
      </c>
      <c r="BK42" s="65">
        <v>340</v>
      </c>
      <c r="BL42" s="65">
        <v>1150</v>
      </c>
      <c r="BM42" s="65">
        <v>900</v>
      </c>
      <c r="BN42" s="65">
        <v>1170</v>
      </c>
      <c r="BO42" s="65">
        <v>1580</v>
      </c>
      <c r="BP42" s="65">
        <v>1020</v>
      </c>
      <c r="BQ42" s="65">
        <v>1080</v>
      </c>
      <c r="BR42" s="65">
        <v>490</v>
      </c>
      <c r="BS42" s="65">
        <v>236</v>
      </c>
      <c r="BT42" s="65">
        <v>709</v>
      </c>
      <c r="BU42" s="65">
        <v>1223</v>
      </c>
      <c r="BV42" s="65">
        <v>1992</v>
      </c>
      <c r="BW42" s="65">
        <v>2622</v>
      </c>
      <c r="BX42" s="65">
        <v>1160</v>
      </c>
      <c r="BY42" s="65">
        <v>986</v>
      </c>
      <c r="BZ42" s="59">
        <v>1005</v>
      </c>
      <c r="CA42" s="3" t="s">
        <v>2</v>
      </c>
      <c r="CB42" s="3" t="s">
        <v>2</v>
      </c>
      <c r="CC42" s="3" t="s">
        <v>2</v>
      </c>
      <c r="CD42" s="3" t="s">
        <v>2</v>
      </c>
      <c r="CE42" s="3" t="s">
        <v>2</v>
      </c>
      <c r="CF42" s="3" t="s">
        <v>2</v>
      </c>
      <c r="CG42" s="7" t="s">
        <v>2</v>
      </c>
      <c r="CH42" s="65" t="s">
        <v>2</v>
      </c>
      <c r="CI42" s="59">
        <v>0</v>
      </c>
      <c r="CJ42" s="65">
        <v>0</v>
      </c>
      <c r="CK42" s="65">
        <v>0</v>
      </c>
      <c r="CL42" s="65">
        <v>0</v>
      </c>
      <c r="CM42" s="59">
        <v>0</v>
      </c>
      <c r="CN42" s="156">
        <v>0</v>
      </c>
      <c r="CO42" s="156">
        <v>515</v>
      </c>
    </row>
    <row r="43" spans="1:93" s="13" customFormat="1" x14ac:dyDescent="0.25">
      <c r="A43" s="155" t="s">
        <v>1445</v>
      </c>
      <c r="B43" s="55" t="s">
        <v>460</v>
      </c>
      <c r="C43" s="10" t="s">
        <v>1446</v>
      </c>
      <c r="D43" s="291">
        <v>7</v>
      </c>
      <c r="E43" s="11">
        <v>0</v>
      </c>
      <c r="F43" s="156">
        <v>122</v>
      </c>
      <c r="G43" s="65">
        <v>510</v>
      </c>
      <c r="H43" s="68">
        <v>74.099999999999994</v>
      </c>
      <c r="I43" s="3">
        <v>17.100000000000001</v>
      </c>
      <c r="J43" s="3">
        <v>4.7</v>
      </c>
      <c r="K43" s="3">
        <v>2.8</v>
      </c>
      <c r="L43" s="3">
        <v>0</v>
      </c>
      <c r="M43" s="7">
        <v>1.3</v>
      </c>
      <c r="N43" s="65">
        <v>17</v>
      </c>
      <c r="O43" s="65">
        <v>177</v>
      </c>
      <c r="P43" s="3">
        <v>4.8</v>
      </c>
      <c r="Q43" s="3">
        <v>3.07</v>
      </c>
      <c r="R43" s="65">
        <v>140</v>
      </c>
      <c r="S43" s="65">
        <v>230</v>
      </c>
      <c r="T43" s="65">
        <v>24</v>
      </c>
      <c r="U43" s="61">
        <v>0.25800000000000001</v>
      </c>
      <c r="V43" s="61">
        <v>5962</v>
      </c>
      <c r="W43" s="7">
        <v>67</v>
      </c>
      <c r="X43" s="3">
        <v>7</v>
      </c>
      <c r="Y43" s="61">
        <v>0.44</v>
      </c>
      <c r="Z43" s="61">
        <v>1.28</v>
      </c>
      <c r="AA43" s="61">
        <v>9.1</v>
      </c>
      <c r="AB43" s="61">
        <v>6.1840000000000002</v>
      </c>
      <c r="AC43" s="61">
        <v>0.76</v>
      </c>
      <c r="AD43" s="65">
        <v>738</v>
      </c>
      <c r="AE43" s="65">
        <v>0</v>
      </c>
      <c r="AF43" s="3" t="s">
        <v>2</v>
      </c>
      <c r="AG43" s="7">
        <v>54</v>
      </c>
      <c r="AH43" s="162">
        <v>11984</v>
      </c>
      <c r="AI43" s="65">
        <v>11984</v>
      </c>
      <c r="AJ43" s="3" t="s">
        <v>2</v>
      </c>
      <c r="AK43" s="3" t="s">
        <v>2</v>
      </c>
      <c r="AL43" s="7" t="s">
        <v>2</v>
      </c>
      <c r="AM43" s="65" t="s">
        <v>2</v>
      </c>
      <c r="AN43" s="65" t="s">
        <v>2</v>
      </c>
      <c r="AO43" s="59" t="s">
        <v>2</v>
      </c>
      <c r="AP43" s="3">
        <v>1.1399999999999999</v>
      </c>
      <c r="AQ43" s="61">
        <v>0.8</v>
      </c>
      <c r="AR43" s="61">
        <v>0</v>
      </c>
      <c r="AS43" s="61">
        <v>0.63</v>
      </c>
      <c r="AT43" s="61">
        <v>0</v>
      </c>
      <c r="AU43" s="61">
        <v>0</v>
      </c>
      <c r="AV43" s="62" t="s">
        <v>367</v>
      </c>
      <c r="AW43" s="3">
        <v>0.71</v>
      </c>
      <c r="AX43" s="61" t="s">
        <v>367</v>
      </c>
      <c r="AY43" s="61">
        <v>0.05</v>
      </c>
      <c r="AZ43" s="62">
        <v>0.65</v>
      </c>
      <c r="BA43" s="3">
        <v>0.63</v>
      </c>
      <c r="BB43" s="61">
        <v>0.37</v>
      </c>
      <c r="BC43" s="61">
        <v>0</v>
      </c>
      <c r="BD43" s="61">
        <v>0.26</v>
      </c>
      <c r="BE43" s="61">
        <v>0</v>
      </c>
      <c r="BF43" s="62">
        <v>0</v>
      </c>
      <c r="BG43" s="11" t="s">
        <v>2</v>
      </c>
      <c r="BH43" s="7">
        <v>515</v>
      </c>
      <c r="BI43" s="65">
        <v>1418</v>
      </c>
      <c r="BJ43" s="65">
        <v>444</v>
      </c>
      <c r="BK43" s="65">
        <v>264</v>
      </c>
      <c r="BL43" s="65">
        <v>932</v>
      </c>
      <c r="BM43" s="65">
        <v>833</v>
      </c>
      <c r="BN43" s="65">
        <v>1181</v>
      </c>
      <c r="BO43" s="65">
        <v>1691</v>
      </c>
      <c r="BP43" s="65">
        <v>995</v>
      </c>
      <c r="BQ43" s="65">
        <v>1148</v>
      </c>
      <c r="BR43" s="65">
        <v>498</v>
      </c>
      <c r="BS43" s="65">
        <v>252</v>
      </c>
      <c r="BT43" s="65">
        <v>660</v>
      </c>
      <c r="BU43" s="65">
        <v>1088</v>
      </c>
      <c r="BV43" s="65">
        <v>1781</v>
      </c>
      <c r="BW43" s="65">
        <v>2428</v>
      </c>
      <c r="BX43" s="65">
        <v>1088</v>
      </c>
      <c r="BY43" s="65">
        <v>929</v>
      </c>
      <c r="BZ43" s="59">
        <v>806</v>
      </c>
      <c r="CA43" s="3" t="s">
        <v>2</v>
      </c>
      <c r="CB43" s="3" t="s">
        <v>2</v>
      </c>
      <c r="CC43" s="3" t="s">
        <v>2</v>
      </c>
      <c r="CD43" s="3" t="s">
        <v>2</v>
      </c>
      <c r="CE43" s="3" t="s">
        <v>2</v>
      </c>
      <c r="CF43" s="3" t="s">
        <v>2</v>
      </c>
      <c r="CG43" s="7" t="s">
        <v>2</v>
      </c>
      <c r="CH43" s="65" t="s">
        <v>2</v>
      </c>
      <c r="CI43" s="59">
        <v>0</v>
      </c>
      <c r="CJ43" s="65">
        <v>0</v>
      </c>
      <c r="CK43" s="65">
        <v>0</v>
      </c>
      <c r="CL43" s="65">
        <v>0</v>
      </c>
      <c r="CM43" s="59">
        <v>0</v>
      </c>
      <c r="CN43" s="156">
        <v>0</v>
      </c>
      <c r="CO43" s="156" t="s">
        <v>2</v>
      </c>
    </row>
    <row r="44" spans="1:93" s="13" customFormat="1" x14ac:dyDescent="0.25">
      <c r="A44" s="155" t="s">
        <v>1447</v>
      </c>
      <c r="B44" s="55" t="s">
        <v>461</v>
      </c>
      <c r="C44" s="10" t="s">
        <v>1448</v>
      </c>
      <c r="D44" s="291">
        <v>7</v>
      </c>
      <c r="E44" s="11">
        <v>0</v>
      </c>
      <c r="F44" s="156">
        <v>124</v>
      </c>
      <c r="G44" s="65">
        <v>517</v>
      </c>
      <c r="H44" s="68">
        <v>69.2</v>
      </c>
      <c r="I44" s="3">
        <v>30.2</v>
      </c>
      <c r="J44" s="3">
        <v>0.3</v>
      </c>
      <c r="K44" s="3">
        <v>0</v>
      </c>
      <c r="L44" s="3">
        <v>0</v>
      </c>
      <c r="M44" s="7">
        <v>0.3</v>
      </c>
      <c r="N44" s="65" t="s">
        <v>2</v>
      </c>
      <c r="O44" s="65" t="s">
        <v>2</v>
      </c>
      <c r="P44" s="3" t="s">
        <v>2</v>
      </c>
      <c r="Q44" s="3" t="s">
        <v>2</v>
      </c>
      <c r="R44" s="65" t="s">
        <v>2</v>
      </c>
      <c r="S44" s="65" t="s">
        <v>2</v>
      </c>
      <c r="T44" s="65" t="s">
        <v>2</v>
      </c>
      <c r="U44" s="61" t="s">
        <v>2</v>
      </c>
      <c r="V44" s="61" t="s">
        <v>2</v>
      </c>
      <c r="W44" s="7" t="s">
        <v>2</v>
      </c>
      <c r="X44" s="3" t="s">
        <v>2</v>
      </c>
      <c r="Y44" s="61" t="s">
        <v>2</v>
      </c>
      <c r="Z44" s="61" t="s">
        <v>2</v>
      </c>
      <c r="AA44" s="61" t="s">
        <v>2</v>
      </c>
      <c r="AB44" s="61" t="s">
        <v>2</v>
      </c>
      <c r="AC44" s="61" t="s">
        <v>2</v>
      </c>
      <c r="AD44" s="65" t="s">
        <v>2</v>
      </c>
      <c r="AE44" s="65" t="s">
        <v>2</v>
      </c>
      <c r="AF44" s="3" t="s">
        <v>2</v>
      </c>
      <c r="AG44" s="7" t="s">
        <v>2</v>
      </c>
      <c r="AH44" s="162" t="s">
        <v>2</v>
      </c>
      <c r="AI44" s="65">
        <v>0</v>
      </c>
      <c r="AJ44" s="3" t="s">
        <v>2</v>
      </c>
      <c r="AK44" s="3" t="s">
        <v>2</v>
      </c>
      <c r="AL44" s="7" t="s">
        <v>2</v>
      </c>
      <c r="AM44" s="65">
        <v>0</v>
      </c>
      <c r="AN44" s="65">
        <v>0</v>
      </c>
      <c r="AO44" s="59">
        <v>0</v>
      </c>
      <c r="AP44" s="3" t="s">
        <v>2</v>
      </c>
      <c r="AQ44" s="61" t="s">
        <v>2</v>
      </c>
      <c r="AR44" s="61" t="s">
        <v>2</v>
      </c>
      <c r="AS44" s="61" t="s">
        <v>2</v>
      </c>
      <c r="AT44" s="61" t="s">
        <v>2</v>
      </c>
      <c r="AU44" s="61" t="s">
        <v>2</v>
      </c>
      <c r="AV44" s="62" t="s">
        <v>2</v>
      </c>
      <c r="AW44" s="3" t="s">
        <v>2</v>
      </c>
      <c r="AX44" s="61" t="s">
        <v>2</v>
      </c>
      <c r="AY44" s="61" t="s">
        <v>2</v>
      </c>
      <c r="AZ44" s="62" t="s">
        <v>2</v>
      </c>
      <c r="BA44" s="3" t="s">
        <v>2</v>
      </c>
      <c r="BB44" s="61" t="s">
        <v>2</v>
      </c>
      <c r="BC44" s="61" t="s">
        <v>2</v>
      </c>
      <c r="BD44" s="61" t="s">
        <v>2</v>
      </c>
      <c r="BE44" s="61" t="s">
        <v>2</v>
      </c>
      <c r="BF44" s="62" t="s">
        <v>2</v>
      </c>
      <c r="BG44" s="7" t="s">
        <v>2</v>
      </c>
      <c r="BH44" s="7" t="s">
        <v>2</v>
      </c>
      <c r="BI44" s="65" t="s">
        <v>2</v>
      </c>
      <c r="BJ44" s="65" t="s">
        <v>2</v>
      </c>
      <c r="BK44" s="65" t="s">
        <v>2</v>
      </c>
      <c r="BL44" s="65" t="s">
        <v>2</v>
      </c>
      <c r="BM44" s="65" t="s">
        <v>2</v>
      </c>
      <c r="BN44" s="65" t="s">
        <v>2</v>
      </c>
      <c r="BO44" s="65" t="s">
        <v>2</v>
      </c>
      <c r="BP44" s="65" t="s">
        <v>2</v>
      </c>
      <c r="BQ44" s="65" t="s">
        <v>2</v>
      </c>
      <c r="BR44" s="65" t="s">
        <v>2</v>
      </c>
      <c r="BS44" s="65" t="s">
        <v>2</v>
      </c>
      <c r="BT44" s="65" t="s">
        <v>2</v>
      </c>
      <c r="BU44" s="65" t="s">
        <v>2</v>
      </c>
      <c r="BV44" s="65" t="s">
        <v>2</v>
      </c>
      <c r="BW44" s="65" t="s">
        <v>2</v>
      </c>
      <c r="BX44" s="65" t="s">
        <v>2</v>
      </c>
      <c r="BY44" s="65" t="s">
        <v>2</v>
      </c>
      <c r="BZ44" s="59" t="s">
        <v>2</v>
      </c>
      <c r="CA44" s="3" t="s">
        <v>2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7">
        <v>0</v>
      </c>
      <c r="CH44" s="65">
        <v>0</v>
      </c>
      <c r="CI44" s="59">
        <v>0</v>
      </c>
      <c r="CJ44" s="65">
        <v>0</v>
      </c>
      <c r="CK44" s="65">
        <v>0</v>
      </c>
      <c r="CL44" s="65">
        <v>0</v>
      </c>
      <c r="CM44" s="59">
        <v>0</v>
      </c>
      <c r="CN44" s="156">
        <v>0</v>
      </c>
      <c r="CO44" s="156" t="s">
        <v>2</v>
      </c>
    </row>
    <row r="45" spans="1:93" s="13" customFormat="1" x14ac:dyDescent="0.25">
      <c r="A45" s="155" t="s">
        <v>1449</v>
      </c>
      <c r="B45" s="55" t="s">
        <v>462</v>
      </c>
      <c r="C45" s="10" t="s">
        <v>1450</v>
      </c>
      <c r="D45" s="291">
        <v>7</v>
      </c>
      <c r="E45" s="11">
        <v>8</v>
      </c>
      <c r="F45" s="156">
        <v>164</v>
      </c>
      <c r="G45" s="65">
        <v>687</v>
      </c>
      <c r="H45" s="68">
        <v>73.2</v>
      </c>
      <c r="I45" s="3">
        <v>13.6</v>
      </c>
      <c r="J45" s="3">
        <v>12.1</v>
      </c>
      <c r="K45" s="3">
        <v>0.2</v>
      </c>
      <c r="L45" s="3">
        <v>0</v>
      </c>
      <c r="M45" s="7">
        <v>0.9</v>
      </c>
      <c r="N45" s="65">
        <v>7</v>
      </c>
      <c r="O45" s="65">
        <v>162</v>
      </c>
      <c r="P45" s="3">
        <v>3</v>
      </c>
      <c r="Q45" s="3">
        <v>2.87</v>
      </c>
      <c r="R45" s="65">
        <v>69</v>
      </c>
      <c r="S45" s="65">
        <v>315</v>
      </c>
      <c r="T45" s="65">
        <v>16</v>
      </c>
      <c r="U45" s="61">
        <v>2.5999999999999999E-2</v>
      </c>
      <c r="V45" s="61">
        <v>170</v>
      </c>
      <c r="W45" s="7">
        <v>9.4</v>
      </c>
      <c r="X45" s="3">
        <v>3</v>
      </c>
      <c r="Y45" s="61">
        <v>7.0000000000000007E-2</v>
      </c>
      <c r="Z45" s="61">
        <v>0.15</v>
      </c>
      <c r="AA45" s="61">
        <v>4.8</v>
      </c>
      <c r="AB45" s="61">
        <v>0.65300000000000002</v>
      </c>
      <c r="AC45" s="61">
        <v>0.31</v>
      </c>
      <c r="AD45" s="65">
        <v>7</v>
      </c>
      <c r="AE45" s="65">
        <v>0</v>
      </c>
      <c r="AF45" s="3" t="s">
        <v>2</v>
      </c>
      <c r="AG45" s="7">
        <v>3.79</v>
      </c>
      <c r="AH45" s="162">
        <v>0</v>
      </c>
      <c r="AI45" s="65">
        <v>0</v>
      </c>
      <c r="AJ45" s="3" t="s">
        <v>2</v>
      </c>
      <c r="AK45" s="3" t="s">
        <v>2</v>
      </c>
      <c r="AL45" s="7" t="s">
        <v>2</v>
      </c>
      <c r="AM45" s="65">
        <v>0</v>
      </c>
      <c r="AN45" s="65">
        <v>0</v>
      </c>
      <c r="AO45" s="59">
        <v>0</v>
      </c>
      <c r="AP45" s="3">
        <v>7</v>
      </c>
      <c r="AQ45" s="61">
        <v>4.22</v>
      </c>
      <c r="AR45" s="61">
        <v>0</v>
      </c>
      <c r="AS45" s="61">
        <v>2.1</v>
      </c>
      <c r="AT45" s="61">
        <v>0</v>
      </c>
      <c r="AU45" s="61">
        <v>0</v>
      </c>
      <c r="AV45" s="62" t="s">
        <v>367</v>
      </c>
      <c r="AW45" s="3">
        <v>7.24</v>
      </c>
      <c r="AX45" s="61" t="s">
        <v>367</v>
      </c>
      <c r="AY45" s="61">
        <v>0.55000000000000004</v>
      </c>
      <c r="AZ45" s="62">
        <v>6.55</v>
      </c>
      <c r="BA45" s="3">
        <v>0.9</v>
      </c>
      <c r="BB45" s="61">
        <v>0.57999999999999996</v>
      </c>
      <c r="BC45" s="61">
        <v>0</v>
      </c>
      <c r="BD45" s="61">
        <v>0.31</v>
      </c>
      <c r="BE45" s="61">
        <v>0</v>
      </c>
      <c r="BF45" s="62">
        <v>0</v>
      </c>
      <c r="BG45" s="7" t="s">
        <v>2</v>
      </c>
      <c r="BH45" s="7">
        <v>87</v>
      </c>
      <c r="BI45" s="65">
        <v>1149</v>
      </c>
      <c r="BJ45" s="65">
        <v>315</v>
      </c>
      <c r="BK45" s="65">
        <v>114</v>
      </c>
      <c r="BL45" s="65">
        <v>615</v>
      </c>
      <c r="BM45" s="65">
        <v>648</v>
      </c>
      <c r="BN45" s="65">
        <v>713</v>
      </c>
      <c r="BO45" s="65">
        <v>1113</v>
      </c>
      <c r="BP45" s="65">
        <v>641</v>
      </c>
      <c r="BQ45" s="65">
        <v>949</v>
      </c>
      <c r="BR45" s="65">
        <v>386</v>
      </c>
      <c r="BS45" s="65">
        <v>195</v>
      </c>
      <c r="BT45" s="65">
        <v>482</v>
      </c>
      <c r="BU45" s="65">
        <v>858</v>
      </c>
      <c r="BV45" s="65">
        <v>1361</v>
      </c>
      <c r="BW45" s="65">
        <v>2053</v>
      </c>
      <c r="BX45" s="65">
        <v>894</v>
      </c>
      <c r="BY45" s="65">
        <v>696</v>
      </c>
      <c r="BZ45" s="59">
        <v>601</v>
      </c>
      <c r="CA45" s="3" t="s">
        <v>2</v>
      </c>
      <c r="CB45" s="3" t="s">
        <v>2</v>
      </c>
      <c r="CC45" s="3" t="s">
        <v>2</v>
      </c>
      <c r="CD45" s="3" t="s">
        <v>2</v>
      </c>
      <c r="CE45" s="3" t="s">
        <v>2</v>
      </c>
      <c r="CF45" s="3" t="s">
        <v>2</v>
      </c>
      <c r="CG45" s="7" t="s">
        <v>2</v>
      </c>
      <c r="CH45" s="65">
        <v>0</v>
      </c>
      <c r="CI45" s="59">
        <v>0</v>
      </c>
      <c r="CJ45" s="65">
        <v>0</v>
      </c>
      <c r="CK45" s="65">
        <v>0</v>
      </c>
      <c r="CL45" s="65">
        <v>0</v>
      </c>
      <c r="CM45" s="59">
        <v>0</v>
      </c>
      <c r="CN45" s="156">
        <v>0</v>
      </c>
      <c r="CO45" s="156" t="s">
        <v>2</v>
      </c>
    </row>
    <row r="46" spans="1:93" s="13" customFormat="1" x14ac:dyDescent="0.25">
      <c r="A46" s="155" t="s">
        <v>1451</v>
      </c>
      <c r="B46" s="55" t="s">
        <v>463</v>
      </c>
      <c r="C46" s="10" t="s">
        <v>1452</v>
      </c>
      <c r="D46" s="291">
        <v>7</v>
      </c>
      <c r="E46" s="11">
        <v>3</v>
      </c>
      <c r="F46" s="156">
        <v>178</v>
      </c>
      <c r="G46" s="65">
        <v>743</v>
      </c>
      <c r="H46" s="68">
        <v>70.8</v>
      </c>
      <c r="I46" s="3">
        <v>14.2</v>
      </c>
      <c r="J46" s="3">
        <v>12.8</v>
      </c>
      <c r="K46" s="3">
        <v>1.4</v>
      </c>
      <c r="L46" s="3">
        <v>0</v>
      </c>
      <c r="M46" s="7">
        <v>0.8</v>
      </c>
      <c r="N46" s="65">
        <v>7</v>
      </c>
      <c r="O46" s="65">
        <v>118</v>
      </c>
      <c r="P46" s="3">
        <v>2.4</v>
      </c>
      <c r="Q46" s="3">
        <v>3.01</v>
      </c>
      <c r="R46" s="65">
        <v>110</v>
      </c>
      <c r="S46" s="65">
        <v>243</v>
      </c>
      <c r="T46" s="65">
        <v>18</v>
      </c>
      <c r="U46" s="61">
        <v>1.0999999999999999E-2</v>
      </c>
      <c r="V46" s="61">
        <v>70</v>
      </c>
      <c r="W46" s="7">
        <v>10.4</v>
      </c>
      <c r="X46" s="3">
        <v>4.4000000000000004</v>
      </c>
      <c r="Y46" s="61">
        <v>0.08</v>
      </c>
      <c r="Z46" s="61">
        <v>0.23</v>
      </c>
      <c r="AA46" s="61">
        <v>3</v>
      </c>
      <c r="AB46" s="61">
        <v>0.64100000000000001</v>
      </c>
      <c r="AC46" s="61">
        <v>0.24</v>
      </c>
      <c r="AD46" s="65">
        <v>4</v>
      </c>
      <c r="AE46" s="65">
        <v>0</v>
      </c>
      <c r="AF46" s="3" t="s">
        <v>2</v>
      </c>
      <c r="AG46" s="7">
        <v>2.84</v>
      </c>
      <c r="AH46" s="162">
        <v>0</v>
      </c>
      <c r="AI46" s="65">
        <v>0</v>
      </c>
      <c r="AJ46" s="3" t="s">
        <v>2</v>
      </c>
      <c r="AK46" s="3" t="s">
        <v>2</v>
      </c>
      <c r="AL46" s="7" t="s">
        <v>2</v>
      </c>
      <c r="AM46" s="65">
        <v>0</v>
      </c>
      <c r="AN46" s="65">
        <v>0</v>
      </c>
      <c r="AO46" s="59">
        <v>0</v>
      </c>
      <c r="AP46" s="3">
        <v>5.96</v>
      </c>
      <c r="AQ46" s="61">
        <v>3.82</v>
      </c>
      <c r="AR46" s="61">
        <v>0</v>
      </c>
      <c r="AS46" s="61">
        <v>1.73</v>
      </c>
      <c r="AT46" s="61">
        <v>0</v>
      </c>
      <c r="AU46" s="61">
        <v>0</v>
      </c>
      <c r="AV46" s="62">
        <v>0</v>
      </c>
      <c r="AW46" s="3">
        <v>8.1300000000000008</v>
      </c>
      <c r="AX46" s="61">
        <v>0</v>
      </c>
      <c r="AY46" s="61">
        <v>0.64</v>
      </c>
      <c r="AZ46" s="62">
        <v>7.3</v>
      </c>
      <c r="BA46" s="3">
        <v>1.78</v>
      </c>
      <c r="BB46" s="61">
        <v>1.7</v>
      </c>
      <c r="BC46" s="61">
        <v>0.08</v>
      </c>
      <c r="BD46" s="61">
        <v>0</v>
      </c>
      <c r="BE46" s="61">
        <v>0</v>
      </c>
      <c r="BF46" s="62">
        <v>0</v>
      </c>
      <c r="BG46" s="7" t="s">
        <v>2</v>
      </c>
      <c r="BH46" s="7">
        <v>101</v>
      </c>
      <c r="BI46" s="65">
        <v>1333</v>
      </c>
      <c r="BJ46" s="65">
        <v>365</v>
      </c>
      <c r="BK46" s="65">
        <v>188</v>
      </c>
      <c r="BL46" s="65">
        <v>675</v>
      </c>
      <c r="BM46" s="65">
        <v>689</v>
      </c>
      <c r="BN46" s="65">
        <v>848</v>
      </c>
      <c r="BO46" s="65">
        <v>1307</v>
      </c>
      <c r="BP46" s="65">
        <v>743</v>
      </c>
      <c r="BQ46" s="65">
        <v>1007</v>
      </c>
      <c r="BR46" s="65">
        <v>409</v>
      </c>
      <c r="BS46" s="65">
        <v>235</v>
      </c>
      <c r="BT46" s="65">
        <v>496</v>
      </c>
      <c r="BU46" s="65">
        <v>861</v>
      </c>
      <c r="BV46" s="65">
        <v>1515</v>
      </c>
      <c r="BW46" s="65">
        <v>2052</v>
      </c>
      <c r="BX46" s="65">
        <v>1205</v>
      </c>
      <c r="BY46" s="65">
        <v>861</v>
      </c>
      <c r="BZ46" s="59">
        <v>678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7">
        <v>0</v>
      </c>
      <c r="CH46" s="65">
        <v>0</v>
      </c>
      <c r="CI46" s="59">
        <v>0</v>
      </c>
      <c r="CJ46" s="65">
        <v>0</v>
      </c>
      <c r="CK46" s="65">
        <v>0</v>
      </c>
      <c r="CL46" s="65">
        <v>0</v>
      </c>
      <c r="CM46" s="59">
        <v>0</v>
      </c>
      <c r="CN46" s="156">
        <v>0</v>
      </c>
      <c r="CO46" s="156">
        <v>136</v>
      </c>
    </row>
    <row r="47" spans="1:93" s="13" customFormat="1" x14ac:dyDescent="0.25">
      <c r="A47" s="155" t="s">
        <v>1453</v>
      </c>
      <c r="B47" s="55" t="s">
        <v>464</v>
      </c>
      <c r="C47" s="10" t="s">
        <v>1454</v>
      </c>
      <c r="D47" s="291">
        <v>7</v>
      </c>
      <c r="E47" s="11">
        <v>2</v>
      </c>
      <c r="F47" s="156">
        <v>167</v>
      </c>
      <c r="G47" s="65">
        <v>697</v>
      </c>
      <c r="H47" s="68">
        <v>76.599999999999994</v>
      </c>
      <c r="I47" s="3">
        <v>6.9</v>
      </c>
      <c r="J47" s="3">
        <v>15.1</v>
      </c>
      <c r="K47" s="3">
        <v>0.8</v>
      </c>
      <c r="L47" s="3">
        <v>0</v>
      </c>
      <c r="M47" s="7">
        <v>0.6</v>
      </c>
      <c r="N47" s="65">
        <v>12</v>
      </c>
      <c r="O47" s="65">
        <v>55</v>
      </c>
      <c r="P47" s="3">
        <v>0.5</v>
      </c>
      <c r="Q47" s="3" t="s">
        <v>2</v>
      </c>
      <c r="R47" s="65" t="s">
        <v>2</v>
      </c>
      <c r="S47" s="65" t="s">
        <v>2</v>
      </c>
      <c r="T47" s="65" t="s">
        <v>2</v>
      </c>
      <c r="U47" s="61" t="s">
        <v>2</v>
      </c>
      <c r="V47" s="61" t="s">
        <v>2</v>
      </c>
      <c r="W47" s="7" t="s">
        <v>2</v>
      </c>
      <c r="X47" s="3" t="s">
        <v>2</v>
      </c>
      <c r="Y47" s="61">
        <v>0.09</v>
      </c>
      <c r="Z47" s="61">
        <v>0.08</v>
      </c>
      <c r="AA47" s="61">
        <v>1.6</v>
      </c>
      <c r="AB47" s="61" t="s">
        <v>2</v>
      </c>
      <c r="AC47" s="61" t="s">
        <v>2</v>
      </c>
      <c r="AD47" s="65" t="s">
        <v>2</v>
      </c>
      <c r="AE47" s="65" t="s">
        <v>2</v>
      </c>
      <c r="AF47" s="3" t="s">
        <v>2</v>
      </c>
      <c r="AG47" s="7" t="s">
        <v>2</v>
      </c>
      <c r="AH47" s="162" t="s">
        <v>2</v>
      </c>
      <c r="AI47" s="65">
        <v>0</v>
      </c>
      <c r="AJ47" s="3" t="s">
        <v>2</v>
      </c>
      <c r="AK47" s="3" t="s">
        <v>2</v>
      </c>
      <c r="AL47" s="7" t="s">
        <v>2</v>
      </c>
      <c r="AM47" s="65">
        <v>0</v>
      </c>
      <c r="AN47" s="65">
        <v>0</v>
      </c>
      <c r="AO47" s="59">
        <v>0</v>
      </c>
      <c r="AP47" s="3" t="s">
        <v>2</v>
      </c>
      <c r="AQ47" s="61" t="s">
        <v>2</v>
      </c>
      <c r="AR47" s="61" t="s">
        <v>2</v>
      </c>
      <c r="AS47" s="61" t="s">
        <v>2</v>
      </c>
      <c r="AT47" s="61" t="s">
        <v>2</v>
      </c>
      <c r="AU47" s="61" t="s">
        <v>2</v>
      </c>
      <c r="AV47" s="62" t="s">
        <v>2</v>
      </c>
      <c r="AW47" s="3" t="s">
        <v>2</v>
      </c>
      <c r="AX47" s="61" t="s">
        <v>2</v>
      </c>
      <c r="AY47" s="61" t="s">
        <v>2</v>
      </c>
      <c r="AZ47" s="62" t="s">
        <v>2</v>
      </c>
      <c r="BA47" s="3" t="s">
        <v>2</v>
      </c>
      <c r="BB47" s="61" t="s">
        <v>2</v>
      </c>
      <c r="BC47" s="61" t="s">
        <v>2</v>
      </c>
      <c r="BD47" s="61" t="s">
        <v>2</v>
      </c>
      <c r="BE47" s="61" t="s">
        <v>2</v>
      </c>
      <c r="BF47" s="62" t="s">
        <v>2</v>
      </c>
      <c r="BG47" s="7" t="s">
        <v>2</v>
      </c>
      <c r="BH47" s="7" t="s">
        <v>2</v>
      </c>
      <c r="BI47" s="65" t="s">
        <v>2</v>
      </c>
      <c r="BJ47" s="65" t="s">
        <v>2</v>
      </c>
      <c r="BK47" s="65" t="s">
        <v>2</v>
      </c>
      <c r="BL47" s="65" t="s">
        <v>2</v>
      </c>
      <c r="BM47" s="65" t="s">
        <v>2</v>
      </c>
      <c r="BN47" s="65" t="s">
        <v>2</v>
      </c>
      <c r="BO47" s="65" t="s">
        <v>2</v>
      </c>
      <c r="BP47" s="65" t="s">
        <v>2</v>
      </c>
      <c r="BQ47" s="65" t="s">
        <v>2</v>
      </c>
      <c r="BR47" s="65" t="s">
        <v>2</v>
      </c>
      <c r="BS47" s="65" t="s">
        <v>2</v>
      </c>
      <c r="BT47" s="65" t="s">
        <v>2</v>
      </c>
      <c r="BU47" s="65" t="s">
        <v>2</v>
      </c>
      <c r="BV47" s="65" t="s">
        <v>2</v>
      </c>
      <c r="BW47" s="65" t="s">
        <v>2</v>
      </c>
      <c r="BX47" s="65" t="s">
        <v>2</v>
      </c>
      <c r="BY47" s="65" t="s">
        <v>2</v>
      </c>
      <c r="BZ47" s="59" t="s">
        <v>2</v>
      </c>
      <c r="CA47" s="3" t="s">
        <v>2</v>
      </c>
      <c r="CB47" s="3" t="s">
        <v>2</v>
      </c>
      <c r="CC47" s="3" t="s">
        <v>2</v>
      </c>
      <c r="CD47" s="3" t="s">
        <v>2</v>
      </c>
      <c r="CE47" s="3" t="s">
        <v>2</v>
      </c>
      <c r="CF47" s="3" t="s">
        <v>2</v>
      </c>
      <c r="CG47" s="7" t="s">
        <v>2</v>
      </c>
      <c r="CH47" s="65">
        <v>0</v>
      </c>
      <c r="CI47" s="59">
        <v>0</v>
      </c>
      <c r="CJ47" s="65">
        <v>0</v>
      </c>
      <c r="CK47" s="65">
        <v>0</v>
      </c>
      <c r="CL47" s="65">
        <v>0</v>
      </c>
      <c r="CM47" s="59">
        <v>0</v>
      </c>
      <c r="CN47" s="156">
        <v>0</v>
      </c>
      <c r="CO47" s="156" t="s">
        <v>2</v>
      </c>
    </row>
    <row r="48" spans="1:93" s="13" customFormat="1" x14ac:dyDescent="0.25">
      <c r="A48" s="155" t="s">
        <v>1455</v>
      </c>
      <c r="B48" s="55" t="s">
        <v>465</v>
      </c>
      <c r="C48" s="10" t="s">
        <v>1456</v>
      </c>
      <c r="D48" s="291">
        <v>7</v>
      </c>
      <c r="E48" s="11">
        <v>2</v>
      </c>
      <c r="F48" s="156">
        <v>44</v>
      </c>
      <c r="G48" s="65">
        <v>183</v>
      </c>
      <c r="H48" s="68">
        <v>90.5</v>
      </c>
      <c r="I48" s="3">
        <v>7.2</v>
      </c>
      <c r="J48" s="3">
        <v>1.3</v>
      </c>
      <c r="K48" s="3">
        <v>0.8</v>
      </c>
      <c r="L48" s="3">
        <v>0</v>
      </c>
      <c r="M48" s="7">
        <v>0.2</v>
      </c>
      <c r="N48" s="65">
        <v>7</v>
      </c>
      <c r="O48" s="65">
        <v>48</v>
      </c>
      <c r="P48" s="3">
        <v>0.8</v>
      </c>
      <c r="Q48" s="3" t="s">
        <v>2</v>
      </c>
      <c r="R48" s="65" t="s">
        <v>2</v>
      </c>
      <c r="S48" s="65" t="s">
        <v>2</v>
      </c>
      <c r="T48" s="65" t="s">
        <v>2</v>
      </c>
      <c r="U48" s="61" t="s">
        <v>2</v>
      </c>
      <c r="V48" s="61" t="s">
        <v>2</v>
      </c>
      <c r="W48" s="7" t="s">
        <v>2</v>
      </c>
      <c r="X48" s="3" t="s">
        <v>2</v>
      </c>
      <c r="Y48" s="61">
        <v>0.09</v>
      </c>
      <c r="Z48" s="61">
        <v>0.08</v>
      </c>
      <c r="AA48" s="61">
        <v>1.6</v>
      </c>
      <c r="AB48" s="61" t="s">
        <v>2</v>
      </c>
      <c r="AC48" s="61" t="s">
        <v>2</v>
      </c>
      <c r="AD48" s="65" t="s">
        <v>2</v>
      </c>
      <c r="AE48" s="65" t="s">
        <v>2</v>
      </c>
      <c r="AF48" s="3" t="s">
        <v>2</v>
      </c>
      <c r="AG48" s="7" t="s">
        <v>2</v>
      </c>
      <c r="AH48" s="162" t="s">
        <v>2</v>
      </c>
      <c r="AI48" s="65">
        <v>0</v>
      </c>
      <c r="AJ48" s="3" t="s">
        <v>2</v>
      </c>
      <c r="AK48" s="3" t="s">
        <v>2</v>
      </c>
      <c r="AL48" s="7" t="s">
        <v>2</v>
      </c>
      <c r="AM48" s="65">
        <v>0</v>
      </c>
      <c r="AN48" s="65">
        <v>0</v>
      </c>
      <c r="AO48" s="59">
        <v>0</v>
      </c>
      <c r="AP48" s="3" t="s">
        <v>2</v>
      </c>
      <c r="AQ48" s="61" t="s">
        <v>2</v>
      </c>
      <c r="AR48" s="61" t="s">
        <v>2</v>
      </c>
      <c r="AS48" s="61" t="s">
        <v>2</v>
      </c>
      <c r="AT48" s="61" t="s">
        <v>2</v>
      </c>
      <c r="AU48" s="61" t="s">
        <v>2</v>
      </c>
      <c r="AV48" s="62" t="s">
        <v>2</v>
      </c>
      <c r="AW48" s="3" t="s">
        <v>2</v>
      </c>
      <c r="AX48" s="61" t="s">
        <v>2</v>
      </c>
      <c r="AY48" s="61" t="s">
        <v>2</v>
      </c>
      <c r="AZ48" s="62" t="s">
        <v>2</v>
      </c>
      <c r="BA48" s="3" t="s">
        <v>2</v>
      </c>
      <c r="BB48" s="61" t="s">
        <v>2</v>
      </c>
      <c r="BC48" s="61" t="s">
        <v>2</v>
      </c>
      <c r="BD48" s="61" t="s">
        <v>2</v>
      </c>
      <c r="BE48" s="61" t="s">
        <v>2</v>
      </c>
      <c r="BF48" s="62" t="s">
        <v>2</v>
      </c>
      <c r="BG48" s="7" t="s">
        <v>2</v>
      </c>
      <c r="BH48" s="7" t="s">
        <v>2</v>
      </c>
      <c r="BI48" s="65" t="s">
        <v>2</v>
      </c>
      <c r="BJ48" s="65" t="s">
        <v>2</v>
      </c>
      <c r="BK48" s="65" t="s">
        <v>2</v>
      </c>
      <c r="BL48" s="65" t="s">
        <v>2</v>
      </c>
      <c r="BM48" s="65" t="s">
        <v>2</v>
      </c>
      <c r="BN48" s="65" t="s">
        <v>2</v>
      </c>
      <c r="BO48" s="65" t="s">
        <v>2</v>
      </c>
      <c r="BP48" s="65" t="s">
        <v>2</v>
      </c>
      <c r="BQ48" s="65" t="s">
        <v>2</v>
      </c>
      <c r="BR48" s="65" t="s">
        <v>2</v>
      </c>
      <c r="BS48" s="65" t="s">
        <v>2</v>
      </c>
      <c r="BT48" s="65" t="s">
        <v>2</v>
      </c>
      <c r="BU48" s="65" t="s">
        <v>2</v>
      </c>
      <c r="BV48" s="65" t="s">
        <v>2</v>
      </c>
      <c r="BW48" s="65" t="s">
        <v>2</v>
      </c>
      <c r="BX48" s="65" t="s">
        <v>2</v>
      </c>
      <c r="BY48" s="65" t="s">
        <v>2</v>
      </c>
      <c r="BZ48" s="59" t="s">
        <v>2</v>
      </c>
      <c r="CA48" s="3" t="s">
        <v>2</v>
      </c>
      <c r="CB48" s="3" t="s">
        <v>2</v>
      </c>
      <c r="CC48" s="3" t="s">
        <v>2</v>
      </c>
      <c r="CD48" s="3" t="s">
        <v>2</v>
      </c>
      <c r="CE48" s="3" t="s">
        <v>2</v>
      </c>
      <c r="CF48" s="3" t="s">
        <v>2</v>
      </c>
      <c r="CG48" s="7" t="s">
        <v>2</v>
      </c>
      <c r="CH48" s="65">
        <v>0</v>
      </c>
      <c r="CI48" s="59">
        <v>0</v>
      </c>
      <c r="CJ48" s="65">
        <v>0</v>
      </c>
      <c r="CK48" s="65">
        <v>0</v>
      </c>
      <c r="CL48" s="65">
        <v>0</v>
      </c>
      <c r="CM48" s="59">
        <v>0</v>
      </c>
      <c r="CN48" s="156">
        <v>0</v>
      </c>
      <c r="CO48" s="156" t="s">
        <v>2</v>
      </c>
    </row>
    <row r="49" spans="1:93" s="13" customFormat="1" x14ac:dyDescent="0.25">
      <c r="A49" s="155" t="s">
        <v>1457</v>
      </c>
      <c r="B49" s="55" t="s">
        <v>466</v>
      </c>
      <c r="C49" s="10" t="s">
        <v>1458</v>
      </c>
      <c r="D49" s="291">
        <v>7</v>
      </c>
      <c r="E49" s="11">
        <v>4</v>
      </c>
      <c r="F49" s="156">
        <v>99</v>
      </c>
      <c r="G49" s="65">
        <v>415</v>
      </c>
      <c r="H49" s="68">
        <v>75.599999999999994</v>
      </c>
      <c r="I49" s="3">
        <v>21.3</v>
      </c>
      <c r="J49" s="3">
        <v>1.3</v>
      </c>
      <c r="K49" s="3">
        <v>0.6</v>
      </c>
      <c r="L49" s="3">
        <v>0</v>
      </c>
      <c r="M49" s="7">
        <v>1.2</v>
      </c>
      <c r="N49" s="65">
        <v>48</v>
      </c>
      <c r="O49" s="65">
        <v>150</v>
      </c>
      <c r="P49" s="3">
        <v>6.6</v>
      </c>
      <c r="Q49" s="3">
        <v>2.72</v>
      </c>
      <c r="R49" s="65">
        <v>69</v>
      </c>
      <c r="S49" s="65">
        <v>237</v>
      </c>
      <c r="T49" s="65">
        <v>15</v>
      </c>
      <c r="U49" s="61">
        <v>5.5E-2</v>
      </c>
      <c r="V49" s="61">
        <v>116</v>
      </c>
      <c r="W49" s="7">
        <v>25.5</v>
      </c>
      <c r="X49" s="3">
        <v>3.7</v>
      </c>
      <c r="Y49" s="61">
        <v>0.04</v>
      </c>
      <c r="Z49" s="61">
        <v>0.2</v>
      </c>
      <c r="AA49" s="61">
        <v>4.8</v>
      </c>
      <c r="AB49" s="61">
        <v>0.63100000000000001</v>
      </c>
      <c r="AC49" s="61">
        <v>0.112</v>
      </c>
      <c r="AD49" s="65">
        <v>5</v>
      </c>
      <c r="AE49" s="65">
        <v>0</v>
      </c>
      <c r="AF49" s="3">
        <v>1</v>
      </c>
      <c r="AG49" s="7">
        <v>1.21</v>
      </c>
      <c r="AH49" s="162">
        <v>19</v>
      </c>
      <c r="AI49" s="65">
        <v>19</v>
      </c>
      <c r="AJ49" s="3" t="s">
        <v>2</v>
      </c>
      <c r="AK49" s="3">
        <v>0.33</v>
      </c>
      <c r="AL49" s="7">
        <v>0</v>
      </c>
      <c r="AM49" s="65">
        <v>0</v>
      </c>
      <c r="AN49" s="65">
        <v>0</v>
      </c>
      <c r="AO49" s="59">
        <v>0</v>
      </c>
      <c r="AP49" s="3">
        <v>0.52900000000000003</v>
      </c>
      <c r="AQ49" s="61">
        <v>0.34699999999999998</v>
      </c>
      <c r="AR49" s="61">
        <v>3.0000000000000001E-3</v>
      </c>
      <c r="AS49" s="61">
        <v>0.16500000000000001</v>
      </c>
      <c r="AT49" s="61">
        <v>3.0000000000000001E-3</v>
      </c>
      <c r="AU49" s="61">
        <v>4.0000000000000001E-3</v>
      </c>
      <c r="AV49" s="62">
        <v>0</v>
      </c>
      <c r="AW49" s="3">
        <v>0.51200000000000001</v>
      </c>
      <c r="AX49" s="61" t="s">
        <v>367</v>
      </c>
      <c r="AY49" s="61">
        <v>7.2999999999999995E-2</v>
      </c>
      <c r="AZ49" s="62">
        <v>0.43</v>
      </c>
      <c r="BA49" s="3">
        <v>0.35699999999999998</v>
      </c>
      <c r="BB49" s="61">
        <v>0.246</v>
      </c>
      <c r="BC49" s="61">
        <v>3.0000000000000001E-3</v>
      </c>
      <c r="BD49" s="61">
        <v>8.5999999999999993E-2</v>
      </c>
      <c r="BE49" s="61">
        <v>0</v>
      </c>
      <c r="BF49" s="62">
        <v>0</v>
      </c>
      <c r="BG49" s="11">
        <v>0.06</v>
      </c>
      <c r="BH49" s="7">
        <v>240</v>
      </c>
      <c r="BI49" s="65">
        <v>1300</v>
      </c>
      <c r="BJ49" s="65">
        <v>470</v>
      </c>
      <c r="BK49" s="65">
        <v>180</v>
      </c>
      <c r="BL49" s="65">
        <v>760</v>
      </c>
      <c r="BM49" s="65">
        <v>840</v>
      </c>
      <c r="BN49" s="65">
        <v>820</v>
      </c>
      <c r="BO49" s="65">
        <v>1300</v>
      </c>
      <c r="BP49" s="65">
        <v>840</v>
      </c>
      <c r="BQ49" s="65">
        <v>1300</v>
      </c>
      <c r="BR49" s="65">
        <v>380</v>
      </c>
      <c r="BS49" s="65">
        <v>240</v>
      </c>
      <c r="BT49" s="65">
        <v>550</v>
      </c>
      <c r="BU49" s="65">
        <v>730</v>
      </c>
      <c r="BV49" s="65">
        <v>1700</v>
      </c>
      <c r="BW49" s="65">
        <v>3100</v>
      </c>
      <c r="BX49" s="65">
        <v>960</v>
      </c>
      <c r="BY49" s="65">
        <v>930</v>
      </c>
      <c r="BZ49" s="59">
        <v>820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7">
        <v>0</v>
      </c>
      <c r="CH49" s="65">
        <v>0</v>
      </c>
      <c r="CI49" s="59">
        <v>0</v>
      </c>
      <c r="CJ49" s="65">
        <v>0</v>
      </c>
      <c r="CK49" s="65">
        <v>0</v>
      </c>
      <c r="CL49" s="65">
        <v>0</v>
      </c>
      <c r="CM49" s="59">
        <v>0</v>
      </c>
      <c r="CN49" s="156">
        <v>0</v>
      </c>
      <c r="CO49" s="156" t="s">
        <v>2</v>
      </c>
    </row>
    <row r="50" spans="1:93" s="13" customFormat="1" x14ac:dyDescent="0.25">
      <c r="A50" s="155" t="s">
        <v>1459</v>
      </c>
      <c r="B50" s="55" t="s">
        <v>467</v>
      </c>
      <c r="C50" s="10" t="s">
        <v>1460</v>
      </c>
      <c r="D50" s="291">
        <v>7</v>
      </c>
      <c r="E50" s="11">
        <v>8</v>
      </c>
      <c r="F50" s="156">
        <v>124</v>
      </c>
      <c r="G50" s="65">
        <v>517</v>
      </c>
      <c r="H50" s="68">
        <v>79.400000000000006</v>
      </c>
      <c r="I50" s="3">
        <v>9</v>
      </c>
      <c r="J50" s="3">
        <v>9.5</v>
      </c>
      <c r="K50" s="3">
        <v>0.5</v>
      </c>
      <c r="L50" s="3">
        <v>0</v>
      </c>
      <c r="M50" s="7">
        <v>1.6</v>
      </c>
      <c r="N50" s="65">
        <v>6</v>
      </c>
      <c r="O50" s="65">
        <v>311</v>
      </c>
      <c r="P50" s="3">
        <v>0.9</v>
      </c>
      <c r="Q50" s="3">
        <v>1.02</v>
      </c>
      <c r="R50" s="65">
        <v>126</v>
      </c>
      <c r="S50" s="65">
        <v>274</v>
      </c>
      <c r="T50" s="65">
        <v>13</v>
      </c>
      <c r="U50" s="61">
        <v>2.5999999999999999E-2</v>
      </c>
      <c r="V50" s="61">
        <v>287</v>
      </c>
      <c r="W50" s="7">
        <v>21.3</v>
      </c>
      <c r="X50" s="3">
        <v>10.7</v>
      </c>
      <c r="Y50" s="61">
        <v>0.13</v>
      </c>
      <c r="Z50" s="61">
        <v>0.21</v>
      </c>
      <c r="AA50" s="61">
        <v>3.8</v>
      </c>
      <c r="AB50" s="61">
        <v>2.0099999999999998</v>
      </c>
      <c r="AC50" s="61">
        <v>0.22600000000000001</v>
      </c>
      <c r="AD50" s="65">
        <v>3</v>
      </c>
      <c r="AE50" s="65">
        <v>0</v>
      </c>
      <c r="AF50" s="3" t="s">
        <v>2</v>
      </c>
      <c r="AG50" s="7">
        <v>9.51</v>
      </c>
      <c r="AH50" s="162">
        <v>0</v>
      </c>
      <c r="AI50" s="65">
        <v>7</v>
      </c>
      <c r="AJ50" s="3" t="s">
        <v>2</v>
      </c>
      <c r="AK50" s="3">
        <v>0.99</v>
      </c>
      <c r="AL50" s="7">
        <v>0</v>
      </c>
      <c r="AM50" s="65">
        <v>88</v>
      </c>
      <c r="AN50" s="65">
        <v>0</v>
      </c>
      <c r="AO50" s="59">
        <v>0</v>
      </c>
      <c r="AP50" s="3">
        <v>2.2999999999999998</v>
      </c>
      <c r="AQ50" s="61">
        <v>0.91900000000000004</v>
      </c>
      <c r="AR50" s="61">
        <v>3.1E-2</v>
      </c>
      <c r="AS50" s="61">
        <v>1.2729999999999999</v>
      </c>
      <c r="AT50" s="61">
        <v>1.7000000000000001E-2</v>
      </c>
      <c r="AU50" s="61">
        <v>3.4000000000000002E-2</v>
      </c>
      <c r="AV50" s="62">
        <v>0</v>
      </c>
      <c r="AW50" s="3">
        <v>1.89</v>
      </c>
      <c r="AX50" s="61">
        <v>0</v>
      </c>
      <c r="AY50" s="61">
        <v>2.1000000000000001E-2</v>
      </c>
      <c r="AZ50" s="62">
        <v>1.6459999999999999</v>
      </c>
      <c r="BA50" s="3">
        <v>1.5860000000000001</v>
      </c>
      <c r="BB50" s="61">
        <v>4.1000000000000002E-2</v>
      </c>
      <c r="BC50" s="61">
        <v>0</v>
      </c>
      <c r="BD50" s="61">
        <v>0.31900000000000001</v>
      </c>
      <c r="BE50" s="61">
        <v>0.374</v>
      </c>
      <c r="BF50" s="62">
        <v>0.85099999999999998</v>
      </c>
      <c r="BG50" s="11">
        <v>0.61</v>
      </c>
      <c r="BH50" s="11">
        <v>3010</v>
      </c>
      <c r="BI50" s="65">
        <v>839</v>
      </c>
      <c r="BJ50" s="65">
        <v>482</v>
      </c>
      <c r="BK50" s="65" t="s">
        <v>2</v>
      </c>
      <c r="BL50" s="65">
        <v>703</v>
      </c>
      <c r="BM50" s="65">
        <v>678</v>
      </c>
      <c r="BN50" s="65">
        <v>592</v>
      </c>
      <c r="BO50" s="65">
        <v>888</v>
      </c>
      <c r="BP50" s="65">
        <v>965</v>
      </c>
      <c r="BQ50" s="65">
        <v>784</v>
      </c>
      <c r="BR50" s="65">
        <v>320</v>
      </c>
      <c r="BS50" s="65">
        <v>132</v>
      </c>
      <c r="BT50" s="65">
        <v>516</v>
      </c>
      <c r="BU50" s="65" t="s">
        <v>2</v>
      </c>
      <c r="BV50" s="65" t="s">
        <v>2</v>
      </c>
      <c r="BW50" s="65" t="s">
        <v>2</v>
      </c>
      <c r="BX50" s="65" t="s">
        <v>2</v>
      </c>
      <c r="BY50" s="65" t="s">
        <v>2</v>
      </c>
      <c r="BZ50" s="59" t="s">
        <v>2</v>
      </c>
      <c r="CA50" s="3" t="s">
        <v>2</v>
      </c>
      <c r="CB50" s="3" t="s">
        <v>2</v>
      </c>
      <c r="CC50" s="3" t="s">
        <v>2</v>
      </c>
      <c r="CD50" s="3" t="s">
        <v>2</v>
      </c>
      <c r="CE50" s="3" t="s">
        <v>2</v>
      </c>
      <c r="CF50" s="3" t="s">
        <v>2</v>
      </c>
      <c r="CG50" s="7" t="s">
        <v>2</v>
      </c>
      <c r="CH50" s="65">
        <v>0</v>
      </c>
      <c r="CI50" s="59">
        <v>0</v>
      </c>
      <c r="CJ50" s="65">
        <v>0</v>
      </c>
      <c r="CK50" s="65">
        <v>0</v>
      </c>
      <c r="CL50" s="65">
        <v>0</v>
      </c>
      <c r="CM50" s="59">
        <v>0</v>
      </c>
      <c r="CN50" s="156">
        <v>0</v>
      </c>
      <c r="CO50" s="156" t="s">
        <v>2</v>
      </c>
    </row>
    <row r="51" spans="1:93" s="13" customFormat="1" x14ac:dyDescent="0.25">
      <c r="A51" s="155" t="s">
        <v>1461</v>
      </c>
      <c r="B51" s="55" t="s">
        <v>468</v>
      </c>
      <c r="C51" s="10" t="s">
        <v>1462</v>
      </c>
      <c r="D51" s="291">
        <v>7</v>
      </c>
      <c r="E51" s="11">
        <v>8</v>
      </c>
      <c r="F51" s="156">
        <v>123</v>
      </c>
      <c r="G51" s="65">
        <v>515</v>
      </c>
      <c r="H51" s="68">
        <v>80.099999999999994</v>
      </c>
      <c r="I51" s="3">
        <v>9</v>
      </c>
      <c r="J51" s="3">
        <v>9.5</v>
      </c>
      <c r="K51" s="3">
        <v>0.4</v>
      </c>
      <c r="L51" s="3">
        <v>0</v>
      </c>
      <c r="M51" s="7">
        <v>1</v>
      </c>
      <c r="N51" s="65">
        <v>7</v>
      </c>
      <c r="O51" s="65">
        <v>311</v>
      </c>
      <c r="P51" s="3">
        <v>1.6</v>
      </c>
      <c r="Q51" s="3">
        <v>1.27</v>
      </c>
      <c r="R51" s="65">
        <v>120</v>
      </c>
      <c r="S51" s="65">
        <v>258</v>
      </c>
      <c r="T51" s="65">
        <v>14</v>
      </c>
      <c r="U51" s="61">
        <v>9.4E-2</v>
      </c>
      <c r="V51" s="61">
        <v>240</v>
      </c>
      <c r="W51" s="7">
        <v>15.9</v>
      </c>
      <c r="X51" s="3">
        <v>13.5</v>
      </c>
      <c r="Y51" s="61">
        <v>0.14000000000000001</v>
      </c>
      <c r="Z51" s="61">
        <v>0.19</v>
      </c>
      <c r="AA51" s="61">
        <v>2.8</v>
      </c>
      <c r="AB51" s="61">
        <v>2.8</v>
      </c>
      <c r="AC51" s="61">
        <v>0.19</v>
      </c>
      <c r="AD51" s="65">
        <v>6</v>
      </c>
      <c r="AE51" s="65">
        <v>0</v>
      </c>
      <c r="AF51" s="3" t="s">
        <v>2</v>
      </c>
      <c r="AG51" s="7">
        <v>2.19</v>
      </c>
      <c r="AH51" s="162">
        <v>0</v>
      </c>
      <c r="AI51" s="65">
        <v>0</v>
      </c>
      <c r="AJ51" s="3" t="s">
        <v>2</v>
      </c>
      <c r="AK51" s="3" t="s">
        <v>2</v>
      </c>
      <c r="AL51" s="7" t="s">
        <v>2</v>
      </c>
      <c r="AM51" s="65">
        <v>0</v>
      </c>
      <c r="AN51" s="65">
        <v>0</v>
      </c>
      <c r="AO51" s="59">
        <v>0</v>
      </c>
      <c r="AP51" s="3">
        <v>2.0790000000000002</v>
      </c>
      <c r="AQ51" s="61">
        <v>1.0289999999999999</v>
      </c>
      <c r="AR51" s="61">
        <v>0</v>
      </c>
      <c r="AS51" s="61">
        <v>0.999</v>
      </c>
      <c r="AT51" s="61">
        <v>0</v>
      </c>
      <c r="AU51" s="61">
        <v>0</v>
      </c>
      <c r="AV51" s="62">
        <v>0</v>
      </c>
      <c r="AW51" s="3">
        <v>1.659</v>
      </c>
      <c r="AX51" s="61" t="s">
        <v>367</v>
      </c>
      <c r="AY51" s="61">
        <v>0.12</v>
      </c>
      <c r="AZ51" s="62">
        <v>1.069</v>
      </c>
      <c r="BA51" s="3">
        <v>1.429</v>
      </c>
      <c r="BB51" s="61">
        <v>0.09</v>
      </c>
      <c r="BC51" s="61">
        <v>0.12</v>
      </c>
      <c r="BD51" s="61">
        <v>0.47</v>
      </c>
      <c r="BE51" s="61">
        <v>0</v>
      </c>
      <c r="BF51" s="62">
        <v>0.45</v>
      </c>
      <c r="BG51" s="11" t="s">
        <v>2</v>
      </c>
      <c r="BH51" s="11">
        <v>2195</v>
      </c>
      <c r="BI51" s="65">
        <v>748</v>
      </c>
      <c r="BJ51" s="65">
        <v>354</v>
      </c>
      <c r="BK51" s="65">
        <v>132</v>
      </c>
      <c r="BL51" s="65">
        <v>704</v>
      </c>
      <c r="BM51" s="65">
        <v>385</v>
      </c>
      <c r="BN51" s="65">
        <v>531</v>
      </c>
      <c r="BO51" s="65">
        <v>771</v>
      </c>
      <c r="BP51" s="65">
        <v>605</v>
      </c>
      <c r="BQ51" s="65">
        <v>712</v>
      </c>
      <c r="BR51" s="65">
        <v>245</v>
      </c>
      <c r="BS51" s="65">
        <v>165</v>
      </c>
      <c r="BT51" s="65">
        <v>316</v>
      </c>
      <c r="BU51" s="65" t="s">
        <v>2</v>
      </c>
      <c r="BV51" s="65">
        <v>1028</v>
      </c>
      <c r="BW51" s="65">
        <v>1202</v>
      </c>
      <c r="BX51" s="65">
        <v>493</v>
      </c>
      <c r="BY51" s="65" t="s">
        <v>2</v>
      </c>
      <c r="BZ51" s="59" t="s">
        <v>2</v>
      </c>
      <c r="CA51" s="3" t="s">
        <v>2</v>
      </c>
      <c r="CB51" s="3" t="s">
        <v>2</v>
      </c>
      <c r="CC51" s="3" t="s">
        <v>2</v>
      </c>
      <c r="CD51" s="3" t="s">
        <v>2</v>
      </c>
      <c r="CE51" s="3" t="s">
        <v>2</v>
      </c>
      <c r="CF51" s="3" t="s">
        <v>2</v>
      </c>
      <c r="CG51" s="7" t="s">
        <v>2</v>
      </c>
      <c r="CH51" s="65">
        <v>0</v>
      </c>
      <c r="CI51" s="59">
        <v>0</v>
      </c>
      <c r="CJ51" s="65">
        <v>0</v>
      </c>
      <c r="CK51" s="65">
        <v>0</v>
      </c>
      <c r="CL51" s="65">
        <v>0</v>
      </c>
      <c r="CM51" s="59">
        <v>0</v>
      </c>
      <c r="CN51" s="156">
        <v>0</v>
      </c>
      <c r="CO51" s="156">
        <v>83</v>
      </c>
    </row>
    <row r="52" spans="1:93" s="13" customFormat="1" x14ac:dyDescent="0.25">
      <c r="A52" s="155" t="s">
        <v>1463</v>
      </c>
      <c r="B52" s="55" t="s">
        <v>469</v>
      </c>
      <c r="C52" s="10" t="s">
        <v>1464</v>
      </c>
      <c r="D52" s="291">
        <v>7</v>
      </c>
      <c r="E52" s="11">
        <v>8</v>
      </c>
      <c r="F52" s="156">
        <v>103</v>
      </c>
      <c r="G52" s="65">
        <v>431</v>
      </c>
      <c r="H52" s="68">
        <v>79.099999999999994</v>
      </c>
      <c r="I52" s="3">
        <v>15.2</v>
      </c>
      <c r="J52" s="3">
        <v>4.7</v>
      </c>
      <c r="K52" s="3">
        <v>0</v>
      </c>
      <c r="L52" s="3">
        <v>0</v>
      </c>
      <c r="M52" s="7">
        <v>1</v>
      </c>
      <c r="N52" s="65">
        <v>10</v>
      </c>
      <c r="O52" s="65">
        <v>195</v>
      </c>
      <c r="P52" s="3">
        <v>6.7</v>
      </c>
      <c r="Q52" s="3">
        <v>1.61</v>
      </c>
      <c r="R52" s="65">
        <v>198</v>
      </c>
      <c r="S52" s="65">
        <v>340</v>
      </c>
      <c r="T52" s="65">
        <v>14</v>
      </c>
      <c r="U52" s="61">
        <v>1.9E-2</v>
      </c>
      <c r="V52" s="61">
        <v>260</v>
      </c>
      <c r="W52" s="7">
        <v>44.3</v>
      </c>
      <c r="X52" s="3">
        <v>38.5</v>
      </c>
      <c r="Y52" s="61">
        <v>0.1</v>
      </c>
      <c r="Z52" s="61">
        <v>0.14000000000000001</v>
      </c>
      <c r="AA52" s="61">
        <v>1.1000000000000001</v>
      </c>
      <c r="AB52" s="61">
        <v>1</v>
      </c>
      <c r="AC52" s="61">
        <v>0.04</v>
      </c>
      <c r="AD52" s="65">
        <v>11</v>
      </c>
      <c r="AE52" s="65">
        <v>0</v>
      </c>
      <c r="AF52" s="3" t="s">
        <v>2</v>
      </c>
      <c r="AG52" s="7">
        <v>3.81</v>
      </c>
      <c r="AH52" s="162">
        <v>14</v>
      </c>
      <c r="AI52" s="65">
        <v>14</v>
      </c>
      <c r="AJ52" s="3" t="s">
        <v>2</v>
      </c>
      <c r="AK52" s="3" t="s">
        <v>2</v>
      </c>
      <c r="AL52" s="7" t="s">
        <v>2</v>
      </c>
      <c r="AM52" s="65">
        <v>0</v>
      </c>
      <c r="AN52" s="65">
        <v>0</v>
      </c>
      <c r="AO52" s="59">
        <v>0</v>
      </c>
      <c r="AP52" s="3">
        <v>0.86</v>
      </c>
      <c r="AQ52" s="61">
        <v>0.45</v>
      </c>
      <c r="AR52" s="61">
        <v>0</v>
      </c>
      <c r="AS52" s="61">
        <v>0.23</v>
      </c>
      <c r="AT52" s="61">
        <v>0</v>
      </c>
      <c r="AU52" s="61">
        <v>0</v>
      </c>
      <c r="AV52" s="62" t="s">
        <v>367</v>
      </c>
      <c r="AW52" s="3">
        <v>0.64</v>
      </c>
      <c r="AX52" s="61" t="s">
        <v>367</v>
      </c>
      <c r="AY52" s="61">
        <v>0.09</v>
      </c>
      <c r="AZ52" s="62">
        <v>0.47</v>
      </c>
      <c r="BA52" s="3">
        <v>0.34</v>
      </c>
      <c r="BB52" s="61">
        <v>0.17</v>
      </c>
      <c r="BC52" s="61">
        <v>0.02</v>
      </c>
      <c r="BD52" s="61">
        <v>0.14000000000000001</v>
      </c>
      <c r="BE52" s="61">
        <v>0</v>
      </c>
      <c r="BF52" s="62">
        <v>0</v>
      </c>
      <c r="BG52" s="3" t="s">
        <v>2</v>
      </c>
      <c r="BH52" s="11">
        <v>242</v>
      </c>
      <c r="BI52" s="65">
        <v>1137</v>
      </c>
      <c r="BJ52" s="65">
        <v>406</v>
      </c>
      <c r="BK52" s="65">
        <v>148</v>
      </c>
      <c r="BL52" s="65">
        <v>526</v>
      </c>
      <c r="BM52" s="65">
        <v>575</v>
      </c>
      <c r="BN52" s="65">
        <v>731</v>
      </c>
      <c r="BO52" s="65">
        <v>1008</v>
      </c>
      <c r="BP52" s="65">
        <v>754</v>
      </c>
      <c r="BQ52" s="65">
        <v>880</v>
      </c>
      <c r="BR52" s="65">
        <v>393</v>
      </c>
      <c r="BS52" s="65">
        <v>120</v>
      </c>
      <c r="BT52" s="65">
        <v>385</v>
      </c>
      <c r="BU52" s="65">
        <v>1001</v>
      </c>
      <c r="BV52" s="65">
        <v>977</v>
      </c>
      <c r="BW52" s="65">
        <v>1726</v>
      </c>
      <c r="BX52" s="65">
        <v>734</v>
      </c>
      <c r="BY52" s="65">
        <v>1659</v>
      </c>
      <c r="BZ52" s="59">
        <v>816</v>
      </c>
      <c r="CA52" s="3" t="s">
        <v>2</v>
      </c>
      <c r="CB52" s="3" t="s">
        <v>2</v>
      </c>
      <c r="CC52" s="3" t="s">
        <v>2</v>
      </c>
      <c r="CD52" s="3" t="s">
        <v>2</v>
      </c>
      <c r="CE52" s="3" t="s">
        <v>2</v>
      </c>
      <c r="CF52" s="3" t="s">
        <v>2</v>
      </c>
      <c r="CG52" s="7" t="s">
        <v>2</v>
      </c>
      <c r="CH52" s="65">
        <v>0</v>
      </c>
      <c r="CI52" s="59">
        <v>0</v>
      </c>
      <c r="CJ52" s="65">
        <v>0</v>
      </c>
      <c r="CK52" s="65">
        <v>0</v>
      </c>
      <c r="CL52" s="65">
        <v>0</v>
      </c>
      <c r="CM52" s="59">
        <v>0</v>
      </c>
      <c r="CN52" s="156">
        <v>0</v>
      </c>
      <c r="CO52" s="156" t="s">
        <v>2</v>
      </c>
    </row>
    <row r="53" spans="1:93" s="13" customFormat="1" x14ac:dyDescent="0.25">
      <c r="A53" s="155" t="s">
        <v>1465</v>
      </c>
      <c r="B53" s="55" t="s">
        <v>470</v>
      </c>
      <c r="C53" s="10" t="s">
        <v>1466</v>
      </c>
      <c r="D53" s="291">
        <v>7</v>
      </c>
      <c r="E53" s="11">
        <v>8</v>
      </c>
      <c r="F53" s="156">
        <v>92</v>
      </c>
      <c r="G53" s="65">
        <v>383</v>
      </c>
      <c r="H53" s="68">
        <v>80.599999999999994</v>
      </c>
      <c r="I53" s="3">
        <v>14.8</v>
      </c>
      <c r="J53" s="3">
        <v>3.6</v>
      </c>
      <c r="K53" s="3">
        <v>0</v>
      </c>
      <c r="L53" s="3">
        <v>0</v>
      </c>
      <c r="M53" s="7">
        <v>1</v>
      </c>
      <c r="N53" s="65">
        <v>9</v>
      </c>
      <c r="O53" s="65">
        <v>230</v>
      </c>
      <c r="P53" s="3">
        <v>6.4</v>
      </c>
      <c r="Q53" s="3">
        <v>2.0299999999999998</v>
      </c>
      <c r="R53" s="65">
        <v>153</v>
      </c>
      <c r="S53" s="65">
        <v>303</v>
      </c>
      <c r="T53" s="65">
        <v>14</v>
      </c>
      <c r="U53" s="61">
        <v>1.7000000000000001E-2</v>
      </c>
      <c r="V53" s="61">
        <v>83</v>
      </c>
      <c r="W53" s="7">
        <v>17.8</v>
      </c>
      <c r="X53" s="3">
        <v>12.3</v>
      </c>
      <c r="Y53" s="61">
        <v>0.02</v>
      </c>
      <c r="Z53" s="61">
        <v>0.14000000000000001</v>
      </c>
      <c r="AA53" s="61">
        <v>0.6</v>
      </c>
      <c r="AB53" s="61">
        <v>0.9</v>
      </c>
      <c r="AC53" s="61">
        <v>0.1</v>
      </c>
      <c r="AD53" s="65">
        <v>3</v>
      </c>
      <c r="AE53" s="65">
        <v>0</v>
      </c>
      <c r="AF53" s="3" t="s">
        <v>2</v>
      </c>
      <c r="AG53" s="7">
        <v>2.75</v>
      </c>
      <c r="AH53" s="162">
        <v>0</v>
      </c>
      <c r="AI53" s="65">
        <v>0</v>
      </c>
      <c r="AJ53" s="3" t="s">
        <v>2</v>
      </c>
      <c r="AK53" s="3" t="s">
        <v>2</v>
      </c>
      <c r="AL53" s="7" t="s">
        <v>2</v>
      </c>
      <c r="AM53" s="65">
        <v>0</v>
      </c>
      <c r="AN53" s="65">
        <v>0</v>
      </c>
      <c r="AO53" s="59">
        <v>0</v>
      </c>
      <c r="AP53" s="3">
        <v>0.96</v>
      </c>
      <c r="AQ53" s="61">
        <v>0.63</v>
      </c>
      <c r="AR53" s="61">
        <v>0</v>
      </c>
      <c r="AS53" s="61">
        <v>0.28999999999999998</v>
      </c>
      <c r="AT53" s="61">
        <v>0</v>
      </c>
      <c r="AU53" s="61">
        <v>0</v>
      </c>
      <c r="AV53" s="62" t="s">
        <v>367</v>
      </c>
      <c r="AW53" s="3">
        <v>0.61</v>
      </c>
      <c r="AX53" s="61" t="s">
        <v>367</v>
      </c>
      <c r="AY53" s="61">
        <v>0.05</v>
      </c>
      <c r="AZ53" s="62">
        <v>0.56000000000000005</v>
      </c>
      <c r="BA53" s="3">
        <v>0.34</v>
      </c>
      <c r="BB53" s="61">
        <v>0.12</v>
      </c>
      <c r="BC53" s="61">
        <v>0</v>
      </c>
      <c r="BD53" s="61">
        <v>0.18</v>
      </c>
      <c r="BE53" s="61">
        <v>0</v>
      </c>
      <c r="BF53" s="62">
        <v>0.01</v>
      </c>
      <c r="BG53" s="3" t="s">
        <v>2</v>
      </c>
      <c r="BH53" s="11">
        <v>320</v>
      </c>
      <c r="BI53" s="65">
        <v>1389</v>
      </c>
      <c r="BJ53" s="65">
        <v>541</v>
      </c>
      <c r="BK53" s="65">
        <v>124</v>
      </c>
      <c r="BL53" s="65">
        <v>653</v>
      </c>
      <c r="BM53" s="65">
        <v>599</v>
      </c>
      <c r="BN53" s="65">
        <v>872</v>
      </c>
      <c r="BO53" s="65">
        <v>1210</v>
      </c>
      <c r="BP53" s="65">
        <v>1119</v>
      </c>
      <c r="BQ53" s="65">
        <v>1189</v>
      </c>
      <c r="BR53" s="65">
        <v>468</v>
      </c>
      <c r="BS53" s="65">
        <v>141</v>
      </c>
      <c r="BT53" s="65">
        <v>447</v>
      </c>
      <c r="BU53" s="65">
        <v>890</v>
      </c>
      <c r="BV53" s="65">
        <v>1266</v>
      </c>
      <c r="BW53" s="65">
        <v>1464</v>
      </c>
      <c r="BX53" s="65">
        <v>1027</v>
      </c>
      <c r="BY53" s="65">
        <v>901</v>
      </c>
      <c r="BZ53" s="59">
        <v>621</v>
      </c>
      <c r="CA53" s="3" t="s">
        <v>2</v>
      </c>
      <c r="CB53" s="3" t="s">
        <v>2</v>
      </c>
      <c r="CC53" s="3" t="s">
        <v>2</v>
      </c>
      <c r="CD53" s="3" t="s">
        <v>2</v>
      </c>
      <c r="CE53" s="3" t="s">
        <v>2</v>
      </c>
      <c r="CF53" s="3" t="s">
        <v>2</v>
      </c>
      <c r="CG53" s="7" t="s">
        <v>2</v>
      </c>
      <c r="CH53" s="65">
        <v>0</v>
      </c>
      <c r="CI53" s="59">
        <v>0</v>
      </c>
      <c r="CJ53" s="65">
        <v>0</v>
      </c>
      <c r="CK53" s="65">
        <v>0</v>
      </c>
      <c r="CL53" s="65">
        <v>0</v>
      </c>
      <c r="CM53" s="59">
        <v>0</v>
      </c>
      <c r="CN53" s="156">
        <v>0</v>
      </c>
      <c r="CO53" s="156" t="s">
        <v>2</v>
      </c>
    </row>
    <row r="54" spans="1:93" s="13" customFormat="1" x14ac:dyDescent="0.25">
      <c r="A54" s="155" t="s">
        <v>1467</v>
      </c>
      <c r="B54" s="55" t="s">
        <v>1468</v>
      </c>
      <c r="C54" s="10" t="s">
        <v>1469</v>
      </c>
      <c r="D54" s="291">
        <v>7</v>
      </c>
      <c r="E54" s="11">
        <v>57</v>
      </c>
      <c r="F54" s="156">
        <v>187</v>
      </c>
      <c r="G54" s="65">
        <v>782</v>
      </c>
      <c r="H54" s="68">
        <v>68.2</v>
      </c>
      <c r="I54" s="3">
        <v>17.899999999999999</v>
      </c>
      <c r="J54" s="3">
        <v>12.8</v>
      </c>
      <c r="K54" s="3">
        <v>0</v>
      </c>
      <c r="L54" s="3">
        <v>0</v>
      </c>
      <c r="M54" s="7">
        <v>1.1000000000000001</v>
      </c>
      <c r="N54" s="65">
        <v>7</v>
      </c>
      <c r="O54" s="65">
        <v>160</v>
      </c>
      <c r="P54" s="3">
        <v>0.61</v>
      </c>
      <c r="Q54" s="3">
        <v>3.6</v>
      </c>
      <c r="R54" s="65">
        <v>60</v>
      </c>
      <c r="S54" s="65">
        <v>200</v>
      </c>
      <c r="T54" s="65">
        <v>14</v>
      </c>
      <c r="U54" s="61">
        <v>1.2999999999999999E-2</v>
      </c>
      <c r="V54" s="61">
        <v>100</v>
      </c>
      <c r="W54" s="7">
        <v>6.9</v>
      </c>
      <c r="X54" s="3">
        <v>0</v>
      </c>
      <c r="Y54" s="61">
        <v>0.96</v>
      </c>
      <c r="Z54" s="61">
        <v>0.23</v>
      </c>
      <c r="AA54" s="61">
        <v>5.2</v>
      </c>
      <c r="AB54" s="61">
        <v>0.6</v>
      </c>
      <c r="AC54" s="61">
        <v>0.26</v>
      </c>
      <c r="AD54" s="65">
        <v>2</v>
      </c>
      <c r="AE54" s="65">
        <v>0</v>
      </c>
      <c r="AF54" s="3">
        <v>2.6</v>
      </c>
      <c r="AG54" s="7">
        <v>0.7</v>
      </c>
      <c r="AH54" s="162">
        <v>0</v>
      </c>
      <c r="AI54" s="65">
        <v>0</v>
      </c>
      <c r="AJ54" s="3">
        <v>0.69</v>
      </c>
      <c r="AK54" s="3">
        <v>0.1</v>
      </c>
      <c r="AL54" s="7">
        <v>0</v>
      </c>
      <c r="AM54" s="65">
        <v>0</v>
      </c>
      <c r="AN54" s="65">
        <v>0</v>
      </c>
      <c r="AO54" s="59">
        <v>0</v>
      </c>
      <c r="AP54" s="3">
        <v>6.45</v>
      </c>
      <c r="AQ54" s="61">
        <v>3.97</v>
      </c>
      <c r="AR54" s="61">
        <v>0</v>
      </c>
      <c r="AS54" s="61">
        <v>2.12</v>
      </c>
      <c r="AT54" s="61">
        <v>4.2999999999999997E-2</v>
      </c>
      <c r="AU54" s="61">
        <v>0</v>
      </c>
      <c r="AV54" s="62">
        <v>0</v>
      </c>
      <c r="AW54" s="3">
        <v>7.45</v>
      </c>
      <c r="AX54" s="61">
        <v>0</v>
      </c>
      <c r="AY54" s="61">
        <v>0.43</v>
      </c>
      <c r="AZ54" s="62">
        <v>6.24</v>
      </c>
      <c r="BA54" s="3">
        <v>1.97</v>
      </c>
      <c r="BB54" s="61">
        <v>1.81</v>
      </c>
      <c r="BC54" s="61">
        <v>0.16</v>
      </c>
      <c r="BD54" s="61">
        <v>0</v>
      </c>
      <c r="BE54" s="61">
        <v>0</v>
      </c>
      <c r="BF54" s="62">
        <v>0</v>
      </c>
      <c r="BG54" s="11">
        <v>0.08</v>
      </c>
      <c r="BH54" s="11">
        <v>65</v>
      </c>
      <c r="BI54" s="65">
        <v>1560</v>
      </c>
      <c r="BJ54" s="65">
        <v>420</v>
      </c>
      <c r="BK54" s="65">
        <v>190</v>
      </c>
      <c r="BL54" s="65">
        <v>650</v>
      </c>
      <c r="BM54" s="65">
        <v>740</v>
      </c>
      <c r="BN54" s="65">
        <v>930</v>
      </c>
      <c r="BO54" s="65">
        <v>1270</v>
      </c>
      <c r="BP54" s="65">
        <v>850</v>
      </c>
      <c r="BQ54" s="65">
        <v>1050</v>
      </c>
      <c r="BR54" s="65">
        <v>650</v>
      </c>
      <c r="BS54" s="65">
        <v>120</v>
      </c>
      <c r="BT54" s="65">
        <v>590</v>
      </c>
      <c r="BU54" s="65">
        <v>1050</v>
      </c>
      <c r="BV54" s="65">
        <v>1560</v>
      </c>
      <c r="BW54" s="65">
        <v>2290</v>
      </c>
      <c r="BX54" s="65">
        <v>910</v>
      </c>
      <c r="BY54" s="65">
        <v>250</v>
      </c>
      <c r="BZ54" s="59">
        <v>680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7">
        <v>0</v>
      </c>
      <c r="CH54" s="65">
        <v>0</v>
      </c>
      <c r="CI54" s="59">
        <v>0</v>
      </c>
      <c r="CJ54" s="65">
        <v>0</v>
      </c>
      <c r="CK54" s="65">
        <v>0</v>
      </c>
      <c r="CL54" s="65">
        <v>0</v>
      </c>
      <c r="CM54" s="59">
        <v>0</v>
      </c>
      <c r="CN54" s="156">
        <v>0</v>
      </c>
      <c r="CO54" s="156" t="s">
        <v>2</v>
      </c>
    </row>
    <row r="55" spans="1:93" s="13" customFormat="1" x14ac:dyDescent="0.25">
      <c r="A55" s="155" t="s">
        <v>1470</v>
      </c>
      <c r="B55" s="55" t="s">
        <v>471</v>
      </c>
      <c r="C55" s="10" t="s">
        <v>1471</v>
      </c>
      <c r="D55" s="291">
        <v>7</v>
      </c>
      <c r="E55" s="11">
        <v>4</v>
      </c>
      <c r="F55" s="156">
        <v>126</v>
      </c>
      <c r="G55" s="65">
        <v>528</v>
      </c>
      <c r="H55" s="68">
        <v>72.900000000000006</v>
      </c>
      <c r="I55" s="3">
        <v>21</v>
      </c>
      <c r="J55" s="3">
        <v>4.0999999999999996</v>
      </c>
      <c r="K55" s="3">
        <v>1.3</v>
      </c>
      <c r="L55" s="3">
        <v>0</v>
      </c>
      <c r="M55" s="7">
        <v>0.7</v>
      </c>
      <c r="N55" s="65">
        <v>21</v>
      </c>
      <c r="O55" s="65">
        <v>41</v>
      </c>
      <c r="P55" s="3">
        <v>2.4</v>
      </c>
      <c r="Q55" s="3">
        <v>0.2</v>
      </c>
      <c r="R55" s="65">
        <v>191</v>
      </c>
      <c r="S55" s="65">
        <v>55</v>
      </c>
      <c r="T55" s="65">
        <v>7</v>
      </c>
      <c r="U55" s="61">
        <v>0.12</v>
      </c>
      <c r="V55" s="61">
        <v>6</v>
      </c>
      <c r="W55" s="7">
        <v>4.3</v>
      </c>
      <c r="X55" s="3">
        <v>0</v>
      </c>
      <c r="Y55" s="61">
        <v>0.08</v>
      </c>
      <c r="Z55" s="61">
        <v>0.11</v>
      </c>
      <c r="AA55" s="61">
        <v>0.78</v>
      </c>
      <c r="AB55" s="61">
        <v>6.8000000000000005E-2</v>
      </c>
      <c r="AC55" s="61">
        <v>0.02</v>
      </c>
      <c r="AD55" s="65">
        <v>0</v>
      </c>
      <c r="AE55" s="65">
        <v>0</v>
      </c>
      <c r="AF55" s="3" t="s">
        <v>2</v>
      </c>
      <c r="AG55" s="7">
        <v>7.0000000000000007E-2</v>
      </c>
      <c r="AH55" s="162">
        <v>0</v>
      </c>
      <c r="AI55" s="65">
        <v>0</v>
      </c>
      <c r="AJ55" s="3" t="s">
        <v>2</v>
      </c>
      <c r="AK55" s="3" t="s">
        <v>2</v>
      </c>
      <c r="AL55" s="7" t="s">
        <v>2</v>
      </c>
      <c r="AM55" s="65">
        <v>0</v>
      </c>
      <c r="AN55" s="65">
        <v>0</v>
      </c>
      <c r="AO55" s="59">
        <v>0</v>
      </c>
      <c r="AP55" s="3">
        <v>5.39</v>
      </c>
      <c r="AQ55" s="61">
        <v>3.38</v>
      </c>
      <c r="AR55" s="61">
        <v>0</v>
      </c>
      <c r="AS55" s="61">
        <v>1.8</v>
      </c>
      <c r="AT55" s="61">
        <v>0</v>
      </c>
      <c r="AU55" s="61">
        <v>0</v>
      </c>
      <c r="AV55" s="62">
        <v>0</v>
      </c>
      <c r="AW55" s="3">
        <v>6.86</v>
      </c>
      <c r="AX55" s="61" t="s">
        <v>367</v>
      </c>
      <c r="AY55" s="61">
        <v>0.43</v>
      </c>
      <c r="AZ55" s="62">
        <v>6.43</v>
      </c>
      <c r="BA55" s="3">
        <v>1.61</v>
      </c>
      <c r="BB55" s="61">
        <v>1.41</v>
      </c>
      <c r="BC55" s="61">
        <v>0.13</v>
      </c>
      <c r="BD55" s="61">
        <v>7.0000000000000007E-2</v>
      </c>
      <c r="BE55" s="61">
        <v>0</v>
      </c>
      <c r="BF55" s="62">
        <v>0</v>
      </c>
      <c r="BG55" s="11" t="s">
        <v>2</v>
      </c>
      <c r="BH55" s="11">
        <v>82</v>
      </c>
      <c r="BI55" s="65">
        <v>1052</v>
      </c>
      <c r="BJ55" s="65">
        <v>133</v>
      </c>
      <c r="BK55" s="65">
        <v>43</v>
      </c>
      <c r="BL55" s="65">
        <v>718</v>
      </c>
      <c r="BM55" s="65">
        <v>629</v>
      </c>
      <c r="BN55" s="65">
        <v>830</v>
      </c>
      <c r="BO55" s="65">
        <v>1167</v>
      </c>
      <c r="BP55" s="65">
        <v>492</v>
      </c>
      <c r="BQ55" s="65">
        <v>1861</v>
      </c>
      <c r="BR55" s="65">
        <v>269</v>
      </c>
      <c r="BS55" s="65">
        <v>200</v>
      </c>
      <c r="BT55" s="65">
        <v>402</v>
      </c>
      <c r="BU55" s="65">
        <v>2220</v>
      </c>
      <c r="BV55" s="65">
        <v>1660</v>
      </c>
      <c r="BW55" s="65">
        <v>2805</v>
      </c>
      <c r="BX55" s="65">
        <v>4400</v>
      </c>
      <c r="BY55" s="65">
        <v>2848</v>
      </c>
      <c r="BZ55" s="59">
        <v>941</v>
      </c>
      <c r="CA55" s="3" t="s">
        <v>2</v>
      </c>
      <c r="CB55" s="3" t="s">
        <v>2</v>
      </c>
      <c r="CC55" s="3" t="s">
        <v>2</v>
      </c>
      <c r="CD55" s="3" t="s">
        <v>2</v>
      </c>
      <c r="CE55" s="3" t="s">
        <v>2</v>
      </c>
      <c r="CF55" s="3" t="s">
        <v>2</v>
      </c>
      <c r="CG55" s="7" t="s">
        <v>2</v>
      </c>
      <c r="CH55" s="65">
        <v>0</v>
      </c>
      <c r="CI55" s="59">
        <v>0</v>
      </c>
      <c r="CJ55" s="65">
        <v>0</v>
      </c>
      <c r="CK55" s="65">
        <v>0</v>
      </c>
      <c r="CL55" s="65">
        <v>0</v>
      </c>
      <c r="CM55" s="59">
        <v>0</v>
      </c>
      <c r="CN55" s="156">
        <v>0</v>
      </c>
      <c r="CO55" s="156" t="s">
        <v>2</v>
      </c>
    </row>
    <row r="56" spans="1:93" s="13" customFormat="1" x14ac:dyDescent="0.25">
      <c r="A56" s="155" t="s">
        <v>1472</v>
      </c>
      <c r="B56" s="55" t="s">
        <v>472</v>
      </c>
      <c r="C56" s="10" t="s">
        <v>1473</v>
      </c>
      <c r="D56" s="291">
        <v>7</v>
      </c>
      <c r="E56" s="11">
        <v>8</v>
      </c>
      <c r="F56" s="156">
        <v>89</v>
      </c>
      <c r="G56" s="65">
        <v>374</v>
      </c>
      <c r="H56" s="68">
        <v>80.400000000000006</v>
      </c>
      <c r="I56" s="3">
        <v>15</v>
      </c>
      <c r="J56" s="3">
        <v>3</v>
      </c>
      <c r="K56" s="3">
        <v>0.6</v>
      </c>
      <c r="L56" s="3">
        <v>0</v>
      </c>
      <c r="M56" s="7">
        <v>1</v>
      </c>
      <c r="N56" s="65">
        <v>5</v>
      </c>
      <c r="O56" s="65">
        <v>185</v>
      </c>
      <c r="P56" s="3">
        <v>5.4</v>
      </c>
      <c r="Q56" s="3">
        <v>1.7</v>
      </c>
      <c r="R56" s="65">
        <v>98</v>
      </c>
      <c r="S56" s="65">
        <v>287</v>
      </c>
      <c r="T56" s="65">
        <v>21</v>
      </c>
      <c r="U56" s="61">
        <v>3.5000000000000003E-2</v>
      </c>
      <c r="V56" s="61">
        <v>396</v>
      </c>
      <c r="W56" s="7">
        <v>21.8</v>
      </c>
      <c r="X56" s="3">
        <v>7</v>
      </c>
      <c r="Y56" s="61">
        <v>0.31</v>
      </c>
      <c r="Z56" s="61">
        <v>0.49</v>
      </c>
      <c r="AA56" s="61">
        <v>6.8</v>
      </c>
      <c r="AB56" s="61">
        <v>1.79</v>
      </c>
      <c r="AC56" s="61">
        <v>0.27900000000000003</v>
      </c>
      <c r="AD56" s="65">
        <v>3</v>
      </c>
      <c r="AE56" s="65">
        <v>0</v>
      </c>
      <c r="AF56" s="3">
        <v>2</v>
      </c>
      <c r="AG56" s="7">
        <v>8.5500000000000007</v>
      </c>
      <c r="AH56" s="162">
        <v>6</v>
      </c>
      <c r="AI56" s="65">
        <v>6</v>
      </c>
      <c r="AJ56" s="3" t="s">
        <v>2</v>
      </c>
      <c r="AK56" s="3">
        <v>0.22</v>
      </c>
      <c r="AL56" s="7">
        <v>0</v>
      </c>
      <c r="AM56" s="65">
        <v>0</v>
      </c>
      <c r="AN56" s="65">
        <v>0</v>
      </c>
      <c r="AO56" s="59">
        <v>0</v>
      </c>
      <c r="AP56" s="3">
        <v>1.383</v>
      </c>
      <c r="AQ56" s="61">
        <v>0.621</v>
      </c>
      <c r="AR56" s="61">
        <v>5.0999999999999997E-2</v>
      </c>
      <c r="AS56" s="61">
        <v>0.623</v>
      </c>
      <c r="AT56" s="61">
        <v>5.0000000000000001E-3</v>
      </c>
      <c r="AU56" s="61">
        <v>0</v>
      </c>
      <c r="AV56" s="62" t="s">
        <v>367</v>
      </c>
      <c r="AW56" s="3">
        <v>1.137</v>
      </c>
      <c r="AX56" s="61" t="s">
        <v>367</v>
      </c>
      <c r="AY56" s="61">
        <v>5.8999999999999997E-2</v>
      </c>
      <c r="AZ56" s="62">
        <v>1.06</v>
      </c>
      <c r="BA56" s="3">
        <v>0.54600000000000004</v>
      </c>
      <c r="BB56" s="61">
        <v>0.39500000000000002</v>
      </c>
      <c r="BC56" s="61">
        <v>1.6E-2</v>
      </c>
      <c r="BD56" s="61">
        <v>0.128</v>
      </c>
      <c r="BE56" s="61">
        <v>0</v>
      </c>
      <c r="BF56" s="62">
        <v>0</v>
      </c>
      <c r="BG56" s="11">
        <v>0.18</v>
      </c>
      <c r="BH56" s="11">
        <v>124</v>
      </c>
      <c r="BI56" s="65">
        <v>1431</v>
      </c>
      <c r="BJ56" s="65">
        <v>506</v>
      </c>
      <c r="BK56" s="65">
        <v>145</v>
      </c>
      <c r="BL56" s="65">
        <v>628</v>
      </c>
      <c r="BM56" s="65">
        <v>626</v>
      </c>
      <c r="BN56" s="65">
        <v>750</v>
      </c>
      <c r="BO56" s="65">
        <v>1336</v>
      </c>
      <c r="BP56" s="65">
        <v>1067</v>
      </c>
      <c r="BQ56" s="65">
        <v>911</v>
      </c>
      <c r="BR56" s="65">
        <v>412</v>
      </c>
      <c r="BS56" s="65">
        <v>182</v>
      </c>
      <c r="BT56" s="65">
        <v>499</v>
      </c>
      <c r="BU56" s="65">
        <v>805</v>
      </c>
      <c r="BV56" s="65">
        <v>1323</v>
      </c>
      <c r="BW56" s="65">
        <v>1410</v>
      </c>
      <c r="BX56" s="65">
        <v>662</v>
      </c>
      <c r="BY56" s="65">
        <v>605</v>
      </c>
      <c r="BZ56" s="59">
        <v>633</v>
      </c>
      <c r="CA56" s="3" t="s">
        <v>2</v>
      </c>
      <c r="CB56" s="3" t="s">
        <v>2</v>
      </c>
      <c r="CC56" s="3" t="s">
        <v>2</v>
      </c>
      <c r="CD56" s="3" t="s">
        <v>2</v>
      </c>
      <c r="CE56" s="3" t="s">
        <v>2</v>
      </c>
      <c r="CF56" s="3" t="s">
        <v>2</v>
      </c>
      <c r="CG56" s="7" t="s">
        <v>2</v>
      </c>
      <c r="CH56" s="65">
        <v>17</v>
      </c>
      <c r="CI56" s="59">
        <v>0</v>
      </c>
      <c r="CJ56" s="65">
        <v>0</v>
      </c>
      <c r="CK56" s="65">
        <v>0</v>
      </c>
      <c r="CL56" s="65">
        <v>0</v>
      </c>
      <c r="CM56" s="59">
        <v>0</v>
      </c>
      <c r="CN56" s="156">
        <v>0</v>
      </c>
      <c r="CO56" s="156" t="s">
        <v>2</v>
      </c>
    </row>
    <row r="57" spans="1:93" s="13" customFormat="1" x14ac:dyDescent="0.25">
      <c r="A57" s="155" t="s">
        <v>1474</v>
      </c>
      <c r="B57" s="55" t="s">
        <v>473</v>
      </c>
      <c r="C57" s="10" t="s">
        <v>1475</v>
      </c>
      <c r="D57" s="291">
        <v>7</v>
      </c>
      <c r="E57" s="11">
        <v>0</v>
      </c>
      <c r="F57" s="156">
        <v>114</v>
      </c>
      <c r="G57" s="65">
        <v>475</v>
      </c>
      <c r="H57" s="68">
        <v>77.5</v>
      </c>
      <c r="I57" s="3">
        <v>16</v>
      </c>
      <c r="J57" s="3">
        <v>5.5</v>
      </c>
      <c r="K57" s="3">
        <v>0</v>
      </c>
      <c r="L57" s="3">
        <v>0</v>
      </c>
      <c r="M57" s="7">
        <v>1</v>
      </c>
      <c r="N57" s="65">
        <v>12</v>
      </c>
      <c r="O57" s="65">
        <v>177</v>
      </c>
      <c r="P57" s="3">
        <v>5.96</v>
      </c>
      <c r="Q57" s="3">
        <v>6.59</v>
      </c>
      <c r="R57" s="65">
        <v>74</v>
      </c>
      <c r="S57" s="65">
        <v>176</v>
      </c>
      <c r="T57" s="65">
        <v>15</v>
      </c>
      <c r="U57" s="61">
        <v>8.8999999999999996E-2</v>
      </c>
      <c r="V57" s="61">
        <v>346</v>
      </c>
      <c r="W57" s="7">
        <v>4.3</v>
      </c>
      <c r="X57" s="3">
        <v>3.2</v>
      </c>
      <c r="Y57" s="61">
        <v>0.15</v>
      </c>
      <c r="Z57" s="61">
        <v>0.73</v>
      </c>
      <c r="AA57" s="61">
        <v>4.883</v>
      </c>
      <c r="AB57" s="61">
        <v>2.5590000000000002</v>
      </c>
      <c r="AC57" s="61">
        <v>0.36</v>
      </c>
      <c r="AD57" s="65">
        <v>72</v>
      </c>
      <c r="AE57" s="65">
        <v>0</v>
      </c>
      <c r="AF57" s="3" t="s">
        <v>2</v>
      </c>
      <c r="AG57" s="7">
        <v>7.29</v>
      </c>
      <c r="AH57" s="162">
        <v>9</v>
      </c>
      <c r="AI57" s="65">
        <v>9</v>
      </c>
      <c r="AJ57" s="3" t="s">
        <v>2</v>
      </c>
      <c r="AK57" s="3" t="s">
        <v>2</v>
      </c>
      <c r="AL57" s="7" t="s">
        <v>2</v>
      </c>
      <c r="AM57" s="65">
        <v>0</v>
      </c>
      <c r="AN57" s="65">
        <v>0</v>
      </c>
      <c r="AO57" s="59">
        <v>0</v>
      </c>
      <c r="AP57" s="3">
        <v>2.66</v>
      </c>
      <c r="AQ57" s="61">
        <v>1.45</v>
      </c>
      <c r="AR57" s="61">
        <v>0</v>
      </c>
      <c r="AS57" s="61">
        <v>0.78</v>
      </c>
      <c r="AT57" s="61">
        <v>0</v>
      </c>
      <c r="AU57" s="61">
        <v>0</v>
      </c>
      <c r="AV57" s="62" t="s">
        <v>367</v>
      </c>
      <c r="AW57" s="3">
        <v>2.37</v>
      </c>
      <c r="AX57" s="61" t="s">
        <v>367</v>
      </c>
      <c r="AY57" s="61">
        <v>0.39</v>
      </c>
      <c r="AZ57" s="62">
        <v>1.98</v>
      </c>
      <c r="BA57" s="3">
        <v>2.71</v>
      </c>
      <c r="BB57" s="61">
        <v>1.91</v>
      </c>
      <c r="BC57" s="61">
        <v>7.0000000000000007E-2</v>
      </c>
      <c r="BD57" s="61">
        <v>0.72</v>
      </c>
      <c r="BE57" s="61">
        <v>0</v>
      </c>
      <c r="BF57" s="62">
        <v>0</v>
      </c>
      <c r="BG57" s="11" t="s">
        <v>2</v>
      </c>
      <c r="BH57" s="11">
        <v>136</v>
      </c>
      <c r="BI57" s="65">
        <v>1303</v>
      </c>
      <c r="BJ57" s="65">
        <v>376</v>
      </c>
      <c r="BK57" s="65">
        <v>199</v>
      </c>
      <c r="BL57" s="65">
        <v>696</v>
      </c>
      <c r="BM57" s="65">
        <v>704</v>
      </c>
      <c r="BN57" s="65">
        <v>880</v>
      </c>
      <c r="BO57" s="65">
        <v>1355</v>
      </c>
      <c r="BP57" s="65">
        <v>833</v>
      </c>
      <c r="BQ57" s="65">
        <v>997</v>
      </c>
      <c r="BR57" s="65">
        <v>408</v>
      </c>
      <c r="BS57" s="65">
        <v>211</v>
      </c>
      <c r="BT57" s="65">
        <v>557</v>
      </c>
      <c r="BU57" s="65">
        <v>980</v>
      </c>
      <c r="BV57" s="65">
        <v>1512</v>
      </c>
      <c r="BW57" s="65">
        <v>2308</v>
      </c>
      <c r="BX57" s="65">
        <v>863</v>
      </c>
      <c r="BY57" s="65">
        <v>793</v>
      </c>
      <c r="BZ57" s="59">
        <v>627</v>
      </c>
      <c r="CA57" s="3" t="s">
        <v>2</v>
      </c>
      <c r="CB57" s="3" t="s">
        <v>2</v>
      </c>
      <c r="CC57" s="3" t="s">
        <v>2</v>
      </c>
      <c r="CD57" s="3" t="s">
        <v>2</v>
      </c>
      <c r="CE57" s="3" t="s">
        <v>2</v>
      </c>
      <c r="CF57" s="3" t="s">
        <v>2</v>
      </c>
      <c r="CG57" s="7" t="s">
        <v>2</v>
      </c>
      <c r="CH57" s="65">
        <v>0</v>
      </c>
      <c r="CI57" s="59">
        <v>0</v>
      </c>
      <c r="CJ57" s="65">
        <v>0</v>
      </c>
      <c r="CK57" s="65">
        <v>0</v>
      </c>
      <c r="CL57" s="65">
        <v>0</v>
      </c>
      <c r="CM57" s="59">
        <v>0</v>
      </c>
      <c r="CN57" s="156">
        <v>0</v>
      </c>
      <c r="CO57" s="156" t="s">
        <v>2</v>
      </c>
    </row>
    <row r="58" spans="1:93" s="13" customFormat="1" x14ac:dyDescent="0.25">
      <c r="A58" s="155" t="s">
        <v>1476</v>
      </c>
      <c r="B58" s="55" t="s">
        <v>474</v>
      </c>
      <c r="C58" s="10" t="s">
        <v>1477</v>
      </c>
      <c r="D58" s="291">
        <v>7</v>
      </c>
      <c r="E58" s="11">
        <v>6</v>
      </c>
      <c r="F58" s="156">
        <v>94</v>
      </c>
      <c r="G58" s="65">
        <v>393</v>
      </c>
      <c r="H58" s="68">
        <v>79.5</v>
      </c>
      <c r="I58" s="3">
        <v>15.1</v>
      </c>
      <c r="J58" s="3">
        <v>3.2</v>
      </c>
      <c r="K58" s="3">
        <v>1.2</v>
      </c>
      <c r="L58" s="3">
        <v>0</v>
      </c>
      <c r="M58" s="7">
        <v>1</v>
      </c>
      <c r="N58" s="65">
        <v>7</v>
      </c>
      <c r="O58" s="65">
        <v>213</v>
      </c>
      <c r="P58" s="3">
        <v>5.9</v>
      </c>
      <c r="Q58" s="3">
        <v>2.8</v>
      </c>
      <c r="R58" s="65">
        <v>56</v>
      </c>
      <c r="S58" s="65">
        <v>294</v>
      </c>
      <c r="T58" s="65">
        <v>19</v>
      </c>
      <c r="U58" s="61">
        <v>6.3E-2</v>
      </c>
      <c r="V58" s="61">
        <v>408</v>
      </c>
      <c r="W58" s="7">
        <v>10.4</v>
      </c>
      <c r="X58" s="3">
        <v>1</v>
      </c>
      <c r="Y58" s="61">
        <v>0.34</v>
      </c>
      <c r="Z58" s="61">
        <v>0.49</v>
      </c>
      <c r="AA58" s="61">
        <v>5.7</v>
      </c>
      <c r="AB58" s="61">
        <v>2.5150000000000001</v>
      </c>
      <c r="AC58" s="61">
        <v>0.39</v>
      </c>
      <c r="AD58" s="65">
        <v>4</v>
      </c>
      <c r="AE58" s="65">
        <v>0</v>
      </c>
      <c r="AF58" s="3">
        <v>18.2</v>
      </c>
      <c r="AG58" s="7">
        <v>3.79</v>
      </c>
      <c r="AH58" s="162">
        <v>8</v>
      </c>
      <c r="AI58" s="65">
        <v>8</v>
      </c>
      <c r="AJ58" s="3" t="s">
        <v>2</v>
      </c>
      <c r="AK58" s="3" t="s">
        <v>2</v>
      </c>
      <c r="AL58" s="7" t="s">
        <v>2</v>
      </c>
      <c r="AM58" s="65">
        <v>0</v>
      </c>
      <c r="AN58" s="65">
        <v>0</v>
      </c>
      <c r="AO58" s="59">
        <v>0</v>
      </c>
      <c r="AP58" s="3">
        <v>1.1599999999999999</v>
      </c>
      <c r="AQ58" s="61">
        <v>0.59</v>
      </c>
      <c r="AR58" s="61">
        <v>0</v>
      </c>
      <c r="AS58" s="61">
        <v>0.45</v>
      </c>
      <c r="AT58" s="61">
        <v>0</v>
      </c>
      <c r="AU58" s="61">
        <v>0</v>
      </c>
      <c r="AV58" s="62">
        <v>0</v>
      </c>
      <c r="AW58" s="3">
        <v>1.02</v>
      </c>
      <c r="AX58" s="61">
        <v>0</v>
      </c>
      <c r="AY58" s="61">
        <v>0.1</v>
      </c>
      <c r="AZ58" s="62">
        <v>0.9</v>
      </c>
      <c r="BA58" s="3">
        <v>1.1200000000000001</v>
      </c>
      <c r="BB58" s="61">
        <v>0.77</v>
      </c>
      <c r="BC58" s="61">
        <v>0.08</v>
      </c>
      <c r="BD58" s="61">
        <v>0.27</v>
      </c>
      <c r="BE58" s="61">
        <v>0</v>
      </c>
      <c r="BF58" s="62">
        <v>0</v>
      </c>
      <c r="BG58" s="3" t="s">
        <v>2</v>
      </c>
      <c r="BH58" s="11">
        <v>131</v>
      </c>
      <c r="BI58" s="65">
        <v>1371</v>
      </c>
      <c r="BJ58" s="65">
        <v>406</v>
      </c>
      <c r="BK58" s="65">
        <v>222</v>
      </c>
      <c r="BL58" s="65">
        <v>762</v>
      </c>
      <c r="BM58" s="65">
        <v>762</v>
      </c>
      <c r="BN58" s="65">
        <v>965</v>
      </c>
      <c r="BO58" s="65">
        <v>1490</v>
      </c>
      <c r="BP58" s="65">
        <v>846</v>
      </c>
      <c r="BQ58" s="65">
        <v>1049</v>
      </c>
      <c r="BR58" s="65">
        <v>422</v>
      </c>
      <c r="BS58" s="65">
        <v>170</v>
      </c>
      <c r="BT58" s="65">
        <v>627</v>
      </c>
      <c r="BU58" s="65">
        <v>1100</v>
      </c>
      <c r="BV58" s="65">
        <v>1760</v>
      </c>
      <c r="BW58" s="65">
        <v>2488</v>
      </c>
      <c r="BX58" s="65">
        <v>914</v>
      </c>
      <c r="BY58" s="65">
        <v>811</v>
      </c>
      <c r="BZ58" s="59">
        <v>762</v>
      </c>
      <c r="CA58" s="3" t="s">
        <v>2</v>
      </c>
      <c r="CB58" s="3" t="s">
        <v>2</v>
      </c>
      <c r="CC58" s="3" t="s">
        <v>2</v>
      </c>
      <c r="CD58" s="3" t="s">
        <v>2</v>
      </c>
      <c r="CE58" s="3" t="s">
        <v>2</v>
      </c>
      <c r="CF58" s="3" t="s">
        <v>2</v>
      </c>
      <c r="CG58" s="7" t="s">
        <v>2</v>
      </c>
      <c r="CH58" s="65">
        <v>0</v>
      </c>
      <c r="CI58" s="59">
        <v>0</v>
      </c>
      <c r="CJ58" s="65">
        <v>0</v>
      </c>
      <c r="CK58" s="65">
        <v>0</v>
      </c>
      <c r="CL58" s="65">
        <v>0</v>
      </c>
      <c r="CM58" s="59">
        <v>0</v>
      </c>
      <c r="CN58" s="156">
        <v>0</v>
      </c>
      <c r="CO58" s="156" t="s">
        <v>2</v>
      </c>
    </row>
    <row r="59" spans="1:93" s="13" customFormat="1" x14ac:dyDescent="0.25">
      <c r="A59" s="155" t="s">
        <v>1478</v>
      </c>
      <c r="B59" s="55" t="s">
        <v>475</v>
      </c>
      <c r="C59" s="10" t="s">
        <v>1479</v>
      </c>
      <c r="D59" s="291">
        <v>7</v>
      </c>
      <c r="E59" s="11">
        <v>0</v>
      </c>
      <c r="F59" s="156">
        <v>75</v>
      </c>
      <c r="G59" s="65">
        <v>315</v>
      </c>
      <c r="H59" s="68">
        <v>80.400000000000006</v>
      </c>
      <c r="I59" s="3">
        <v>18</v>
      </c>
      <c r="J59" s="3">
        <v>0.2</v>
      </c>
      <c r="K59" s="3">
        <v>0.4</v>
      </c>
      <c r="L59" s="3">
        <v>0</v>
      </c>
      <c r="M59" s="7">
        <v>1</v>
      </c>
      <c r="N59" s="65">
        <v>8</v>
      </c>
      <c r="O59" s="65">
        <v>31</v>
      </c>
      <c r="P59" s="3">
        <v>52.6</v>
      </c>
      <c r="Q59" s="3" t="s">
        <v>2</v>
      </c>
      <c r="R59" s="65" t="s">
        <v>2</v>
      </c>
      <c r="S59" s="65" t="s">
        <v>2</v>
      </c>
      <c r="T59" s="65" t="s">
        <v>2</v>
      </c>
      <c r="U59" s="61" t="s">
        <v>2</v>
      </c>
      <c r="V59" s="61" t="s">
        <v>2</v>
      </c>
      <c r="W59" s="7" t="s">
        <v>2</v>
      </c>
      <c r="X59" s="3" t="s">
        <v>2</v>
      </c>
      <c r="Y59" s="61">
        <v>0.09</v>
      </c>
      <c r="Z59" s="61">
        <v>0.03</v>
      </c>
      <c r="AA59" s="61">
        <v>0.6</v>
      </c>
      <c r="AB59" s="61" t="s">
        <v>2</v>
      </c>
      <c r="AC59" s="61" t="s">
        <v>2</v>
      </c>
      <c r="AD59" s="65" t="s">
        <v>2</v>
      </c>
      <c r="AE59" s="65" t="s">
        <v>2</v>
      </c>
      <c r="AF59" s="3" t="s">
        <v>2</v>
      </c>
      <c r="AG59" s="7" t="s">
        <v>2</v>
      </c>
      <c r="AH59" s="162">
        <v>30</v>
      </c>
      <c r="AI59" s="65">
        <v>30</v>
      </c>
      <c r="AJ59" s="3" t="s">
        <v>2</v>
      </c>
      <c r="AK59" s="3" t="s">
        <v>2</v>
      </c>
      <c r="AL59" s="7" t="s">
        <v>2</v>
      </c>
      <c r="AM59" s="65">
        <v>0</v>
      </c>
      <c r="AN59" s="65">
        <v>0</v>
      </c>
      <c r="AO59" s="59">
        <v>0</v>
      </c>
      <c r="AP59" s="3" t="s">
        <v>2</v>
      </c>
      <c r="AQ59" s="61" t="s">
        <v>2</v>
      </c>
      <c r="AR59" s="61" t="s">
        <v>2</v>
      </c>
      <c r="AS59" s="61" t="s">
        <v>2</v>
      </c>
      <c r="AT59" s="61" t="s">
        <v>2</v>
      </c>
      <c r="AU59" s="61" t="s">
        <v>2</v>
      </c>
      <c r="AV59" s="62" t="s">
        <v>2</v>
      </c>
      <c r="AW59" s="3" t="s">
        <v>2</v>
      </c>
      <c r="AX59" s="61" t="s">
        <v>2</v>
      </c>
      <c r="AY59" s="61" t="s">
        <v>2</v>
      </c>
      <c r="AZ59" s="62" t="s">
        <v>2</v>
      </c>
      <c r="BA59" s="3" t="s">
        <v>2</v>
      </c>
      <c r="BB59" s="61" t="s">
        <v>2</v>
      </c>
      <c r="BC59" s="61" t="s">
        <v>2</v>
      </c>
      <c r="BD59" s="61" t="s">
        <v>2</v>
      </c>
      <c r="BE59" s="61" t="s">
        <v>2</v>
      </c>
      <c r="BF59" s="62" t="s">
        <v>2</v>
      </c>
      <c r="BG59" s="11" t="s">
        <v>2</v>
      </c>
      <c r="BH59" s="11" t="s">
        <v>2</v>
      </c>
      <c r="BI59" s="65">
        <v>3269</v>
      </c>
      <c r="BJ59" s="65">
        <v>781</v>
      </c>
      <c r="BK59" s="65" t="s">
        <v>2</v>
      </c>
      <c r="BL59" s="65">
        <v>1438</v>
      </c>
      <c r="BM59" s="65">
        <v>1281</v>
      </c>
      <c r="BN59" s="65">
        <v>2125</v>
      </c>
      <c r="BO59" s="65">
        <v>2800</v>
      </c>
      <c r="BP59" s="65">
        <v>403</v>
      </c>
      <c r="BQ59" s="65">
        <v>1246</v>
      </c>
      <c r="BR59" s="65">
        <v>1932</v>
      </c>
      <c r="BS59" s="65">
        <v>1735</v>
      </c>
      <c r="BT59" s="65">
        <v>774</v>
      </c>
      <c r="BU59" s="65" t="s">
        <v>2</v>
      </c>
      <c r="BV59" s="65" t="s">
        <v>2</v>
      </c>
      <c r="BW59" s="65" t="s">
        <v>2</v>
      </c>
      <c r="BX59" s="65" t="s">
        <v>2</v>
      </c>
      <c r="BY59" s="65" t="s">
        <v>2</v>
      </c>
      <c r="BZ59" s="59" t="s">
        <v>2</v>
      </c>
      <c r="CA59" s="3" t="s">
        <v>2</v>
      </c>
      <c r="CB59" s="3" t="s">
        <v>2</v>
      </c>
      <c r="CC59" s="3" t="s">
        <v>2</v>
      </c>
      <c r="CD59" s="3" t="s">
        <v>2</v>
      </c>
      <c r="CE59" s="3" t="s">
        <v>2</v>
      </c>
      <c r="CF59" s="3" t="s">
        <v>2</v>
      </c>
      <c r="CG59" s="7" t="s">
        <v>2</v>
      </c>
      <c r="CH59" s="65">
        <v>0</v>
      </c>
      <c r="CI59" s="59">
        <v>0</v>
      </c>
      <c r="CJ59" s="65">
        <v>0</v>
      </c>
      <c r="CK59" s="65">
        <v>0</v>
      </c>
      <c r="CL59" s="65">
        <v>0</v>
      </c>
      <c r="CM59" s="59">
        <v>0</v>
      </c>
      <c r="CN59" s="156">
        <v>0</v>
      </c>
      <c r="CO59" s="156" t="s">
        <v>2</v>
      </c>
    </row>
    <row r="60" spans="1:93" s="13" customFormat="1" x14ac:dyDescent="0.25">
      <c r="A60" s="155" t="s">
        <v>1480</v>
      </c>
      <c r="B60" s="55" t="s">
        <v>476</v>
      </c>
      <c r="C60" s="10" t="s">
        <v>1481</v>
      </c>
      <c r="D60" s="291">
        <v>7</v>
      </c>
      <c r="E60" s="11">
        <v>0</v>
      </c>
      <c r="F60" s="156">
        <v>44</v>
      </c>
      <c r="G60" s="65">
        <v>183</v>
      </c>
      <c r="H60" s="68">
        <v>86.8</v>
      </c>
      <c r="I60" s="3">
        <v>10.7</v>
      </c>
      <c r="J60" s="3">
        <v>0.1</v>
      </c>
      <c r="K60" s="3">
        <v>0</v>
      </c>
      <c r="L60" s="3">
        <v>0</v>
      </c>
      <c r="M60" s="7">
        <v>2.4</v>
      </c>
      <c r="N60" s="65">
        <v>7</v>
      </c>
      <c r="O60" s="65">
        <v>12</v>
      </c>
      <c r="P60" s="3">
        <v>25.9</v>
      </c>
      <c r="Q60" s="3" t="s">
        <v>2</v>
      </c>
      <c r="R60" s="65">
        <v>343</v>
      </c>
      <c r="S60" s="65">
        <v>131</v>
      </c>
      <c r="T60" s="65">
        <v>65</v>
      </c>
      <c r="U60" s="61" t="s">
        <v>2</v>
      </c>
      <c r="V60" s="61" t="s">
        <v>2</v>
      </c>
      <c r="W60" s="7" t="s">
        <v>2</v>
      </c>
      <c r="X60" s="3" t="s">
        <v>2</v>
      </c>
      <c r="Y60" s="61">
        <v>0</v>
      </c>
      <c r="Z60" s="61">
        <v>0.1</v>
      </c>
      <c r="AA60" s="61">
        <v>0.6</v>
      </c>
      <c r="AB60" s="61" t="s">
        <v>2</v>
      </c>
      <c r="AC60" s="61" t="s">
        <v>2</v>
      </c>
      <c r="AD60" s="65" t="s">
        <v>2</v>
      </c>
      <c r="AE60" s="65" t="s">
        <v>2</v>
      </c>
      <c r="AF60" s="3" t="s">
        <v>2</v>
      </c>
      <c r="AG60" s="7" t="s">
        <v>2</v>
      </c>
      <c r="AH60" s="162">
        <v>93</v>
      </c>
      <c r="AI60" s="65">
        <v>93</v>
      </c>
      <c r="AJ60" s="3" t="s">
        <v>2</v>
      </c>
      <c r="AK60" s="3" t="s">
        <v>2</v>
      </c>
      <c r="AL60" s="7" t="s">
        <v>2</v>
      </c>
      <c r="AM60" s="65">
        <v>0</v>
      </c>
      <c r="AN60" s="65">
        <v>0</v>
      </c>
      <c r="AO60" s="59">
        <v>0</v>
      </c>
      <c r="AP60" s="3" t="s">
        <v>2</v>
      </c>
      <c r="AQ60" s="61" t="s">
        <v>2</v>
      </c>
      <c r="AR60" s="61" t="s">
        <v>2</v>
      </c>
      <c r="AS60" s="61" t="s">
        <v>2</v>
      </c>
      <c r="AT60" s="61" t="s">
        <v>2</v>
      </c>
      <c r="AU60" s="61" t="s">
        <v>2</v>
      </c>
      <c r="AV60" s="62" t="s">
        <v>2</v>
      </c>
      <c r="AW60" s="3" t="s">
        <v>2</v>
      </c>
      <c r="AX60" s="61" t="s">
        <v>2</v>
      </c>
      <c r="AY60" s="61" t="s">
        <v>2</v>
      </c>
      <c r="AZ60" s="62" t="s">
        <v>2</v>
      </c>
      <c r="BA60" s="3" t="s">
        <v>2</v>
      </c>
      <c r="BB60" s="61" t="s">
        <v>2</v>
      </c>
      <c r="BC60" s="61" t="s">
        <v>2</v>
      </c>
      <c r="BD60" s="61" t="s">
        <v>2</v>
      </c>
      <c r="BE60" s="61" t="s">
        <v>2</v>
      </c>
      <c r="BF60" s="62" t="s">
        <v>2</v>
      </c>
      <c r="BG60" s="11" t="s">
        <v>2</v>
      </c>
      <c r="BH60" s="11" t="s">
        <v>2</v>
      </c>
      <c r="BI60" s="65" t="s">
        <v>2</v>
      </c>
      <c r="BJ60" s="65" t="s">
        <v>2</v>
      </c>
      <c r="BK60" s="65" t="s">
        <v>2</v>
      </c>
      <c r="BL60" s="65" t="s">
        <v>2</v>
      </c>
      <c r="BM60" s="65" t="s">
        <v>2</v>
      </c>
      <c r="BN60" s="65" t="s">
        <v>2</v>
      </c>
      <c r="BO60" s="65" t="s">
        <v>2</v>
      </c>
      <c r="BP60" s="65" t="s">
        <v>2</v>
      </c>
      <c r="BQ60" s="65" t="s">
        <v>2</v>
      </c>
      <c r="BR60" s="65" t="s">
        <v>2</v>
      </c>
      <c r="BS60" s="65" t="s">
        <v>2</v>
      </c>
      <c r="BT60" s="65" t="s">
        <v>2</v>
      </c>
      <c r="BU60" s="65" t="s">
        <v>2</v>
      </c>
      <c r="BV60" s="65" t="s">
        <v>2</v>
      </c>
      <c r="BW60" s="65" t="s">
        <v>2</v>
      </c>
      <c r="BX60" s="65" t="s">
        <v>2</v>
      </c>
      <c r="BY60" s="65" t="s">
        <v>2</v>
      </c>
      <c r="BZ60" s="59" t="s">
        <v>2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7">
        <v>0</v>
      </c>
      <c r="CH60" s="65">
        <v>0</v>
      </c>
      <c r="CI60" s="59">
        <v>0</v>
      </c>
      <c r="CJ60" s="65">
        <v>0</v>
      </c>
      <c r="CK60" s="65">
        <v>0</v>
      </c>
      <c r="CL60" s="65">
        <v>0</v>
      </c>
      <c r="CM60" s="59">
        <v>0</v>
      </c>
      <c r="CN60" s="156">
        <v>0</v>
      </c>
      <c r="CO60" s="156" t="s">
        <v>2</v>
      </c>
    </row>
    <row r="61" spans="1:93" s="13" customFormat="1" x14ac:dyDescent="0.25">
      <c r="A61" s="155" t="s">
        <v>1482</v>
      </c>
      <c r="B61" s="55" t="s">
        <v>477</v>
      </c>
      <c r="C61" s="10" t="s">
        <v>1483</v>
      </c>
      <c r="D61" s="291">
        <v>7</v>
      </c>
      <c r="E61" s="11">
        <v>0</v>
      </c>
      <c r="F61" s="156">
        <v>25</v>
      </c>
      <c r="G61" s="65">
        <v>103</v>
      </c>
      <c r="H61" s="68">
        <v>91.9</v>
      </c>
      <c r="I61" s="3">
        <v>5.7</v>
      </c>
      <c r="J61" s="3">
        <v>0.1</v>
      </c>
      <c r="K61" s="3">
        <v>0.2</v>
      </c>
      <c r="L61" s="3">
        <v>0</v>
      </c>
      <c r="M61" s="7">
        <v>2.1</v>
      </c>
      <c r="N61" s="65">
        <v>7</v>
      </c>
      <c r="O61" s="65">
        <v>7</v>
      </c>
      <c r="P61" s="3">
        <v>20.399999999999999</v>
      </c>
      <c r="Q61" s="3" t="s">
        <v>2</v>
      </c>
      <c r="R61" s="65" t="s">
        <v>2</v>
      </c>
      <c r="S61" s="65" t="s">
        <v>2</v>
      </c>
      <c r="T61" s="65" t="s">
        <v>2</v>
      </c>
      <c r="U61" s="61" t="s">
        <v>2</v>
      </c>
      <c r="V61" s="61" t="s">
        <v>2</v>
      </c>
      <c r="W61" s="7" t="s">
        <v>2</v>
      </c>
      <c r="X61" s="3" t="s">
        <v>2</v>
      </c>
      <c r="Y61" s="61" t="s">
        <v>2</v>
      </c>
      <c r="Z61" s="61">
        <v>0.1</v>
      </c>
      <c r="AA61" s="61">
        <v>0.6</v>
      </c>
      <c r="AB61" s="61" t="s">
        <v>2</v>
      </c>
      <c r="AC61" s="61" t="s">
        <v>2</v>
      </c>
      <c r="AD61" s="65" t="s">
        <v>2</v>
      </c>
      <c r="AE61" s="65" t="s">
        <v>2</v>
      </c>
      <c r="AF61" s="3" t="s">
        <v>2</v>
      </c>
      <c r="AG61" s="7" t="s">
        <v>2</v>
      </c>
      <c r="AH61" s="162">
        <v>26</v>
      </c>
      <c r="AI61" s="65">
        <v>26</v>
      </c>
      <c r="AJ61" s="3" t="s">
        <v>2</v>
      </c>
      <c r="AK61" s="3" t="s">
        <v>2</v>
      </c>
      <c r="AL61" s="7" t="s">
        <v>2</v>
      </c>
      <c r="AM61" s="65">
        <v>0</v>
      </c>
      <c r="AN61" s="65">
        <v>0</v>
      </c>
      <c r="AO61" s="59">
        <v>0</v>
      </c>
      <c r="AP61" s="3" t="s">
        <v>2</v>
      </c>
      <c r="AQ61" s="61" t="s">
        <v>2</v>
      </c>
      <c r="AR61" s="61" t="s">
        <v>2</v>
      </c>
      <c r="AS61" s="61" t="s">
        <v>2</v>
      </c>
      <c r="AT61" s="61" t="s">
        <v>2</v>
      </c>
      <c r="AU61" s="61" t="s">
        <v>2</v>
      </c>
      <c r="AV61" s="62" t="s">
        <v>2</v>
      </c>
      <c r="AW61" s="3" t="s">
        <v>2</v>
      </c>
      <c r="AX61" s="61" t="s">
        <v>2</v>
      </c>
      <c r="AY61" s="61" t="s">
        <v>2</v>
      </c>
      <c r="AZ61" s="62" t="s">
        <v>2</v>
      </c>
      <c r="BA61" s="3" t="s">
        <v>2</v>
      </c>
      <c r="BB61" s="61" t="s">
        <v>2</v>
      </c>
      <c r="BC61" s="61" t="s">
        <v>2</v>
      </c>
      <c r="BD61" s="61" t="s">
        <v>2</v>
      </c>
      <c r="BE61" s="61" t="s">
        <v>2</v>
      </c>
      <c r="BF61" s="62" t="s">
        <v>2</v>
      </c>
      <c r="BG61" s="11" t="s">
        <v>2</v>
      </c>
      <c r="BH61" s="11" t="s">
        <v>2</v>
      </c>
      <c r="BI61" s="65">
        <v>800</v>
      </c>
      <c r="BJ61" s="65">
        <v>134</v>
      </c>
      <c r="BK61" s="65" t="s">
        <v>2</v>
      </c>
      <c r="BL61" s="65">
        <v>410</v>
      </c>
      <c r="BM61" s="65">
        <v>268</v>
      </c>
      <c r="BN61" s="65">
        <v>608</v>
      </c>
      <c r="BO61" s="65">
        <v>473</v>
      </c>
      <c r="BP61" s="65">
        <v>173</v>
      </c>
      <c r="BQ61" s="65">
        <v>383</v>
      </c>
      <c r="BR61" s="65">
        <v>593</v>
      </c>
      <c r="BS61" s="65">
        <v>50</v>
      </c>
      <c r="BT61" s="65">
        <v>716</v>
      </c>
      <c r="BU61" s="65" t="s">
        <v>2</v>
      </c>
      <c r="BV61" s="65" t="s">
        <v>2</v>
      </c>
      <c r="BW61" s="65" t="s">
        <v>2</v>
      </c>
      <c r="BX61" s="65" t="s">
        <v>2</v>
      </c>
      <c r="BY61" s="65" t="s">
        <v>2</v>
      </c>
      <c r="BZ61" s="59" t="s">
        <v>2</v>
      </c>
      <c r="CA61" s="3" t="s">
        <v>2</v>
      </c>
      <c r="CB61" s="3" t="s">
        <v>2</v>
      </c>
      <c r="CC61" s="3" t="s">
        <v>2</v>
      </c>
      <c r="CD61" s="3" t="s">
        <v>2</v>
      </c>
      <c r="CE61" s="3" t="s">
        <v>2</v>
      </c>
      <c r="CF61" s="3" t="s">
        <v>2</v>
      </c>
      <c r="CG61" s="7" t="s">
        <v>2</v>
      </c>
      <c r="CH61" s="65">
        <v>0</v>
      </c>
      <c r="CI61" s="59">
        <v>0</v>
      </c>
      <c r="CJ61" s="65">
        <v>0</v>
      </c>
      <c r="CK61" s="65">
        <v>0</v>
      </c>
      <c r="CL61" s="65">
        <v>0</v>
      </c>
      <c r="CM61" s="59">
        <v>0</v>
      </c>
      <c r="CN61" s="156">
        <v>0</v>
      </c>
      <c r="CO61" s="156" t="s">
        <v>2</v>
      </c>
    </row>
    <row r="62" spans="1:93" s="13" customFormat="1" x14ac:dyDescent="0.25">
      <c r="A62" s="155" t="s">
        <v>1484</v>
      </c>
      <c r="B62" s="55" t="s">
        <v>478</v>
      </c>
      <c r="C62" s="10" t="s">
        <v>1485</v>
      </c>
      <c r="D62" s="291">
        <v>7</v>
      </c>
      <c r="E62" s="11">
        <v>0</v>
      </c>
      <c r="F62" s="156">
        <v>814</v>
      </c>
      <c r="G62" s="65">
        <v>3404</v>
      </c>
      <c r="H62" s="68">
        <v>8.6999999999999993</v>
      </c>
      <c r="I62" s="3">
        <v>1.1000000000000001</v>
      </c>
      <c r="J62" s="3">
        <v>89.9</v>
      </c>
      <c r="K62" s="3">
        <v>0</v>
      </c>
      <c r="L62" s="3">
        <v>0</v>
      </c>
      <c r="M62" s="7">
        <v>0.3</v>
      </c>
      <c r="N62" s="65">
        <v>89</v>
      </c>
      <c r="O62" s="65" t="s">
        <v>2</v>
      </c>
      <c r="P62" s="3" t="s">
        <v>2</v>
      </c>
      <c r="Q62" s="3" t="s">
        <v>2</v>
      </c>
      <c r="R62" s="65" t="s">
        <v>2</v>
      </c>
      <c r="S62" s="65" t="s">
        <v>2</v>
      </c>
      <c r="T62" s="65" t="s">
        <v>2</v>
      </c>
      <c r="U62" s="61" t="s">
        <v>2</v>
      </c>
      <c r="V62" s="61" t="s">
        <v>2</v>
      </c>
      <c r="W62" s="7" t="s">
        <v>2</v>
      </c>
      <c r="X62" s="3" t="s">
        <v>2</v>
      </c>
      <c r="Y62" s="61" t="s">
        <v>2</v>
      </c>
      <c r="Z62" s="61">
        <v>0.01</v>
      </c>
      <c r="AA62" s="61">
        <v>0.1</v>
      </c>
      <c r="AB62" s="61" t="s">
        <v>2</v>
      </c>
      <c r="AC62" s="61" t="s">
        <v>2</v>
      </c>
      <c r="AD62" s="65" t="s">
        <v>2</v>
      </c>
      <c r="AE62" s="65" t="s">
        <v>2</v>
      </c>
      <c r="AF62" s="3" t="s">
        <v>2</v>
      </c>
      <c r="AG62" s="7" t="s">
        <v>2</v>
      </c>
      <c r="AH62" s="162" t="s">
        <v>2</v>
      </c>
      <c r="AI62" s="65">
        <v>0</v>
      </c>
      <c r="AJ62" s="3" t="s">
        <v>2</v>
      </c>
      <c r="AK62" s="3" t="s">
        <v>2</v>
      </c>
      <c r="AL62" s="7" t="s">
        <v>2</v>
      </c>
      <c r="AM62" s="65">
        <v>0</v>
      </c>
      <c r="AN62" s="65">
        <v>0</v>
      </c>
      <c r="AO62" s="59">
        <v>0</v>
      </c>
      <c r="AP62" s="3" t="s">
        <v>2</v>
      </c>
      <c r="AQ62" s="61" t="s">
        <v>2</v>
      </c>
      <c r="AR62" s="61" t="s">
        <v>2</v>
      </c>
      <c r="AS62" s="61" t="s">
        <v>2</v>
      </c>
      <c r="AT62" s="61" t="s">
        <v>2</v>
      </c>
      <c r="AU62" s="61" t="s">
        <v>2</v>
      </c>
      <c r="AV62" s="62" t="s">
        <v>2</v>
      </c>
      <c r="AW62" s="3" t="s">
        <v>2</v>
      </c>
      <c r="AX62" s="61" t="s">
        <v>2</v>
      </c>
      <c r="AY62" s="61" t="s">
        <v>2</v>
      </c>
      <c r="AZ62" s="62" t="s">
        <v>2</v>
      </c>
      <c r="BA62" s="3" t="s">
        <v>2</v>
      </c>
      <c r="BB62" s="61" t="s">
        <v>2</v>
      </c>
      <c r="BC62" s="61" t="s">
        <v>2</v>
      </c>
      <c r="BD62" s="61" t="s">
        <v>2</v>
      </c>
      <c r="BE62" s="61" t="s">
        <v>2</v>
      </c>
      <c r="BF62" s="62" t="s">
        <v>2</v>
      </c>
      <c r="BG62" s="11" t="s">
        <v>2</v>
      </c>
      <c r="BH62" s="11" t="s">
        <v>2</v>
      </c>
      <c r="BI62" s="65" t="s">
        <v>2</v>
      </c>
      <c r="BJ62" s="65" t="s">
        <v>2</v>
      </c>
      <c r="BK62" s="65" t="s">
        <v>2</v>
      </c>
      <c r="BL62" s="65" t="s">
        <v>2</v>
      </c>
      <c r="BM62" s="65" t="s">
        <v>2</v>
      </c>
      <c r="BN62" s="65" t="s">
        <v>2</v>
      </c>
      <c r="BO62" s="65" t="s">
        <v>2</v>
      </c>
      <c r="BP62" s="65" t="s">
        <v>2</v>
      </c>
      <c r="BQ62" s="65" t="s">
        <v>2</v>
      </c>
      <c r="BR62" s="65" t="s">
        <v>2</v>
      </c>
      <c r="BS62" s="65" t="s">
        <v>2</v>
      </c>
      <c r="BT62" s="65" t="s">
        <v>2</v>
      </c>
      <c r="BU62" s="65" t="s">
        <v>2</v>
      </c>
      <c r="BV62" s="65" t="s">
        <v>2</v>
      </c>
      <c r="BW62" s="65" t="s">
        <v>2</v>
      </c>
      <c r="BX62" s="65" t="s">
        <v>2</v>
      </c>
      <c r="BY62" s="65" t="s">
        <v>2</v>
      </c>
      <c r="BZ62" s="59" t="s">
        <v>2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7">
        <v>0</v>
      </c>
      <c r="CH62" s="65">
        <v>0</v>
      </c>
      <c r="CI62" s="59">
        <v>0</v>
      </c>
      <c r="CJ62" s="65">
        <v>0</v>
      </c>
      <c r="CK62" s="65">
        <v>0</v>
      </c>
      <c r="CL62" s="65">
        <v>0</v>
      </c>
      <c r="CM62" s="59">
        <v>0</v>
      </c>
      <c r="CN62" s="156">
        <v>0</v>
      </c>
      <c r="CO62" s="156" t="s">
        <v>2</v>
      </c>
    </row>
    <row r="63" spans="1:93" s="13" customFormat="1" x14ac:dyDescent="0.25">
      <c r="A63" s="155" t="s">
        <v>1486</v>
      </c>
      <c r="B63" s="55" t="s">
        <v>479</v>
      </c>
      <c r="C63" s="10" t="s">
        <v>1487</v>
      </c>
      <c r="D63" s="291">
        <v>7</v>
      </c>
      <c r="E63" s="11">
        <v>0</v>
      </c>
      <c r="F63" s="156">
        <v>749</v>
      </c>
      <c r="G63" s="65">
        <v>3134</v>
      </c>
      <c r="H63" s="68">
        <v>15</v>
      </c>
      <c r="I63" s="3">
        <v>2.2999999999999998</v>
      </c>
      <c r="J63" s="3">
        <v>82.2</v>
      </c>
      <c r="K63" s="3">
        <v>0</v>
      </c>
      <c r="L63" s="3">
        <v>0</v>
      </c>
      <c r="M63" s="7">
        <v>0.5</v>
      </c>
      <c r="N63" s="65" t="s">
        <v>2</v>
      </c>
      <c r="O63" s="65" t="s">
        <v>2</v>
      </c>
      <c r="P63" s="3" t="s">
        <v>2</v>
      </c>
      <c r="Q63" s="3" t="s">
        <v>2</v>
      </c>
      <c r="R63" s="65" t="s">
        <v>2</v>
      </c>
      <c r="S63" s="65" t="s">
        <v>2</v>
      </c>
      <c r="T63" s="65" t="s">
        <v>2</v>
      </c>
      <c r="U63" s="61" t="s">
        <v>2</v>
      </c>
      <c r="V63" s="61" t="s">
        <v>2</v>
      </c>
      <c r="W63" s="7" t="s">
        <v>2</v>
      </c>
      <c r="X63" s="3" t="s">
        <v>2</v>
      </c>
      <c r="Y63" s="61" t="s">
        <v>2</v>
      </c>
      <c r="Z63" s="61" t="s">
        <v>2</v>
      </c>
      <c r="AA63" s="61" t="s">
        <v>2</v>
      </c>
      <c r="AB63" s="61" t="s">
        <v>2</v>
      </c>
      <c r="AC63" s="61" t="s">
        <v>2</v>
      </c>
      <c r="AD63" s="65" t="s">
        <v>2</v>
      </c>
      <c r="AE63" s="65" t="s">
        <v>2</v>
      </c>
      <c r="AF63" s="3" t="s">
        <v>2</v>
      </c>
      <c r="AG63" s="7" t="s">
        <v>2</v>
      </c>
      <c r="AH63" s="162" t="s">
        <v>2</v>
      </c>
      <c r="AI63" s="65">
        <v>0</v>
      </c>
      <c r="AJ63" s="3" t="s">
        <v>2</v>
      </c>
      <c r="AK63" s="3" t="s">
        <v>2</v>
      </c>
      <c r="AL63" s="7" t="s">
        <v>2</v>
      </c>
      <c r="AM63" s="65">
        <v>0</v>
      </c>
      <c r="AN63" s="65">
        <v>0</v>
      </c>
      <c r="AO63" s="59">
        <v>0</v>
      </c>
      <c r="AP63" s="3" t="s">
        <v>2</v>
      </c>
      <c r="AQ63" s="61" t="s">
        <v>2</v>
      </c>
      <c r="AR63" s="61" t="s">
        <v>2</v>
      </c>
      <c r="AS63" s="61" t="s">
        <v>2</v>
      </c>
      <c r="AT63" s="61" t="s">
        <v>2</v>
      </c>
      <c r="AU63" s="61" t="s">
        <v>2</v>
      </c>
      <c r="AV63" s="62" t="s">
        <v>2</v>
      </c>
      <c r="AW63" s="3" t="s">
        <v>2</v>
      </c>
      <c r="AX63" s="61" t="s">
        <v>2</v>
      </c>
      <c r="AY63" s="61" t="s">
        <v>2</v>
      </c>
      <c r="AZ63" s="62" t="s">
        <v>2</v>
      </c>
      <c r="BA63" s="3" t="s">
        <v>2</v>
      </c>
      <c r="BB63" s="61" t="s">
        <v>2</v>
      </c>
      <c r="BC63" s="61" t="s">
        <v>2</v>
      </c>
      <c r="BD63" s="61" t="s">
        <v>2</v>
      </c>
      <c r="BE63" s="61" t="s">
        <v>2</v>
      </c>
      <c r="BF63" s="62" t="s">
        <v>2</v>
      </c>
      <c r="BG63" s="11" t="s">
        <v>2</v>
      </c>
      <c r="BH63" s="11" t="s">
        <v>2</v>
      </c>
      <c r="BI63" s="65" t="s">
        <v>2</v>
      </c>
      <c r="BJ63" s="65" t="s">
        <v>2</v>
      </c>
      <c r="BK63" s="65" t="s">
        <v>2</v>
      </c>
      <c r="BL63" s="65" t="s">
        <v>2</v>
      </c>
      <c r="BM63" s="65" t="s">
        <v>2</v>
      </c>
      <c r="BN63" s="65" t="s">
        <v>2</v>
      </c>
      <c r="BO63" s="65" t="s">
        <v>2</v>
      </c>
      <c r="BP63" s="65" t="s">
        <v>2</v>
      </c>
      <c r="BQ63" s="65" t="s">
        <v>2</v>
      </c>
      <c r="BR63" s="65" t="s">
        <v>2</v>
      </c>
      <c r="BS63" s="65" t="s">
        <v>2</v>
      </c>
      <c r="BT63" s="65" t="s">
        <v>2</v>
      </c>
      <c r="BU63" s="65" t="s">
        <v>2</v>
      </c>
      <c r="BV63" s="65" t="s">
        <v>2</v>
      </c>
      <c r="BW63" s="65" t="s">
        <v>2</v>
      </c>
      <c r="BX63" s="65" t="s">
        <v>2</v>
      </c>
      <c r="BY63" s="65" t="s">
        <v>2</v>
      </c>
      <c r="BZ63" s="59" t="s">
        <v>2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7">
        <v>0</v>
      </c>
      <c r="CH63" s="65">
        <v>0</v>
      </c>
      <c r="CI63" s="59">
        <v>0</v>
      </c>
      <c r="CJ63" s="65">
        <v>0</v>
      </c>
      <c r="CK63" s="65">
        <v>0</v>
      </c>
      <c r="CL63" s="65">
        <v>0</v>
      </c>
      <c r="CM63" s="59">
        <v>0</v>
      </c>
      <c r="CN63" s="156">
        <v>0</v>
      </c>
      <c r="CO63" s="156" t="s">
        <v>2</v>
      </c>
    </row>
    <row r="64" spans="1:93" s="13" customFormat="1" x14ac:dyDescent="0.25">
      <c r="A64" s="155" t="s">
        <v>1488</v>
      </c>
      <c r="B64" s="55" t="s">
        <v>480</v>
      </c>
      <c r="C64" s="10" t="s">
        <v>1489</v>
      </c>
      <c r="D64" s="291">
        <v>7</v>
      </c>
      <c r="E64" s="11">
        <v>0</v>
      </c>
      <c r="F64" s="156">
        <v>326</v>
      </c>
      <c r="G64" s="65">
        <v>1365</v>
      </c>
      <c r="H64" s="68">
        <v>47.5</v>
      </c>
      <c r="I64" s="3">
        <v>10.8</v>
      </c>
      <c r="J64" s="3">
        <v>24.6</v>
      </c>
      <c r="K64" s="3">
        <v>15.4</v>
      </c>
      <c r="L64" s="3">
        <v>0</v>
      </c>
      <c r="M64" s="7">
        <v>1.7</v>
      </c>
      <c r="N64" s="65">
        <v>26</v>
      </c>
      <c r="O64" s="65">
        <v>88</v>
      </c>
      <c r="P64" s="3">
        <v>4.2</v>
      </c>
      <c r="Q64" s="3" t="s">
        <v>2</v>
      </c>
      <c r="R64" s="65">
        <v>95</v>
      </c>
      <c r="S64" s="65">
        <v>166</v>
      </c>
      <c r="T64" s="65">
        <v>100</v>
      </c>
      <c r="U64" s="61" t="s">
        <v>2</v>
      </c>
      <c r="V64" s="61" t="s">
        <v>2</v>
      </c>
      <c r="W64" s="7" t="s">
        <v>2</v>
      </c>
      <c r="X64" s="3">
        <v>0</v>
      </c>
      <c r="Y64" s="61" t="s">
        <v>2</v>
      </c>
      <c r="Z64" s="61" t="s">
        <v>2</v>
      </c>
      <c r="AA64" s="61" t="s">
        <v>2</v>
      </c>
      <c r="AB64" s="61" t="s">
        <v>2</v>
      </c>
      <c r="AC64" s="61" t="s">
        <v>2</v>
      </c>
      <c r="AD64" s="65" t="s">
        <v>2</v>
      </c>
      <c r="AE64" s="65" t="s">
        <v>2</v>
      </c>
      <c r="AF64" s="3" t="s">
        <v>2</v>
      </c>
      <c r="AG64" s="7" t="s">
        <v>2</v>
      </c>
      <c r="AH64" s="162" t="s">
        <v>2</v>
      </c>
      <c r="AI64" s="65">
        <v>0</v>
      </c>
      <c r="AJ64" s="3" t="s">
        <v>2</v>
      </c>
      <c r="AK64" s="3" t="s">
        <v>2</v>
      </c>
      <c r="AL64" s="7" t="s">
        <v>2</v>
      </c>
      <c r="AM64" s="65">
        <v>0</v>
      </c>
      <c r="AN64" s="65">
        <v>0</v>
      </c>
      <c r="AO64" s="59">
        <v>0</v>
      </c>
      <c r="AP64" s="3" t="s">
        <v>2</v>
      </c>
      <c r="AQ64" s="61" t="s">
        <v>2</v>
      </c>
      <c r="AR64" s="61" t="s">
        <v>2</v>
      </c>
      <c r="AS64" s="61" t="s">
        <v>2</v>
      </c>
      <c r="AT64" s="61" t="s">
        <v>2</v>
      </c>
      <c r="AU64" s="61" t="s">
        <v>2</v>
      </c>
      <c r="AV64" s="62" t="s">
        <v>2</v>
      </c>
      <c r="AW64" s="3" t="s">
        <v>2</v>
      </c>
      <c r="AX64" s="61" t="s">
        <v>2</v>
      </c>
      <c r="AY64" s="61" t="s">
        <v>2</v>
      </c>
      <c r="AZ64" s="62" t="s">
        <v>2</v>
      </c>
      <c r="BA64" s="3" t="s">
        <v>2</v>
      </c>
      <c r="BB64" s="61" t="s">
        <v>2</v>
      </c>
      <c r="BC64" s="61" t="s">
        <v>2</v>
      </c>
      <c r="BD64" s="61" t="s">
        <v>2</v>
      </c>
      <c r="BE64" s="61" t="s">
        <v>2</v>
      </c>
      <c r="BF64" s="62" t="s">
        <v>2</v>
      </c>
      <c r="BG64" s="11" t="s">
        <v>2</v>
      </c>
      <c r="BH64" s="11" t="s">
        <v>2</v>
      </c>
      <c r="BI64" s="65" t="s">
        <v>2</v>
      </c>
      <c r="BJ64" s="65" t="s">
        <v>2</v>
      </c>
      <c r="BK64" s="65" t="s">
        <v>2</v>
      </c>
      <c r="BL64" s="65" t="s">
        <v>2</v>
      </c>
      <c r="BM64" s="65" t="s">
        <v>2</v>
      </c>
      <c r="BN64" s="65" t="s">
        <v>2</v>
      </c>
      <c r="BO64" s="65" t="s">
        <v>2</v>
      </c>
      <c r="BP64" s="65" t="s">
        <v>2</v>
      </c>
      <c r="BQ64" s="65" t="s">
        <v>2</v>
      </c>
      <c r="BR64" s="65" t="s">
        <v>2</v>
      </c>
      <c r="BS64" s="65" t="s">
        <v>2</v>
      </c>
      <c r="BT64" s="65" t="s">
        <v>2</v>
      </c>
      <c r="BU64" s="65" t="s">
        <v>2</v>
      </c>
      <c r="BV64" s="65" t="s">
        <v>2</v>
      </c>
      <c r="BW64" s="65" t="s">
        <v>2</v>
      </c>
      <c r="BX64" s="65" t="s">
        <v>2</v>
      </c>
      <c r="BY64" s="65" t="s">
        <v>2</v>
      </c>
      <c r="BZ64" s="59" t="s">
        <v>2</v>
      </c>
      <c r="CA64" s="3" t="s">
        <v>2</v>
      </c>
      <c r="CB64" s="3" t="s">
        <v>2</v>
      </c>
      <c r="CC64" s="3" t="s">
        <v>2</v>
      </c>
      <c r="CD64" s="3" t="s">
        <v>2</v>
      </c>
      <c r="CE64" s="3" t="s">
        <v>2</v>
      </c>
      <c r="CF64" s="3" t="s">
        <v>2</v>
      </c>
      <c r="CG64" s="7" t="s">
        <v>2</v>
      </c>
      <c r="CH64" s="65">
        <v>0</v>
      </c>
      <c r="CI64" s="59">
        <v>0</v>
      </c>
      <c r="CJ64" s="65">
        <v>0</v>
      </c>
      <c r="CK64" s="65">
        <v>0</v>
      </c>
      <c r="CL64" s="65">
        <v>0</v>
      </c>
      <c r="CM64" s="59">
        <v>0</v>
      </c>
      <c r="CN64" s="156">
        <v>0</v>
      </c>
      <c r="CO64" s="156" t="s">
        <v>2</v>
      </c>
    </row>
    <row r="65" spans="1:93" s="13" customFormat="1" x14ac:dyDescent="0.25">
      <c r="A65" s="155" t="s">
        <v>1490</v>
      </c>
      <c r="B65" s="55" t="s">
        <v>481</v>
      </c>
      <c r="C65" s="10" t="s">
        <v>1491</v>
      </c>
      <c r="D65" s="291">
        <v>7</v>
      </c>
      <c r="E65" s="11">
        <v>0</v>
      </c>
      <c r="F65" s="156">
        <v>517</v>
      </c>
      <c r="G65" s="65">
        <v>2164</v>
      </c>
      <c r="H65" s="68">
        <v>32.6</v>
      </c>
      <c r="I65" s="3">
        <v>10.8</v>
      </c>
      <c r="J65" s="3">
        <v>50.4</v>
      </c>
      <c r="K65" s="3">
        <v>5.0999999999999996</v>
      </c>
      <c r="L65" s="3">
        <v>0</v>
      </c>
      <c r="M65" s="7">
        <v>1.1000000000000001</v>
      </c>
      <c r="N65" s="65">
        <v>20</v>
      </c>
      <c r="O65" s="65">
        <v>100</v>
      </c>
      <c r="P65" s="3" t="s">
        <v>2</v>
      </c>
      <c r="Q65" s="3" t="s">
        <v>2</v>
      </c>
      <c r="R65" s="65">
        <v>339</v>
      </c>
      <c r="S65" s="65">
        <v>407</v>
      </c>
      <c r="T65" s="65">
        <v>192</v>
      </c>
      <c r="U65" s="61" t="s">
        <v>2</v>
      </c>
      <c r="V65" s="61" t="s">
        <v>2</v>
      </c>
      <c r="W65" s="7" t="s">
        <v>2</v>
      </c>
      <c r="X65" s="3">
        <v>0</v>
      </c>
      <c r="Y65" s="61" t="s">
        <v>2</v>
      </c>
      <c r="Z65" s="61" t="s">
        <v>2</v>
      </c>
      <c r="AA65" s="61" t="s">
        <v>2</v>
      </c>
      <c r="AB65" s="61" t="s">
        <v>2</v>
      </c>
      <c r="AC65" s="61" t="s">
        <v>2</v>
      </c>
      <c r="AD65" s="65" t="s">
        <v>2</v>
      </c>
      <c r="AE65" s="65" t="s">
        <v>2</v>
      </c>
      <c r="AF65" s="3" t="s">
        <v>2</v>
      </c>
      <c r="AG65" s="7" t="s">
        <v>2</v>
      </c>
      <c r="AH65" s="162" t="s">
        <v>2</v>
      </c>
      <c r="AI65" s="65">
        <v>0</v>
      </c>
      <c r="AJ65" s="3" t="s">
        <v>2</v>
      </c>
      <c r="AK65" s="3" t="s">
        <v>2</v>
      </c>
      <c r="AL65" s="7" t="s">
        <v>2</v>
      </c>
      <c r="AM65" s="65">
        <v>0</v>
      </c>
      <c r="AN65" s="65">
        <v>0</v>
      </c>
      <c r="AO65" s="59">
        <v>0</v>
      </c>
      <c r="AP65" s="3" t="s">
        <v>2</v>
      </c>
      <c r="AQ65" s="61" t="s">
        <v>2</v>
      </c>
      <c r="AR65" s="61" t="s">
        <v>2</v>
      </c>
      <c r="AS65" s="61" t="s">
        <v>2</v>
      </c>
      <c r="AT65" s="61" t="s">
        <v>2</v>
      </c>
      <c r="AU65" s="61" t="s">
        <v>2</v>
      </c>
      <c r="AV65" s="62" t="s">
        <v>2</v>
      </c>
      <c r="AW65" s="3" t="s">
        <v>2</v>
      </c>
      <c r="AX65" s="61" t="s">
        <v>2</v>
      </c>
      <c r="AY65" s="61" t="s">
        <v>2</v>
      </c>
      <c r="AZ65" s="62" t="s">
        <v>2</v>
      </c>
      <c r="BA65" s="3" t="s">
        <v>2</v>
      </c>
      <c r="BB65" s="61" t="s">
        <v>2</v>
      </c>
      <c r="BC65" s="61" t="s">
        <v>2</v>
      </c>
      <c r="BD65" s="61" t="s">
        <v>2</v>
      </c>
      <c r="BE65" s="61" t="s">
        <v>2</v>
      </c>
      <c r="BF65" s="62" t="s">
        <v>2</v>
      </c>
      <c r="BG65" s="11" t="s">
        <v>2</v>
      </c>
      <c r="BH65" s="11" t="s">
        <v>2</v>
      </c>
      <c r="BI65" s="65" t="s">
        <v>2</v>
      </c>
      <c r="BJ65" s="65" t="s">
        <v>2</v>
      </c>
      <c r="BK65" s="65" t="s">
        <v>2</v>
      </c>
      <c r="BL65" s="65" t="s">
        <v>2</v>
      </c>
      <c r="BM65" s="65" t="s">
        <v>2</v>
      </c>
      <c r="BN65" s="65" t="s">
        <v>2</v>
      </c>
      <c r="BO65" s="65" t="s">
        <v>2</v>
      </c>
      <c r="BP65" s="65" t="s">
        <v>2</v>
      </c>
      <c r="BQ65" s="65" t="s">
        <v>2</v>
      </c>
      <c r="BR65" s="65" t="s">
        <v>2</v>
      </c>
      <c r="BS65" s="65" t="s">
        <v>2</v>
      </c>
      <c r="BT65" s="65" t="s">
        <v>2</v>
      </c>
      <c r="BU65" s="65" t="s">
        <v>2</v>
      </c>
      <c r="BV65" s="65" t="s">
        <v>2</v>
      </c>
      <c r="BW65" s="65" t="s">
        <v>2</v>
      </c>
      <c r="BX65" s="65" t="s">
        <v>2</v>
      </c>
      <c r="BY65" s="65" t="s">
        <v>2</v>
      </c>
      <c r="BZ65" s="59" t="s">
        <v>2</v>
      </c>
      <c r="CA65" s="3" t="s">
        <v>2</v>
      </c>
      <c r="CB65" s="3" t="s">
        <v>2</v>
      </c>
      <c r="CC65" s="3" t="s">
        <v>2</v>
      </c>
      <c r="CD65" s="3" t="s">
        <v>2</v>
      </c>
      <c r="CE65" s="3" t="s">
        <v>2</v>
      </c>
      <c r="CF65" s="3" t="s">
        <v>2</v>
      </c>
      <c r="CG65" s="7" t="s">
        <v>2</v>
      </c>
      <c r="CH65" s="65">
        <v>0</v>
      </c>
      <c r="CI65" s="59">
        <v>0</v>
      </c>
      <c r="CJ65" s="65">
        <v>0</v>
      </c>
      <c r="CK65" s="65">
        <v>0</v>
      </c>
      <c r="CL65" s="65">
        <v>0</v>
      </c>
      <c r="CM65" s="59">
        <v>0</v>
      </c>
      <c r="CN65" s="156">
        <v>0</v>
      </c>
      <c r="CO65" s="156" t="s">
        <v>2</v>
      </c>
    </row>
    <row r="66" spans="1:93" s="13" customFormat="1" x14ac:dyDescent="0.25">
      <c r="A66" s="155" t="s">
        <v>1492</v>
      </c>
      <c r="B66" s="55" t="s">
        <v>482</v>
      </c>
      <c r="C66" s="10" t="s">
        <v>1493</v>
      </c>
      <c r="D66" s="291">
        <v>7</v>
      </c>
      <c r="E66" s="11">
        <v>0</v>
      </c>
      <c r="F66" s="156">
        <v>416</v>
      </c>
      <c r="G66" s="65">
        <v>1740</v>
      </c>
      <c r="H66" s="68">
        <v>42.5</v>
      </c>
      <c r="I66" s="3">
        <v>16.2</v>
      </c>
      <c r="J66" s="3">
        <v>39</v>
      </c>
      <c r="K66" s="3">
        <v>0</v>
      </c>
      <c r="L66" s="3">
        <v>0</v>
      </c>
      <c r="M66" s="7">
        <v>2.2999999999999998</v>
      </c>
      <c r="N66" s="65">
        <v>16</v>
      </c>
      <c r="O66" s="65">
        <v>45</v>
      </c>
      <c r="P66" s="3">
        <v>2.1</v>
      </c>
      <c r="Q66" s="3" t="s">
        <v>2</v>
      </c>
      <c r="R66" s="65" t="s">
        <v>2</v>
      </c>
      <c r="S66" s="65" t="s">
        <v>2</v>
      </c>
      <c r="T66" s="65" t="s">
        <v>2</v>
      </c>
      <c r="U66" s="61" t="s">
        <v>2</v>
      </c>
      <c r="V66" s="61" t="s">
        <v>2</v>
      </c>
      <c r="W66" s="7" t="s">
        <v>2</v>
      </c>
      <c r="X66" s="3">
        <v>0</v>
      </c>
      <c r="Y66" s="61" t="s">
        <v>2</v>
      </c>
      <c r="Z66" s="61" t="s">
        <v>2</v>
      </c>
      <c r="AA66" s="61" t="s">
        <v>2</v>
      </c>
      <c r="AB66" s="61" t="s">
        <v>2</v>
      </c>
      <c r="AC66" s="61" t="s">
        <v>2</v>
      </c>
      <c r="AD66" s="65" t="s">
        <v>2</v>
      </c>
      <c r="AE66" s="65" t="s">
        <v>2</v>
      </c>
      <c r="AF66" s="3" t="s">
        <v>2</v>
      </c>
      <c r="AG66" s="7" t="s">
        <v>2</v>
      </c>
      <c r="AH66" s="162" t="s">
        <v>2</v>
      </c>
      <c r="AI66" s="65">
        <v>0</v>
      </c>
      <c r="AJ66" s="3" t="s">
        <v>2</v>
      </c>
      <c r="AK66" s="3" t="s">
        <v>2</v>
      </c>
      <c r="AL66" s="7" t="s">
        <v>2</v>
      </c>
      <c r="AM66" s="65">
        <v>0</v>
      </c>
      <c r="AN66" s="65">
        <v>0</v>
      </c>
      <c r="AO66" s="59">
        <v>0</v>
      </c>
      <c r="AP66" s="3" t="s">
        <v>2</v>
      </c>
      <c r="AQ66" s="61" t="s">
        <v>2</v>
      </c>
      <c r="AR66" s="61" t="s">
        <v>2</v>
      </c>
      <c r="AS66" s="61" t="s">
        <v>2</v>
      </c>
      <c r="AT66" s="61" t="s">
        <v>2</v>
      </c>
      <c r="AU66" s="61" t="s">
        <v>2</v>
      </c>
      <c r="AV66" s="62" t="s">
        <v>2</v>
      </c>
      <c r="AW66" s="3" t="s">
        <v>2</v>
      </c>
      <c r="AX66" s="61" t="s">
        <v>2</v>
      </c>
      <c r="AY66" s="61" t="s">
        <v>2</v>
      </c>
      <c r="AZ66" s="62" t="s">
        <v>2</v>
      </c>
      <c r="BA66" s="3" t="s">
        <v>2</v>
      </c>
      <c r="BB66" s="61" t="s">
        <v>2</v>
      </c>
      <c r="BC66" s="61" t="s">
        <v>2</v>
      </c>
      <c r="BD66" s="61" t="s">
        <v>2</v>
      </c>
      <c r="BE66" s="61" t="s">
        <v>2</v>
      </c>
      <c r="BF66" s="62" t="s">
        <v>2</v>
      </c>
      <c r="BG66" s="11" t="s">
        <v>2</v>
      </c>
      <c r="BH66" s="11" t="s">
        <v>2</v>
      </c>
      <c r="BI66" s="65" t="s">
        <v>2</v>
      </c>
      <c r="BJ66" s="65" t="s">
        <v>2</v>
      </c>
      <c r="BK66" s="65" t="s">
        <v>2</v>
      </c>
      <c r="BL66" s="65" t="s">
        <v>2</v>
      </c>
      <c r="BM66" s="65" t="s">
        <v>2</v>
      </c>
      <c r="BN66" s="65" t="s">
        <v>2</v>
      </c>
      <c r="BO66" s="65" t="s">
        <v>2</v>
      </c>
      <c r="BP66" s="65" t="s">
        <v>2</v>
      </c>
      <c r="BQ66" s="65" t="s">
        <v>2</v>
      </c>
      <c r="BR66" s="65" t="s">
        <v>2</v>
      </c>
      <c r="BS66" s="65" t="s">
        <v>2</v>
      </c>
      <c r="BT66" s="65" t="s">
        <v>2</v>
      </c>
      <c r="BU66" s="65" t="s">
        <v>2</v>
      </c>
      <c r="BV66" s="65" t="s">
        <v>2</v>
      </c>
      <c r="BW66" s="65" t="s">
        <v>2</v>
      </c>
      <c r="BX66" s="65" t="s">
        <v>2</v>
      </c>
      <c r="BY66" s="65" t="s">
        <v>2</v>
      </c>
      <c r="BZ66" s="59" t="s">
        <v>2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7">
        <v>0</v>
      </c>
      <c r="CH66" s="65">
        <v>0</v>
      </c>
      <c r="CI66" s="59">
        <v>0</v>
      </c>
      <c r="CJ66" s="65">
        <v>0</v>
      </c>
      <c r="CK66" s="65">
        <v>0</v>
      </c>
      <c r="CL66" s="65">
        <v>0</v>
      </c>
      <c r="CM66" s="59">
        <v>0</v>
      </c>
      <c r="CN66" s="156">
        <v>0</v>
      </c>
      <c r="CO66" s="156" t="s">
        <v>2</v>
      </c>
    </row>
    <row r="67" spans="1:93" s="13" customFormat="1" x14ac:dyDescent="0.25">
      <c r="A67" s="155" t="s">
        <v>1494</v>
      </c>
      <c r="B67" s="55" t="s">
        <v>483</v>
      </c>
      <c r="C67" s="10" t="s">
        <v>1495</v>
      </c>
      <c r="D67" s="291">
        <v>7</v>
      </c>
      <c r="E67" s="11">
        <v>0</v>
      </c>
      <c r="F67" s="156">
        <v>318</v>
      </c>
      <c r="G67" s="65">
        <v>1331</v>
      </c>
      <c r="H67" s="68">
        <v>48.7</v>
      </c>
      <c r="I67" s="3">
        <v>23</v>
      </c>
      <c r="J67" s="3">
        <v>25</v>
      </c>
      <c r="K67" s="3">
        <v>0.3</v>
      </c>
      <c r="L67" s="3">
        <v>0</v>
      </c>
      <c r="M67" s="7">
        <v>3</v>
      </c>
      <c r="N67" s="65">
        <v>10</v>
      </c>
      <c r="O67" s="65">
        <v>110</v>
      </c>
      <c r="P67" s="3">
        <v>2.1</v>
      </c>
      <c r="Q67" s="3" t="s">
        <v>2</v>
      </c>
      <c r="R67" s="65" t="s">
        <v>2</v>
      </c>
      <c r="S67" s="65" t="s">
        <v>2</v>
      </c>
      <c r="T67" s="65" t="s">
        <v>2</v>
      </c>
      <c r="U67" s="61" t="s">
        <v>2</v>
      </c>
      <c r="V67" s="61" t="s">
        <v>2</v>
      </c>
      <c r="W67" s="7" t="s">
        <v>2</v>
      </c>
      <c r="X67" s="3">
        <v>0</v>
      </c>
      <c r="Y67" s="61">
        <v>0.4</v>
      </c>
      <c r="Z67" s="61">
        <v>0.19</v>
      </c>
      <c r="AA67" s="61">
        <v>3.8</v>
      </c>
      <c r="AB67" s="61" t="s">
        <v>2</v>
      </c>
      <c r="AC67" s="61" t="s">
        <v>2</v>
      </c>
      <c r="AD67" s="65" t="s">
        <v>2</v>
      </c>
      <c r="AE67" s="65" t="s">
        <v>2</v>
      </c>
      <c r="AF67" s="3" t="s">
        <v>2</v>
      </c>
      <c r="AG67" s="7" t="s">
        <v>2</v>
      </c>
      <c r="AH67" s="162" t="s">
        <v>2</v>
      </c>
      <c r="AI67" s="65">
        <v>0</v>
      </c>
      <c r="AJ67" s="3" t="s">
        <v>2</v>
      </c>
      <c r="AK67" s="3" t="s">
        <v>2</v>
      </c>
      <c r="AL67" s="7" t="s">
        <v>2</v>
      </c>
      <c r="AM67" s="65">
        <v>0</v>
      </c>
      <c r="AN67" s="65">
        <v>0</v>
      </c>
      <c r="AO67" s="59">
        <v>0</v>
      </c>
      <c r="AP67" s="3" t="s">
        <v>2</v>
      </c>
      <c r="AQ67" s="61" t="s">
        <v>2</v>
      </c>
      <c r="AR67" s="61" t="s">
        <v>2</v>
      </c>
      <c r="AS67" s="61" t="s">
        <v>2</v>
      </c>
      <c r="AT67" s="61" t="s">
        <v>2</v>
      </c>
      <c r="AU67" s="61" t="s">
        <v>2</v>
      </c>
      <c r="AV67" s="62" t="s">
        <v>2</v>
      </c>
      <c r="AW67" s="3" t="s">
        <v>2</v>
      </c>
      <c r="AX67" s="61" t="s">
        <v>2</v>
      </c>
      <c r="AY67" s="61" t="s">
        <v>2</v>
      </c>
      <c r="AZ67" s="62" t="s">
        <v>2</v>
      </c>
      <c r="BA67" s="3" t="s">
        <v>2</v>
      </c>
      <c r="BB67" s="61" t="s">
        <v>2</v>
      </c>
      <c r="BC67" s="61" t="s">
        <v>2</v>
      </c>
      <c r="BD67" s="61" t="s">
        <v>2</v>
      </c>
      <c r="BE67" s="61" t="s">
        <v>2</v>
      </c>
      <c r="BF67" s="62" t="s">
        <v>2</v>
      </c>
      <c r="BG67" s="11" t="s">
        <v>2</v>
      </c>
      <c r="BH67" s="11" t="s">
        <v>2</v>
      </c>
      <c r="BI67" s="65">
        <v>1864</v>
      </c>
      <c r="BJ67" s="65">
        <v>621</v>
      </c>
      <c r="BK67" s="65">
        <v>313</v>
      </c>
      <c r="BL67" s="65">
        <v>961</v>
      </c>
      <c r="BM67" s="65">
        <v>1129</v>
      </c>
      <c r="BN67" s="65">
        <v>1194</v>
      </c>
      <c r="BO67" s="65">
        <v>1737</v>
      </c>
      <c r="BP67" s="65">
        <v>1178</v>
      </c>
      <c r="BQ67" s="65">
        <v>1465</v>
      </c>
      <c r="BR67" s="65">
        <v>759</v>
      </c>
      <c r="BS67" s="65">
        <v>258</v>
      </c>
      <c r="BT67" s="65">
        <v>826</v>
      </c>
      <c r="BU67" s="65">
        <v>1265</v>
      </c>
      <c r="BV67" s="65">
        <v>2054</v>
      </c>
      <c r="BW67" s="65">
        <v>3326</v>
      </c>
      <c r="BX67" s="65">
        <v>1311</v>
      </c>
      <c r="BY67" s="65">
        <v>1049</v>
      </c>
      <c r="BZ67" s="59">
        <v>961</v>
      </c>
      <c r="CA67" s="3" t="s">
        <v>2</v>
      </c>
      <c r="CB67" s="3" t="s">
        <v>2</v>
      </c>
      <c r="CC67" s="3" t="s">
        <v>2</v>
      </c>
      <c r="CD67" s="3" t="s">
        <v>2</v>
      </c>
      <c r="CE67" s="3" t="s">
        <v>2</v>
      </c>
      <c r="CF67" s="3" t="s">
        <v>2</v>
      </c>
      <c r="CG67" s="7" t="s">
        <v>2</v>
      </c>
      <c r="CH67" s="65">
        <v>0</v>
      </c>
      <c r="CI67" s="59">
        <v>0</v>
      </c>
      <c r="CJ67" s="65">
        <v>0</v>
      </c>
      <c r="CK67" s="65">
        <v>0</v>
      </c>
      <c r="CL67" s="65">
        <v>0</v>
      </c>
      <c r="CM67" s="59">
        <v>0</v>
      </c>
      <c r="CN67" s="156">
        <v>0</v>
      </c>
      <c r="CO67" s="156" t="s">
        <v>2</v>
      </c>
    </row>
    <row r="68" spans="1:93" s="13" customFormat="1" x14ac:dyDescent="0.25">
      <c r="A68" s="155" t="s">
        <v>1496</v>
      </c>
      <c r="B68" s="55" t="s">
        <v>484</v>
      </c>
      <c r="C68" s="10" t="s">
        <v>1497</v>
      </c>
      <c r="D68" s="291">
        <v>7</v>
      </c>
      <c r="E68" s="11">
        <v>0</v>
      </c>
      <c r="F68" s="156">
        <v>114</v>
      </c>
      <c r="G68" s="65">
        <v>475</v>
      </c>
      <c r="H68" s="68">
        <v>78.900000000000006</v>
      </c>
      <c r="I68" s="3">
        <v>12.4</v>
      </c>
      <c r="J68" s="3">
        <v>7.1</v>
      </c>
      <c r="K68" s="3">
        <v>0</v>
      </c>
      <c r="L68" s="3">
        <v>0</v>
      </c>
      <c r="M68" s="7">
        <v>1.6</v>
      </c>
      <c r="N68" s="65">
        <v>28</v>
      </c>
      <c r="O68" s="65">
        <v>23</v>
      </c>
      <c r="P68" s="3" t="s">
        <v>2</v>
      </c>
      <c r="Q68" s="3" t="s">
        <v>2</v>
      </c>
      <c r="R68" s="65" t="s">
        <v>2</v>
      </c>
      <c r="S68" s="65" t="s">
        <v>2</v>
      </c>
      <c r="T68" s="65" t="s">
        <v>2</v>
      </c>
      <c r="U68" s="61" t="s">
        <v>2</v>
      </c>
      <c r="V68" s="61" t="s">
        <v>2</v>
      </c>
      <c r="W68" s="7" t="s">
        <v>2</v>
      </c>
      <c r="X68" s="3">
        <v>0</v>
      </c>
      <c r="Y68" s="61" t="s">
        <v>2</v>
      </c>
      <c r="Z68" s="61" t="s">
        <v>2</v>
      </c>
      <c r="AA68" s="61" t="s">
        <v>2</v>
      </c>
      <c r="AB68" s="61" t="s">
        <v>2</v>
      </c>
      <c r="AC68" s="61" t="s">
        <v>2</v>
      </c>
      <c r="AD68" s="65" t="s">
        <v>2</v>
      </c>
      <c r="AE68" s="65" t="s">
        <v>2</v>
      </c>
      <c r="AF68" s="3" t="s">
        <v>2</v>
      </c>
      <c r="AG68" s="7" t="s">
        <v>2</v>
      </c>
      <c r="AH68" s="162" t="s">
        <v>2</v>
      </c>
      <c r="AI68" s="65">
        <v>0</v>
      </c>
      <c r="AJ68" s="3" t="s">
        <v>2</v>
      </c>
      <c r="AK68" s="3" t="s">
        <v>2</v>
      </c>
      <c r="AL68" s="7" t="s">
        <v>2</v>
      </c>
      <c r="AM68" s="65">
        <v>0</v>
      </c>
      <c r="AN68" s="65">
        <v>0</v>
      </c>
      <c r="AO68" s="59">
        <v>0</v>
      </c>
      <c r="AP68" s="3" t="s">
        <v>2</v>
      </c>
      <c r="AQ68" s="61" t="s">
        <v>2</v>
      </c>
      <c r="AR68" s="61" t="s">
        <v>2</v>
      </c>
      <c r="AS68" s="61" t="s">
        <v>2</v>
      </c>
      <c r="AT68" s="61" t="s">
        <v>2</v>
      </c>
      <c r="AU68" s="61" t="s">
        <v>2</v>
      </c>
      <c r="AV68" s="62" t="s">
        <v>2</v>
      </c>
      <c r="AW68" s="3" t="s">
        <v>2</v>
      </c>
      <c r="AX68" s="61" t="s">
        <v>2</v>
      </c>
      <c r="AY68" s="61" t="s">
        <v>2</v>
      </c>
      <c r="AZ68" s="62" t="s">
        <v>2</v>
      </c>
      <c r="BA68" s="3" t="s">
        <v>2</v>
      </c>
      <c r="BB68" s="61" t="s">
        <v>2</v>
      </c>
      <c r="BC68" s="61" t="s">
        <v>2</v>
      </c>
      <c r="BD68" s="61" t="s">
        <v>2</v>
      </c>
      <c r="BE68" s="61" t="s">
        <v>2</v>
      </c>
      <c r="BF68" s="62" t="s">
        <v>2</v>
      </c>
      <c r="BG68" s="11" t="s">
        <v>2</v>
      </c>
      <c r="BH68" s="11" t="s">
        <v>2</v>
      </c>
      <c r="BI68" s="65" t="s">
        <v>2</v>
      </c>
      <c r="BJ68" s="65" t="s">
        <v>2</v>
      </c>
      <c r="BK68" s="65" t="s">
        <v>2</v>
      </c>
      <c r="BL68" s="65" t="s">
        <v>2</v>
      </c>
      <c r="BM68" s="65" t="s">
        <v>2</v>
      </c>
      <c r="BN68" s="65" t="s">
        <v>2</v>
      </c>
      <c r="BO68" s="65" t="s">
        <v>2</v>
      </c>
      <c r="BP68" s="65" t="s">
        <v>2</v>
      </c>
      <c r="BQ68" s="65" t="s">
        <v>2</v>
      </c>
      <c r="BR68" s="65" t="s">
        <v>2</v>
      </c>
      <c r="BS68" s="65" t="s">
        <v>2</v>
      </c>
      <c r="BT68" s="65" t="s">
        <v>2</v>
      </c>
      <c r="BU68" s="65" t="s">
        <v>2</v>
      </c>
      <c r="BV68" s="65" t="s">
        <v>2</v>
      </c>
      <c r="BW68" s="65" t="s">
        <v>2</v>
      </c>
      <c r="BX68" s="65" t="s">
        <v>2</v>
      </c>
      <c r="BY68" s="65" t="s">
        <v>2</v>
      </c>
      <c r="BZ68" s="59" t="s">
        <v>2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7">
        <v>0</v>
      </c>
      <c r="CH68" s="65">
        <v>0</v>
      </c>
      <c r="CI68" s="59">
        <v>0</v>
      </c>
      <c r="CJ68" s="65">
        <v>0</v>
      </c>
      <c r="CK68" s="65">
        <v>0</v>
      </c>
      <c r="CL68" s="65">
        <v>0</v>
      </c>
      <c r="CM68" s="59">
        <v>0</v>
      </c>
      <c r="CN68" s="156">
        <v>0</v>
      </c>
      <c r="CO68" s="156" t="s">
        <v>2</v>
      </c>
    </row>
    <row r="69" spans="1:93" s="13" customFormat="1" x14ac:dyDescent="0.25">
      <c r="A69" s="155" t="s">
        <v>1498</v>
      </c>
      <c r="B69" s="55" t="s">
        <v>485</v>
      </c>
      <c r="C69" s="10" t="s">
        <v>1499</v>
      </c>
      <c r="D69" s="291">
        <v>7</v>
      </c>
      <c r="E69" s="11">
        <v>0</v>
      </c>
      <c r="F69" s="156">
        <v>335</v>
      </c>
      <c r="G69" s="65">
        <v>1400</v>
      </c>
      <c r="H69" s="68">
        <v>50.3</v>
      </c>
      <c r="I69" s="3">
        <v>18.2</v>
      </c>
      <c r="J69" s="3">
        <v>29</v>
      </c>
      <c r="K69" s="3">
        <v>0.4</v>
      </c>
      <c r="L69" s="3">
        <v>0.1</v>
      </c>
      <c r="M69" s="7">
        <v>2.1</v>
      </c>
      <c r="N69" s="65">
        <v>33</v>
      </c>
      <c r="O69" s="65">
        <v>59</v>
      </c>
      <c r="P69" s="3">
        <v>2.81</v>
      </c>
      <c r="Q69" s="3">
        <v>1.06</v>
      </c>
      <c r="R69" s="65" t="s">
        <v>2</v>
      </c>
      <c r="S69" s="65" t="s">
        <v>2</v>
      </c>
      <c r="T69" s="65" t="s">
        <v>2</v>
      </c>
      <c r="U69" s="61" t="s">
        <v>2</v>
      </c>
      <c r="V69" s="61" t="s">
        <v>2</v>
      </c>
      <c r="W69" s="7" t="s">
        <v>2</v>
      </c>
      <c r="X69" s="3">
        <v>0</v>
      </c>
      <c r="Y69" s="61" t="s">
        <v>2</v>
      </c>
      <c r="Z69" s="61" t="s">
        <v>2</v>
      </c>
      <c r="AA69" s="61" t="s">
        <v>2</v>
      </c>
      <c r="AB69" s="61" t="s">
        <v>2</v>
      </c>
      <c r="AC69" s="61" t="s">
        <v>2</v>
      </c>
      <c r="AD69" s="65" t="s">
        <v>2</v>
      </c>
      <c r="AE69" s="65" t="s">
        <v>2</v>
      </c>
      <c r="AF69" s="3" t="s">
        <v>2</v>
      </c>
      <c r="AG69" s="7" t="s">
        <v>2</v>
      </c>
      <c r="AH69" s="162" t="s">
        <v>2</v>
      </c>
      <c r="AI69" s="65">
        <v>0</v>
      </c>
      <c r="AJ69" s="3" t="s">
        <v>2</v>
      </c>
      <c r="AK69" s="3" t="s">
        <v>2</v>
      </c>
      <c r="AL69" s="7" t="s">
        <v>2</v>
      </c>
      <c r="AM69" s="65">
        <v>0</v>
      </c>
      <c r="AN69" s="65">
        <v>0</v>
      </c>
      <c r="AO69" s="59">
        <v>0</v>
      </c>
      <c r="AP69" s="3" t="s">
        <v>2</v>
      </c>
      <c r="AQ69" s="61" t="s">
        <v>2</v>
      </c>
      <c r="AR69" s="61" t="s">
        <v>2</v>
      </c>
      <c r="AS69" s="61" t="s">
        <v>2</v>
      </c>
      <c r="AT69" s="61" t="s">
        <v>2</v>
      </c>
      <c r="AU69" s="61" t="s">
        <v>2</v>
      </c>
      <c r="AV69" s="62" t="s">
        <v>2</v>
      </c>
      <c r="AW69" s="3" t="s">
        <v>2</v>
      </c>
      <c r="AX69" s="61" t="s">
        <v>2</v>
      </c>
      <c r="AY69" s="61" t="s">
        <v>2</v>
      </c>
      <c r="AZ69" s="62" t="s">
        <v>2</v>
      </c>
      <c r="BA69" s="3" t="s">
        <v>2</v>
      </c>
      <c r="BB69" s="61" t="s">
        <v>2</v>
      </c>
      <c r="BC69" s="61" t="s">
        <v>2</v>
      </c>
      <c r="BD69" s="61" t="s">
        <v>2</v>
      </c>
      <c r="BE69" s="61" t="s">
        <v>2</v>
      </c>
      <c r="BF69" s="62" t="s">
        <v>2</v>
      </c>
      <c r="BG69" s="11" t="s">
        <v>2</v>
      </c>
      <c r="BH69" s="11" t="s">
        <v>2</v>
      </c>
      <c r="BI69" s="65" t="s">
        <v>2</v>
      </c>
      <c r="BJ69" s="65" t="s">
        <v>2</v>
      </c>
      <c r="BK69" s="65" t="s">
        <v>2</v>
      </c>
      <c r="BL69" s="65" t="s">
        <v>2</v>
      </c>
      <c r="BM69" s="65" t="s">
        <v>2</v>
      </c>
      <c r="BN69" s="65" t="s">
        <v>2</v>
      </c>
      <c r="BO69" s="65" t="s">
        <v>2</v>
      </c>
      <c r="BP69" s="65" t="s">
        <v>2</v>
      </c>
      <c r="BQ69" s="65" t="s">
        <v>2</v>
      </c>
      <c r="BR69" s="65" t="s">
        <v>2</v>
      </c>
      <c r="BS69" s="65" t="s">
        <v>2</v>
      </c>
      <c r="BT69" s="65" t="s">
        <v>2</v>
      </c>
      <c r="BU69" s="65" t="s">
        <v>2</v>
      </c>
      <c r="BV69" s="65" t="s">
        <v>2</v>
      </c>
      <c r="BW69" s="65" t="s">
        <v>2</v>
      </c>
      <c r="BX69" s="65" t="s">
        <v>2</v>
      </c>
      <c r="BY69" s="65" t="s">
        <v>2</v>
      </c>
      <c r="BZ69" s="59" t="s">
        <v>2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7">
        <v>0</v>
      </c>
      <c r="CH69" s="65">
        <v>0</v>
      </c>
      <c r="CI69" s="59">
        <v>0</v>
      </c>
      <c r="CJ69" s="65">
        <v>0</v>
      </c>
      <c r="CK69" s="65">
        <v>0</v>
      </c>
      <c r="CL69" s="65">
        <v>0</v>
      </c>
      <c r="CM69" s="59">
        <v>0</v>
      </c>
      <c r="CN69" s="156">
        <v>0</v>
      </c>
      <c r="CO69" s="156" t="s">
        <v>2</v>
      </c>
    </row>
    <row r="70" spans="1:93" s="13" customFormat="1" x14ac:dyDescent="0.25">
      <c r="A70" s="155" t="s">
        <v>1500</v>
      </c>
      <c r="B70" s="55" t="s">
        <v>486</v>
      </c>
      <c r="C70" s="10" t="s">
        <v>1501</v>
      </c>
      <c r="D70" s="291">
        <v>7</v>
      </c>
      <c r="E70" s="11">
        <v>0</v>
      </c>
      <c r="F70" s="156">
        <v>205</v>
      </c>
      <c r="G70" s="65">
        <v>857</v>
      </c>
      <c r="H70" s="68">
        <v>65.3</v>
      </c>
      <c r="I70" s="3">
        <v>16.899999999999999</v>
      </c>
      <c r="J70" s="3">
        <v>15</v>
      </c>
      <c r="K70" s="3">
        <v>0.5</v>
      </c>
      <c r="L70" s="3">
        <v>0.1</v>
      </c>
      <c r="M70" s="7">
        <v>2.2999999999999998</v>
      </c>
      <c r="N70" s="65">
        <v>24</v>
      </c>
      <c r="O70" s="65">
        <v>249</v>
      </c>
      <c r="P70" s="3">
        <v>0.87</v>
      </c>
      <c r="Q70" s="3">
        <v>2.41</v>
      </c>
      <c r="R70" s="65" t="s">
        <v>2</v>
      </c>
      <c r="S70" s="65" t="s">
        <v>2</v>
      </c>
      <c r="T70" s="65" t="s">
        <v>2</v>
      </c>
      <c r="U70" s="61" t="s">
        <v>2</v>
      </c>
      <c r="V70" s="61" t="s">
        <v>2</v>
      </c>
      <c r="W70" s="7" t="s">
        <v>2</v>
      </c>
      <c r="X70" s="3">
        <v>0</v>
      </c>
      <c r="Y70" s="61" t="s">
        <v>2</v>
      </c>
      <c r="Z70" s="61" t="s">
        <v>2</v>
      </c>
      <c r="AA70" s="61" t="s">
        <v>2</v>
      </c>
      <c r="AB70" s="61" t="s">
        <v>2</v>
      </c>
      <c r="AC70" s="61" t="s">
        <v>2</v>
      </c>
      <c r="AD70" s="65" t="s">
        <v>2</v>
      </c>
      <c r="AE70" s="65" t="s">
        <v>2</v>
      </c>
      <c r="AF70" s="3" t="s">
        <v>2</v>
      </c>
      <c r="AG70" s="7" t="s">
        <v>2</v>
      </c>
      <c r="AH70" s="162" t="s">
        <v>2</v>
      </c>
      <c r="AI70" s="65">
        <v>0</v>
      </c>
      <c r="AJ70" s="3" t="s">
        <v>2</v>
      </c>
      <c r="AK70" s="3" t="s">
        <v>2</v>
      </c>
      <c r="AL70" s="7" t="s">
        <v>2</v>
      </c>
      <c r="AM70" s="65">
        <v>0</v>
      </c>
      <c r="AN70" s="65">
        <v>0</v>
      </c>
      <c r="AO70" s="59">
        <v>0</v>
      </c>
      <c r="AP70" s="3" t="s">
        <v>2</v>
      </c>
      <c r="AQ70" s="61" t="s">
        <v>2</v>
      </c>
      <c r="AR70" s="61" t="s">
        <v>2</v>
      </c>
      <c r="AS70" s="61" t="s">
        <v>2</v>
      </c>
      <c r="AT70" s="61" t="s">
        <v>2</v>
      </c>
      <c r="AU70" s="61" t="s">
        <v>2</v>
      </c>
      <c r="AV70" s="62" t="s">
        <v>2</v>
      </c>
      <c r="AW70" s="3" t="s">
        <v>2</v>
      </c>
      <c r="AX70" s="61" t="s">
        <v>2</v>
      </c>
      <c r="AY70" s="61" t="s">
        <v>2</v>
      </c>
      <c r="AZ70" s="62" t="s">
        <v>2</v>
      </c>
      <c r="BA70" s="3" t="s">
        <v>2</v>
      </c>
      <c r="BB70" s="61" t="s">
        <v>2</v>
      </c>
      <c r="BC70" s="61" t="s">
        <v>2</v>
      </c>
      <c r="BD70" s="61" t="s">
        <v>2</v>
      </c>
      <c r="BE70" s="61" t="s">
        <v>2</v>
      </c>
      <c r="BF70" s="62" t="s">
        <v>2</v>
      </c>
      <c r="BG70" s="11" t="s">
        <v>2</v>
      </c>
      <c r="BH70" s="11" t="s">
        <v>2</v>
      </c>
      <c r="BI70" s="65" t="s">
        <v>2</v>
      </c>
      <c r="BJ70" s="65" t="s">
        <v>2</v>
      </c>
      <c r="BK70" s="65" t="s">
        <v>2</v>
      </c>
      <c r="BL70" s="65" t="s">
        <v>2</v>
      </c>
      <c r="BM70" s="65" t="s">
        <v>2</v>
      </c>
      <c r="BN70" s="65" t="s">
        <v>2</v>
      </c>
      <c r="BO70" s="65" t="s">
        <v>2</v>
      </c>
      <c r="BP70" s="65" t="s">
        <v>2</v>
      </c>
      <c r="BQ70" s="65" t="s">
        <v>2</v>
      </c>
      <c r="BR70" s="65" t="s">
        <v>2</v>
      </c>
      <c r="BS70" s="65" t="s">
        <v>2</v>
      </c>
      <c r="BT70" s="65" t="s">
        <v>2</v>
      </c>
      <c r="BU70" s="65" t="s">
        <v>2</v>
      </c>
      <c r="BV70" s="65" t="s">
        <v>2</v>
      </c>
      <c r="BW70" s="65" t="s">
        <v>2</v>
      </c>
      <c r="BX70" s="65" t="s">
        <v>2</v>
      </c>
      <c r="BY70" s="65" t="s">
        <v>2</v>
      </c>
      <c r="BZ70" s="59" t="s">
        <v>2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7">
        <v>0</v>
      </c>
      <c r="CH70" s="65">
        <v>0</v>
      </c>
      <c r="CI70" s="59">
        <v>0</v>
      </c>
      <c r="CJ70" s="65">
        <v>0</v>
      </c>
      <c r="CK70" s="65">
        <v>0</v>
      </c>
      <c r="CL70" s="65">
        <v>0</v>
      </c>
      <c r="CM70" s="59">
        <v>0</v>
      </c>
      <c r="CN70" s="156">
        <v>0</v>
      </c>
      <c r="CO70" s="156" t="s">
        <v>2</v>
      </c>
    </row>
    <row r="71" spans="1:93" s="13" customFormat="1" x14ac:dyDescent="0.25">
      <c r="A71" s="155" t="s">
        <v>1502</v>
      </c>
      <c r="B71" s="55" t="s">
        <v>487</v>
      </c>
      <c r="C71" s="10" t="s">
        <v>1503</v>
      </c>
      <c r="D71" s="291">
        <v>7</v>
      </c>
      <c r="E71" s="11">
        <v>0</v>
      </c>
      <c r="F71" s="156">
        <v>553</v>
      </c>
      <c r="G71" s="65">
        <v>2312</v>
      </c>
      <c r="H71" s="68">
        <v>29</v>
      </c>
      <c r="I71" s="3">
        <v>16</v>
      </c>
      <c r="J71" s="3">
        <v>54.3</v>
      </c>
      <c r="K71" s="3">
        <v>0</v>
      </c>
      <c r="L71" s="3">
        <v>0</v>
      </c>
      <c r="M71" s="7">
        <v>0.7</v>
      </c>
      <c r="N71" s="65" t="s">
        <v>2</v>
      </c>
      <c r="O71" s="65" t="s">
        <v>2</v>
      </c>
      <c r="P71" s="3" t="s">
        <v>2</v>
      </c>
      <c r="Q71" s="3" t="s">
        <v>2</v>
      </c>
      <c r="R71" s="65" t="s">
        <v>2</v>
      </c>
      <c r="S71" s="65" t="s">
        <v>2</v>
      </c>
      <c r="T71" s="65" t="s">
        <v>2</v>
      </c>
      <c r="U71" s="61" t="s">
        <v>2</v>
      </c>
      <c r="V71" s="61" t="s">
        <v>2</v>
      </c>
      <c r="W71" s="7" t="s">
        <v>2</v>
      </c>
      <c r="X71" s="3">
        <v>0</v>
      </c>
      <c r="Y71" s="61" t="s">
        <v>2</v>
      </c>
      <c r="Z71" s="61" t="s">
        <v>2</v>
      </c>
      <c r="AA71" s="61" t="s">
        <v>2</v>
      </c>
      <c r="AB71" s="61" t="s">
        <v>2</v>
      </c>
      <c r="AC71" s="61" t="s">
        <v>2</v>
      </c>
      <c r="AD71" s="65" t="s">
        <v>2</v>
      </c>
      <c r="AE71" s="65" t="s">
        <v>2</v>
      </c>
      <c r="AF71" s="3" t="s">
        <v>2</v>
      </c>
      <c r="AG71" s="7" t="s">
        <v>2</v>
      </c>
      <c r="AH71" s="162" t="s">
        <v>2</v>
      </c>
      <c r="AI71" s="65">
        <v>0</v>
      </c>
      <c r="AJ71" s="3" t="s">
        <v>2</v>
      </c>
      <c r="AK71" s="3" t="s">
        <v>2</v>
      </c>
      <c r="AL71" s="7" t="s">
        <v>2</v>
      </c>
      <c r="AM71" s="65">
        <v>0</v>
      </c>
      <c r="AN71" s="65">
        <v>0</v>
      </c>
      <c r="AO71" s="59">
        <v>0</v>
      </c>
      <c r="AP71" s="3" t="s">
        <v>2</v>
      </c>
      <c r="AQ71" s="61" t="s">
        <v>2</v>
      </c>
      <c r="AR71" s="61" t="s">
        <v>2</v>
      </c>
      <c r="AS71" s="61" t="s">
        <v>2</v>
      </c>
      <c r="AT71" s="61" t="s">
        <v>2</v>
      </c>
      <c r="AU71" s="61" t="s">
        <v>2</v>
      </c>
      <c r="AV71" s="62" t="s">
        <v>2</v>
      </c>
      <c r="AW71" s="3" t="s">
        <v>2</v>
      </c>
      <c r="AX71" s="61" t="s">
        <v>2</v>
      </c>
      <c r="AY71" s="61" t="s">
        <v>2</v>
      </c>
      <c r="AZ71" s="62" t="s">
        <v>2</v>
      </c>
      <c r="BA71" s="3" t="s">
        <v>2</v>
      </c>
      <c r="BB71" s="61" t="s">
        <v>2</v>
      </c>
      <c r="BC71" s="61" t="s">
        <v>2</v>
      </c>
      <c r="BD71" s="61" t="s">
        <v>2</v>
      </c>
      <c r="BE71" s="61" t="s">
        <v>2</v>
      </c>
      <c r="BF71" s="62" t="s">
        <v>2</v>
      </c>
      <c r="BG71" s="11" t="s">
        <v>2</v>
      </c>
      <c r="BH71" s="11" t="s">
        <v>2</v>
      </c>
      <c r="BI71" s="65" t="s">
        <v>2</v>
      </c>
      <c r="BJ71" s="65" t="s">
        <v>2</v>
      </c>
      <c r="BK71" s="65" t="s">
        <v>2</v>
      </c>
      <c r="BL71" s="65" t="s">
        <v>2</v>
      </c>
      <c r="BM71" s="65" t="s">
        <v>2</v>
      </c>
      <c r="BN71" s="65" t="s">
        <v>2</v>
      </c>
      <c r="BO71" s="65" t="s">
        <v>2</v>
      </c>
      <c r="BP71" s="65" t="s">
        <v>2</v>
      </c>
      <c r="BQ71" s="65" t="s">
        <v>2</v>
      </c>
      <c r="BR71" s="65" t="s">
        <v>2</v>
      </c>
      <c r="BS71" s="65" t="s">
        <v>2</v>
      </c>
      <c r="BT71" s="65" t="s">
        <v>2</v>
      </c>
      <c r="BU71" s="65" t="s">
        <v>2</v>
      </c>
      <c r="BV71" s="65" t="s">
        <v>2</v>
      </c>
      <c r="BW71" s="65" t="s">
        <v>2</v>
      </c>
      <c r="BX71" s="65" t="s">
        <v>2</v>
      </c>
      <c r="BY71" s="65" t="s">
        <v>2</v>
      </c>
      <c r="BZ71" s="59" t="s">
        <v>2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7">
        <v>0</v>
      </c>
      <c r="CH71" s="65">
        <v>0</v>
      </c>
      <c r="CI71" s="59">
        <v>0</v>
      </c>
      <c r="CJ71" s="65">
        <v>0</v>
      </c>
      <c r="CK71" s="65">
        <v>0</v>
      </c>
      <c r="CL71" s="65">
        <v>0</v>
      </c>
      <c r="CM71" s="59">
        <v>0</v>
      </c>
      <c r="CN71" s="156">
        <v>0</v>
      </c>
      <c r="CO71" s="156" t="s">
        <v>2</v>
      </c>
    </row>
    <row r="72" spans="1:93" s="13" customFormat="1" x14ac:dyDescent="0.25">
      <c r="A72" s="155" t="s">
        <v>1504</v>
      </c>
      <c r="B72" s="55" t="s">
        <v>488</v>
      </c>
      <c r="C72" s="10" t="s">
        <v>1505</v>
      </c>
      <c r="D72" s="291">
        <v>7</v>
      </c>
      <c r="E72" s="11">
        <v>0</v>
      </c>
      <c r="F72" s="156">
        <v>585</v>
      </c>
      <c r="G72" s="65">
        <v>2448</v>
      </c>
      <c r="H72" s="68">
        <v>18.8</v>
      </c>
      <c r="I72" s="3">
        <v>20.8</v>
      </c>
      <c r="J72" s="3">
        <v>55</v>
      </c>
      <c r="K72" s="3">
        <v>1.7</v>
      </c>
      <c r="L72" s="3">
        <v>0</v>
      </c>
      <c r="M72" s="7">
        <v>3.7</v>
      </c>
      <c r="N72" s="65">
        <v>52</v>
      </c>
      <c r="O72" s="65">
        <v>175</v>
      </c>
      <c r="P72" s="3">
        <v>3</v>
      </c>
      <c r="Q72" s="3" t="s">
        <v>2</v>
      </c>
      <c r="R72" s="65" t="s">
        <v>2</v>
      </c>
      <c r="S72" s="65" t="s">
        <v>2</v>
      </c>
      <c r="T72" s="65" t="s">
        <v>2</v>
      </c>
      <c r="U72" s="61" t="s">
        <v>2</v>
      </c>
      <c r="V72" s="61" t="s">
        <v>2</v>
      </c>
      <c r="W72" s="7" t="s">
        <v>2</v>
      </c>
      <c r="X72" s="3">
        <v>0</v>
      </c>
      <c r="Y72" s="61">
        <v>0.46</v>
      </c>
      <c r="Z72" s="61">
        <v>0.24</v>
      </c>
      <c r="AA72" s="61">
        <v>4.7</v>
      </c>
      <c r="AB72" s="61" t="s">
        <v>2</v>
      </c>
      <c r="AC72" s="61" t="s">
        <v>2</v>
      </c>
      <c r="AD72" s="65" t="s">
        <v>2</v>
      </c>
      <c r="AE72" s="65" t="s">
        <v>2</v>
      </c>
      <c r="AF72" s="3" t="s">
        <v>2</v>
      </c>
      <c r="AG72" s="7" t="s">
        <v>2</v>
      </c>
      <c r="AH72" s="162" t="s">
        <v>2</v>
      </c>
      <c r="AI72" s="65">
        <v>0</v>
      </c>
      <c r="AJ72" s="3" t="s">
        <v>2</v>
      </c>
      <c r="AK72" s="3" t="s">
        <v>2</v>
      </c>
      <c r="AL72" s="7" t="s">
        <v>2</v>
      </c>
      <c r="AM72" s="65">
        <v>0</v>
      </c>
      <c r="AN72" s="65">
        <v>0</v>
      </c>
      <c r="AO72" s="59">
        <v>0</v>
      </c>
      <c r="AP72" s="3" t="s">
        <v>2</v>
      </c>
      <c r="AQ72" s="61" t="s">
        <v>2</v>
      </c>
      <c r="AR72" s="61" t="s">
        <v>2</v>
      </c>
      <c r="AS72" s="61" t="s">
        <v>2</v>
      </c>
      <c r="AT72" s="61" t="s">
        <v>2</v>
      </c>
      <c r="AU72" s="61" t="s">
        <v>2</v>
      </c>
      <c r="AV72" s="62" t="s">
        <v>2</v>
      </c>
      <c r="AW72" s="3" t="s">
        <v>2</v>
      </c>
      <c r="AX72" s="61" t="s">
        <v>2</v>
      </c>
      <c r="AY72" s="61" t="s">
        <v>2</v>
      </c>
      <c r="AZ72" s="62" t="s">
        <v>2</v>
      </c>
      <c r="BA72" s="3" t="s">
        <v>2</v>
      </c>
      <c r="BB72" s="61" t="s">
        <v>2</v>
      </c>
      <c r="BC72" s="61" t="s">
        <v>2</v>
      </c>
      <c r="BD72" s="61" t="s">
        <v>2</v>
      </c>
      <c r="BE72" s="61" t="s">
        <v>2</v>
      </c>
      <c r="BF72" s="62" t="s">
        <v>2</v>
      </c>
      <c r="BG72" s="11" t="s">
        <v>2</v>
      </c>
      <c r="BH72" s="11" t="s">
        <v>2</v>
      </c>
      <c r="BI72" s="65" t="s">
        <v>2</v>
      </c>
      <c r="BJ72" s="65" t="s">
        <v>2</v>
      </c>
      <c r="BK72" s="65" t="s">
        <v>2</v>
      </c>
      <c r="BL72" s="65" t="s">
        <v>2</v>
      </c>
      <c r="BM72" s="65" t="s">
        <v>2</v>
      </c>
      <c r="BN72" s="65" t="s">
        <v>2</v>
      </c>
      <c r="BO72" s="65" t="s">
        <v>2</v>
      </c>
      <c r="BP72" s="65" t="s">
        <v>2</v>
      </c>
      <c r="BQ72" s="65" t="s">
        <v>2</v>
      </c>
      <c r="BR72" s="65" t="s">
        <v>2</v>
      </c>
      <c r="BS72" s="65" t="s">
        <v>2</v>
      </c>
      <c r="BT72" s="65" t="s">
        <v>2</v>
      </c>
      <c r="BU72" s="65" t="s">
        <v>2</v>
      </c>
      <c r="BV72" s="65" t="s">
        <v>2</v>
      </c>
      <c r="BW72" s="65" t="s">
        <v>2</v>
      </c>
      <c r="BX72" s="65" t="s">
        <v>2</v>
      </c>
      <c r="BY72" s="65" t="s">
        <v>2</v>
      </c>
      <c r="BZ72" s="59" t="s">
        <v>2</v>
      </c>
      <c r="CA72" s="3" t="s">
        <v>2</v>
      </c>
      <c r="CB72" s="3" t="s">
        <v>2</v>
      </c>
      <c r="CC72" s="3" t="s">
        <v>2</v>
      </c>
      <c r="CD72" s="3" t="s">
        <v>2</v>
      </c>
      <c r="CE72" s="3" t="s">
        <v>2</v>
      </c>
      <c r="CF72" s="3" t="s">
        <v>2</v>
      </c>
      <c r="CG72" s="7" t="s">
        <v>2</v>
      </c>
      <c r="CH72" s="65">
        <v>0</v>
      </c>
      <c r="CI72" s="59">
        <v>0</v>
      </c>
      <c r="CJ72" s="65">
        <v>0</v>
      </c>
      <c r="CK72" s="65">
        <v>0</v>
      </c>
      <c r="CL72" s="65">
        <v>0</v>
      </c>
      <c r="CM72" s="59">
        <v>0</v>
      </c>
      <c r="CN72" s="156">
        <v>0</v>
      </c>
      <c r="CO72" s="156" t="s">
        <v>2</v>
      </c>
    </row>
    <row r="73" spans="1:93" s="13" customFormat="1" x14ac:dyDescent="0.25">
      <c r="A73" s="155" t="s">
        <v>1506</v>
      </c>
      <c r="B73" s="55" t="s">
        <v>489</v>
      </c>
      <c r="C73" s="10" t="s">
        <v>1507</v>
      </c>
      <c r="D73" s="291">
        <v>7</v>
      </c>
      <c r="E73" s="11">
        <v>0</v>
      </c>
      <c r="F73" s="156">
        <v>116</v>
      </c>
      <c r="G73" s="65">
        <v>485</v>
      </c>
      <c r="H73" s="68">
        <v>71.5</v>
      </c>
      <c r="I73" s="3">
        <v>12.1</v>
      </c>
      <c r="J73" s="3">
        <v>1.6</v>
      </c>
      <c r="K73" s="3">
        <v>13.35</v>
      </c>
      <c r="L73" s="3">
        <v>0.3</v>
      </c>
      <c r="M73" s="7">
        <v>1.45</v>
      </c>
      <c r="N73" s="65">
        <v>101</v>
      </c>
      <c r="O73" s="65">
        <v>25</v>
      </c>
      <c r="P73" s="3">
        <v>2.74</v>
      </c>
      <c r="Q73" s="3">
        <v>0.03</v>
      </c>
      <c r="R73" s="65">
        <v>70</v>
      </c>
      <c r="S73" s="65">
        <v>38</v>
      </c>
      <c r="T73" s="65">
        <v>65</v>
      </c>
      <c r="U73" s="61" t="s">
        <v>2</v>
      </c>
      <c r="V73" s="61" t="s">
        <v>2</v>
      </c>
      <c r="W73" s="7" t="s">
        <v>2</v>
      </c>
      <c r="X73" s="3">
        <v>0</v>
      </c>
      <c r="Y73" s="61" t="s">
        <v>2</v>
      </c>
      <c r="Z73" s="61" t="s">
        <v>2</v>
      </c>
      <c r="AA73" s="61" t="s">
        <v>2</v>
      </c>
      <c r="AB73" s="61" t="s">
        <v>2</v>
      </c>
      <c r="AC73" s="61" t="s">
        <v>2</v>
      </c>
      <c r="AD73" s="65" t="s">
        <v>2</v>
      </c>
      <c r="AE73" s="65" t="s">
        <v>2</v>
      </c>
      <c r="AF73" s="3" t="s">
        <v>2</v>
      </c>
      <c r="AG73" s="7" t="s">
        <v>2</v>
      </c>
      <c r="AH73" s="162" t="s">
        <v>2</v>
      </c>
      <c r="AI73" s="65">
        <v>0</v>
      </c>
      <c r="AJ73" s="3" t="s">
        <v>2</v>
      </c>
      <c r="AK73" s="3" t="s">
        <v>2</v>
      </c>
      <c r="AL73" s="7" t="s">
        <v>2</v>
      </c>
      <c r="AM73" s="65">
        <v>0</v>
      </c>
      <c r="AN73" s="65">
        <v>0</v>
      </c>
      <c r="AO73" s="59">
        <v>0</v>
      </c>
      <c r="AP73" s="3" t="s">
        <v>2</v>
      </c>
      <c r="AQ73" s="61" t="s">
        <v>2</v>
      </c>
      <c r="AR73" s="61" t="s">
        <v>2</v>
      </c>
      <c r="AS73" s="61" t="s">
        <v>2</v>
      </c>
      <c r="AT73" s="61" t="s">
        <v>2</v>
      </c>
      <c r="AU73" s="61" t="s">
        <v>2</v>
      </c>
      <c r="AV73" s="62" t="s">
        <v>2</v>
      </c>
      <c r="AW73" s="3" t="s">
        <v>2</v>
      </c>
      <c r="AX73" s="61" t="s">
        <v>2</v>
      </c>
      <c r="AY73" s="61" t="s">
        <v>2</v>
      </c>
      <c r="AZ73" s="62" t="s">
        <v>2</v>
      </c>
      <c r="BA73" s="3" t="s">
        <v>2</v>
      </c>
      <c r="BB73" s="61" t="s">
        <v>2</v>
      </c>
      <c r="BC73" s="61" t="s">
        <v>2</v>
      </c>
      <c r="BD73" s="61" t="s">
        <v>2</v>
      </c>
      <c r="BE73" s="61" t="s">
        <v>2</v>
      </c>
      <c r="BF73" s="62" t="s">
        <v>2</v>
      </c>
      <c r="BG73" s="11" t="s">
        <v>2</v>
      </c>
      <c r="BH73" s="11" t="s">
        <v>2</v>
      </c>
      <c r="BI73" s="65" t="s">
        <v>2</v>
      </c>
      <c r="BJ73" s="65" t="s">
        <v>2</v>
      </c>
      <c r="BK73" s="65" t="s">
        <v>2</v>
      </c>
      <c r="BL73" s="65" t="s">
        <v>2</v>
      </c>
      <c r="BM73" s="65" t="s">
        <v>2</v>
      </c>
      <c r="BN73" s="65" t="s">
        <v>2</v>
      </c>
      <c r="BO73" s="65" t="s">
        <v>2</v>
      </c>
      <c r="BP73" s="65" t="s">
        <v>2</v>
      </c>
      <c r="BQ73" s="65" t="s">
        <v>2</v>
      </c>
      <c r="BR73" s="65" t="s">
        <v>2</v>
      </c>
      <c r="BS73" s="65" t="s">
        <v>2</v>
      </c>
      <c r="BT73" s="65" t="s">
        <v>2</v>
      </c>
      <c r="BU73" s="65" t="s">
        <v>2</v>
      </c>
      <c r="BV73" s="65" t="s">
        <v>2</v>
      </c>
      <c r="BW73" s="65" t="s">
        <v>2</v>
      </c>
      <c r="BX73" s="65" t="s">
        <v>2</v>
      </c>
      <c r="BY73" s="65" t="s">
        <v>2</v>
      </c>
      <c r="BZ73" s="59" t="s">
        <v>2</v>
      </c>
      <c r="CA73" s="3" t="s">
        <v>2</v>
      </c>
      <c r="CB73" s="3" t="s">
        <v>2</v>
      </c>
      <c r="CC73" s="3" t="s">
        <v>2</v>
      </c>
      <c r="CD73" s="3" t="s">
        <v>2</v>
      </c>
      <c r="CE73" s="3" t="s">
        <v>2</v>
      </c>
      <c r="CF73" s="3" t="s">
        <v>2</v>
      </c>
      <c r="CG73" s="7" t="s">
        <v>2</v>
      </c>
      <c r="CH73" s="65">
        <v>0</v>
      </c>
      <c r="CI73" s="59">
        <v>0</v>
      </c>
      <c r="CJ73" s="65">
        <v>0</v>
      </c>
      <c r="CK73" s="65">
        <v>0</v>
      </c>
      <c r="CL73" s="65">
        <v>0</v>
      </c>
      <c r="CM73" s="59">
        <v>0</v>
      </c>
      <c r="CN73" s="156">
        <v>0</v>
      </c>
      <c r="CO73" s="156" t="s">
        <v>2</v>
      </c>
    </row>
    <row r="74" spans="1:93" s="13" customFormat="1" x14ac:dyDescent="0.25">
      <c r="A74" s="155" t="s">
        <v>1508</v>
      </c>
      <c r="B74" s="55" t="s">
        <v>490</v>
      </c>
      <c r="C74" s="10" t="s">
        <v>1509</v>
      </c>
      <c r="D74" s="291">
        <v>7</v>
      </c>
      <c r="E74" s="11">
        <v>0</v>
      </c>
      <c r="F74" s="156">
        <v>125</v>
      </c>
      <c r="G74" s="65">
        <v>522</v>
      </c>
      <c r="H74" s="68">
        <v>70.5</v>
      </c>
      <c r="I74" s="3">
        <v>20.7</v>
      </c>
      <c r="J74" s="3">
        <v>3.3</v>
      </c>
      <c r="K74" s="3">
        <v>3.1</v>
      </c>
      <c r="L74" s="3">
        <v>0.5</v>
      </c>
      <c r="M74" s="7">
        <v>2.4</v>
      </c>
      <c r="N74" s="65">
        <v>30</v>
      </c>
      <c r="O74" s="65">
        <v>138</v>
      </c>
      <c r="P74" s="3">
        <v>1.64</v>
      </c>
      <c r="Q74" s="3">
        <v>2.2400000000000002</v>
      </c>
      <c r="R74" s="65">
        <v>476</v>
      </c>
      <c r="S74" s="65">
        <v>194</v>
      </c>
      <c r="T74" s="65">
        <v>86</v>
      </c>
      <c r="U74" s="61" t="s">
        <v>2</v>
      </c>
      <c r="V74" s="61" t="s">
        <v>2</v>
      </c>
      <c r="W74" s="7" t="s">
        <v>2</v>
      </c>
      <c r="X74" s="3">
        <v>0</v>
      </c>
      <c r="Y74" s="61" t="s">
        <v>2</v>
      </c>
      <c r="Z74" s="61" t="s">
        <v>2</v>
      </c>
      <c r="AA74" s="61" t="s">
        <v>2</v>
      </c>
      <c r="AB74" s="61" t="s">
        <v>2</v>
      </c>
      <c r="AC74" s="61" t="s">
        <v>2</v>
      </c>
      <c r="AD74" s="65" t="s">
        <v>2</v>
      </c>
      <c r="AE74" s="65" t="s">
        <v>2</v>
      </c>
      <c r="AF74" s="3" t="s">
        <v>2</v>
      </c>
      <c r="AG74" s="7" t="s">
        <v>2</v>
      </c>
      <c r="AH74" s="162" t="s">
        <v>2</v>
      </c>
      <c r="AI74" s="65">
        <v>0</v>
      </c>
      <c r="AJ74" s="3" t="s">
        <v>2</v>
      </c>
      <c r="AK74" s="3" t="s">
        <v>2</v>
      </c>
      <c r="AL74" s="7" t="s">
        <v>2</v>
      </c>
      <c r="AM74" s="65">
        <v>0</v>
      </c>
      <c r="AN74" s="65">
        <v>0</v>
      </c>
      <c r="AO74" s="59">
        <v>0</v>
      </c>
      <c r="AP74" s="3" t="s">
        <v>2</v>
      </c>
      <c r="AQ74" s="61" t="s">
        <v>2</v>
      </c>
      <c r="AR74" s="61" t="s">
        <v>2</v>
      </c>
      <c r="AS74" s="61" t="s">
        <v>2</v>
      </c>
      <c r="AT74" s="61" t="s">
        <v>2</v>
      </c>
      <c r="AU74" s="61" t="s">
        <v>2</v>
      </c>
      <c r="AV74" s="62" t="s">
        <v>2</v>
      </c>
      <c r="AW74" s="3" t="s">
        <v>2</v>
      </c>
      <c r="AX74" s="61" t="s">
        <v>2</v>
      </c>
      <c r="AY74" s="61" t="s">
        <v>2</v>
      </c>
      <c r="AZ74" s="62" t="s">
        <v>2</v>
      </c>
      <c r="BA74" s="3" t="s">
        <v>2</v>
      </c>
      <c r="BB74" s="61" t="s">
        <v>2</v>
      </c>
      <c r="BC74" s="61" t="s">
        <v>2</v>
      </c>
      <c r="BD74" s="61" t="s">
        <v>2</v>
      </c>
      <c r="BE74" s="61" t="s">
        <v>2</v>
      </c>
      <c r="BF74" s="62" t="s">
        <v>2</v>
      </c>
      <c r="BG74" s="11" t="s">
        <v>2</v>
      </c>
      <c r="BH74" s="11" t="s">
        <v>2</v>
      </c>
      <c r="BI74" s="65" t="s">
        <v>2</v>
      </c>
      <c r="BJ74" s="65" t="s">
        <v>2</v>
      </c>
      <c r="BK74" s="65" t="s">
        <v>2</v>
      </c>
      <c r="BL74" s="65" t="s">
        <v>2</v>
      </c>
      <c r="BM74" s="65" t="s">
        <v>2</v>
      </c>
      <c r="BN74" s="65" t="s">
        <v>2</v>
      </c>
      <c r="BO74" s="65" t="s">
        <v>2</v>
      </c>
      <c r="BP74" s="65" t="s">
        <v>2</v>
      </c>
      <c r="BQ74" s="65" t="s">
        <v>2</v>
      </c>
      <c r="BR74" s="65" t="s">
        <v>2</v>
      </c>
      <c r="BS74" s="65" t="s">
        <v>2</v>
      </c>
      <c r="BT74" s="65" t="s">
        <v>2</v>
      </c>
      <c r="BU74" s="65" t="s">
        <v>2</v>
      </c>
      <c r="BV74" s="65" t="s">
        <v>2</v>
      </c>
      <c r="BW74" s="65" t="s">
        <v>2</v>
      </c>
      <c r="BX74" s="65" t="s">
        <v>2</v>
      </c>
      <c r="BY74" s="65" t="s">
        <v>2</v>
      </c>
      <c r="BZ74" s="59" t="s">
        <v>2</v>
      </c>
      <c r="CA74" s="3" t="s">
        <v>2</v>
      </c>
      <c r="CB74" s="3" t="s">
        <v>2</v>
      </c>
      <c r="CC74" s="3" t="s">
        <v>2</v>
      </c>
      <c r="CD74" s="3" t="s">
        <v>2</v>
      </c>
      <c r="CE74" s="3" t="s">
        <v>2</v>
      </c>
      <c r="CF74" s="3" t="s">
        <v>2</v>
      </c>
      <c r="CG74" s="7" t="s">
        <v>2</v>
      </c>
      <c r="CH74" s="65">
        <v>0</v>
      </c>
      <c r="CI74" s="59">
        <v>0</v>
      </c>
      <c r="CJ74" s="65">
        <v>0</v>
      </c>
      <c r="CK74" s="65">
        <v>0</v>
      </c>
      <c r="CL74" s="65">
        <v>0</v>
      </c>
      <c r="CM74" s="59">
        <v>0</v>
      </c>
      <c r="CN74" s="156">
        <v>0</v>
      </c>
      <c r="CO74" s="156" t="s">
        <v>2</v>
      </c>
    </row>
    <row r="75" spans="1:93" s="13" customFormat="1" x14ac:dyDescent="0.25">
      <c r="A75" s="155" t="s">
        <v>1510</v>
      </c>
      <c r="B75" s="55" t="s">
        <v>491</v>
      </c>
      <c r="C75" s="10" t="s">
        <v>1511</v>
      </c>
      <c r="D75" s="291">
        <v>7</v>
      </c>
      <c r="E75" s="11">
        <v>0</v>
      </c>
      <c r="F75" s="156">
        <v>369</v>
      </c>
      <c r="G75" s="65">
        <v>1544</v>
      </c>
      <c r="H75" s="68">
        <v>25.8</v>
      </c>
      <c r="I75" s="3">
        <v>46.6</v>
      </c>
      <c r="J75" s="3">
        <v>20.3</v>
      </c>
      <c r="K75" s="3">
        <v>0</v>
      </c>
      <c r="L75" s="3">
        <v>0</v>
      </c>
      <c r="M75" s="7">
        <v>7.3</v>
      </c>
      <c r="N75" s="65">
        <v>29</v>
      </c>
      <c r="O75" s="65">
        <v>16</v>
      </c>
      <c r="P75" s="3">
        <v>0.3</v>
      </c>
      <c r="Q75" s="3" t="s">
        <v>2</v>
      </c>
      <c r="R75" s="65">
        <v>1472</v>
      </c>
      <c r="S75" s="65">
        <v>371</v>
      </c>
      <c r="T75" s="65">
        <v>64</v>
      </c>
      <c r="U75" s="61" t="s">
        <v>2</v>
      </c>
      <c r="V75" s="61" t="s">
        <v>2</v>
      </c>
      <c r="W75" s="7" t="s">
        <v>2</v>
      </c>
      <c r="X75" s="3">
        <v>0</v>
      </c>
      <c r="Y75" s="61" t="s">
        <v>2</v>
      </c>
      <c r="Z75" s="61" t="s">
        <v>2</v>
      </c>
      <c r="AA75" s="61" t="s">
        <v>2</v>
      </c>
      <c r="AB75" s="61" t="s">
        <v>2</v>
      </c>
      <c r="AC75" s="61" t="s">
        <v>2</v>
      </c>
      <c r="AD75" s="65" t="s">
        <v>2</v>
      </c>
      <c r="AE75" s="65" t="s">
        <v>2</v>
      </c>
      <c r="AF75" s="3" t="s">
        <v>2</v>
      </c>
      <c r="AG75" s="7" t="s">
        <v>2</v>
      </c>
      <c r="AH75" s="162" t="s">
        <v>2</v>
      </c>
      <c r="AI75" s="65">
        <v>0</v>
      </c>
      <c r="AJ75" s="3" t="s">
        <v>2</v>
      </c>
      <c r="AK75" s="3" t="s">
        <v>2</v>
      </c>
      <c r="AL75" s="7" t="s">
        <v>2</v>
      </c>
      <c r="AM75" s="65">
        <v>0</v>
      </c>
      <c r="AN75" s="65">
        <v>0</v>
      </c>
      <c r="AO75" s="59">
        <v>0</v>
      </c>
      <c r="AP75" s="3" t="s">
        <v>2</v>
      </c>
      <c r="AQ75" s="61" t="s">
        <v>2</v>
      </c>
      <c r="AR75" s="61" t="s">
        <v>2</v>
      </c>
      <c r="AS75" s="61" t="s">
        <v>2</v>
      </c>
      <c r="AT75" s="61" t="s">
        <v>2</v>
      </c>
      <c r="AU75" s="61" t="s">
        <v>2</v>
      </c>
      <c r="AV75" s="62" t="s">
        <v>2</v>
      </c>
      <c r="AW75" s="3" t="s">
        <v>2</v>
      </c>
      <c r="AX75" s="61" t="s">
        <v>2</v>
      </c>
      <c r="AY75" s="61" t="s">
        <v>2</v>
      </c>
      <c r="AZ75" s="62" t="s">
        <v>2</v>
      </c>
      <c r="BA75" s="3" t="s">
        <v>2</v>
      </c>
      <c r="BB75" s="61" t="s">
        <v>2</v>
      </c>
      <c r="BC75" s="61" t="s">
        <v>2</v>
      </c>
      <c r="BD75" s="61" t="s">
        <v>2</v>
      </c>
      <c r="BE75" s="61" t="s">
        <v>2</v>
      </c>
      <c r="BF75" s="62" t="s">
        <v>2</v>
      </c>
      <c r="BG75" s="11" t="s">
        <v>2</v>
      </c>
      <c r="BH75" s="11" t="s">
        <v>2</v>
      </c>
      <c r="BI75" s="65" t="s">
        <v>2</v>
      </c>
      <c r="BJ75" s="65" t="s">
        <v>2</v>
      </c>
      <c r="BK75" s="65" t="s">
        <v>2</v>
      </c>
      <c r="BL75" s="65" t="s">
        <v>2</v>
      </c>
      <c r="BM75" s="65" t="s">
        <v>2</v>
      </c>
      <c r="BN75" s="65" t="s">
        <v>2</v>
      </c>
      <c r="BO75" s="65" t="s">
        <v>2</v>
      </c>
      <c r="BP75" s="65" t="s">
        <v>2</v>
      </c>
      <c r="BQ75" s="65" t="s">
        <v>2</v>
      </c>
      <c r="BR75" s="65" t="s">
        <v>2</v>
      </c>
      <c r="BS75" s="65" t="s">
        <v>2</v>
      </c>
      <c r="BT75" s="65" t="s">
        <v>2</v>
      </c>
      <c r="BU75" s="65" t="s">
        <v>2</v>
      </c>
      <c r="BV75" s="65" t="s">
        <v>2</v>
      </c>
      <c r="BW75" s="65" t="s">
        <v>2</v>
      </c>
      <c r="BX75" s="65" t="s">
        <v>2</v>
      </c>
      <c r="BY75" s="65" t="s">
        <v>2</v>
      </c>
      <c r="BZ75" s="59" t="s">
        <v>2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7">
        <v>0</v>
      </c>
      <c r="CH75" s="65">
        <v>0</v>
      </c>
      <c r="CI75" s="59">
        <v>0</v>
      </c>
      <c r="CJ75" s="65">
        <v>0</v>
      </c>
      <c r="CK75" s="65">
        <v>0</v>
      </c>
      <c r="CL75" s="65">
        <v>0</v>
      </c>
      <c r="CM75" s="59">
        <v>0</v>
      </c>
      <c r="CN75" s="156">
        <v>0</v>
      </c>
      <c r="CO75" s="156" t="s">
        <v>2</v>
      </c>
    </row>
    <row r="76" spans="1:93" s="13" customFormat="1" x14ac:dyDescent="0.25">
      <c r="A76" s="155" t="s">
        <v>1512</v>
      </c>
      <c r="B76" s="55" t="s">
        <v>492</v>
      </c>
      <c r="C76" s="10" t="s">
        <v>1513</v>
      </c>
      <c r="D76" s="291">
        <v>7</v>
      </c>
      <c r="E76" s="11">
        <v>0</v>
      </c>
      <c r="F76" s="156">
        <v>239</v>
      </c>
      <c r="G76" s="65">
        <v>1001</v>
      </c>
      <c r="H76" s="68">
        <v>32.4</v>
      </c>
      <c r="I76" s="3">
        <v>51</v>
      </c>
      <c r="J76" s="3">
        <v>1.6</v>
      </c>
      <c r="K76" s="3">
        <v>5.2</v>
      </c>
      <c r="L76" s="3">
        <v>0</v>
      </c>
      <c r="M76" s="7">
        <v>9.8000000000000007</v>
      </c>
      <c r="N76" s="65">
        <v>31</v>
      </c>
      <c r="O76" s="65">
        <v>476</v>
      </c>
      <c r="P76" s="3">
        <v>8.1</v>
      </c>
      <c r="Q76" s="3" t="s">
        <v>2</v>
      </c>
      <c r="R76" s="65">
        <v>312</v>
      </c>
      <c r="S76" s="65">
        <v>135</v>
      </c>
      <c r="T76" s="65">
        <v>80</v>
      </c>
      <c r="U76" s="61" t="s">
        <v>2</v>
      </c>
      <c r="V76" s="61" t="s">
        <v>2</v>
      </c>
      <c r="W76" s="7" t="s">
        <v>2</v>
      </c>
      <c r="X76" s="3">
        <v>0</v>
      </c>
      <c r="Y76" s="61">
        <v>0.13</v>
      </c>
      <c r="Z76" s="61">
        <v>0.19</v>
      </c>
      <c r="AA76" s="61">
        <v>30.3</v>
      </c>
      <c r="AB76" s="61" t="s">
        <v>2</v>
      </c>
      <c r="AC76" s="61" t="s">
        <v>2</v>
      </c>
      <c r="AD76" s="65" t="s">
        <v>2</v>
      </c>
      <c r="AE76" s="65" t="s">
        <v>2</v>
      </c>
      <c r="AF76" s="3" t="s">
        <v>2</v>
      </c>
      <c r="AG76" s="7" t="s">
        <v>2</v>
      </c>
      <c r="AH76" s="162" t="s">
        <v>2</v>
      </c>
      <c r="AI76" s="65">
        <v>0</v>
      </c>
      <c r="AJ76" s="3" t="s">
        <v>2</v>
      </c>
      <c r="AK76" s="3" t="s">
        <v>2</v>
      </c>
      <c r="AL76" s="7" t="s">
        <v>2</v>
      </c>
      <c r="AM76" s="65">
        <v>0</v>
      </c>
      <c r="AN76" s="65">
        <v>0</v>
      </c>
      <c r="AO76" s="59">
        <v>0</v>
      </c>
      <c r="AP76" s="3" t="s">
        <v>2</v>
      </c>
      <c r="AQ76" s="61" t="s">
        <v>2</v>
      </c>
      <c r="AR76" s="61" t="s">
        <v>2</v>
      </c>
      <c r="AS76" s="61" t="s">
        <v>2</v>
      </c>
      <c r="AT76" s="61" t="s">
        <v>2</v>
      </c>
      <c r="AU76" s="61" t="s">
        <v>2</v>
      </c>
      <c r="AV76" s="62" t="s">
        <v>2</v>
      </c>
      <c r="AW76" s="3" t="s">
        <v>2</v>
      </c>
      <c r="AX76" s="61" t="s">
        <v>2</v>
      </c>
      <c r="AY76" s="61" t="s">
        <v>2</v>
      </c>
      <c r="AZ76" s="62" t="s">
        <v>2</v>
      </c>
      <c r="BA76" s="3" t="s">
        <v>2</v>
      </c>
      <c r="BB76" s="61" t="s">
        <v>2</v>
      </c>
      <c r="BC76" s="61" t="s">
        <v>2</v>
      </c>
      <c r="BD76" s="61" t="s">
        <v>2</v>
      </c>
      <c r="BE76" s="61" t="s">
        <v>2</v>
      </c>
      <c r="BF76" s="62" t="s">
        <v>2</v>
      </c>
      <c r="BG76" s="11" t="s">
        <v>2</v>
      </c>
      <c r="BH76" s="11" t="s">
        <v>2</v>
      </c>
      <c r="BI76" s="65" t="s">
        <v>2</v>
      </c>
      <c r="BJ76" s="65" t="s">
        <v>2</v>
      </c>
      <c r="BK76" s="65" t="s">
        <v>2</v>
      </c>
      <c r="BL76" s="65" t="s">
        <v>2</v>
      </c>
      <c r="BM76" s="65" t="s">
        <v>2</v>
      </c>
      <c r="BN76" s="65" t="s">
        <v>2</v>
      </c>
      <c r="BO76" s="65" t="s">
        <v>2</v>
      </c>
      <c r="BP76" s="65" t="s">
        <v>2</v>
      </c>
      <c r="BQ76" s="65" t="s">
        <v>2</v>
      </c>
      <c r="BR76" s="65" t="s">
        <v>2</v>
      </c>
      <c r="BS76" s="65" t="s">
        <v>2</v>
      </c>
      <c r="BT76" s="65" t="s">
        <v>2</v>
      </c>
      <c r="BU76" s="65" t="s">
        <v>2</v>
      </c>
      <c r="BV76" s="65" t="s">
        <v>2</v>
      </c>
      <c r="BW76" s="65" t="s">
        <v>2</v>
      </c>
      <c r="BX76" s="65" t="s">
        <v>2</v>
      </c>
      <c r="BY76" s="65" t="s">
        <v>2</v>
      </c>
      <c r="BZ76" s="59" t="s">
        <v>2</v>
      </c>
      <c r="CA76" s="3" t="s">
        <v>2</v>
      </c>
      <c r="CB76" s="3" t="s">
        <v>2</v>
      </c>
      <c r="CC76" s="3" t="s">
        <v>2</v>
      </c>
      <c r="CD76" s="3" t="s">
        <v>2</v>
      </c>
      <c r="CE76" s="3" t="s">
        <v>2</v>
      </c>
      <c r="CF76" s="3" t="s">
        <v>2</v>
      </c>
      <c r="CG76" s="7" t="s">
        <v>2</v>
      </c>
      <c r="CH76" s="65">
        <v>0</v>
      </c>
      <c r="CI76" s="59">
        <v>0</v>
      </c>
      <c r="CJ76" s="65">
        <v>0</v>
      </c>
      <c r="CK76" s="65">
        <v>0</v>
      </c>
      <c r="CL76" s="65">
        <v>0</v>
      </c>
      <c r="CM76" s="59">
        <v>0</v>
      </c>
      <c r="CN76" s="156">
        <v>0</v>
      </c>
      <c r="CO76" s="156" t="s">
        <v>2</v>
      </c>
    </row>
    <row r="77" spans="1:93" s="13" customFormat="1" x14ac:dyDescent="0.25">
      <c r="A77" s="155" t="s">
        <v>1514</v>
      </c>
      <c r="B77" s="55" t="s">
        <v>493</v>
      </c>
      <c r="C77" s="10" t="s">
        <v>1515</v>
      </c>
      <c r="D77" s="291">
        <v>7</v>
      </c>
      <c r="E77" s="11">
        <v>0</v>
      </c>
      <c r="F77" s="156">
        <v>226</v>
      </c>
      <c r="G77" s="65">
        <v>945</v>
      </c>
      <c r="H77" s="68">
        <v>36.4</v>
      </c>
      <c r="I77" s="3">
        <v>50.4</v>
      </c>
      <c r="J77" s="3">
        <v>2.7</v>
      </c>
      <c r="K77" s="3">
        <v>0</v>
      </c>
      <c r="L77" s="3">
        <v>0</v>
      </c>
      <c r="M77" s="7">
        <v>10.5</v>
      </c>
      <c r="N77" s="65" t="s">
        <v>2</v>
      </c>
      <c r="O77" s="65" t="s">
        <v>2</v>
      </c>
      <c r="P77" s="3" t="s">
        <v>2</v>
      </c>
      <c r="Q77" s="3" t="s">
        <v>2</v>
      </c>
      <c r="R77" s="65" t="s">
        <v>2</v>
      </c>
      <c r="S77" s="65" t="s">
        <v>2</v>
      </c>
      <c r="T77" s="65" t="s">
        <v>2</v>
      </c>
      <c r="U77" s="61" t="s">
        <v>2</v>
      </c>
      <c r="V77" s="61" t="s">
        <v>2</v>
      </c>
      <c r="W77" s="7" t="s">
        <v>2</v>
      </c>
      <c r="X77" s="3">
        <v>0</v>
      </c>
      <c r="Y77" s="61" t="s">
        <v>2</v>
      </c>
      <c r="Z77" s="61" t="s">
        <v>2</v>
      </c>
      <c r="AA77" s="61" t="s">
        <v>2</v>
      </c>
      <c r="AB77" s="61" t="s">
        <v>2</v>
      </c>
      <c r="AC77" s="61" t="s">
        <v>2</v>
      </c>
      <c r="AD77" s="65" t="s">
        <v>2</v>
      </c>
      <c r="AE77" s="65" t="s">
        <v>2</v>
      </c>
      <c r="AF77" s="3" t="s">
        <v>2</v>
      </c>
      <c r="AG77" s="7" t="s">
        <v>2</v>
      </c>
      <c r="AH77" s="162" t="s">
        <v>2</v>
      </c>
      <c r="AI77" s="65">
        <v>0</v>
      </c>
      <c r="AJ77" s="3" t="s">
        <v>2</v>
      </c>
      <c r="AK77" s="3" t="s">
        <v>2</v>
      </c>
      <c r="AL77" s="7" t="s">
        <v>2</v>
      </c>
      <c r="AM77" s="65">
        <v>0</v>
      </c>
      <c r="AN77" s="65">
        <v>0</v>
      </c>
      <c r="AO77" s="59">
        <v>0</v>
      </c>
      <c r="AP77" s="3" t="s">
        <v>2</v>
      </c>
      <c r="AQ77" s="61" t="s">
        <v>2</v>
      </c>
      <c r="AR77" s="61" t="s">
        <v>2</v>
      </c>
      <c r="AS77" s="61" t="s">
        <v>2</v>
      </c>
      <c r="AT77" s="61" t="s">
        <v>2</v>
      </c>
      <c r="AU77" s="61" t="s">
        <v>2</v>
      </c>
      <c r="AV77" s="62" t="s">
        <v>2</v>
      </c>
      <c r="AW77" s="3" t="s">
        <v>2</v>
      </c>
      <c r="AX77" s="61" t="s">
        <v>2</v>
      </c>
      <c r="AY77" s="61" t="s">
        <v>2</v>
      </c>
      <c r="AZ77" s="62" t="s">
        <v>2</v>
      </c>
      <c r="BA77" s="3" t="s">
        <v>2</v>
      </c>
      <c r="BB77" s="61" t="s">
        <v>2</v>
      </c>
      <c r="BC77" s="61" t="s">
        <v>2</v>
      </c>
      <c r="BD77" s="61" t="s">
        <v>2</v>
      </c>
      <c r="BE77" s="61" t="s">
        <v>2</v>
      </c>
      <c r="BF77" s="62" t="s">
        <v>2</v>
      </c>
      <c r="BG77" s="11" t="s">
        <v>2</v>
      </c>
      <c r="BH77" s="11" t="s">
        <v>2</v>
      </c>
      <c r="BI77" s="65" t="s">
        <v>2</v>
      </c>
      <c r="BJ77" s="65" t="s">
        <v>2</v>
      </c>
      <c r="BK77" s="65" t="s">
        <v>2</v>
      </c>
      <c r="BL77" s="65" t="s">
        <v>2</v>
      </c>
      <c r="BM77" s="65" t="s">
        <v>2</v>
      </c>
      <c r="BN77" s="65" t="s">
        <v>2</v>
      </c>
      <c r="BO77" s="65" t="s">
        <v>2</v>
      </c>
      <c r="BP77" s="65" t="s">
        <v>2</v>
      </c>
      <c r="BQ77" s="65" t="s">
        <v>2</v>
      </c>
      <c r="BR77" s="65" t="s">
        <v>2</v>
      </c>
      <c r="BS77" s="65" t="s">
        <v>2</v>
      </c>
      <c r="BT77" s="65" t="s">
        <v>2</v>
      </c>
      <c r="BU77" s="65" t="s">
        <v>2</v>
      </c>
      <c r="BV77" s="65" t="s">
        <v>2</v>
      </c>
      <c r="BW77" s="65" t="s">
        <v>2</v>
      </c>
      <c r="BX77" s="65" t="s">
        <v>2</v>
      </c>
      <c r="BY77" s="65" t="s">
        <v>2</v>
      </c>
      <c r="BZ77" s="59" t="s">
        <v>2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7">
        <v>0</v>
      </c>
      <c r="CH77" s="65">
        <v>0</v>
      </c>
      <c r="CI77" s="59">
        <v>0</v>
      </c>
      <c r="CJ77" s="65">
        <v>0</v>
      </c>
      <c r="CK77" s="65">
        <v>0</v>
      </c>
      <c r="CL77" s="65">
        <v>0</v>
      </c>
      <c r="CM77" s="59">
        <v>0</v>
      </c>
      <c r="CN77" s="156">
        <v>0</v>
      </c>
      <c r="CO77" s="156" t="s">
        <v>2</v>
      </c>
    </row>
    <row r="78" spans="1:93" s="13" customFormat="1" x14ac:dyDescent="0.25">
      <c r="A78" s="155" t="s">
        <v>1516</v>
      </c>
      <c r="B78" s="55" t="s">
        <v>494</v>
      </c>
      <c r="C78" s="10" t="s">
        <v>1517</v>
      </c>
      <c r="D78" s="291">
        <v>7</v>
      </c>
      <c r="E78" s="11">
        <v>2</v>
      </c>
      <c r="F78" s="156">
        <v>535</v>
      </c>
      <c r="G78" s="65">
        <v>2240</v>
      </c>
      <c r="H78" s="68">
        <v>17</v>
      </c>
      <c r="I78" s="3">
        <v>27.2</v>
      </c>
      <c r="J78" s="3">
        <v>47.4</v>
      </c>
      <c r="K78" s="3">
        <v>0</v>
      </c>
      <c r="L78" s="3">
        <v>0</v>
      </c>
      <c r="M78" s="7">
        <v>8.4</v>
      </c>
      <c r="N78" s="65">
        <v>7</v>
      </c>
      <c r="O78" s="65">
        <v>139</v>
      </c>
      <c r="P78" s="3">
        <v>1.9</v>
      </c>
      <c r="Q78" s="3" t="s">
        <v>2</v>
      </c>
      <c r="R78" s="65">
        <v>287</v>
      </c>
      <c r="S78" s="65">
        <v>219</v>
      </c>
      <c r="T78" s="65">
        <v>77</v>
      </c>
      <c r="U78" s="61" t="s">
        <v>2</v>
      </c>
      <c r="V78" s="61" t="s">
        <v>2</v>
      </c>
      <c r="W78" s="7" t="s">
        <v>2</v>
      </c>
      <c r="X78" s="3">
        <v>0</v>
      </c>
      <c r="Y78" s="61">
        <v>0.34</v>
      </c>
      <c r="Z78" s="61" t="s">
        <v>2</v>
      </c>
      <c r="AA78" s="61" t="s">
        <v>2</v>
      </c>
      <c r="AB78" s="61" t="s">
        <v>2</v>
      </c>
      <c r="AC78" s="61" t="s">
        <v>2</v>
      </c>
      <c r="AD78" s="65" t="s">
        <v>2</v>
      </c>
      <c r="AE78" s="65" t="s">
        <v>2</v>
      </c>
      <c r="AF78" s="3" t="s">
        <v>2</v>
      </c>
      <c r="AG78" s="7" t="s">
        <v>2</v>
      </c>
      <c r="AH78" s="162" t="s">
        <v>2</v>
      </c>
      <c r="AI78" s="65">
        <v>0</v>
      </c>
      <c r="AJ78" s="3" t="s">
        <v>2</v>
      </c>
      <c r="AK78" s="3" t="s">
        <v>2</v>
      </c>
      <c r="AL78" s="7" t="s">
        <v>2</v>
      </c>
      <c r="AM78" s="65">
        <v>0</v>
      </c>
      <c r="AN78" s="65">
        <v>0</v>
      </c>
      <c r="AO78" s="59">
        <v>0</v>
      </c>
      <c r="AP78" s="3" t="s">
        <v>2</v>
      </c>
      <c r="AQ78" s="61" t="s">
        <v>2</v>
      </c>
      <c r="AR78" s="61" t="s">
        <v>2</v>
      </c>
      <c r="AS78" s="61" t="s">
        <v>2</v>
      </c>
      <c r="AT78" s="61" t="s">
        <v>2</v>
      </c>
      <c r="AU78" s="61" t="s">
        <v>2</v>
      </c>
      <c r="AV78" s="62" t="s">
        <v>2</v>
      </c>
      <c r="AW78" s="3" t="s">
        <v>2</v>
      </c>
      <c r="AX78" s="61" t="s">
        <v>2</v>
      </c>
      <c r="AY78" s="61" t="s">
        <v>2</v>
      </c>
      <c r="AZ78" s="62" t="s">
        <v>2</v>
      </c>
      <c r="BA78" s="3" t="s">
        <v>2</v>
      </c>
      <c r="BB78" s="61" t="s">
        <v>2</v>
      </c>
      <c r="BC78" s="61" t="s">
        <v>2</v>
      </c>
      <c r="BD78" s="61" t="s">
        <v>2</v>
      </c>
      <c r="BE78" s="61" t="s">
        <v>2</v>
      </c>
      <c r="BF78" s="62" t="s">
        <v>2</v>
      </c>
      <c r="BG78" s="11" t="s">
        <v>2</v>
      </c>
      <c r="BH78" s="11" t="s">
        <v>2</v>
      </c>
      <c r="BI78" s="65" t="s">
        <v>2</v>
      </c>
      <c r="BJ78" s="65" t="s">
        <v>2</v>
      </c>
      <c r="BK78" s="65" t="s">
        <v>2</v>
      </c>
      <c r="BL78" s="65" t="s">
        <v>2</v>
      </c>
      <c r="BM78" s="65" t="s">
        <v>2</v>
      </c>
      <c r="BN78" s="65" t="s">
        <v>2</v>
      </c>
      <c r="BO78" s="65" t="s">
        <v>2</v>
      </c>
      <c r="BP78" s="65" t="s">
        <v>2</v>
      </c>
      <c r="BQ78" s="65" t="s">
        <v>2</v>
      </c>
      <c r="BR78" s="65" t="s">
        <v>2</v>
      </c>
      <c r="BS78" s="65" t="s">
        <v>2</v>
      </c>
      <c r="BT78" s="65" t="s">
        <v>2</v>
      </c>
      <c r="BU78" s="65" t="s">
        <v>2</v>
      </c>
      <c r="BV78" s="65" t="s">
        <v>2</v>
      </c>
      <c r="BW78" s="65" t="s">
        <v>2</v>
      </c>
      <c r="BX78" s="65" t="s">
        <v>2</v>
      </c>
      <c r="BY78" s="65" t="s">
        <v>2</v>
      </c>
      <c r="BZ78" s="59" t="s">
        <v>2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7">
        <v>0</v>
      </c>
      <c r="CH78" s="65">
        <v>0</v>
      </c>
      <c r="CI78" s="59">
        <v>0</v>
      </c>
      <c r="CJ78" s="65">
        <v>0</v>
      </c>
      <c r="CK78" s="65">
        <v>0</v>
      </c>
      <c r="CL78" s="65">
        <v>0</v>
      </c>
      <c r="CM78" s="59">
        <v>0</v>
      </c>
      <c r="CN78" s="156">
        <v>0</v>
      </c>
      <c r="CO78" s="156" t="s">
        <v>2</v>
      </c>
    </row>
    <row r="79" spans="1:93" s="13" customFormat="1" x14ac:dyDescent="0.25">
      <c r="A79" s="155" t="s">
        <v>1518</v>
      </c>
      <c r="B79" s="55" t="s">
        <v>495</v>
      </c>
      <c r="C79" s="10" t="s">
        <v>1519</v>
      </c>
      <c r="D79" s="291">
        <v>7</v>
      </c>
      <c r="E79" s="11">
        <v>0</v>
      </c>
      <c r="F79" s="156">
        <v>342</v>
      </c>
      <c r="G79" s="65">
        <v>1432</v>
      </c>
      <c r="H79" s="68">
        <v>7.2</v>
      </c>
      <c r="I79" s="3">
        <v>55.4</v>
      </c>
      <c r="J79" s="3">
        <v>13.4</v>
      </c>
      <c r="K79" s="3">
        <v>0</v>
      </c>
      <c r="L79" s="3">
        <v>0</v>
      </c>
      <c r="M79" s="7">
        <v>24</v>
      </c>
      <c r="N79" s="65" t="s">
        <v>2</v>
      </c>
      <c r="O79" s="65" t="s">
        <v>2</v>
      </c>
      <c r="P79" s="3" t="s">
        <v>2</v>
      </c>
      <c r="Q79" s="3" t="s">
        <v>2</v>
      </c>
      <c r="R79" s="65" t="s">
        <v>2</v>
      </c>
      <c r="S79" s="65" t="s">
        <v>2</v>
      </c>
      <c r="T79" s="65" t="s">
        <v>2</v>
      </c>
      <c r="U79" s="61" t="s">
        <v>2</v>
      </c>
      <c r="V79" s="61" t="s">
        <v>2</v>
      </c>
      <c r="W79" s="7" t="s">
        <v>2</v>
      </c>
      <c r="X79" s="3">
        <v>0</v>
      </c>
      <c r="Y79" s="61" t="s">
        <v>2</v>
      </c>
      <c r="Z79" s="61" t="s">
        <v>2</v>
      </c>
      <c r="AA79" s="61" t="s">
        <v>2</v>
      </c>
      <c r="AB79" s="61" t="s">
        <v>2</v>
      </c>
      <c r="AC79" s="61" t="s">
        <v>2</v>
      </c>
      <c r="AD79" s="65" t="s">
        <v>2</v>
      </c>
      <c r="AE79" s="65" t="s">
        <v>2</v>
      </c>
      <c r="AF79" s="3" t="s">
        <v>2</v>
      </c>
      <c r="AG79" s="7" t="s">
        <v>2</v>
      </c>
      <c r="AH79" s="162" t="s">
        <v>2</v>
      </c>
      <c r="AI79" s="65">
        <v>0</v>
      </c>
      <c r="AJ79" s="3" t="s">
        <v>2</v>
      </c>
      <c r="AK79" s="3" t="s">
        <v>2</v>
      </c>
      <c r="AL79" s="7" t="s">
        <v>2</v>
      </c>
      <c r="AM79" s="65">
        <v>0</v>
      </c>
      <c r="AN79" s="65">
        <v>0</v>
      </c>
      <c r="AO79" s="59">
        <v>0</v>
      </c>
      <c r="AP79" s="3" t="s">
        <v>2</v>
      </c>
      <c r="AQ79" s="61" t="s">
        <v>2</v>
      </c>
      <c r="AR79" s="61" t="s">
        <v>2</v>
      </c>
      <c r="AS79" s="61" t="s">
        <v>2</v>
      </c>
      <c r="AT79" s="61" t="s">
        <v>2</v>
      </c>
      <c r="AU79" s="61" t="s">
        <v>2</v>
      </c>
      <c r="AV79" s="62" t="s">
        <v>2</v>
      </c>
      <c r="AW79" s="3" t="s">
        <v>2</v>
      </c>
      <c r="AX79" s="61" t="s">
        <v>2</v>
      </c>
      <c r="AY79" s="61" t="s">
        <v>2</v>
      </c>
      <c r="AZ79" s="62" t="s">
        <v>2</v>
      </c>
      <c r="BA79" s="3" t="s">
        <v>2</v>
      </c>
      <c r="BB79" s="61" t="s">
        <v>2</v>
      </c>
      <c r="BC79" s="61" t="s">
        <v>2</v>
      </c>
      <c r="BD79" s="61" t="s">
        <v>2</v>
      </c>
      <c r="BE79" s="61" t="s">
        <v>2</v>
      </c>
      <c r="BF79" s="62" t="s">
        <v>2</v>
      </c>
      <c r="BG79" s="11" t="s">
        <v>2</v>
      </c>
      <c r="BH79" s="11" t="s">
        <v>2</v>
      </c>
      <c r="BI79" s="65" t="s">
        <v>2</v>
      </c>
      <c r="BJ79" s="65" t="s">
        <v>2</v>
      </c>
      <c r="BK79" s="65" t="s">
        <v>2</v>
      </c>
      <c r="BL79" s="65" t="s">
        <v>2</v>
      </c>
      <c r="BM79" s="65" t="s">
        <v>2</v>
      </c>
      <c r="BN79" s="65" t="s">
        <v>2</v>
      </c>
      <c r="BO79" s="65" t="s">
        <v>2</v>
      </c>
      <c r="BP79" s="65" t="s">
        <v>2</v>
      </c>
      <c r="BQ79" s="65" t="s">
        <v>2</v>
      </c>
      <c r="BR79" s="65" t="s">
        <v>2</v>
      </c>
      <c r="BS79" s="65" t="s">
        <v>2</v>
      </c>
      <c r="BT79" s="65" t="s">
        <v>2</v>
      </c>
      <c r="BU79" s="65" t="s">
        <v>2</v>
      </c>
      <c r="BV79" s="65" t="s">
        <v>2</v>
      </c>
      <c r="BW79" s="65" t="s">
        <v>2</v>
      </c>
      <c r="BX79" s="65" t="s">
        <v>2</v>
      </c>
      <c r="BY79" s="65" t="s">
        <v>2</v>
      </c>
      <c r="BZ79" s="59" t="s">
        <v>2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7">
        <v>0</v>
      </c>
      <c r="CH79" s="65">
        <v>0</v>
      </c>
      <c r="CI79" s="59">
        <v>0</v>
      </c>
      <c r="CJ79" s="65">
        <v>0</v>
      </c>
      <c r="CK79" s="65">
        <v>0</v>
      </c>
      <c r="CL79" s="65">
        <v>0</v>
      </c>
      <c r="CM79" s="59">
        <v>0</v>
      </c>
      <c r="CN79" s="156">
        <v>0</v>
      </c>
      <c r="CO79" s="156" t="s">
        <v>2</v>
      </c>
    </row>
    <row r="80" spans="1:93" s="13" customFormat="1" x14ac:dyDescent="0.25">
      <c r="A80" s="155" t="s">
        <v>1520</v>
      </c>
      <c r="B80" s="55" t="s">
        <v>496</v>
      </c>
      <c r="C80" s="10" t="s">
        <v>1521</v>
      </c>
      <c r="D80" s="291">
        <v>7</v>
      </c>
      <c r="E80" s="11">
        <v>20</v>
      </c>
      <c r="F80" s="156">
        <v>130</v>
      </c>
      <c r="G80" s="65">
        <v>542</v>
      </c>
      <c r="H80" s="68">
        <v>71.099999999999994</v>
      </c>
      <c r="I80" s="3">
        <v>24.3</v>
      </c>
      <c r="J80" s="3">
        <v>3.6</v>
      </c>
      <c r="K80" s="3">
        <v>0</v>
      </c>
      <c r="L80" s="3">
        <v>0</v>
      </c>
      <c r="M80" s="7">
        <v>1</v>
      </c>
      <c r="N80" s="65">
        <v>210</v>
      </c>
      <c r="O80" s="65">
        <v>270</v>
      </c>
      <c r="P80" s="3">
        <v>0.4</v>
      </c>
      <c r="Q80" s="3" t="s">
        <v>2</v>
      </c>
      <c r="R80" s="65" t="s">
        <v>2</v>
      </c>
      <c r="S80" s="65" t="s">
        <v>2</v>
      </c>
      <c r="T80" s="65" t="s">
        <v>2</v>
      </c>
      <c r="U80" s="61" t="s">
        <v>2</v>
      </c>
      <c r="V80" s="61" t="s">
        <v>2</v>
      </c>
      <c r="W80" s="7" t="s">
        <v>2</v>
      </c>
      <c r="X80" s="3">
        <v>0</v>
      </c>
      <c r="Y80" s="61" t="s">
        <v>2</v>
      </c>
      <c r="Z80" s="61" t="s">
        <v>2</v>
      </c>
      <c r="AA80" s="61" t="s">
        <v>2</v>
      </c>
      <c r="AB80" s="61" t="s">
        <v>2</v>
      </c>
      <c r="AC80" s="61" t="s">
        <v>2</v>
      </c>
      <c r="AD80" s="65" t="s">
        <v>2</v>
      </c>
      <c r="AE80" s="65" t="s">
        <v>2</v>
      </c>
      <c r="AF80" s="3" t="s">
        <v>2</v>
      </c>
      <c r="AG80" s="7" t="s">
        <v>2</v>
      </c>
      <c r="AH80" s="162" t="s">
        <v>2</v>
      </c>
      <c r="AI80" s="65">
        <v>0</v>
      </c>
      <c r="AJ80" s="3" t="s">
        <v>2</v>
      </c>
      <c r="AK80" s="3" t="s">
        <v>2</v>
      </c>
      <c r="AL80" s="7" t="s">
        <v>2</v>
      </c>
      <c r="AM80" s="65">
        <v>0</v>
      </c>
      <c r="AN80" s="65">
        <v>0</v>
      </c>
      <c r="AO80" s="59">
        <v>0</v>
      </c>
      <c r="AP80" s="3" t="s">
        <v>2</v>
      </c>
      <c r="AQ80" s="61" t="s">
        <v>2</v>
      </c>
      <c r="AR80" s="61" t="s">
        <v>2</v>
      </c>
      <c r="AS80" s="61" t="s">
        <v>2</v>
      </c>
      <c r="AT80" s="61" t="s">
        <v>2</v>
      </c>
      <c r="AU80" s="61" t="s">
        <v>2</v>
      </c>
      <c r="AV80" s="62" t="s">
        <v>2</v>
      </c>
      <c r="AW80" s="3" t="s">
        <v>2</v>
      </c>
      <c r="AX80" s="61" t="s">
        <v>2</v>
      </c>
      <c r="AY80" s="61" t="s">
        <v>2</v>
      </c>
      <c r="AZ80" s="62" t="s">
        <v>2</v>
      </c>
      <c r="BA80" s="3" t="s">
        <v>2</v>
      </c>
      <c r="BB80" s="61" t="s">
        <v>2</v>
      </c>
      <c r="BC80" s="61" t="s">
        <v>2</v>
      </c>
      <c r="BD80" s="61" t="s">
        <v>2</v>
      </c>
      <c r="BE80" s="61" t="s">
        <v>2</v>
      </c>
      <c r="BF80" s="62" t="s">
        <v>2</v>
      </c>
      <c r="BG80" s="11" t="s">
        <v>2</v>
      </c>
      <c r="BH80" s="11" t="s">
        <v>2</v>
      </c>
      <c r="BI80" s="65" t="s">
        <v>2</v>
      </c>
      <c r="BJ80" s="65" t="s">
        <v>2</v>
      </c>
      <c r="BK80" s="65" t="s">
        <v>2</v>
      </c>
      <c r="BL80" s="65" t="s">
        <v>2</v>
      </c>
      <c r="BM80" s="65" t="s">
        <v>2</v>
      </c>
      <c r="BN80" s="65" t="s">
        <v>2</v>
      </c>
      <c r="BO80" s="65" t="s">
        <v>2</v>
      </c>
      <c r="BP80" s="65" t="s">
        <v>2</v>
      </c>
      <c r="BQ80" s="65" t="s">
        <v>2</v>
      </c>
      <c r="BR80" s="65" t="s">
        <v>2</v>
      </c>
      <c r="BS80" s="65" t="s">
        <v>2</v>
      </c>
      <c r="BT80" s="65" t="s">
        <v>2</v>
      </c>
      <c r="BU80" s="65" t="s">
        <v>2</v>
      </c>
      <c r="BV80" s="65" t="s">
        <v>2</v>
      </c>
      <c r="BW80" s="65" t="s">
        <v>2</v>
      </c>
      <c r="BX80" s="65" t="s">
        <v>2</v>
      </c>
      <c r="BY80" s="65" t="s">
        <v>2</v>
      </c>
      <c r="BZ80" s="59" t="s">
        <v>2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7">
        <v>0</v>
      </c>
      <c r="CH80" s="65">
        <v>0</v>
      </c>
      <c r="CI80" s="59">
        <v>0</v>
      </c>
      <c r="CJ80" s="65">
        <v>0</v>
      </c>
      <c r="CK80" s="65">
        <v>0</v>
      </c>
      <c r="CL80" s="65">
        <v>0</v>
      </c>
      <c r="CM80" s="59">
        <v>0</v>
      </c>
      <c r="CN80" s="156">
        <v>0</v>
      </c>
      <c r="CO80" s="156" t="s">
        <v>2</v>
      </c>
    </row>
    <row r="81" spans="1:93" s="13" customFormat="1" x14ac:dyDescent="0.25">
      <c r="A81" s="155" t="s">
        <v>1522</v>
      </c>
      <c r="B81" s="55" t="s">
        <v>497</v>
      </c>
      <c r="C81" s="10" t="s">
        <v>1523</v>
      </c>
      <c r="D81" s="291">
        <v>7</v>
      </c>
      <c r="E81" s="11">
        <v>0</v>
      </c>
      <c r="F81" s="156">
        <v>90</v>
      </c>
      <c r="G81" s="65">
        <v>376</v>
      </c>
      <c r="H81" s="68">
        <v>75</v>
      </c>
      <c r="I81" s="3">
        <v>20</v>
      </c>
      <c r="J81" s="3">
        <v>1.1000000000000001</v>
      </c>
      <c r="K81" s="3">
        <v>0</v>
      </c>
      <c r="L81" s="3">
        <v>0</v>
      </c>
      <c r="M81" s="7">
        <v>3.9</v>
      </c>
      <c r="N81" s="65">
        <v>18</v>
      </c>
      <c r="O81" s="65">
        <v>147</v>
      </c>
      <c r="P81" s="3">
        <v>1.5</v>
      </c>
      <c r="Q81" s="3">
        <v>1</v>
      </c>
      <c r="R81" s="65">
        <v>58</v>
      </c>
      <c r="S81" s="65">
        <v>285</v>
      </c>
      <c r="T81" s="65">
        <v>20</v>
      </c>
      <c r="U81" s="61" t="s">
        <v>2</v>
      </c>
      <c r="V81" s="61">
        <v>250</v>
      </c>
      <c r="W81" s="7">
        <v>14.1</v>
      </c>
      <c r="X81" s="3">
        <v>0</v>
      </c>
      <c r="Y81" s="61">
        <v>0.14000000000000001</v>
      </c>
      <c r="Z81" s="61">
        <v>0.25</v>
      </c>
      <c r="AA81" s="61">
        <v>1.2</v>
      </c>
      <c r="AB81" s="61" t="s">
        <v>2</v>
      </c>
      <c r="AC81" s="61">
        <v>0.12</v>
      </c>
      <c r="AD81" s="65">
        <v>15</v>
      </c>
      <c r="AE81" s="65">
        <v>0</v>
      </c>
      <c r="AF81" s="3" t="s">
        <v>2</v>
      </c>
      <c r="AG81" s="7">
        <v>0.4</v>
      </c>
      <c r="AH81" s="162">
        <v>15</v>
      </c>
      <c r="AI81" s="65">
        <v>15</v>
      </c>
      <c r="AJ81" s="3" t="s">
        <v>2</v>
      </c>
      <c r="AK81" s="3">
        <v>1</v>
      </c>
      <c r="AL81" s="7">
        <v>0.1</v>
      </c>
      <c r="AM81" s="65">
        <v>0</v>
      </c>
      <c r="AN81" s="65">
        <v>0</v>
      </c>
      <c r="AO81" s="59">
        <v>0</v>
      </c>
      <c r="AP81" s="3">
        <v>7.5999999999999998E-2</v>
      </c>
      <c r="AQ81" s="61">
        <v>5.3999999999999999E-2</v>
      </c>
      <c r="AR81" s="61">
        <v>0</v>
      </c>
      <c r="AS81" s="61">
        <v>2.1000000000000001E-2</v>
      </c>
      <c r="AT81" s="61">
        <v>0</v>
      </c>
      <c r="AU81" s="61">
        <v>0</v>
      </c>
      <c r="AV81" s="62">
        <v>0</v>
      </c>
      <c r="AW81" s="3">
        <v>5.2999999999999999E-2</v>
      </c>
      <c r="AX81" s="61">
        <v>0</v>
      </c>
      <c r="AY81" s="61">
        <v>8.9999999999999993E-3</v>
      </c>
      <c r="AZ81" s="62">
        <v>4.3999999999999997E-2</v>
      </c>
      <c r="BA81" s="3">
        <v>0.10199999999999999</v>
      </c>
      <c r="BB81" s="61">
        <v>0.02</v>
      </c>
      <c r="BC81" s="61">
        <v>0.01</v>
      </c>
      <c r="BD81" s="61">
        <v>3.1E-2</v>
      </c>
      <c r="BE81" s="61">
        <v>1.4E-2</v>
      </c>
      <c r="BF81" s="62">
        <v>0.02</v>
      </c>
      <c r="BG81" s="11" t="s">
        <v>2</v>
      </c>
      <c r="BH81" s="11">
        <v>50</v>
      </c>
      <c r="BI81" s="65" t="s">
        <v>2</v>
      </c>
      <c r="BJ81" s="65" t="s">
        <v>2</v>
      </c>
      <c r="BK81" s="65" t="s">
        <v>2</v>
      </c>
      <c r="BL81" s="65" t="s">
        <v>2</v>
      </c>
      <c r="BM81" s="65" t="s">
        <v>2</v>
      </c>
      <c r="BN81" s="65" t="s">
        <v>2</v>
      </c>
      <c r="BO81" s="65" t="s">
        <v>2</v>
      </c>
      <c r="BP81" s="65" t="s">
        <v>2</v>
      </c>
      <c r="BQ81" s="65" t="s">
        <v>2</v>
      </c>
      <c r="BR81" s="65" t="s">
        <v>2</v>
      </c>
      <c r="BS81" s="65" t="s">
        <v>2</v>
      </c>
      <c r="BT81" s="65" t="s">
        <v>2</v>
      </c>
      <c r="BU81" s="65" t="s">
        <v>2</v>
      </c>
      <c r="BV81" s="65" t="s">
        <v>2</v>
      </c>
      <c r="BW81" s="65" t="s">
        <v>2</v>
      </c>
      <c r="BX81" s="65" t="s">
        <v>2</v>
      </c>
      <c r="BY81" s="65" t="s">
        <v>2</v>
      </c>
      <c r="BZ81" s="59" t="s">
        <v>2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7">
        <v>0</v>
      </c>
      <c r="CH81" s="65">
        <v>0</v>
      </c>
      <c r="CI81" s="59">
        <v>0</v>
      </c>
      <c r="CJ81" s="65">
        <v>0</v>
      </c>
      <c r="CK81" s="65">
        <v>0</v>
      </c>
      <c r="CL81" s="65">
        <v>0</v>
      </c>
      <c r="CM81" s="59">
        <v>0</v>
      </c>
      <c r="CN81" s="156">
        <v>0</v>
      </c>
      <c r="CO81" s="156" t="s">
        <v>2</v>
      </c>
    </row>
    <row r="82" spans="1:93" s="13" customFormat="1" x14ac:dyDescent="0.25">
      <c r="A82" s="155" t="s">
        <v>1524</v>
      </c>
      <c r="B82" s="55" t="s">
        <v>498</v>
      </c>
      <c r="C82" s="10" t="s">
        <v>1525</v>
      </c>
      <c r="D82" s="291">
        <v>7</v>
      </c>
      <c r="E82" s="11">
        <v>2</v>
      </c>
      <c r="F82" s="59">
        <v>111</v>
      </c>
      <c r="G82" s="59">
        <v>462</v>
      </c>
      <c r="H82" s="167">
        <v>79.7</v>
      </c>
      <c r="I82" s="8">
        <v>13</v>
      </c>
      <c r="J82" s="8">
        <v>6.5</v>
      </c>
      <c r="K82" s="8">
        <v>0</v>
      </c>
      <c r="L82" s="8">
        <v>0</v>
      </c>
      <c r="M82" s="7">
        <v>0.8</v>
      </c>
      <c r="N82" s="162">
        <v>40</v>
      </c>
      <c r="O82" s="162">
        <v>109</v>
      </c>
      <c r="P82" s="8" t="s">
        <v>2</v>
      </c>
      <c r="Q82" s="8" t="s">
        <v>2</v>
      </c>
      <c r="R82" s="162" t="s">
        <v>2</v>
      </c>
      <c r="S82" s="162" t="s">
        <v>2</v>
      </c>
      <c r="T82" s="162" t="s">
        <v>2</v>
      </c>
      <c r="U82" s="165" t="s">
        <v>2</v>
      </c>
      <c r="V82" s="165" t="s">
        <v>2</v>
      </c>
      <c r="W82" s="7" t="s">
        <v>2</v>
      </c>
      <c r="X82" s="8">
        <v>0</v>
      </c>
      <c r="Y82" s="165" t="s">
        <v>2</v>
      </c>
      <c r="Z82" s="165" t="s">
        <v>2</v>
      </c>
      <c r="AA82" s="165" t="s">
        <v>2</v>
      </c>
      <c r="AB82" s="165" t="s">
        <v>2</v>
      </c>
      <c r="AC82" s="165" t="s">
        <v>2</v>
      </c>
      <c r="AD82" s="162" t="s">
        <v>2</v>
      </c>
      <c r="AE82" s="162" t="s">
        <v>2</v>
      </c>
      <c r="AF82" s="8" t="s">
        <v>2</v>
      </c>
      <c r="AG82" s="7" t="s">
        <v>2</v>
      </c>
      <c r="AH82" s="162" t="s">
        <v>2</v>
      </c>
      <c r="AI82" s="162">
        <v>0</v>
      </c>
      <c r="AJ82" s="8" t="s">
        <v>2</v>
      </c>
      <c r="AK82" s="8" t="s">
        <v>2</v>
      </c>
      <c r="AL82" s="7" t="s">
        <v>2</v>
      </c>
      <c r="AM82" s="162">
        <v>0</v>
      </c>
      <c r="AN82" s="162">
        <v>0</v>
      </c>
      <c r="AO82" s="59">
        <v>0</v>
      </c>
      <c r="AP82" s="8" t="s">
        <v>2</v>
      </c>
      <c r="AQ82" s="165" t="s">
        <v>2</v>
      </c>
      <c r="AR82" s="165" t="s">
        <v>2</v>
      </c>
      <c r="AS82" s="165" t="s">
        <v>2</v>
      </c>
      <c r="AT82" s="165" t="s">
        <v>2</v>
      </c>
      <c r="AU82" s="165" t="s">
        <v>2</v>
      </c>
      <c r="AV82" s="62" t="s">
        <v>2</v>
      </c>
      <c r="AW82" s="8" t="s">
        <v>2</v>
      </c>
      <c r="AX82" s="165" t="s">
        <v>2</v>
      </c>
      <c r="AY82" s="165" t="s">
        <v>2</v>
      </c>
      <c r="AZ82" s="62" t="s">
        <v>2</v>
      </c>
      <c r="BA82" s="8" t="s">
        <v>2</v>
      </c>
      <c r="BB82" s="165" t="s">
        <v>2</v>
      </c>
      <c r="BC82" s="165" t="s">
        <v>2</v>
      </c>
      <c r="BD82" s="165" t="s">
        <v>2</v>
      </c>
      <c r="BE82" s="165" t="s">
        <v>2</v>
      </c>
      <c r="BF82" s="62" t="s">
        <v>2</v>
      </c>
      <c r="BG82" s="7" t="s">
        <v>2</v>
      </c>
      <c r="BH82" s="11" t="s">
        <v>2</v>
      </c>
      <c r="BI82" s="162" t="s">
        <v>2</v>
      </c>
      <c r="BJ82" s="162" t="s">
        <v>2</v>
      </c>
      <c r="BK82" s="162" t="s">
        <v>2</v>
      </c>
      <c r="BL82" s="162" t="s">
        <v>2</v>
      </c>
      <c r="BM82" s="162" t="s">
        <v>2</v>
      </c>
      <c r="BN82" s="162" t="s">
        <v>2</v>
      </c>
      <c r="BO82" s="162" t="s">
        <v>2</v>
      </c>
      <c r="BP82" s="162" t="s">
        <v>2</v>
      </c>
      <c r="BQ82" s="162" t="s">
        <v>2</v>
      </c>
      <c r="BR82" s="162" t="s">
        <v>2</v>
      </c>
      <c r="BS82" s="162" t="s">
        <v>2</v>
      </c>
      <c r="BT82" s="162" t="s">
        <v>2</v>
      </c>
      <c r="BU82" s="162" t="s">
        <v>2</v>
      </c>
      <c r="BV82" s="162" t="s">
        <v>2</v>
      </c>
      <c r="BW82" s="162" t="s">
        <v>2</v>
      </c>
      <c r="BX82" s="162" t="s">
        <v>2</v>
      </c>
      <c r="BY82" s="162" t="s">
        <v>2</v>
      </c>
      <c r="BZ82" s="59" t="s">
        <v>2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7">
        <v>0</v>
      </c>
      <c r="CH82" s="162">
        <v>0</v>
      </c>
      <c r="CI82" s="59">
        <v>0</v>
      </c>
      <c r="CJ82" s="162">
        <v>0</v>
      </c>
      <c r="CK82" s="162">
        <v>0</v>
      </c>
      <c r="CL82" s="162">
        <v>0</v>
      </c>
      <c r="CM82" s="59">
        <v>0</v>
      </c>
      <c r="CN82" s="156">
        <v>0</v>
      </c>
      <c r="CO82" s="156" t="s">
        <v>2</v>
      </c>
    </row>
    <row r="83" spans="1:93" s="13" customFormat="1" x14ac:dyDescent="0.25">
      <c r="A83" s="155" t="s">
        <v>1526</v>
      </c>
      <c r="B83" s="55" t="s">
        <v>499</v>
      </c>
      <c r="C83" s="56" t="s">
        <v>1527</v>
      </c>
      <c r="D83" s="291">
        <v>7</v>
      </c>
      <c r="E83" s="7">
        <v>0</v>
      </c>
      <c r="F83" s="59">
        <v>119</v>
      </c>
      <c r="G83" s="59">
        <v>498</v>
      </c>
      <c r="H83" s="167">
        <v>74.900000000000006</v>
      </c>
      <c r="I83" s="8">
        <v>17.88</v>
      </c>
      <c r="J83" s="8">
        <v>4.47</v>
      </c>
      <c r="K83" s="8">
        <v>1.79</v>
      </c>
      <c r="L83" s="8">
        <v>0</v>
      </c>
      <c r="M83" s="7">
        <v>0.99</v>
      </c>
      <c r="N83" s="162">
        <v>10</v>
      </c>
      <c r="O83" s="162">
        <v>197</v>
      </c>
      <c r="P83" s="8">
        <v>5.86</v>
      </c>
      <c r="Q83" s="8">
        <v>3.32</v>
      </c>
      <c r="R83" s="162">
        <v>77</v>
      </c>
      <c r="S83" s="162">
        <v>228</v>
      </c>
      <c r="T83" s="162">
        <v>18</v>
      </c>
      <c r="U83" s="165">
        <v>0.14899999999999999</v>
      </c>
      <c r="V83" s="165">
        <v>243</v>
      </c>
      <c r="W83" s="7">
        <v>55.2</v>
      </c>
      <c r="X83" s="8">
        <v>16.2</v>
      </c>
      <c r="Y83" s="165">
        <v>0.09</v>
      </c>
      <c r="Z83" s="165">
        <v>0.99</v>
      </c>
      <c r="AA83" s="165">
        <v>0.66</v>
      </c>
      <c r="AB83" s="165">
        <v>3.2080000000000002</v>
      </c>
      <c r="AC83" s="165">
        <v>0.42</v>
      </c>
      <c r="AD83" s="162">
        <v>345</v>
      </c>
      <c r="AE83" s="162">
        <v>0</v>
      </c>
      <c r="AF83" s="8" t="s">
        <v>2</v>
      </c>
      <c r="AG83" s="7">
        <v>11.41</v>
      </c>
      <c r="AH83" s="162">
        <v>2657</v>
      </c>
      <c r="AI83" s="162">
        <v>2657</v>
      </c>
      <c r="AJ83" s="8" t="s">
        <v>2</v>
      </c>
      <c r="AK83" s="8" t="s">
        <v>2</v>
      </c>
      <c r="AL83" s="7" t="s">
        <v>2</v>
      </c>
      <c r="AM83" s="162">
        <v>0</v>
      </c>
      <c r="AN83" s="162">
        <v>0</v>
      </c>
      <c r="AO83" s="59">
        <v>0</v>
      </c>
      <c r="AP83" s="8">
        <v>1.36</v>
      </c>
      <c r="AQ83" s="165">
        <v>0.75</v>
      </c>
      <c r="AR83" s="165">
        <v>0</v>
      </c>
      <c r="AS83" s="165">
        <v>0.47</v>
      </c>
      <c r="AT83" s="165">
        <v>0</v>
      </c>
      <c r="AU83" s="165">
        <v>0</v>
      </c>
      <c r="AV83" s="62">
        <v>0</v>
      </c>
      <c r="AW83" s="8">
        <v>1.1200000000000001</v>
      </c>
      <c r="AX83" s="165">
        <v>0</v>
      </c>
      <c r="AY83" s="165">
        <v>0.16</v>
      </c>
      <c r="AZ83" s="62">
        <v>0.95</v>
      </c>
      <c r="BA83" s="8">
        <v>1.0900000000000001</v>
      </c>
      <c r="BB83" s="165">
        <v>0.75</v>
      </c>
      <c r="BC83" s="165">
        <v>0.03</v>
      </c>
      <c r="BD83" s="165">
        <v>0.27</v>
      </c>
      <c r="BE83" s="165">
        <v>0.01</v>
      </c>
      <c r="BF83" s="62">
        <v>0.02</v>
      </c>
      <c r="BG83" s="24" t="s">
        <v>2</v>
      </c>
      <c r="BH83" s="7">
        <v>262</v>
      </c>
      <c r="BI83" s="162">
        <v>1305</v>
      </c>
      <c r="BJ83" s="162">
        <v>447</v>
      </c>
      <c r="BK83" s="162">
        <v>204</v>
      </c>
      <c r="BL83" s="162">
        <v>810</v>
      </c>
      <c r="BM83" s="162">
        <v>811</v>
      </c>
      <c r="BN83" s="162">
        <v>955</v>
      </c>
      <c r="BO83" s="162">
        <v>1430</v>
      </c>
      <c r="BP83" s="162">
        <v>897</v>
      </c>
      <c r="BQ83" s="162">
        <v>1194</v>
      </c>
      <c r="BR83" s="162">
        <v>417</v>
      </c>
      <c r="BS83" s="162">
        <v>238</v>
      </c>
      <c r="BT83" s="162">
        <v>587</v>
      </c>
      <c r="BU83" s="162">
        <v>877</v>
      </c>
      <c r="BV83" s="162">
        <v>1675</v>
      </c>
      <c r="BW83" s="162">
        <v>2712</v>
      </c>
      <c r="BX83" s="162">
        <v>985</v>
      </c>
      <c r="BY83" s="162">
        <v>910</v>
      </c>
      <c r="BZ83" s="59">
        <v>782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7">
        <v>0</v>
      </c>
      <c r="CH83" s="162">
        <v>0</v>
      </c>
      <c r="CI83" s="59">
        <v>0</v>
      </c>
      <c r="CJ83" s="162">
        <v>0</v>
      </c>
      <c r="CK83" s="162">
        <v>0</v>
      </c>
      <c r="CL83" s="162">
        <v>0</v>
      </c>
      <c r="CM83" s="59">
        <v>0</v>
      </c>
      <c r="CN83" s="156">
        <v>0</v>
      </c>
      <c r="CO83" s="160" t="s">
        <v>2</v>
      </c>
    </row>
    <row r="84" spans="1:93" x14ac:dyDescent="0.25">
      <c r="A84" s="155" t="s">
        <v>1528</v>
      </c>
      <c r="B84" s="42" t="s">
        <v>1529</v>
      </c>
      <c r="C84" s="44" t="s">
        <v>1530</v>
      </c>
      <c r="D84" s="291">
        <v>7</v>
      </c>
      <c r="E84" s="153">
        <v>0</v>
      </c>
      <c r="F84" s="153">
        <v>149</v>
      </c>
      <c r="G84" s="169">
        <f>F84*4.186</f>
        <v>623.71399999999994</v>
      </c>
      <c r="H84" s="153">
        <v>70.7</v>
      </c>
      <c r="I84" s="170">
        <v>20.83</v>
      </c>
      <c r="J84" s="170">
        <v>7.29</v>
      </c>
      <c r="K84" s="170">
        <v>0.02</v>
      </c>
      <c r="L84" s="170" t="s">
        <v>2</v>
      </c>
      <c r="M84" s="168">
        <v>1.24</v>
      </c>
      <c r="N84" s="171">
        <v>24</v>
      </c>
      <c r="O84" s="171">
        <v>432</v>
      </c>
      <c r="P84" s="170">
        <v>0.67</v>
      </c>
      <c r="Q84" s="170">
        <v>2.38</v>
      </c>
      <c r="R84" s="172" t="s">
        <v>2</v>
      </c>
      <c r="S84" s="172" t="s">
        <v>2</v>
      </c>
      <c r="T84" s="172" t="s">
        <v>2</v>
      </c>
      <c r="U84" s="172" t="s">
        <v>2</v>
      </c>
      <c r="V84" s="172" t="s">
        <v>2</v>
      </c>
      <c r="W84" s="169" t="s">
        <v>2</v>
      </c>
      <c r="X84" s="173" t="s">
        <v>2</v>
      </c>
      <c r="Y84" s="173">
        <v>0.61</v>
      </c>
      <c r="Z84" s="173">
        <v>0</v>
      </c>
      <c r="AA84" s="173" t="s">
        <v>2</v>
      </c>
      <c r="AB84" s="173" t="s">
        <v>2</v>
      </c>
      <c r="AC84" s="173" t="s">
        <v>2</v>
      </c>
      <c r="AD84" s="173" t="s">
        <v>2</v>
      </c>
      <c r="AE84" s="173" t="s">
        <v>2</v>
      </c>
      <c r="AF84" s="173" t="s">
        <v>2</v>
      </c>
      <c r="AG84" s="174" t="s">
        <v>2</v>
      </c>
      <c r="AH84" s="172">
        <v>1</v>
      </c>
      <c r="AI84" s="172">
        <v>1</v>
      </c>
      <c r="AJ84" s="8" t="s">
        <v>2</v>
      </c>
      <c r="AK84" s="170">
        <v>4.22</v>
      </c>
      <c r="AL84" s="7" t="s">
        <v>2</v>
      </c>
      <c r="AM84" s="172" t="s">
        <v>2</v>
      </c>
      <c r="AN84" s="172" t="s">
        <v>2</v>
      </c>
      <c r="AO84" s="169" t="s">
        <v>2</v>
      </c>
      <c r="AP84" s="170" t="s">
        <v>2</v>
      </c>
      <c r="AQ84" s="170" t="s">
        <v>2</v>
      </c>
      <c r="AR84" s="170" t="s">
        <v>2</v>
      </c>
      <c r="AS84" s="170" t="s">
        <v>2</v>
      </c>
      <c r="AT84" s="170" t="s">
        <v>2</v>
      </c>
      <c r="AU84" s="170" t="s">
        <v>2</v>
      </c>
      <c r="AV84" s="168" t="s">
        <v>2</v>
      </c>
      <c r="AW84" s="170" t="s">
        <v>2</v>
      </c>
      <c r="AX84" s="170" t="s">
        <v>2</v>
      </c>
      <c r="AY84" s="170" t="s">
        <v>2</v>
      </c>
      <c r="AZ84" s="168" t="s">
        <v>2</v>
      </c>
      <c r="BA84" s="170" t="s">
        <v>2</v>
      </c>
      <c r="BB84" s="170" t="s">
        <v>2</v>
      </c>
      <c r="BC84" s="170" t="s">
        <v>2</v>
      </c>
      <c r="BD84" s="170" t="s">
        <v>2</v>
      </c>
      <c r="BE84" s="170" t="s">
        <v>2</v>
      </c>
      <c r="BF84" s="168" t="s">
        <v>2</v>
      </c>
      <c r="BG84" s="168" t="s">
        <v>2</v>
      </c>
      <c r="BH84" s="168" t="s">
        <v>2</v>
      </c>
      <c r="BI84" s="172">
        <v>1530</v>
      </c>
      <c r="BJ84" s="172">
        <v>562</v>
      </c>
      <c r="BK84" s="172" t="s">
        <v>2</v>
      </c>
      <c r="BL84" s="172">
        <v>857</v>
      </c>
      <c r="BM84" s="172">
        <v>1399</v>
      </c>
      <c r="BN84" s="172">
        <v>856</v>
      </c>
      <c r="BO84" s="172">
        <v>1434</v>
      </c>
      <c r="BP84" s="172">
        <v>832</v>
      </c>
      <c r="BQ84" s="172">
        <v>1258</v>
      </c>
      <c r="BR84" s="172">
        <v>1546</v>
      </c>
      <c r="BS84" s="172">
        <v>164</v>
      </c>
      <c r="BT84" s="172">
        <v>749</v>
      </c>
      <c r="BU84" s="172">
        <v>405</v>
      </c>
      <c r="BV84" s="172">
        <v>1568</v>
      </c>
      <c r="BW84" s="172">
        <v>988</v>
      </c>
      <c r="BX84" s="172">
        <v>385</v>
      </c>
      <c r="BY84" s="65" t="s">
        <v>2</v>
      </c>
      <c r="BZ84" s="169">
        <v>1677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7">
        <v>0</v>
      </c>
      <c r="CH84" s="162">
        <v>0</v>
      </c>
      <c r="CI84" s="59">
        <v>0</v>
      </c>
      <c r="CJ84" s="162">
        <v>0</v>
      </c>
      <c r="CK84" s="162">
        <v>0</v>
      </c>
      <c r="CL84" s="162">
        <v>0</v>
      </c>
      <c r="CM84" s="59">
        <v>0</v>
      </c>
      <c r="CN84" s="156">
        <v>0</v>
      </c>
      <c r="CO84" s="160" t="s">
        <v>2</v>
      </c>
    </row>
    <row r="85" spans="1:93" x14ac:dyDescent="0.25">
      <c r="A85" s="155" t="s">
        <v>1531</v>
      </c>
      <c r="B85" s="42" t="s">
        <v>1532</v>
      </c>
      <c r="C85" s="44" t="s">
        <v>1533</v>
      </c>
      <c r="D85" s="291">
        <v>7</v>
      </c>
      <c r="E85" s="153">
        <v>0</v>
      </c>
      <c r="F85" s="153">
        <v>141</v>
      </c>
      <c r="G85" s="169">
        <f t="shared" ref="G85:G92" si="0">F85*4.186</f>
        <v>590.226</v>
      </c>
      <c r="H85" s="153">
        <v>69.3</v>
      </c>
      <c r="I85" s="170">
        <v>24.68</v>
      </c>
      <c r="J85" s="170">
        <v>4.72</v>
      </c>
      <c r="K85" s="170">
        <v>0</v>
      </c>
      <c r="L85" s="170" t="s">
        <v>2</v>
      </c>
      <c r="M85" s="168">
        <v>1.42</v>
      </c>
      <c r="N85" s="171">
        <v>42</v>
      </c>
      <c r="O85" s="171">
        <v>363</v>
      </c>
      <c r="P85" s="170">
        <v>0.66</v>
      </c>
      <c r="Q85" s="170">
        <v>2.33</v>
      </c>
      <c r="R85" s="172" t="s">
        <v>2</v>
      </c>
      <c r="S85" s="172" t="s">
        <v>2</v>
      </c>
      <c r="T85" s="172" t="s">
        <v>2</v>
      </c>
      <c r="U85" s="172" t="s">
        <v>2</v>
      </c>
      <c r="V85" s="172" t="s">
        <v>2</v>
      </c>
      <c r="W85" s="169" t="s">
        <v>2</v>
      </c>
      <c r="X85" s="173" t="s">
        <v>2</v>
      </c>
      <c r="Y85" s="173" t="s">
        <v>2</v>
      </c>
      <c r="Z85" s="173">
        <v>0</v>
      </c>
      <c r="AA85" s="173" t="s">
        <v>2</v>
      </c>
      <c r="AB85" s="173" t="s">
        <v>2</v>
      </c>
      <c r="AC85" s="173" t="s">
        <v>2</v>
      </c>
      <c r="AD85" s="173" t="s">
        <v>2</v>
      </c>
      <c r="AE85" s="173" t="s">
        <v>2</v>
      </c>
      <c r="AF85" s="173" t="s">
        <v>2</v>
      </c>
      <c r="AG85" s="174" t="s">
        <v>2</v>
      </c>
      <c r="AH85" s="172">
        <v>1</v>
      </c>
      <c r="AI85" s="172">
        <v>1</v>
      </c>
      <c r="AJ85" s="8" t="s">
        <v>2</v>
      </c>
      <c r="AK85" s="170">
        <v>1.28</v>
      </c>
      <c r="AL85" s="7" t="s">
        <v>2</v>
      </c>
      <c r="AM85" s="172" t="s">
        <v>2</v>
      </c>
      <c r="AN85" s="172" t="s">
        <v>2</v>
      </c>
      <c r="AO85" s="169" t="s">
        <v>2</v>
      </c>
      <c r="AP85" s="170" t="s">
        <v>2</v>
      </c>
      <c r="AQ85" s="170" t="s">
        <v>2</v>
      </c>
      <c r="AR85" s="170" t="s">
        <v>2</v>
      </c>
      <c r="AS85" s="170" t="s">
        <v>2</v>
      </c>
      <c r="AT85" s="170" t="s">
        <v>2</v>
      </c>
      <c r="AU85" s="170" t="s">
        <v>2</v>
      </c>
      <c r="AV85" s="168" t="s">
        <v>2</v>
      </c>
      <c r="AW85" s="170" t="s">
        <v>2</v>
      </c>
      <c r="AX85" s="170" t="s">
        <v>2</v>
      </c>
      <c r="AY85" s="170" t="s">
        <v>2</v>
      </c>
      <c r="AZ85" s="168" t="s">
        <v>2</v>
      </c>
      <c r="BA85" s="170" t="s">
        <v>2</v>
      </c>
      <c r="BB85" s="170" t="s">
        <v>2</v>
      </c>
      <c r="BC85" s="170" t="s">
        <v>2</v>
      </c>
      <c r="BD85" s="170" t="s">
        <v>2</v>
      </c>
      <c r="BE85" s="170" t="s">
        <v>2</v>
      </c>
      <c r="BF85" s="168" t="s">
        <v>2</v>
      </c>
      <c r="BG85" s="168" t="s">
        <v>2</v>
      </c>
      <c r="BH85" s="168" t="s">
        <v>2</v>
      </c>
      <c r="BI85" s="172">
        <v>2189</v>
      </c>
      <c r="BJ85" s="172">
        <v>788</v>
      </c>
      <c r="BK85" s="172" t="s">
        <v>2</v>
      </c>
      <c r="BL85" s="172">
        <v>1116</v>
      </c>
      <c r="BM85" s="172">
        <v>1895</v>
      </c>
      <c r="BN85" s="172">
        <v>1158</v>
      </c>
      <c r="BO85" s="172">
        <v>1976</v>
      </c>
      <c r="BP85" s="172">
        <v>1171</v>
      </c>
      <c r="BQ85" s="172">
        <v>1670</v>
      </c>
      <c r="BR85" s="172">
        <v>1918</v>
      </c>
      <c r="BS85" s="172">
        <v>167</v>
      </c>
      <c r="BT85" s="172">
        <v>977</v>
      </c>
      <c r="BU85" s="172">
        <v>546</v>
      </c>
      <c r="BV85" s="172">
        <v>2169</v>
      </c>
      <c r="BW85" s="172">
        <v>1292</v>
      </c>
      <c r="BX85" s="172">
        <v>538</v>
      </c>
      <c r="BY85" s="65" t="s">
        <v>2</v>
      </c>
      <c r="BZ85" s="169">
        <v>2266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7">
        <v>0</v>
      </c>
      <c r="CH85" s="162">
        <v>0</v>
      </c>
      <c r="CI85" s="59">
        <v>0</v>
      </c>
      <c r="CJ85" s="162">
        <v>0</v>
      </c>
      <c r="CK85" s="162">
        <v>0</v>
      </c>
      <c r="CL85" s="162">
        <v>0</v>
      </c>
      <c r="CM85" s="59">
        <v>0</v>
      </c>
      <c r="CN85" s="156">
        <v>0</v>
      </c>
      <c r="CO85" s="160" t="s">
        <v>2</v>
      </c>
    </row>
    <row r="86" spans="1:93" x14ac:dyDescent="0.25">
      <c r="A86" s="155" t="s">
        <v>1534</v>
      </c>
      <c r="B86" s="42" t="s">
        <v>1535</v>
      </c>
      <c r="C86" s="44" t="s">
        <v>1536</v>
      </c>
      <c r="D86" s="291">
        <v>7</v>
      </c>
      <c r="E86" s="153">
        <v>0</v>
      </c>
      <c r="F86" s="153">
        <v>118</v>
      </c>
      <c r="G86" s="169">
        <f t="shared" si="0"/>
        <v>493.94799999999998</v>
      </c>
      <c r="H86" s="153">
        <v>72.900000000000006</v>
      </c>
      <c r="I86" s="170">
        <v>23</v>
      </c>
      <c r="J86" s="170">
        <v>2.9</v>
      </c>
      <c r="K86" s="170">
        <v>0.04</v>
      </c>
      <c r="L86" s="170" t="s">
        <v>2</v>
      </c>
      <c r="M86" s="168">
        <v>1.1599999999999999</v>
      </c>
      <c r="N86" s="171">
        <v>38</v>
      </c>
      <c r="O86" s="171">
        <v>408</v>
      </c>
      <c r="P86" s="170">
        <v>0.72</v>
      </c>
      <c r="Q86" s="170">
        <v>1.8</v>
      </c>
      <c r="R86" s="172" t="s">
        <v>2</v>
      </c>
      <c r="S86" s="172" t="s">
        <v>2</v>
      </c>
      <c r="T86" s="172" t="s">
        <v>2</v>
      </c>
      <c r="U86" s="172" t="s">
        <v>2</v>
      </c>
      <c r="V86" s="172" t="s">
        <v>2</v>
      </c>
      <c r="W86" s="169" t="s">
        <v>2</v>
      </c>
      <c r="X86" s="173" t="s">
        <v>2</v>
      </c>
      <c r="Y86" s="173">
        <v>0.42</v>
      </c>
      <c r="Z86" s="173">
        <v>0</v>
      </c>
      <c r="AA86" s="173" t="s">
        <v>2</v>
      </c>
      <c r="AB86" s="173" t="s">
        <v>2</v>
      </c>
      <c r="AC86" s="173" t="s">
        <v>2</v>
      </c>
      <c r="AD86" s="173" t="s">
        <v>2</v>
      </c>
      <c r="AE86" s="173" t="s">
        <v>2</v>
      </c>
      <c r="AF86" s="173" t="s">
        <v>2</v>
      </c>
      <c r="AG86" s="174" t="s">
        <v>2</v>
      </c>
      <c r="AH86" s="172">
        <v>0</v>
      </c>
      <c r="AI86" s="172">
        <v>0</v>
      </c>
      <c r="AJ86" s="8" t="s">
        <v>2</v>
      </c>
      <c r="AK86" s="170">
        <v>0</v>
      </c>
      <c r="AL86" s="7" t="s">
        <v>2</v>
      </c>
      <c r="AM86" s="172" t="s">
        <v>2</v>
      </c>
      <c r="AN86" s="172" t="s">
        <v>2</v>
      </c>
      <c r="AO86" s="169" t="s">
        <v>2</v>
      </c>
      <c r="AP86" s="170" t="s">
        <v>2</v>
      </c>
      <c r="AQ86" s="170" t="s">
        <v>2</v>
      </c>
      <c r="AR86" s="170" t="s">
        <v>2</v>
      </c>
      <c r="AS86" s="170" t="s">
        <v>2</v>
      </c>
      <c r="AT86" s="170" t="s">
        <v>2</v>
      </c>
      <c r="AU86" s="170" t="s">
        <v>2</v>
      </c>
      <c r="AV86" s="168" t="s">
        <v>2</v>
      </c>
      <c r="AW86" s="170" t="s">
        <v>2</v>
      </c>
      <c r="AX86" s="170" t="s">
        <v>2</v>
      </c>
      <c r="AY86" s="170" t="s">
        <v>2</v>
      </c>
      <c r="AZ86" s="168" t="s">
        <v>2</v>
      </c>
      <c r="BA86" s="170" t="s">
        <v>2</v>
      </c>
      <c r="BB86" s="170" t="s">
        <v>2</v>
      </c>
      <c r="BC86" s="170" t="s">
        <v>2</v>
      </c>
      <c r="BD86" s="170" t="s">
        <v>2</v>
      </c>
      <c r="BE86" s="170" t="s">
        <v>2</v>
      </c>
      <c r="BF86" s="168" t="s">
        <v>2</v>
      </c>
      <c r="BG86" s="168" t="s">
        <v>2</v>
      </c>
      <c r="BH86" s="168" t="s">
        <v>2</v>
      </c>
      <c r="BI86" s="172">
        <v>1719</v>
      </c>
      <c r="BJ86" s="172">
        <v>704</v>
      </c>
      <c r="BK86" s="172" t="s">
        <v>2</v>
      </c>
      <c r="BL86" s="172">
        <v>953</v>
      </c>
      <c r="BM86" s="172">
        <v>1592</v>
      </c>
      <c r="BN86" s="172">
        <v>883</v>
      </c>
      <c r="BO86" s="172">
        <v>1630</v>
      </c>
      <c r="BP86" s="172">
        <v>889</v>
      </c>
      <c r="BQ86" s="172">
        <v>1428</v>
      </c>
      <c r="BR86" s="172">
        <v>1739</v>
      </c>
      <c r="BS86" s="172">
        <v>281</v>
      </c>
      <c r="BT86" s="172">
        <v>879</v>
      </c>
      <c r="BU86" s="172">
        <v>413</v>
      </c>
      <c r="BV86" s="172">
        <v>1956</v>
      </c>
      <c r="BW86" s="172">
        <v>1285</v>
      </c>
      <c r="BX86" s="172">
        <v>494</v>
      </c>
      <c r="BY86" s="65" t="s">
        <v>2</v>
      </c>
      <c r="BZ86" s="169">
        <v>2091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7">
        <v>0</v>
      </c>
      <c r="CH86" s="162">
        <v>0</v>
      </c>
      <c r="CI86" s="59">
        <v>0</v>
      </c>
      <c r="CJ86" s="162">
        <v>0</v>
      </c>
      <c r="CK86" s="162">
        <v>0</v>
      </c>
      <c r="CL86" s="162">
        <v>0</v>
      </c>
      <c r="CM86" s="59">
        <v>0</v>
      </c>
      <c r="CN86" s="156">
        <v>0</v>
      </c>
      <c r="CO86" s="160" t="s">
        <v>2</v>
      </c>
    </row>
    <row r="87" spans="1:93" x14ac:dyDescent="0.25">
      <c r="A87" s="155" t="s">
        <v>1537</v>
      </c>
      <c r="B87" s="42" t="s">
        <v>1538</v>
      </c>
      <c r="C87" s="44" t="s">
        <v>1539</v>
      </c>
      <c r="D87" s="291">
        <v>7</v>
      </c>
      <c r="E87" s="153">
        <v>0</v>
      </c>
      <c r="F87" s="153">
        <v>401</v>
      </c>
      <c r="G87" s="169">
        <f t="shared" si="0"/>
        <v>1678.586</v>
      </c>
      <c r="H87" s="153">
        <v>42.2</v>
      </c>
      <c r="I87" s="170">
        <v>20.5</v>
      </c>
      <c r="J87" s="170">
        <v>35.200000000000003</v>
      </c>
      <c r="K87" s="170">
        <v>0.56000000000000005</v>
      </c>
      <c r="L87" s="170" t="s">
        <v>2</v>
      </c>
      <c r="M87" s="168">
        <v>1.54</v>
      </c>
      <c r="N87" s="171">
        <v>53</v>
      </c>
      <c r="O87" s="171">
        <v>521</v>
      </c>
      <c r="P87" s="170">
        <v>1.36</v>
      </c>
      <c r="Q87" s="170">
        <v>2.76</v>
      </c>
      <c r="R87" s="172" t="s">
        <v>2</v>
      </c>
      <c r="S87" s="172" t="s">
        <v>2</v>
      </c>
      <c r="T87" s="172" t="s">
        <v>2</v>
      </c>
      <c r="U87" s="172" t="s">
        <v>2</v>
      </c>
      <c r="V87" s="172" t="s">
        <v>2</v>
      </c>
      <c r="W87" s="169" t="s">
        <v>2</v>
      </c>
      <c r="X87" s="173" t="s">
        <v>2</v>
      </c>
      <c r="Y87" s="173">
        <v>0.1</v>
      </c>
      <c r="Z87" s="173">
        <v>0.02</v>
      </c>
      <c r="AA87" s="173" t="s">
        <v>2</v>
      </c>
      <c r="AB87" s="173" t="s">
        <v>2</v>
      </c>
      <c r="AC87" s="173" t="s">
        <v>2</v>
      </c>
      <c r="AD87" s="173" t="s">
        <v>2</v>
      </c>
      <c r="AE87" s="173" t="s">
        <v>2</v>
      </c>
      <c r="AF87" s="173" t="s">
        <v>2</v>
      </c>
      <c r="AG87" s="174" t="s">
        <v>2</v>
      </c>
      <c r="AH87" s="172" t="s">
        <v>2</v>
      </c>
      <c r="AI87" s="172" t="s">
        <v>2</v>
      </c>
      <c r="AJ87" s="8" t="s">
        <v>2</v>
      </c>
      <c r="AK87" s="170" t="s">
        <v>2</v>
      </c>
      <c r="AL87" s="7" t="s">
        <v>2</v>
      </c>
      <c r="AM87" s="172" t="s">
        <v>2</v>
      </c>
      <c r="AN87" s="172" t="s">
        <v>2</v>
      </c>
      <c r="AO87" s="169" t="s">
        <v>2</v>
      </c>
      <c r="AP87" s="170" t="s">
        <v>2</v>
      </c>
      <c r="AQ87" s="170" t="s">
        <v>2</v>
      </c>
      <c r="AR87" s="170" t="s">
        <v>2</v>
      </c>
      <c r="AS87" s="170" t="s">
        <v>2</v>
      </c>
      <c r="AT87" s="170" t="s">
        <v>2</v>
      </c>
      <c r="AU87" s="170" t="s">
        <v>2</v>
      </c>
      <c r="AV87" s="168" t="s">
        <v>2</v>
      </c>
      <c r="AW87" s="170" t="s">
        <v>2</v>
      </c>
      <c r="AX87" s="170" t="s">
        <v>2</v>
      </c>
      <c r="AY87" s="170" t="s">
        <v>2</v>
      </c>
      <c r="AZ87" s="168" t="s">
        <v>2</v>
      </c>
      <c r="BA87" s="170" t="s">
        <v>2</v>
      </c>
      <c r="BB87" s="170" t="s">
        <v>2</v>
      </c>
      <c r="BC87" s="170" t="s">
        <v>2</v>
      </c>
      <c r="BD87" s="170" t="s">
        <v>2</v>
      </c>
      <c r="BE87" s="170" t="s">
        <v>2</v>
      </c>
      <c r="BF87" s="168" t="s">
        <v>2</v>
      </c>
      <c r="BG87" s="168" t="s">
        <v>2</v>
      </c>
      <c r="BH87" s="168" t="s">
        <v>2</v>
      </c>
      <c r="BI87" s="172">
        <v>1433</v>
      </c>
      <c r="BJ87" s="172">
        <v>593</v>
      </c>
      <c r="BK87" s="172" t="s">
        <v>2</v>
      </c>
      <c r="BL87" s="172">
        <v>882</v>
      </c>
      <c r="BM87" s="172">
        <v>1467</v>
      </c>
      <c r="BN87" s="172">
        <v>797</v>
      </c>
      <c r="BO87" s="172">
        <v>1431</v>
      </c>
      <c r="BP87" s="172">
        <v>779</v>
      </c>
      <c r="BQ87" s="172">
        <v>1244</v>
      </c>
      <c r="BR87" s="172">
        <v>1979</v>
      </c>
      <c r="BS87" s="172">
        <v>996</v>
      </c>
      <c r="BT87" s="172">
        <v>781</v>
      </c>
      <c r="BU87" s="172">
        <v>380</v>
      </c>
      <c r="BV87" s="172">
        <v>1565</v>
      </c>
      <c r="BW87" s="172">
        <v>1219</v>
      </c>
      <c r="BX87" s="172">
        <v>375</v>
      </c>
      <c r="BY87" s="162" t="s">
        <v>2</v>
      </c>
      <c r="BZ87" s="169">
        <v>1767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7">
        <v>0</v>
      </c>
      <c r="CH87" s="162">
        <v>0</v>
      </c>
      <c r="CI87" s="59">
        <v>0</v>
      </c>
      <c r="CJ87" s="162">
        <v>0</v>
      </c>
      <c r="CK87" s="162">
        <v>0</v>
      </c>
      <c r="CL87" s="162">
        <v>0</v>
      </c>
      <c r="CM87" s="59">
        <v>0</v>
      </c>
      <c r="CN87" s="156">
        <v>0</v>
      </c>
      <c r="CO87" s="160" t="s">
        <v>2</v>
      </c>
    </row>
    <row r="88" spans="1:93" x14ac:dyDescent="0.25">
      <c r="A88" s="155" t="s">
        <v>1540</v>
      </c>
      <c r="B88" s="42" t="s">
        <v>1541</v>
      </c>
      <c r="C88" s="44" t="s">
        <v>1542</v>
      </c>
      <c r="D88" s="291">
        <v>7</v>
      </c>
      <c r="E88" s="153">
        <v>0</v>
      </c>
      <c r="F88" s="153">
        <v>188</v>
      </c>
      <c r="G88" s="169">
        <f t="shared" si="0"/>
        <v>786.96799999999996</v>
      </c>
      <c r="H88" s="153">
        <v>67.5</v>
      </c>
      <c r="I88" s="170">
        <v>10.09</v>
      </c>
      <c r="J88" s="170">
        <v>12.43</v>
      </c>
      <c r="K88" s="170">
        <v>0.02</v>
      </c>
      <c r="L88" s="170" t="s">
        <v>2</v>
      </c>
      <c r="M88" s="168">
        <v>0.98</v>
      </c>
      <c r="N88" s="171">
        <v>19</v>
      </c>
      <c r="O88" s="171">
        <v>288</v>
      </c>
      <c r="P88" s="170">
        <v>1.07</v>
      </c>
      <c r="Q88" s="170">
        <v>0.94</v>
      </c>
      <c r="R88" s="172" t="s">
        <v>2</v>
      </c>
      <c r="S88" s="172" t="s">
        <v>2</v>
      </c>
      <c r="T88" s="172" t="s">
        <v>2</v>
      </c>
      <c r="U88" s="172" t="s">
        <v>2</v>
      </c>
      <c r="V88" s="172" t="s">
        <v>2</v>
      </c>
      <c r="W88" s="169" t="s">
        <v>2</v>
      </c>
      <c r="X88" s="173" t="s">
        <v>2</v>
      </c>
      <c r="Y88" s="173" t="s">
        <v>2</v>
      </c>
      <c r="Z88" s="173">
        <v>0</v>
      </c>
      <c r="AA88" s="173" t="s">
        <v>2</v>
      </c>
      <c r="AB88" s="173" t="s">
        <v>2</v>
      </c>
      <c r="AC88" s="173" t="s">
        <v>2</v>
      </c>
      <c r="AD88" s="173" t="s">
        <v>2</v>
      </c>
      <c r="AE88" s="173" t="s">
        <v>2</v>
      </c>
      <c r="AF88" s="173" t="s">
        <v>2</v>
      </c>
      <c r="AG88" s="174" t="s">
        <v>2</v>
      </c>
      <c r="AH88" s="172">
        <v>7</v>
      </c>
      <c r="AI88" s="172">
        <v>7</v>
      </c>
      <c r="AJ88" s="8" t="s">
        <v>2</v>
      </c>
      <c r="AK88" s="170">
        <v>9.7799999999999994</v>
      </c>
      <c r="AL88" s="7" t="s">
        <v>2</v>
      </c>
      <c r="AM88" s="172" t="s">
        <v>2</v>
      </c>
      <c r="AN88" s="172" t="s">
        <v>2</v>
      </c>
      <c r="AO88" s="169" t="s">
        <v>2</v>
      </c>
      <c r="AP88" s="170" t="s">
        <v>2</v>
      </c>
      <c r="AQ88" s="170" t="s">
        <v>2</v>
      </c>
      <c r="AR88" s="170" t="s">
        <v>2</v>
      </c>
      <c r="AS88" s="170" t="s">
        <v>2</v>
      </c>
      <c r="AT88" s="170" t="s">
        <v>2</v>
      </c>
      <c r="AU88" s="170" t="s">
        <v>2</v>
      </c>
      <c r="AV88" s="168" t="s">
        <v>2</v>
      </c>
      <c r="AW88" s="170" t="s">
        <v>2</v>
      </c>
      <c r="AX88" s="170" t="s">
        <v>2</v>
      </c>
      <c r="AY88" s="170" t="s">
        <v>2</v>
      </c>
      <c r="AZ88" s="168" t="s">
        <v>2</v>
      </c>
      <c r="BA88" s="170" t="s">
        <v>2</v>
      </c>
      <c r="BB88" s="170" t="s">
        <v>2</v>
      </c>
      <c r="BC88" s="170" t="s">
        <v>2</v>
      </c>
      <c r="BD88" s="170" t="s">
        <v>2</v>
      </c>
      <c r="BE88" s="170" t="s">
        <v>2</v>
      </c>
      <c r="BF88" s="168" t="s">
        <v>2</v>
      </c>
      <c r="BG88" s="168" t="s">
        <v>2</v>
      </c>
      <c r="BH88" s="168" t="s">
        <v>2</v>
      </c>
      <c r="BI88" s="172">
        <v>993</v>
      </c>
      <c r="BJ88" s="172">
        <v>559</v>
      </c>
      <c r="BK88" s="172" t="s">
        <v>2</v>
      </c>
      <c r="BL88" s="172">
        <v>718</v>
      </c>
      <c r="BM88" s="172">
        <v>1130</v>
      </c>
      <c r="BN88" s="172">
        <v>624</v>
      </c>
      <c r="BO88" s="172">
        <v>1042</v>
      </c>
      <c r="BP88" s="172">
        <v>623</v>
      </c>
      <c r="BQ88" s="172">
        <v>939</v>
      </c>
      <c r="BR88" s="172">
        <v>1927</v>
      </c>
      <c r="BS88" s="172">
        <v>1615</v>
      </c>
      <c r="BT88" s="172">
        <v>601</v>
      </c>
      <c r="BU88" s="172">
        <v>533</v>
      </c>
      <c r="BV88" s="172">
        <v>1197</v>
      </c>
      <c r="BW88" s="172">
        <v>1075</v>
      </c>
      <c r="BX88" s="172">
        <v>267</v>
      </c>
      <c r="BY88" s="162" t="s">
        <v>2</v>
      </c>
      <c r="BZ88" s="169">
        <v>1235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7">
        <v>0</v>
      </c>
      <c r="CH88" s="162">
        <v>0</v>
      </c>
      <c r="CI88" s="59">
        <v>0</v>
      </c>
      <c r="CJ88" s="162">
        <v>0</v>
      </c>
      <c r="CK88" s="162">
        <v>0</v>
      </c>
      <c r="CL88" s="162">
        <v>0</v>
      </c>
      <c r="CM88" s="59">
        <v>0</v>
      </c>
      <c r="CN88" s="156">
        <v>0</v>
      </c>
      <c r="CO88" s="160" t="s">
        <v>2</v>
      </c>
    </row>
    <row r="89" spans="1:93" x14ac:dyDescent="0.25">
      <c r="A89" s="155" t="s">
        <v>1543</v>
      </c>
      <c r="B89" s="42" t="s">
        <v>1544</v>
      </c>
      <c r="C89" s="44" t="s">
        <v>1545</v>
      </c>
      <c r="D89" s="291">
        <v>7</v>
      </c>
      <c r="E89" s="153">
        <v>0</v>
      </c>
      <c r="F89" s="153">
        <v>137</v>
      </c>
      <c r="G89" s="169">
        <f t="shared" si="0"/>
        <v>573.48199999999997</v>
      </c>
      <c r="H89" s="153">
        <v>73.2</v>
      </c>
      <c r="I89" s="170">
        <v>18</v>
      </c>
      <c r="J89" s="170">
        <v>6.8</v>
      </c>
      <c r="K89" s="170">
        <v>0.89</v>
      </c>
      <c r="L89" s="170" t="s">
        <v>2</v>
      </c>
      <c r="M89" s="168">
        <v>1.1100000000000001</v>
      </c>
      <c r="N89" s="171">
        <v>18</v>
      </c>
      <c r="O89" s="171">
        <v>316</v>
      </c>
      <c r="P89" s="170">
        <v>0.75</v>
      </c>
      <c r="Q89" s="170">
        <v>1.63</v>
      </c>
      <c r="R89" s="172" t="s">
        <v>2</v>
      </c>
      <c r="S89" s="172" t="s">
        <v>2</v>
      </c>
      <c r="T89" s="172" t="s">
        <v>2</v>
      </c>
      <c r="U89" s="172" t="s">
        <v>2</v>
      </c>
      <c r="V89" s="172" t="s">
        <v>2</v>
      </c>
      <c r="W89" s="169" t="s">
        <v>2</v>
      </c>
      <c r="X89" s="173" t="s">
        <v>2</v>
      </c>
      <c r="Y89" s="173" t="s">
        <v>2</v>
      </c>
      <c r="Z89" s="173">
        <v>0.02</v>
      </c>
      <c r="AA89" s="173" t="s">
        <v>2</v>
      </c>
      <c r="AB89" s="173" t="s">
        <v>2</v>
      </c>
      <c r="AC89" s="173" t="s">
        <v>2</v>
      </c>
      <c r="AD89" s="173" t="s">
        <v>2</v>
      </c>
      <c r="AE89" s="173" t="s">
        <v>2</v>
      </c>
      <c r="AF89" s="173" t="s">
        <v>2</v>
      </c>
      <c r="AG89" s="174" t="s">
        <v>2</v>
      </c>
      <c r="AH89" s="172">
        <v>10</v>
      </c>
      <c r="AI89" s="172">
        <v>10</v>
      </c>
      <c r="AJ89" s="8" t="s">
        <v>2</v>
      </c>
      <c r="AK89" s="8" t="s">
        <v>2</v>
      </c>
      <c r="AL89" s="7" t="s">
        <v>2</v>
      </c>
      <c r="AM89" s="172" t="s">
        <v>2</v>
      </c>
      <c r="AN89" s="172" t="s">
        <v>2</v>
      </c>
      <c r="AO89" s="169" t="s">
        <v>2</v>
      </c>
      <c r="AP89" s="170" t="s">
        <v>2</v>
      </c>
      <c r="AQ89" s="170" t="s">
        <v>2</v>
      </c>
      <c r="AR89" s="170" t="s">
        <v>2</v>
      </c>
      <c r="AS89" s="170" t="s">
        <v>2</v>
      </c>
      <c r="AT89" s="170" t="s">
        <v>2</v>
      </c>
      <c r="AU89" s="170" t="s">
        <v>2</v>
      </c>
      <c r="AV89" s="168" t="s">
        <v>2</v>
      </c>
      <c r="AW89" s="170" t="s">
        <v>2</v>
      </c>
      <c r="AX89" s="170" t="s">
        <v>2</v>
      </c>
      <c r="AY89" s="170" t="s">
        <v>2</v>
      </c>
      <c r="AZ89" s="168" t="s">
        <v>2</v>
      </c>
      <c r="BA89" s="170" t="s">
        <v>2</v>
      </c>
      <c r="BB89" s="170" t="s">
        <v>2</v>
      </c>
      <c r="BC89" s="170" t="s">
        <v>2</v>
      </c>
      <c r="BD89" s="170" t="s">
        <v>2</v>
      </c>
      <c r="BE89" s="170" t="s">
        <v>2</v>
      </c>
      <c r="BF89" s="168" t="s">
        <v>2</v>
      </c>
      <c r="BG89" s="168" t="s">
        <v>2</v>
      </c>
      <c r="BH89" s="168" t="s">
        <v>2</v>
      </c>
      <c r="BI89" s="172">
        <v>828</v>
      </c>
      <c r="BJ89" s="172">
        <v>404</v>
      </c>
      <c r="BK89" s="172" t="s">
        <v>2</v>
      </c>
      <c r="BL89" s="172">
        <v>498</v>
      </c>
      <c r="BM89" s="172">
        <v>890</v>
      </c>
      <c r="BN89" s="172">
        <v>444</v>
      </c>
      <c r="BO89" s="172">
        <v>779</v>
      </c>
      <c r="BP89" s="172">
        <v>454</v>
      </c>
      <c r="BQ89" s="172">
        <v>688</v>
      </c>
      <c r="BR89" s="172">
        <v>1246</v>
      </c>
      <c r="BS89" s="172">
        <v>1794</v>
      </c>
      <c r="BT89" s="172">
        <v>416</v>
      </c>
      <c r="BU89" s="172">
        <v>483</v>
      </c>
      <c r="BV89" s="172">
        <v>1019</v>
      </c>
      <c r="BW89" s="172">
        <v>724</v>
      </c>
      <c r="BX89" s="172">
        <v>166</v>
      </c>
      <c r="BY89" s="162" t="s">
        <v>2</v>
      </c>
      <c r="BZ89" s="169">
        <v>1006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7">
        <v>0</v>
      </c>
      <c r="CH89" s="162">
        <v>0</v>
      </c>
      <c r="CI89" s="59">
        <v>0</v>
      </c>
      <c r="CJ89" s="162">
        <v>0</v>
      </c>
      <c r="CK89" s="162">
        <v>0</v>
      </c>
      <c r="CL89" s="162">
        <v>0</v>
      </c>
      <c r="CM89" s="59">
        <v>0</v>
      </c>
      <c r="CN89" s="156">
        <v>0</v>
      </c>
      <c r="CO89" s="160" t="s">
        <v>2</v>
      </c>
    </row>
    <row r="90" spans="1:93" x14ac:dyDescent="0.25">
      <c r="A90" s="155" t="s">
        <v>1546</v>
      </c>
      <c r="B90" s="42" t="s">
        <v>1547</v>
      </c>
      <c r="C90" s="44" t="s">
        <v>1548</v>
      </c>
      <c r="D90" s="291">
        <v>7</v>
      </c>
      <c r="E90" s="153">
        <v>0</v>
      </c>
      <c r="F90" s="153">
        <v>134</v>
      </c>
      <c r="G90" s="169">
        <f t="shared" si="0"/>
        <v>560.92399999999998</v>
      </c>
      <c r="H90" s="153">
        <v>71.2</v>
      </c>
      <c r="I90" s="170">
        <v>22.86</v>
      </c>
      <c r="J90" s="170">
        <v>4.68</v>
      </c>
      <c r="K90" s="170">
        <v>0.01</v>
      </c>
      <c r="L90" s="170" t="s">
        <v>2</v>
      </c>
      <c r="M90" s="168">
        <v>1.27</v>
      </c>
      <c r="N90" s="171">
        <v>23</v>
      </c>
      <c r="O90" s="171">
        <v>348</v>
      </c>
      <c r="P90" s="170">
        <v>0.69</v>
      </c>
      <c r="Q90" s="170">
        <v>1</v>
      </c>
      <c r="R90" s="172" t="s">
        <v>2</v>
      </c>
      <c r="S90" s="172" t="s">
        <v>2</v>
      </c>
      <c r="T90" s="172" t="s">
        <v>2</v>
      </c>
      <c r="U90" s="172" t="s">
        <v>2</v>
      </c>
      <c r="V90" s="172" t="s">
        <v>2</v>
      </c>
      <c r="W90" s="169" t="s">
        <v>2</v>
      </c>
      <c r="X90" s="173" t="s">
        <v>2</v>
      </c>
      <c r="Y90" s="173" t="s">
        <v>2</v>
      </c>
      <c r="Z90" s="173">
        <v>0</v>
      </c>
      <c r="AA90" s="173" t="s">
        <v>2</v>
      </c>
      <c r="AB90" s="173" t="s">
        <v>2</v>
      </c>
      <c r="AC90" s="173" t="s">
        <v>2</v>
      </c>
      <c r="AD90" s="173" t="s">
        <v>2</v>
      </c>
      <c r="AE90" s="173" t="s">
        <v>2</v>
      </c>
      <c r="AF90" s="173" t="s">
        <v>2</v>
      </c>
      <c r="AG90" s="174" t="s">
        <v>2</v>
      </c>
      <c r="AH90" s="172">
        <v>9</v>
      </c>
      <c r="AI90" s="172">
        <v>9</v>
      </c>
      <c r="AJ90" s="8" t="s">
        <v>2</v>
      </c>
      <c r="AK90" s="170">
        <v>156.19999999999999</v>
      </c>
      <c r="AL90" s="7" t="s">
        <v>2</v>
      </c>
      <c r="AM90" s="172" t="s">
        <v>2</v>
      </c>
      <c r="AN90" s="172" t="s">
        <v>2</v>
      </c>
      <c r="AO90" s="169" t="s">
        <v>2</v>
      </c>
      <c r="AP90" s="170" t="s">
        <v>2</v>
      </c>
      <c r="AQ90" s="170" t="s">
        <v>2</v>
      </c>
      <c r="AR90" s="170" t="s">
        <v>2</v>
      </c>
      <c r="AS90" s="170" t="s">
        <v>2</v>
      </c>
      <c r="AT90" s="170" t="s">
        <v>2</v>
      </c>
      <c r="AU90" s="170" t="s">
        <v>2</v>
      </c>
      <c r="AV90" s="168" t="s">
        <v>2</v>
      </c>
      <c r="AW90" s="170" t="s">
        <v>2</v>
      </c>
      <c r="AX90" s="170" t="s">
        <v>2</v>
      </c>
      <c r="AY90" s="170" t="s">
        <v>2</v>
      </c>
      <c r="AZ90" s="168" t="s">
        <v>2</v>
      </c>
      <c r="BA90" s="170" t="s">
        <v>2</v>
      </c>
      <c r="BB90" s="170" t="s">
        <v>2</v>
      </c>
      <c r="BC90" s="170" t="s">
        <v>2</v>
      </c>
      <c r="BD90" s="170" t="s">
        <v>2</v>
      </c>
      <c r="BE90" s="170" t="s">
        <v>2</v>
      </c>
      <c r="BF90" s="168" t="s">
        <v>2</v>
      </c>
      <c r="BG90" s="168" t="s">
        <v>2</v>
      </c>
      <c r="BH90" s="168" t="s">
        <v>2</v>
      </c>
      <c r="BI90" s="172">
        <v>1262</v>
      </c>
      <c r="BJ90" s="172">
        <v>506</v>
      </c>
      <c r="BK90" s="172" t="s">
        <v>2</v>
      </c>
      <c r="BL90" s="172">
        <v>770</v>
      </c>
      <c r="BM90" s="172">
        <v>1439</v>
      </c>
      <c r="BN90" s="172">
        <v>676</v>
      </c>
      <c r="BO90" s="172">
        <v>1315</v>
      </c>
      <c r="BP90" s="172">
        <v>628</v>
      </c>
      <c r="BQ90" s="172">
        <v>997</v>
      </c>
      <c r="BR90" s="172">
        <v>2164</v>
      </c>
      <c r="BS90" s="172">
        <v>1592</v>
      </c>
      <c r="BT90" s="172">
        <v>636</v>
      </c>
      <c r="BU90" s="172">
        <v>170</v>
      </c>
      <c r="BV90" s="172">
        <v>1603</v>
      </c>
      <c r="BW90" s="172">
        <v>1090</v>
      </c>
      <c r="BX90" s="172">
        <v>308</v>
      </c>
      <c r="BY90" s="162" t="s">
        <v>2</v>
      </c>
      <c r="BZ90" s="169">
        <v>1722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7">
        <v>0</v>
      </c>
      <c r="CH90" s="162">
        <v>0</v>
      </c>
      <c r="CI90" s="59">
        <v>0</v>
      </c>
      <c r="CJ90" s="162">
        <v>0</v>
      </c>
      <c r="CK90" s="162">
        <v>0</v>
      </c>
      <c r="CL90" s="162">
        <v>0</v>
      </c>
      <c r="CM90" s="59">
        <v>0</v>
      </c>
      <c r="CN90" s="156">
        <v>0</v>
      </c>
      <c r="CO90" s="160" t="s">
        <v>2</v>
      </c>
    </row>
    <row r="91" spans="1:93" x14ac:dyDescent="0.25">
      <c r="A91" s="155" t="s">
        <v>1549</v>
      </c>
      <c r="B91" s="42" t="s">
        <v>1550</v>
      </c>
      <c r="C91" s="44" t="s">
        <v>1400</v>
      </c>
      <c r="D91" s="291">
        <v>7</v>
      </c>
      <c r="E91" s="153">
        <v>0</v>
      </c>
      <c r="F91" s="153">
        <v>288</v>
      </c>
      <c r="G91" s="169">
        <f t="shared" si="0"/>
        <v>1205.568</v>
      </c>
      <c r="H91" s="153">
        <v>57.6</v>
      </c>
      <c r="I91" s="170">
        <v>17.05</v>
      </c>
      <c r="J91" s="170">
        <v>24.45</v>
      </c>
      <c r="K91" s="170">
        <v>0.02</v>
      </c>
      <c r="L91" s="170" t="s">
        <v>2</v>
      </c>
      <c r="M91" s="168">
        <v>0.92</v>
      </c>
      <c r="N91" s="171">
        <v>37</v>
      </c>
      <c r="O91" s="171">
        <v>389</v>
      </c>
      <c r="P91" s="170">
        <v>2.83</v>
      </c>
      <c r="Q91" s="170">
        <v>1.4</v>
      </c>
      <c r="R91" s="172" t="s">
        <v>2</v>
      </c>
      <c r="S91" s="172" t="s">
        <v>2</v>
      </c>
      <c r="T91" s="172" t="s">
        <v>2</v>
      </c>
      <c r="U91" s="172" t="s">
        <v>2</v>
      </c>
      <c r="V91" s="172" t="s">
        <v>2</v>
      </c>
      <c r="W91" s="169" t="s">
        <v>2</v>
      </c>
      <c r="X91" s="173" t="s">
        <v>2</v>
      </c>
      <c r="Y91" s="173">
        <v>1.73</v>
      </c>
      <c r="Z91" s="173">
        <v>0.02</v>
      </c>
      <c r="AA91" s="173" t="s">
        <v>2</v>
      </c>
      <c r="AB91" s="173" t="s">
        <v>2</v>
      </c>
      <c r="AC91" s="173" t="s">
        <v>2</v>
      </c>
      <c r="AD91" s="173" t="s">
        <v>2</v>
      </c>
      <c r="AE91" s="173" t="s">
        <v>2</v>
      </c>
      <c r="AF91" s="173" t="s">
        <v>2</v>
      </c>
      <c r="AG91" s="174" t="s">
        <v>2</v>
      </c>
      <c r="AH91" s="172">
        <v>0</v>
      </c>
      <c r="AI91" s="172">
        <v>0</v>
      </c>
      <c r="AJ91" s="8" t="s">
        <v>2</v>
      </c>
      <c r="AK91" s="170">
        <v>5.82</v>
      </c>
      <c r="AL91" s="7" t="s">
        <v>2</v>
      </c>
      <c r="AM91" s="172" t="s">
        <v>2</v>
      </c>
      <c r="AN91" s="172" t="s">
        <v>2</v>
      </c>
      <c r="AO91" s="169" t="s">
        <v>2</v>
      </c>
      <c r="AP91" s="170" t="s">
        <v>2</v>
      </c>
      <c r="AQ91" s="170" t="s">
        <v>2</v>
      </c>
      <c r="AR91" s="170" t="s">
        <v>2</v>
      </c>
      <c r="AS91" s="170" t="s">
        <v>2</v>
      </c>
      <c r="AT91" s="170" t="s">
        <v>2</v>
      </c>
      <c r="AU91" s="170" t="s">
        <v>2</v>
      </c>
      <c r="AV91" s="168" t="s">
        <v>2</v>
      </c>
      <c r="AW91" s="170" t="s">
        <v>2</v>
      </c>
      <c r="AX91" s="170" t="s">
        <v>2</v>
      </c>
      <c r="AY91" s="170" t="s">
        <v>2</v>
      </c>
      <c r="AZ91" s="168" t="s">
        <v>2</v>
      </c>
      <c r="BA91" s="170" t="s">
        <v>2</v>
      </c>
      <c r="BB91" s="170" t="s">
        <v>2</v>
      </c>
      <c r="BC91" s="170" t="s">
        <v>2</v>
      </c>
      <c r="BD91" s="170" t="s">
        <v>2</v>
      </c>
      <c r="BE91" s="170" t="s">
        <v>2</v>
      </c>
      <c r="BF91" s="168" t="s">
        <v>2</v>
      </c>
      <c r="BG91" s="168" t="s">
        <v>2</v>
      </c>
      <c r="BH91" s="168" t="s">
        <v>2</v>
      </c>
      <c r="BI91" s="172">
        <v>1434</v>
      </c>
      <c r="BJ91" s="172">
        <v>545</v>
      </c>
      <c r="BK91" s="172" t="s">
        <v>2</v>
      </c>
      <c r="BL91" s="172">
        <v>781</v>
      </c>
      <c r="BM91" s="172">
        <v>709</v>
      </c>
      <c r="BN91" s="172">
        <v>723</v>
      </c>
      <c r="BO91" s="172">
        <v>1339</v>
      </c>
      <c r="BP91" s="172">
        <v>727</v>
      </c>
      <c r="BQ91" s="172">
        <v>1063</v>
      </c>
      <c r="BR91" s="172">
        <v>1681</v>
      </c>
      <c r="BS91" s="172">
        <v>194</v>
      </c>
      <c r="BT91" s="172">
        <v>694</v>
      </c>
      <c r="BU91" s="172">
        <v>377</v>
      </c>
      <c r="BV91" s="172">
        <v>1143</v>
      </c>
      <c r="BW91" s="172">
        <v>968</v>
      </c>
      <c r="BX91" s="172">
        <v>236</v>
      </c>
      <c r="BY91" s="162" t="s">
        <v>2</v>
      </c>
      <c r="BZ91" s="169">
        <v>1461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7">
        <v>0</v>
      </c>
      <c r="CH91" s="162">
        <v>0</v>
      </c>
      <c r="CI91" s="59">
        <v>0</v>
      </c>
      <c r="CJ91" s="162">
        <v>0</v>
      </c>
      <c r="CK91" s="162">
        <v>0</v>
      </c>
      <c r="CL91" s="162">
        <v>0</v>
      </c>
      <c r="CM91" s="59">
        <v>0</v>
      </c>
      <c r="CN91" s="156">
        <v>0</v>
      </c>
      <c r="CO91" s="160" t="s">
        <v>2</v>
      </c>
    </row>
    <row r="92" spans="1:93" ht="16.5" thickBot="1" x14ac:dyDescent="0.3">
      <c r="A92" s="176" t="s">
        <v>1551</v>
      </c>
      <c r="B92" s="43" t="s">
        <v>1552</v>
      </c>
      <c r="C92" s="45" t="s">
        <v>1553</v>
      </c>
      <c r="D92" s="291">
        <v>7</v>
      </c>
      <c r="E92" s="175">
        <v>0</v>
      </c>
      <c r="F92" s="175">
        <v>306</v>
      </c>
      <c r="G92" s="178">
        <f t="shared" si="0"/>
        <v>1280.9159999999999</v>
      </c>
      <c r="H92" s="175">
        <v>52.9</v>
      </c>
      <c r="I92" s="179">
        <v>20</v>
      </c>
      <c r="J92" s="179">
        <v>24.8</v>
      </c>
      <c r="K92" s="179">
        <v>0.8</v>
      </c>
      <c r="L92" s="170" t="s">
        <v>2</v>
      </c>
      <c r="M92" s="177">
        <v>1.5</v>
      </c>
      <c r="N92" s="164">
        <v>84</v>
      </c>
      <c r="O92" s="164">
        <v>564</v>
      </c>
      <c r="P92" s="179">
        <v>1.83</v>
      </c>
      <c r="Q92" s="179" t="s">
        <v>2</v>
      </c>
      <c r="R92" s="180" t="s">
        <v>2</v>
      </c>
      <c r="S92" s="180" t="s">
        <v>2</v>
      </c>
      <c r="T92" s="180" t="s">
        <v>2</v>
      </c>
      <c r="U92" s="180" t="s">
        <v>2</v>
      </c>
      <c r="V92" s="180" t="s">
        <v>2</v>
      </c>
      <c r="W92" s="181" t="s">
        <v>2</v>
      </c>
      <c r="X92" s="182" t="s">
        <v>2</v>
      </c>
      <c r="Y92" s="183">
        <v>1.1000000000000001</v>
      </c>
      <c r="Z92" s="183">
        <v>7.0000000000000007E-2</v>
      </c>
      <c r="AA92" s="183" t="s">
        <v>2</v>
      </c>
      <c r="AB92" s="183" t="s">
        <v>2</v>
      </c>
      <c r="AC92" s="183" t="s">
        <v>2</v>
      </c>
      <c r="AD92" s="183" t="s">
        <v>2</v>
      </c>
      <c r="AE92" s="183" t="s">
        <v>2</v>
      </c>
      <c r="AF92" s="183" t="s">
        <v>2</v>
      </c>
      <c r="AG92" s="184" t="s">
        <v>2</v>
      </c>
      <c r="AH92" s="180" t="s">
        <v>2</v>
      </c>
      <c r="AI92" s="180" t="s">
        <v>2</v>
      </c>
      <c r="AJ92" s="15" t="s">
        <v>2</v>
      </c>
      <c r="AK92" s="15" t="s">
        <v>2</v>
      </c>
      <c r="AL92" s="19" t="s">
        <v>2</v>
      </c>
      <c r="AM92" s="180" t="s">
        <v>2</v>
      </c>
      <c r="AN92" s="180" t="s">
        <v>2</v>
      </c>
      <c r="AO92" s="181" t="s">
        <v>2</v>
      </c>
      <c r="AP92" s="185" t="s">
        <v>2</v>
      </c>
      <c r="AQ92" s="179" t="s">
        <v>2</v>
      </c>
      <c r="AR92" s="179" t="s">
        <v>2</v>
      </c>
      <c r="AS92" s="179" t="s">
        <v>2</v>
      </c>
      <c r="AT92" s="179" t="s">
        <v>2</v>
      </c>
      <c r="AU92" s="179" t="s">
        <v>2</v>
      </c>
      <c r="AV92" s="177" t="s">
        <v>2</v>
      </c>
      <c r="AW92" s="185" t="s">
        <v>2</v>
      </c>
      <c r="AX92" s="179" t="s">
        <v>2</v>
      </c>
      <c r="AY92" s="179" t="s">
        <v>2</v>
      </c>
      <c r="AZ92" s="177" t="s">
        <v>2</v>
      </c>
      <c r="BA92" s="179" t="s">
        <v>2</v>
      </c>
      <c r="BB92" s="179" t="s">
        <v>2</v>
      </c>
      <c r="BC92" s="179" t="s">
        <v>2</v>
      </c>
      <c r="BD92" s="179" t="s">
        <v>2</v>
      </c>
      <c r="BE92" s="179" t="s">
        <v>2</v>
      </c>
      <c r="BF92" s="177" t="s">
        <v>2</v>
      </c>
      <c r="BG92" s="177" t="s">
        <v>2</v>
      </c>
      <c r="BH92" s="177" t="s">
        <v>2</v>
      </c>
      <c r="BI92" s="180" t="s">
        <v>2</v>
      </c>
      <c r="BJ92" s="180" t="s">
        <v>2</v>
      </c>
      <c r="BK92" s="180" t="s">
        <v>2</v>
      </c>
      <c r="BL92" s="180" t="s">
        <v>2</v>
      </c>
      <c r="BM92" s="180" t="s">
        <v>2</v>
      </c>
      <c r="BN92" s="180" t="s">
        <v>2</v>
      </c>
      <c r="BO92" s="180" t="s">
        <v>2</v>
      </c>
      <c r="BP92" s="180" t="s">
        <v>2</v>
      </c>
      <c r="BQ92" s="180" t="s">
        <v>2</v>
      </c>
      <c r="BR92" s="180" t="s">
        <v>2</v>
      </c>
      <c r="BS92" s="180" t="s">
        <v>2</v>
      </c>
      <c r="BT92" s="180" t="s">
        <v>2</v>
      </c>
      <c r="BU92" s="180" t="s">
        <v>2</v>
      </c>
      <c r="BV92" s="180" t="s">
        <v>2</v>
      </c>
      <c r="BW92" s="180" t="s">
        <v>2</v>
      </c>
      <c r="BX92" s="180" t="s">
        <v>2</v>
      </c>
      <c r="BY92" s="180" t="s">
        <v>2</v>
      </c>
      <c r="BZ92" s="181" t="s">
        <v>2</v>
      </c>
      <c r="CA92" s="27" t="s">
        <v>2</v>
      </c>
      <c r="CB92" s="15" t="s">
        <v>2</v>
      </c>
      <c r="CC92" s="15" t="s">
        <v>2</v>
      </c>
      <c r="CD92" s="15" t="s">
        <v>2</v>
      </c>
      <c r="CE92" s="15" t="s">
        <v>2</v>
      </c>
      <c r="CF92" s="15" t="s">
        <v>2</v>
      </c>
      <c r="CG92" s="20" t="s">
        <v>2</v>
      </c>
      <c r="CH92" s="66" t="s">
        <v>2</v>
      </c>
      <c r="CI92" s="67" t="s">
        <v>2</v>
      </c>
      <c r="CJ92" s="66" t="s">
        <v>2</v>
      </c>
      <c r="CK92" s="66" t="s">
        <v>2</v>
      </c>
      <c r="CL92" s="66" t="s">
        <v>2</v>
      </c>
      <c r="CM92" s="67" t="s">
        <v>2</v>
      </c>
      <c r="CN92" s="20" t="s">
        <v>2</v>
      </c>
      <c r="CO92" s="18" t="s">
        <v>2</v>
      </c>
    </row>
    <row r="93" spans="1:93" s="207" customFormat="1" thickTop="1" x14ac:dyDescent="0.25">
      <c r="A93" s="239" t="s">
        <v>1554</v>
      </c>
      <c r="B93" s="240" t="s">
        <v>500</v>
      </c>
      <c r="C93" s="241" t="s">
        <v>1555</v>
      </c>
      <c r="D93" s="289">
        <v>8</v>
      </c>
      <c r="E93" s="199">
        <v>45</v>
      </c>
      <c r="F93" s="201">
        <v>70</v>
      </c>
      <c r="G93" s="201">
        <v>295</v>
      </c>
      <c r="H93" s="242">
        <v>81.900000000000006</v>
      </c>
      <c r="I93" s="203">
        <v>15.8</v>
      </c>
      <c r="J93" s="203">
        <v>0.8</v>
      </c>
      <c r="K93" s="203">
        <v>0</v>
      </c>
      <c r="L93" s="203">
        <v>0</v>
      </c>
      <c r="M93" s="204">
        <v>1.5</v>
      </c>
      <c r="N93" s="200">
        <v>17</v>
      </c>
      <c r="O93" s="200">
        <v>181</v>
      </c>
      <c r="P93" s="203">
        <v>0.9</v>
      </c>
      <c r="Q93" s="203" t="s">
        <v>2</v>
      </c>
      <c r="R93" s="200" t="s">
        <v>2</v>
      </c>
      <c r="S93" s="200" t="s">
        <v>2</v>
      </c>
      <c r="T93" s="200" t="s">
        <v>2</v>
      </c>
      <c r="U93" s="205" t="s">
        <v>2</v>
      </c>
      <c r="V93" s="205" t="s">
        <v>2</v>
      </c>
      <c r="W93" s="204" t="s">
        <v>2</v>
      </c>
      <c r="X93" s="203">
        <v>0</v>
      </c>
      <c r="Y93" s="205">
        <v>0.02</v>
      </c>
      <c r="Z93" s="205">
        <v>0.04</v>
      </c>
      <c r="AA93" s="205">
        <v>3.2</v>
      </c>
      <c r="AB93" s="224" t="s">
        <v>2</v>
      </c>
      <c r="AC93" s="224" t="s">
        <v>2</v>
      </c>
      <c r="AD93" s="234" t="s">
        <v>2</v>
      </c>
      <c r="AE93" s="234" t="s">
        <v>2</v>
      </c>
      <c r="AF93" s="223" t="s">
        <v>2</v>
      </c>
      <c r="AG93" s="204" t="s">
        <v>2</v>
      </c>
      <c r="AH93" s="231" t="s">
        <v>2</v>
      </c>
      <c r="AI93" s="200">
        <v>0</v>
      </c>
      <c r="AJ93" s="203" t="s">
        <v>2</v>
      </c>
      <c r="AK93" s="203" t="s">
        <v>2</v>
      </c>
      <c r="AL93" s="204" t="s">
        <v>2</v>
      </c>
      <c r="AM93" s="200">
        <v>0</v>
      </c>
      <c r="AN93" s="200">
        <v>0</v>
      </c>
      <c r="AO93" s="200">
        <v>0</v>
      </c>
      <c r="AP93" s="223" t="s">
        <v>2</v>
      </c>
      <c r="AQ93" s="224" t="s">
        <v>2</v>
      </c>
      <c r="AR93" s="224" t="s">
        <v>2</v>
      </c>
      <c r="AS93" s="224" t="s">
        <v>2</v>
      </c>
      <c r="AT93" s="224" t="s">
        <v>2</v>
      </c>
      <c r="AU93" s="224" t="s">
        <v>2</v>
      </c>
      <c r="AV93" s="236" t="s">
        <v>2</v>
      </c>
      <c r="AW93" s="223" t="s">
        <v>2</v>
      </c>
      <c r="AX93" s="224" t="s">
        <v>2</v>
      </c>
      <c r="AY93" s="224" t="s">
        <v>2</v>
      </c>
      <c r="AZ93" s="236" t="s">
        <v>2</v>
      </c>
      <c r="BA93" s="223" t="s">
        <v>2</v>
      </c>
      <c r="BB93" s="224" t="s">
        <v>2</v>
      </c>
      <c r="BC93" s="224" t="s">
        <v>2</v>
      </c>
      <c r="BD93" s="224" t="s">
        <v>2</v>
      </c>
      <c r="BE93" s="224" t="s">
        <v>2</v>
      </c>
      <c r="BF93" s="236" t="s">
        <v>2</v>
      </c>
      <c r="BG93" s="230" t="s">
        <v>2</v>
      </c>
      <c r="BH93" s="230" t="s">
        <v>2</v>
      </c>
      <c r="BI93" s="200">
        <v>1944</v>
      </c>
      <c r="BJ93" s="200">
        <v>598</v>
      </c>
      <c r="BK93" s="200">
        <v>176</v>
      </c>
      <c r="BL93" s="200">
        <v>718</v>
      </c>
      <c r="BM93" s="200">
        <v>927</v>
      </c>
      <c r="BN93" s="200">
        <v>987</v>
      </c>
      <c r="BO93" s="200">
        <v>1555</v>
      </c>
      <c r="BP93" s="200">
        <v>897</v>
      </c>
      <c r="BQ93" s="200">
        <v>957</v>
      </c>
      <c r="BR93" s="200">
        <v>419</v>
      </c>
      <c r="BS93" s="200">
        <v>260</v>
      </c>
      <c r="BT93" s="200">
        <v>718</v>
      </c>
      <c r="BU93" s="200">
        <v>1067</v>
      </c>
      <c r="BV93" s="200">
        <v>2243</v>
      </c>
      <c r="BW93" s="200">
        <v>2781</v>
      </c>
      <c r="BX93" s="200">
        <v>777</v>
      </c>
      <c r="BY93" s="200">
        <v>718</v>
      </c>
      <c r="BZ93" s="201">
        <v>718</v>
      </c>
      <c r="CA93" s="203">
        <v>0</v>
      </c>
      <c r="CB93" s="203">
        <v>0</v>
      </c>
      <c r="CC93" s="203">
        <v>0</v>
      </c>
      <c r="CD93" s="203">
        <v>0</v>
      </c>
      <c r="CE93" s="203">
        <v>0</v>
      </c>
      <c r="CF93" s="203">
        <v>0</v>
      </c>
      <c r="CG93" s="233">
        <v>0</v>
      </c>
      <c r="CH93" s="200">
        <v>0</v>
      </c>
      <c r="CI93" s="201">
        <v>0</v>
      </c>
      <c r="CJ93" s="200">
        <v>0</v>
      </c>
      <c r="CK93" s="200">
        <v>0</v>
      </c>
      <c r="CL93" s="200">
        <v>0</v>
      </c>
      <c r="CM93" s="201">
        <v>0</v>
      </c>
      <c r="CN93" s="235">
        <v>0</v>
      </c>
      <c r="CO93" s="235" t="s">
        <v>2</v>
      </c>
    </row>
    <row r="94" spans="1:93" s="207" customFormat="1" ht="15" x14ac:dyDescent="0.25">
      <c r="A94" s="239" t="s">
        <v>1556</v>
      </c>
      <c r="B94" s="240" t="s">
        <v>501</v>
      </c>
      <c r="C94" s="241" t="s">
        <v>1557</v>
      </c>
      <c r="D94" s="289">
        <v>8</v>
      </c>
      <c r="E94" s="199">
        <v>31</v>
      </c>
      <c r="F94" s="201">
        <v>113</v>
      </c>
      <c r="G94" s="201">
        <v>472</v>
      </c>
      <c r="H94" s="242">
        <v>75.099999999999994</v>
      </c>
      <c r="I94" s="203">
        <v>20.100000000000001</v>
      </c>
      <c r="J94" s="203">
        <v>3.6</v>
      </c>
      <c r="K94" s="203">
        <v>0</v>
      </c>
      <c r="L94" s="203">
        <v>0</v>
      </c>
      <c r="M94" s="204">
        <v>1.2</v>
      </c>
      <c r="N94" s="200">
        <v>63</v>
      </c>
      <c r="O94" s="200">
        <v>176</v>
      </c>
      <c r="P94" s="203">
        <v>0.2</v>
      </c>
      <c r="Q94" s="203" t="s">
        <v>2</v>
      </c>
      <c r="R94" s="200" t="s">
        <v>2</v>
      </c>
      <c r="S94" s="200" t="s">
        <v>2</v>
      </c>
      <c r="T94" s="200" t="s">
        <v>2</v>
      </c>
      <c r="U94" s="205" t="s">
        <v>2</v>
      </c>
      <c r="V94" s="205" t="s">
        <v>2</v>
      </c>
      <c r="W94" s="204" t="s">
        <v>2</v>
      </c>
      <c r="X94" s="203">
        <v>0</v>
      </c>
      <c r="Y94" s="205" t="s">
        <v>2</v>
      </c>
      <c r="Z94" s="205" t="s">
        <v>2</v>
      </c>
      <c r="AA94" s="205" t="s">
        <v>2</v>
      </c>
      <c r="AB94" s="205" t="s">
        <v>2</v>
      </c>
      <c r="AC94" s="205" t="s">
        <v>2</v>
      </c>
      <c r="AD94" s="200" t="s">
        <v>2</v>
      </c>
      <c r="AE94" s="200" t="s">
        <v>2</v>
      </c>
      <c r="AF94" s="203" t="s">
        <v>2</v>
      </c>
      <c r="AG94" s="204" t="s">
        <v>2</v>
      </c>
      <c r="AH94" s="201" t="s">
        <v>2</v>
      </c>
      <c r="AI94" s="200">
        <v>0</v>
      </c>
      <c r="AJ94" s="203" t="s">
        <v>2</v>
      </c>
      <c r="AK94" s="203" t="s">
        <v>2</v>
      </c>
      <c r="AL94" s="204" t="s">
        <v>2</v>
      </c>
      <c r="AM94" s="200">
        <v>0</v>
      </c>
      <c r="AN94" s="200">
        <v>0</v>
      </c>
      <c r="AO94" s="200">
        <v>0</v>
      </c>
      <c r="AP94" s="223" t="s">
        <v>2</v>
      </c>
      <c r="AQ94" s="224" t="s">
        <v>2</v>
      </c>
      <c r="AR94" s="224" t="s">
        <v>2</v>
      </c>
      <c r="AS94" s="224" t="s">
        <v>2</v>
      </c>
      <c r="AT94" s="224" t="s">
        <v>2</v>
      </c>
      <c r="AU94" s="224" t="s">
        <v>2</v>
      </c>
      <c r="AV94" s="236" t="s">
        <v>2</v>
      </c>
      <c r="AW94" s="223" t="s">
        <v>2</v>
      </c>
      <c r="AX94" s="224" t="s">
        <v>2</v>
      </c>
      <c r="AY94" s="224" t="s">
        <v>2</v>
      </c>
      <c r="AZ94" s="236" t="s">
        <v>2</v>
      </c>
      <c r="BA94" s="223" t="s">
        <v>2</v>
      </c>
      <c r="BB94" s="224" t="s">
        <v>2</v>
      </c>
      <c r="BC94" s="224" t="s">
        <v>2</v>
      </c>
      <c r="BD94" s="224" t="s">
        <v>2</v>
      </c>
      <c r="BE94" s="224" t="s">
        <v>2</v>
      </c>
      <c r="BF94" s="236" t="s">
        <v>2</v>
      </c>
      <c r="BG94" s="230" t="s">
        <v>2</v>
      </c>
      <c r="BH94" s="230" t="s">
        <v>2</v>
      </c>
      <c r="BI94" s="234" t="s">
        <v>2</v>
      </c>
      <c r="BJ94" s="234" t="s">
        <v>2</v>
      </c>
      <c r="BK94" s="234" t="s">
        <v>2</v>
      </c>
      <c r="BL94" s="234" t="s">
        <v>2</v>
      </c>
      <c r="BM94" s="234" t="s">
        <v>2</v>
      </c>
      <c r="BN94" s="234" t="s">
        <v>2</v>
      </c>
      <c r="BO94" s="234" t="s">
        <v>2</v>
      </c>
      <c r="BP94" s="234" t="s">
        <v>2</v>
      </c>
      <c r="BQ94" s="234" t="s">
        <v>2</v>
      </c>
      <c r="BR94" s="234" t="s">
        <v>2</v>
      </c>
      <c r="BS94" s="234" t="s">
        <v>2</v>
      </c>
      <c r="BT94" s="234" t="s">
        <v>2</v>
      </c>
      <c r="BU94" s="234" t="s">
        <v>2</v>
      </c>
      <c r="BV94" s="234" t="s">
        <v>2</v>
      </c>
      <c r="BW94" s="234" t="s">
        <v>2</v>
      </c>
      <c r="BX94" s="234" t="s">
        <v>2</v>
      </c>
      <c r="BY94" s="234" t="s">
        <v>2</v>
      </c>
      <c r="BZ94" s="237" t="s">
        <v>2</v>
      </c>
      <c r="CA94" s="203">
        <v>0</v>
      </c>
      <c r="CB94" s="203">
        <v>0</v>
      </c>
      <c r="CC94" s="203">
        <v>0</v>
      </c>
      <c r="CD94" s="203">
        <v>0</v>
      </c>
      <c r="CE94" s="203">
        <v>0</v>
      </c>
      <c r="CF94" s="203">
        <v>0</v>
      </c>
      <c r="CG94" s="233">
        <v>0</v>
      </c>
      <c r="CH94" s="200">
        <v>0</v>
      </c>
      <c r="CI94" s="201">
        <v>0</v>
      </c>
      <c r="CJ94" s="200">
        <v>0</v>
      </c>
      <c r="CK94" s="200">
        <v>0</v>
      </c>
      <c r="CL94" s="200">
        <v>0</v>
      </c>
      <c r="CM94" s="201">
        <v>0</v>
      </c>
      <c r="CN94" s="235">
        <v>0</v>
      </c>
      <c r="CO94" s="235" t="s">
        <v>2</v>
      </c>
    </row>
    <row r="95" spans="1:93" s="207" customFormat="1" ht="15" x14ac:dyDescent="0.25">
      <c r="A95" s="239" t="s">
        <v>1558</v>
      </c>
      <c r="B95" s="240" t="s">
        <v>502</v>
      </c>
      <c r="C95" s="241" t="s">
        <v>1559</v>
      </c>
      <c r="D95" s="289">
        <v>8</v>
      </c>
      <c r="E95" s="199">
        <v>40</v>
      </c>
      <c r="F95" s="201">
        <v>96</v>
      </c>
      <c r="G95" s="201">
        <v>403</v>
      </c>
      <c r="H95" s="242">
        <v>79.099999999999994</v>
      </c>
      <c r="I95" s="203">
        <v>16</v>
      </c>
      <c r="J95" s="203">
        <v>3.6</v>
      </c>
      <c r="K95" s="203">
        <v>0</v>
      </c>
      <c r="L95" s="203">
        <v>0</v>
      </c>
      <c r="M95" s="204">
        <v>1.3</v>
      </c>
      <c r="N95" s="200">
        <v>17</v>
      </c>
      <c r="O95" s="200">
        <v>184</v>
      </c>
      <c r="P95" s="203">
        <v>0.9</v>
      </c>
      <c r="Q95" s="203">
        <v>1.48</v>
      </c>
      <c r="R95" s="200">
        <v>49</v>
      </c>
      <c r="S95" s="200">
        <v>397</v>
      </c>
      <c r="T95" s="200">
        <v>30</v>
      </c>
      <c r="U95" s="205">
        <v>4.2000000000000003E-2</v>
      </c>
      <c r="V95" s="205">
        <v>57</v>
      </c>
      <c r="W95" s="204">
        <v>12.6</v>
      </c>
      <c r="X95" s="203">
        <v>0</v>
      </c>
      <c r="Y95" s="205">
        <v>0.02</v>
      </c>
      <c r="Z95" s="205">
        <v>0.04</v>
      </c>
      <c r="AA95" s="205">
        <v>1.5</v>
      </c>
      <c r="AB95" s="205">
        <v>0.75</v>
      </c>
      <c r="AC95" s="205">
        <v>0.19</v>
      </c>
      <c r="AD95" s="200">
        <v>15</v>
      </c>
      <c r="AE95" s="200">
        <v>0</v>
      </c>
      <c r="AF95" s="203" t="s">
        <v>2</v>
      </c>
      <c r="AG95" s="204">
        <v>1.53</v>
      </c>
      <c r="AH95" s="201">
        <v>181</v>
      </c>
      <c r="AI95" s="200">
        <v>181</v>
      </c>
      <c r="AJ95" s="203">
        <v>24.7</v>
      </c>
      <c r="AK95" s="203">
        <v>0.63</v>
      </c>
      <c r="AL95" s="204">
        <v>0.1</v>
      </c>
      <c r="AM95" s="200">
        <v>0</v>
      </c>
      <c r="AN95" s="200">
        <v>0</v>
      </c>
      <c r="AO95" s="200">
        <v>0</v>
      </c>
      <c r="AP95" s="203">
        <v>1.083</v>
      </c>
      <c r="AQ95" s="205">
        <v>0.65700000000000003</v>
      </c>
      <c r="AR95" s="205">
        <v>0</v>
      </c>
      <c r="AS95" s="205">
        <v>0.185</v>
      </c>
      <c r="AT95" s="205">
        <v>0</v>
      </c>
      <c r="AU95" s="205">
        <v>0</v>
      </c>
      <c r="AV95" s="206">
        <v>0</v>
      </c>
      <c r="AW95" s="203">
        <v>2.238</v>
      </c>
      <c r="AX95" s="205">
        <v>0</v>
      </c>
      <c r="AY95" s="205">
        <v>0.65500000000000003</v>
      </c>
      <c r="AZ95" s="206">
        <v>1.1499999999999999</v>
      </c>
      <c r="BA95" s="203">
        <v>1.431</v>
      </c>
      <c r="BB95" s="205">
        <v>0.51700000000000002</v>
      </c>
      <c r="BC95" s="205">
        <v>0.27</v>
      </c>
      <c r="BD95" s="205">
        <v>0.152</v>
      </c>
      <c r="BE95" s="205">
        <v>0.23799999999999999</v>
      </c>
      <c r="BF95" s="206">
        <v>0.114</v>
      </c>
      <c r="BG95" s="230" t="s">
        <v>2</v>
      </c>
      <c r="BH95" s="199">
        <v>70</v>
      </c>
      <c r="BI95" s="200">
        <v>1249</v>
      </c>
      <c r="BJ95" s="200">
        <v>476</v>
      </c>
      <c r="BK95" s="200">
        <v>200</v>
      </c>
      <c r="BL95" s="200">
        <v>566</v>
      </c>
      <c r="BM95" s="200">
        <v>686</v>
      </c>
      <c r="BN95" s="200">
        <v>1085</v>
      </c>
      <c r="BO95" s="200">
        <v>1249</v>
      </c>
      <c r="BP95" s="200">
        <v>822</v>
      </c>
      <c r="BQ95" s="200">
        <v>927</v>
      </c>
      <c r="BR95" s="200">
        <v>335</v>
      </c>
      <c r="BS95" s="200">
        <v>177</v>
      </c>
      <c r="BT95" s="200">
        <v>532</v>
      </c>
      <c r="BU95" s="200">
        <v>975</v>
      </c>
      <c r="BV95" s="200">
        <v>1505</v>
      </c>
      <c r="BW95" s="200">
        <v>2255</v>
      </c>
      <c r="BX95" s="200">
        <v>975</v>
      </c>
      <c r="BY95" s="200">
        <v>945</v>
      </c>
      <c r="BZ95" s="201">
        <v>847</v>
      </c>
      <c r="CA95" s="203">
        <v>0</v>
      </c>
      <c r="CB95" s="203">
        <v>0</v>
      </c>
      <c r="CC95" s="203">
        <v>0</v>
      </c>
      <c r="CD95" s="203">
        <v>0</v>
      </c>
      <c r="CE95" s="203">
        <v>0</v>
      </c>
      <c r="CF95" s="203">
        <v>0</v>
      </c>
      <c r="CG95" s="233">
        <v>0</v>
      </c>
      <c r="CH95" s="200">
        <v>0</v>
      </c>
      <c r="CI95" s="201">
        <v>0</v>
      </c>
      <c r="CJ95" s="200">
        <v>0</v>
      </c>
      <c r="CK95" s="200">
        <v>0</v>
      </c>
      <c r="CL95" s="200">
        <v>0</v>
      </c>
      <c r="CM95" s="201">
        <v>0</v>
      </c>
      <c r="CN95" s="235">
        <v>0</v>
      </c>
      <c r="CO95" s="235">
        <v>160</v>
      </c>
    </row>
    <row r="96" spans="1:93" s="207" customFormat="1" ht="15" x14ac:dyDescent="0.25">
      <c r="A96" s="239" t="s">
        <v>1560</v>
      </c>
      <c r="B96" s="240" t="s">
        <v>503</v>
      </c>
      <c r="C96" s="241" t="s">
        <v>1561</v>
      </c>
      <c r="D96" s="289">
        <v>8</v>
      </c>
      <c r="E96" s="199">
        <v>0</v>
      </c>
      <c r="F96" s="201">
        <v>115</v>
      </c>
      <c r="G96" s="201">
        <v>483</v>
      </c>
      <c r="H96" s="242">
        <v>75.599999999999994</v>
      </c>
      <c r="I96" s="203">
        <v>17.600000000000001</v>
      </c>
      <c r="J96" s="203">
        <v>5</v>
      </c>
      <c r="K96" s="203">
        <v>0</v>
      </c>
      <c r="L96" s="203">
        <v>0</v>
      </c>
      <c r="M96" s="204">
        <v>1.8</v>
      </c>
      <c r="N96" s="200">
        <v>64</v>
      </c>
      <c r="O96" s="200">
        <v>70</v>
      </c>
      <c r="P96" s="203" t="s">
        <v>2</v>
      </c>
      <c r="Q96" s="203" t="s">
        <v>2</v>
      </c>
      <c r="R96" s="200" t="s">
        <v>2</v>
      </c>
      <c r="S96" s="200" t="s">
        <v>2</v>
      </c>
      <c r="T96" s="200" t="s">
        <v>2</v>
      </c>
      <c r="U96" s="205" t="s">
        <v>2</v>
      </c>
      <c r="V96" s="205" t="s">
        <v>2</v>
      </c>
      <c r="W96" s="233" t="s">
        <v>2</v>
      </c>
      <c r="X96" s="203">
        <v>0</v>
      </c>
      <c r="Y96" s="205" t="s">
        <v>2</v>
      </c>
      <c r="Z96" s="205" t="s">
        <v>2</v>
      </c>
      <c r="AA96" s="205" t="s">
        <v>2</v>
      </c>
      <c r="AB96" s="205" t="s">
        <v>2</v>
      </c>
      <c r="AC96" s="205" t="s">
        <v>2</v>
      </c>
      <c r="AD96" s="200" t="s">
        <v>2</v>
      </c>
      <c r="AE96" s="200" t="s">
        <v>2</v>
      </c>
      <c r="AF96" s="203" t="s">
        <v>2</v>
      </c>
      <c r="AG96" s="204" t="s">
        <v>2</v>
      </c>
      <c r="AH96" s="201" t="s">
        <v>2</v>
      </c>
      <c r="AI96" s="200">
        <v>0</v>
      </c>
      <c r="AJ96" s="203" t="s">
        <v>2</v>
      </c>
      <c r="AK96" s="203" t="s">
        <v>2</v>
      </c>
      <c r="AL96" s="204" t="s">
        <v>2</v>
      </c>
      <c r="AM96" s="200">
        <v>0</v>
      </c>
      <c r="AN96" s="200">
        <v>0</v>
      </c>
      <c r="AO96" s="200">
        <v>0</v>
      </c>
      <c r="AP96" s="223" t="s">
        <v>2</v>
      </c>
      <c r="AQ96" s="224" t="s">
        <v>2</v>
      </c>
      <c r="AR96" s="224" t="s">
        <v>2</v>
      </c>
      <c r="AS96" s="224" t="s">
        <v>2</v>
      </c>
      <c r="AT96" s="224" t="s">
        <v>2</v>
      </c>
      <c r="AU96" s="224" t="s">
        <v>2</v>
      </c>
      <c r="AV96" s="236" t="s">
        <v>2</v>
      </c>
      <c r="AW96" s="223" t="s">
        <v>2</v>
      </c>
      <c r="AX96" s="224" t="s">
        <v>2</v>
      </c>
      <c r="AY96" s="224" t="s">
        <v>2</v>
      </c>
      <c r="AZ96" s="236" t="s">
        <v>2</v>
      </c>
      <c r="BA96" s="223" t="s">
        <v>2</v>
      </c>
      <c r="BB96" s="224" t="s">
        <v>2</v>
      </c>
      <c r="BC96" s="224" t="s">
        <v>2</v>
      </c>
      <c r="BD96" s="224" t="s">
        <v>2</v>
      </c>
      <c r="BE96" s="224" t="s">
        <v>2</v>
      </c>
      <c r="BF96" s="236" t="s">
        <v>2</v>
      </c>
      <c r="BG96" s="230" t="s">
        <v>2</v>
      </c>
      <c r="BH96" s="230" t="s">
        <v>2</v>
      </c>
      <c r="BI96" s="234" t="s">
        <v>2</v>
      </c>
      <c r="BJ96" s="234" t="s">
        <v>2</v>
      </c>
      <c r="BK96" s="234" t="s">
        <v>2</v>
      </c>
      <c r="BL96" s="234" t="s">
        <v>2</v>
      </c>
      <c r="BM96" s="234" t="s">
        <v>2</v>
      </c>
      <c r="BN96" s="234" t="s">
        <v>2</v>
      </c>
      <c r="BO96" s="234" t="s">
        <v>2</v>
      </c>
      <c r="BP96" s="234" t="s">
        <v>2</v>
      </c>
      <c r="BQ96" s="234" t="s">
        <v>2</v>
      </c>
      <c r="BR96" s="234" t="s">
        <v>2</v>
      </c>
      <c r="BS96" s="234" t="s">
        <v>2</v>
      </c>
      <c r="BT96" s="234" t="s">
        <v>2</v>
      </c>
      <c r="BU96" s="234" t="s">
        <v>2</v>
      </c>
      <c r="BV96" s="234" t="s">
        <v>2</v>
      </c>
      <c r="BW96" s="234" t="s">
        <v>2</v>
      </c>
      <c r="BX96" s="234" t="s">
        <v>2</v>
      </c>
      <c r="BY96" s="234" t="s">
        <v>2</v>
      </c>
      <c r="BZ96" s="237" t="s">
        <v>2</v>
      </c>
      <c r="CA96" s="203">
        <v>0</v>
      </c>
      <c r="CB96" s="203">
        <v>0</v>
      </c>
      <c r="CC96" s="203">
        <v>0</v>
      </c>
      <c r="CD96" s="203">
        <v>0</v>
      </c>
      <c r="CE96" s="203">
        <v>0</v>
      </c>
      <c r="CF96" s="203">
        <v>0</v>
      </c>
      <c r="CG96" s="233">
        <v>0</v>
      </c>
      <c r="CH96" s="200">
        <v>0</v>
      </c>
      <c r="CI96" s="201">
        <v>0</v>
      </c>
      <c r="CJ96" s="200">
        <v>0</v>
      </c>
      <c r="CK96" s="200">
        <v>0</v>
      </c>
      <c r="CL96" s="200">
        <v>0</v>
      </c>
      <c r="CM96" s="201">
        <v>0</v>
      </c>
      <c r="CN96" s="235">
        <v>0</v>
      </c>
      <c r="CO96" s="235" t="s">
        <v>2</v>
      </c>
    </row>
    <row r="97" spans="1:93" s="207" customFormat="1" ht="15" x14ac:dyDescent="0.25">
      <c r="A97" s="239" t="s">
        <v>1562</v>
      </c>
      <c r="B97" s="240" t="s">
        <v>504</v>
      </c>
      <c r="C97" s="241" t="s">
        <v>2</v>
      </c>
      <c r="D97" s="289">
        <v>8</v>
      </c>
      <c r="E97" s="199">
        <v>10</v>
      </c>
      <c r="F97" s="201">
        <v>96</v>
      </c>
      <c r="G97" s="201">
        <v>403</v>
      </c>
      <c r="H97" s="242">
        <v>75.099999999999994</v>
      </c>
      <c r="I97" s="203">
        <v>18.899999999999999</v>
      </c>
      <c r="J97" s="203">
        <v>2.2999999999999998</v>
      </c>
      <c r="K97" s="203">
        <v>0</v>
      </c>
      <c r="L97" s="203">
        <v>0</v>
      </c>
      <c r="M97" s="204">
        <v>3.7</v>
      </c>
      <c r="N97" s="200">
        <v>527</v>
      </c>
      <c r="O97" s="200">
        <v>885</v>
      </c>
      <c r="P97" s="203" t="s">
        <v>2</v>
      </c>
      <c r="Q97" s="203" t="s">
        <v>2</v>
      </c>
      <c r="R97" s="200" t="s">
        <v>2</v>
      </c>
      <c r="S97" s="200" t="s">
        <v>2</v>
      </c>
      <c r="T97" s="200" t="s">
        <v>2</v>
      </c>
      <c r="U97" s="205" t="s">
        <v>2</v>
      </c>
      <c r="V97" s="205" t="s">
        <v>2</v>
      </c>
      <c r="W97" s="233" t="s">
        <v>2</v>
      </c>
      <c r="X97" s="203">
        <v>0</v>
      </c>
      <c r="Y97" s="205" t="s">
        <v>2</v>
      </c>
      <c r="Z97" s="205" t="s">
        <v>2</v>
      </c>
      <c r="AA97" s="205" t="s">
        <v>2</v>
      </c>
      <c r="AB97" s="205" t="s">
        <v>2</v>
      </c>
      <c r="AC97" s="205" t="s">
        <v>2</v>
      </c>
      <c r="AD97" s="200" t="s">
        <v>2</v>
      </c>
      <c r="AE97" s="200" t="s">
        <v>2</v>
      </c>
      <c r="AF97" s="203" t="s">
        <v>2</v>
      </c>
      <c r="AG97" s="204" t="s">
        <v>2</v>
      </c>
      <c r="AH97" s="201" t="s">
        <v>2</v>
      </c>
      <c r="AI97" s="200">
        <v>0</v>
      </c>
      <c r="AJ97" s="203" t="s">
        <v>2</v>
      </c>
      <c r="AK97" s="203" t="s">
        <v>2</v>
      </c>
      <c r="AL97" s="204" t="s">
        <v>2</v>
      </c>
      <c r="AM97" s="200">
        <v>0</v>
      </c>
      <c r="AN97" s="200">
        <v>0</v>
      </c>
      <c r="AO97" s="200">
        <v>0</v>
      </c>
      <c r="AP97" s="223" t="s">
        <v>2</v>
      </c>
      <c r="AQ97" s="224" t="s">
        <v>2</v>
      </c>
      <c r="AR97" s="224" t="s">
        <v>2</v>
      </c>
      <c r="AS97" s="224" t="s">
        <v>2</v>
      </c>
      <c r="AT97" s="224" t="s">
        <v>2</v>
      </c>
      <c r="AU97" s="224" t="s">
        <v>2</v>
      </c>
      <c r="AV97" s="236" t="s">
        <v>2</v>
      </c>
      <c r="AW97" s="223" t="s">
        <v>2</v>
      </c>
      <c r="AX97" s="224" t="s">
        <v>2</v>
      </c>
      <c r="AY97" s="224" t="s">
        <v>2</v>
      </c>
      <c r="AZ97" s="236" t="s">
        <v>2</v>
      </c>
      <c r="BA97" s="223" t="s">
        <v>2</v>
      </c>
      <c r="BB97" s="224" t="s">
        <v>2</v>
      </c>
      <c r="BC97" s="224" t="s">
        <v>2</v>
      </c>
      <c r="BD97" s="224" t="s">
        <v>2</v>
      </c>
      <c r="BE97" s="224" t="s">
        <v>2</v>
      </c>
      <c r="BF97" s="236" t="s">
        <v>2</v>
      </c>
      <c r="BG97" s="230" t="s">
        <v>2</v>
      </c>
      <c r="BH97" s="230" t="s">
        <v>2</v>
      </c>
      <c r="BI97" s="234" t="s">
        <v>2</v>
      </c>
      <c r="BJ97" s="234" t="s">
        <v>2</v>
      </c>
      <c r="BK97" s="234" t="s">
        <v>2</v>
      </c>
      <c r="BL97" s="234" t="s">
        <v>2</v>
      </c>
      <c r="BM97" s="234" t="s">
        <v>2</v>
      </c>
      <c r="BN97" s="234" t="s">
        <v>2</v>
      </c>
      <c r="BO97" s="234" t="s">
        <v>2</v>
      </c>
      <c r="BP97" s="234" t="s">
        <v>2</v>
      </c>
      <c r="BQ97" s="234" t="s">
        <v>2</v>
      </c>
      <c r="BR97" s="234" t="s">
        <v>2</v>
      </c>
      <c r="BS97" s="234" t="s">
        <v>2</v>
      </c>
      <c r="BT97" s="234" t="s">
        <v>2</v>
      </c>
      <c r="BU97" s="234" t="s">
        <v>2</v>
      </c>
      <c r="BV97" s="234" t="s">
        <v>2</v>
      </c>
      <c r="BW97" s="234" t="s">
        <v>2</v>
      </c>
      <c r="BX97" s="234" t="s">
        <v>2</v>
      </c>
      <c r="BY97" s="234" t="s">
        <v>2</v>
      </c>
      <c r="BZ97" s="237" t="s">
        <v>2</v>
      </c>
      <c r="CA97" s="203">
        <v>0</v>
      </c>
      <c r="CB97" s="203">
        <v>0</v>
      </c>
      <c r="CC97" s="203">
        <v>0</v>
      </c>
      <c r="CD97" s="203">
        <v>0</v>
      </c>
      <c r="CE97" s="203">
        <v>0</v>
      </c>
      <c r="CF97" s="203">
        <v>0</v>
      </c>
      <c r="CG97" s="233">
        <v>0</v>
      </c>
      <c r="CH97" s="200">
        <v>0</v>
      </c>
      <c r="CI97" s="201">
        <v>0</v>
      </c>
      <c r="CJ97" s="200">
        <v>0</v>
      </c>
      <c r="CK97" s="200">
        <v>0</v>
      </c>
      <c r="CL97" s="200">
        <v>0</v>
      </c>
      <c r="CM97" s="201">
        <v>0</v>
      </c>
      <c r="CN97" s="235">
        <v>0</v>
      </c>
      <c r="CO97" s="235" t="s">
        <v>2</v>
      </c>
    </row>
    <row r="98" spans="1:93" s="207" customFormat="1" ht="15" x14ac:dyDescent="0.25">
      <c r="A98" s="239" t="s">
        <v>1563</v>
      </c>
      <c r="B98" s="240" t="s">
        <v>505</v>
      </c>
      <c r="C98" s="241" t="s">
        <v>1564</v>
      </c>
      <c r="D98" s="289">
        <v>8</v>
      </c>
      <c r="E98" s="199">
        <v>45</v>
      </c>
      <c r="F98" s="201">
        <v>87</v>
      </c>
      <c r="G98" s="201">
        <v>364</v>
      </c>
      <c r="H98" s="242">
        <v>78.900000000000006</v>
      </c>
      <c r="I98" s="203">
        <v>17.7</v>
      </c>
      <c r="J98" s="203">
        <v>1.8</v>
      </c>
      <c r="K98" s="203">
        <v>0</v>
      </c>
      <c r="L98" s="203">
        <v>0</v>
      </c>
      <c r="M98" s="204">
        <v>1.6</v>
      </c>
      <c r="N98" s="200">
        <v>70</v>
      </c>
      <c r="O98" s="200">
        <v>152</v>
      </c>
      <c r="P98" s="203">
        <v>0.8</v>
      </c>
      <c r="Q98" s="203" t="s">
        <v>2</v>
      </c>
      <c r="R98" s="200">
        <v>35</v>
      </c>
      <c r="S98" s="200">
        <v>271</v>
      </c>
      <c r="T98" s="234">
        <v>53</v>
      </c>
      <c r="U98" s="224" t="s">
        <v>2</v>
      </c>
      <c r="V98" s="205" t="s">
        <v>2</v>
      </c>
      <c r="W98" s="233" t="s">
        <v>2</v>
      </c>
      <c r="X98" s="203">
        <v>0</v>
      </c>
      <c r="Y98" s="205" t="s">
        <v>2</v>
      </c>
      <c r="Z98" s="205" t="s">
        <v>2</v>
      </c>
      <c r="AA98" s="205" t="s">
        <v>2</v>
      </c>
      <c r="AB98" s="205" t="s">
        <v>2</v>
      </c>
      <c r="AC98" s="205" t="s">
        <v>2</v>
      </c>
      <c r="AD98" s="200" t="s">
        <v>2</v>
      </c>
      <c r="AE98" s="200" t="s">
        <v>2</v>
      </c>
      <c r="AF98" s="203" t="s">
        <v>2</v>
      </c>
      <c r="AG98" s="204" t="s">
        <v>2</v>
      </c>
      <c r="AH98" s="201">
        <v>120</v>
      </c>
      <c r="AI98" s="200">
        <v>120</v>
      </c>
      <c r="AJ98" s="203">
        <v>1.53</v>
      </c>
      <c r="AK98" s="203" t="s">
        <v>2</v>
      </c>
      <c r="AL98" s="204" t="s">
        <v>2</v>
      </c>
      <c r="AM98" s="200">
        <v>0</v>
      </c>
      <c r="AN98" s="200">
        <v>0</v>
      </c>
      <c r="AO98" s="200">
        <v>0</v>
      </c>
      <c r="AP98" s="223" t="s">
        <v>2</v>
      </c>
      <c r="AQ98" s="224" t="s">
        <v>2</v>
      </c>
      <c r="AR98" s="224" t="s">
        <v>2</v>
      </c>
      <c r="AS98" s="224" t="s">
        <v>2</v>
      </c>
      <c r="AT98" s="224" t="s">
        <v>2</v>
      </c>
      <c r="AU98" s="224" t="s">
        <v>2</v>
      </c>
      <c r="AV98" s="236" t="s">
        <v>2</v>
      </c>
      <c r="AW98" s="223" t="s">
        <v>2</v>
      </c>
      <c r="AX98" s="224" t="s">
        <v>2</v>
      </c>
      <c r="AY98" s="224" t="s">
        <v>2</v>
      </c>
      <c r="AZ98" s="236" t="s">
        <v>2</v>
      </c>
      <c r="BA98" s="223" t="s">
        <v>2</v>
      </c>
      <c r="BB98" s="224" t="s">
        <v>2</v>
      </c>
      <c r="BC98" s="224" t="s">
        <v>2</v>
      </c>
      <c r="BD98" s="224" t="s">
        <v>2</v>
      </c>
      <c r="BE98" s="224" t="s">
        <v>2</v>
      </c>
      <c r="BF98" s="236" t="s">
        <v>2</v>
      </c>
      <c r="BG98" s="230" t="s">
        <v>2</v>
      </c>
      <c r="BH98" s="230" t="s">
        <v>2</v>
      </c>
      <c r="BI98" s="234" t="s">
        <v>2</v>
      </c>
      <c r="BJ98" s="234" t="s">
        <v>2</v>
      </c>
      <c r="BK98" s="234" t="s">
        <v>2</v>
      </c>
      <c r="BL98" s="234" t="s">
        <v>2</v>
      </c>
      <c r="BM98" s="234" t="s">
        <v>2</v>
      </c>
      <c r="BN98" s="234" t="s">
        <v>2</v>
      </c>
      <c r="BO98" s="234" t="s">
        <v>2</v>
      </c>
      <c r="BP98" s="234" t="s">
        <v>2</v>
      </c>
      <c r="BQ98" s="234" t="s">
        <v>2</v>
      </c>
      <c r="BR98" s="234" t="s">
        <v>2</v>
      </c>
      <c r="BS98" s="234" t="s">
        <v>2</v>
      </c>
      <c r="BT98" s="234" t="s">
        <v>2</v>
      </c>
      <c r="BU98" s="234" t="s">
        <v>2</v>
      </c>
      <c r="BV98" s="234" t="s">
        <v>2</v>
      </c>
      <c r="BW98" s="234" t="s">
        <v>2</v>
      </c>
      <c r="BX98" s="234" t="s">
        <v>2</v>
      </c>
      <c r="BY98" s="234" t="s">
        <v>2</v>
      </c>
      <c r="BZ98" s="237" t="s">
        <v>2</v>
      </c>
      <c r="CA98" s="203">
        <v>0</v>
      </c>
      <c r="CB98" s="203">
        <v>0</v>
      </c>
      <c r="CC98" s="203">
        <v>0</v>
      </c>
      <c r="CD98" s="203">
        <v>0</v>
      </c>
      <c r="CE98" s="203">
        <v>0</v>
      </c>
      <c r="CF98" s="203">
        <v>0</v>
      </c>
      <c r="CG98" s="233">
        <v>0</v>
      </c>
      <c r="CH98" s="200">
        <v>0</v>
      </c>
      <c r="CI98" s="201">
        <v>0</v>
      </c>
      <c r="CJ98" s="200">
        <v>0</v>
      </c>
      <c r="CK98" s="200">
        <v>0</v>
      </c>
      <c r="CL98" s="200">
        <v>0</v>
      </c>
      <c r="CM98" s="201">
        <v>0</v>
      </c>
      <c r="CN98" s="235">
        <v>0</v>
      </c>
      <c r="CO98" s="235" t="s">
        <v>2</v>
      </c>
    </row>
    <row r="99" spans="1:93" s="207" customFormat="1" ht="15" x14ac:dyDescent="0.25">
      <c r="A99" s="239" t="s">
        <v>1565</v>
      </c>
      <c r="B99" s="240" t="s">
        <v>506</v>
      </c>
      <c r="C99" s="241" t="s">
        <v>1566</v>
      </c>
      <c r="D99" s="289">
        <v>8</v>
      </c>
      <c r="E99" s="199">
        <v>0</v>
      </c>
      <c r="F99" s="201">
        <v>94</v>
      </c>
      <c r="G99" s="201">
        <v>393</v>
      </c>
      <c r="H99" s="242">
        <v>78.3</v>
      </c>
      <c r="I99" s="203">
        <v>18.3</v>
      </c>
      <c r="J99" s="203">
        <v>2.2999999999999998</v>
      </c>
      <c r="K99" s="203">
        <v>0</v>
      </c>
      <c r="L99" s="203">
        <v>0</v>
      </c>
      <c r="M99" s="204">
        <v>1.1000000000000001</v>
      </c>
      <c r="N99" s="200">
        <v>36</v>
      </c>
      <c r="O99" s="200">
        <v>50</v>
      </c>
      <c r="P99" s="203" t="s">
        <v>2</v>
      </c>
      <c r="Q99" s="203" t="s">
        <v>2</v>
      </c>
      <c r="R99" s="200" t="s">
        <v>2</v>
      </c>
      <c r="S99" s="200" t="s">
        <v>2</v>
      </c>
      <c r="T99" s="200" t="s">
        <v>2</v>
      </c>
      <c r="U99" s="205" t="s">
        <v>2</v>
      </c>
      <c r="V99" s="205" t="s">
        <v>2</v>
      </c>
      <c r="W99" s="233" t="s">
        <v>2</v>
      </c>
      <c r="X99" s="203">
        <v>0</v>
      </c>
      <c r="Y99" s="205" t="s">
        <v>2</v>
      </c>
      <c r="Z99" s="205" t="s">
        <v>2</v>
      </c>
      <c r="AA99" s="205" t="s">
        <v>2</v>
      </c>
      <c r="AB99" s="205" t="s">
        <v>2</v>
      </c>
      <c r="AC99" s="205" t="s">
        <v>2</v>
      </c>
      <c r="AD99" s="200" t="s">
        <v>2</v>
      </c>
      <c r="AE99" s="200" t="s">
        <v>2</v>
      </c>
      <c r="AF99" s="203" t="s">
        <v>2</v>
      </c>
      <c r="AG99" s="204" t="s">
        <v>2</v>
      </c>
      <c r="AH99" s="201" t="s">
        <v>2</v>
      </c>
      <c r="AI99" s="200">
        <v>0</v>
      </c>
      <c r="AJ99" s="203" t="s">
        <v>2</v>
      </c>
      <c r="AK99" s="203" t="s">
        <v>2</v>
      </c>
      <c r="AL99" s="204" t="s">
        <v>2</v>
      </c>
      <c r="AM99" s="200">
        <v>0</v>
      </c>
      <c r="AN99" s="200">
        <v>0</v>
      </c>
      <c r="AO99" s="200">
        <v>0</v>
      </c>
      <c r="AP99" s="223" t="s">
        <v>2</v>
      </c>
      <c r="AQ99" s="224" t="s">
        <v>2</v>
      </c>
      <c r="AR99" s="224" t="s">
        <v>2</v>
      </c>
      <c r="AS99" s="224" t="s">
        <v>2</v>
      </c>
      <c r="AT99" s="224" t="s">
        <v>2</v>
      </c>
      <c r="AU99" s="224" t="s">
        <v>2</v>
      </c>
      <c r="AV99" s="236" t="s">
        <v>2</v>
      </c>
      <c r="AW99" s="223" t="s">
        <v>2</v>
      </c>
      <c r="AX99" s="224" t="s">
        <v>2</v>
      </c>
      <c r="AY99" s="224" t="s">
        <v>2</v>
      </c>
      <c r="AZ99" s="236" t="s">
        <v>2</v>
      </c>
      <c r="BA99" s="223" t="s">
        <v>2</v>
      </c>
      <c r="BB99" s="224" t="s">
        <v>2</v>
      </c>
      <c r="BC99" s="224" t="s">
        <v>2</v>
      </c>
      <c r="BD99" s="224" t="s">
        <v>2</v>
      </c>
      <c r="BE99" s="224" t="s">
        <v>2</v>
      </c>
      <c r="BF99" s="236" t="s">
        <v>2</v>
      </c>
      <c r="BG99" s="230" t="s">
        <v>2</v>
      </c>
      <c r="BH99" s="230" t="s">
        <v>2</v>
      </c>
      <c r="BI99" s="234" t="s">
        <v>2</v>
      </c>
      <c r="BJ99" s="234" t="s">
        <v>2</v>
      </c>
      <c r="BK99" s="234" t="s">
        <v>2</v>
      </c>
      <c r="BL99" s="234" t="s">
        <v>2</v>
      </c>
      <c r="BM99" s="234" t="s">
        <v>2</v>
      </c>
      <c r="BN99" s="234" t="s">
        <v>2</v>
      </c>
      <c r="BO99" s="234" t="s">
        <v>2</v>
      </c>
      <c r="BP99" s="234" t="s">
        <v>2</v>
      </c>
      <c r="BQ99" s="234" t="s">
        <v>2</v>
      </c>
      <c r="BR99" s="234" t="s">
        <v>2</v>
      </c>
      <c r="BS99" s="234" t="s">
        <v>2</v>
      </c>
      <c r="BT99" s="234" t="s">
        <v>2</v>
      </c>
      <c r="BU99" s="234" t="s">
        <v>2</v>
      </c>
      <c r="BV99" s="234" t="s">
        <v>2</v>
      </c>
      <c r="BW99" s="234" t="s">
        <v>2</v>
      </c>
      <c r="BX99" s="234" t="s">
        <v>2</v>
      </c>
      <c r="BY99" s="234" t="s">
        <v>2</v>
      </c>
      <c r="BZ99" s="237" t="s">
        <v>2</v>
      </c>
      <c r="CA99" s="203">
        <v>0</v>
      </c>
      <c r="CB99" s="203">
        <v>0</v>
      </c>
      <c r="CC99" s="203">
        <v>0</v>
      </c>
      <c r="CD99" s="203">
        <v>0</v>
      </c>
      <c r="CE99" s="203">
        <v>0</v>
      </c>
      <c r="CF99" s="203">
        <v>0</v>
      </c>
      <c r="CG99" s="233">
        <v>0</v>
      </c>
      <c r="CH99" s="200">
        <v>0</v>
      </c>
      <c r="CI99" s="201">
        <v>0</v>
      </c>
      <c r="CJ99" s="200">
        <v>0</v>
      </c>
      <c r="CK99" s="200">
        <v>0</v>
      </c>
      <c r="CL99" s="200">
        <v>0</v>
      </c>
      <c r="CM99" s="201">
        <v>0</v>
      </c>
      <c r="CN99" s="235">
        <v>0</v>
      </c>
      <c r="CO99" s="235" t="s">
        <v>2</v>
      </c>
    </row>
    <row r="100" spans="1:93" s="207" customFormat="1" ht="15" x14ac:dyDescent="0.25">
      <c r="A100" s="239" t="s">
        <v>1567</v>
      </c>
      <c r="B100" s="240" t="s">
        <v>507</v>
      </c>
      <c r="C100" s="241" t="s">
        <v>1568</v>
      </c>
      <c r="D100" s="289">
        <v>8</v>
      </c>
      <c r="E100" s="199">
        <v>0</v>
      </c>
      <c r="F100" s="201">
        <v>83</v>
      </c>
      <c r="G100" s="201">
        <v>347</v>
      </c>
      <c r="H100" s="242">
        <v>78.8</v>
      </c>
      <c r="I100" s="203">
        <v>18.7</v>
      </c>
      <c r="J100" s="203">
        <v>0.9</v>
      </c>
      <c r="K100" s="203">
        <v>0</v>
      </c>
      <c r="L100" s="203">
        <v>0</v>
      </c>
      <c r="M100" s="204">
        <v>1.6</v>
      </c>
      <c r="N100" s="200">
        <v>80</v>
      </c>
      <c r="O100" s="200">
        <v>130</v>
      </c>
      <c r="P100" s="203" t="s">
        <v>2</v>
      </c>
      <c r="Q100" s="203" t="s">
        <v>2</v>
      </c>
      <c r="R100" s="200" t="s">
        <v>2</v>
      </c>
      <c r="S100" s="200" t="s">
        <v>2</v>
      </c>
      <c r="T100" s="200" t="s">
        <v>2</v>
      </c>
      <c r="U100" s="205" t="s">
        <v>2</v>
      </c>
      <c r="V100" s="205" t="s">
        <v>2</v>
      </c>
      <c r="W100" s="233" t="s">
        <v>2</v>
      </c>
      <c r="X100" s="203">
        <v>0</v>
      </c>
      <c r="Y100" s="205" t="s">
        <v>2</v>
      </c>
      <c r="Z100" s="205" t="s">
        <v>2</v>
      </c>
      <c r="AA100" s="205" t="s">
        <v>2</v>
      </c>
      <c r="AB100" s="205" t="s">
        <v>2</v>
      </c>
      <c r="AC100" s="205" t="s">
        <v>2</v>
      </c>
      <c r="AD100" s="200" t="s">
        <v>2</v>
      </c>
      <c r="AE100" s="200" t="s">
        <v>2</v>
      </c>
      <c r="AF100" s="203" t="s">
        <v>2</v>
      </c>
      <c r="AG100" s="204" t="s">
        <v>2</v>
      </c>
      <c r="AH100" s="201" t="s">
        <v>2</v>
      </c>
      <c r="AI100" s="200">
        <v>0</v>
      </c>
      <c r="AJ100" s="203" t="s">
        <v>2</v>
      </c>
      <c r="AK100" s="203" t="s">
        <v>2</v>
      </c>
      <c r="AL100" s="204" t="s">
        <v>2</v>
      </c>
      <c r="AM100" s="200">
        <v>0</v>
      </c>
      <c r="AN100" s="200">
        <v>0</v>
      </c>
      <c r="AO100" s="200">
        <v>0</v>
      </c>
      <c r="AP100" s="223" t="s">
        <v>2</v>
      </c>
      <c r="AQ100" s="224" t="s">
        <v>2</v>
      </c>
      <c r="AR100" s="224" t="s">
        <v>2</v>
      </c>
      <c r="AS100" s="224" t="s">
        <v>2</v>
      </c>
      <c r="AT100" s="224" t="s">
        <v>2</v>
      </c>
      <c r="AU100" s="224" t="s">
        <v>2</v>
      </c>
      <c r="AV100" s="236" t="s">
        <v>2</v>
      </c>
      <c r="AW100" s="223" t="s">
        <v>2</v>
      </c>
      <c r="AX100" s="224" t="s">
        <v>2</v>
      </c>
      <c r="AY100" s="224" t="s">
        <v>2</v>
      </c>
      <c r="AZ100" s="236" t="s">
        <v>2</v>
      </c>
      <c r="BA100" s="223" t="s">
        <v>2</v>
      </c>
      <c r="BB100" s="224" t="s">
        <v>2</v>
      </c>
      <c r="BC100" s="224" t="s">
        <v>2</v>
      </c>
      <c r="BD100" s="224" t="s">
        <v>2</v>
      </c>
      <c r="BE100" s="224" t="s">
        <v>2</v>
      </c>
      <c r="BF100" s="236" t="s">
        <v>2</v>
      </c>
      <c r="BG100" s="230" t="s">
        <v>2</v>
      </c>
      <c r="BH100" s="230" t="s">
        <v>2</v>
      </c>
      <c r="BI100" s="234" t="s">
        <v>2</v>
      </c>
      <c r="BJ100" s="234" t="s">
        <v>2</v>
      </c>
      <c r="BK100" s="234" t="s">
        <v>2</v>
      </c>
      <c r="BL100" s="234" t="s">
        <v>2</v>
      </c>
      <c r="BM100" s="234" t="s">
        <v>2</v>
      </c>
      <c r="BN100" s="234" t="s">
        <v>2</v>
      </c>
      <c r="BO100" s="234" t="s">
        <v>2</v>
      </c>
      <c r="BP100" s="234" t="s">
        <v>2</v>
      </c>
      <c r="BQ100" s="234" t="s">
        <v>2</v>
      </c>
      <c r="BR100" s="234" t="s">
        <v>2</v>
      </c>
      <c r="BS100" s="234" t="s">
        <v>2</v>
      </c>
      <c r="BT100" s="234" t="s">
        <v>2</v>
      </c>
      <c r="BU100" s="234" t="s">
        <v>2</v>
      </c>
      <c r="BV100" s="234" t="s">
        <v>2</v>
      </c>
      <c r="BW100" s="234" t="s">
        <v>2</v>
      </c>
      <c r="BX100" s="234" t="s">
        <v>2</v>
      </c>
      <c r="BY100" s="234" t="s">
        <v>2</v>
      </c>
      <c r="BZ100" s="237" t="s">
        <v>2</v>
      </c>
      <c r="CA100" s="203">
        <v>0</v>
      </c>
      <c r="CB100" s="203">
        <v>0</v>
      </c>
      <c r="CC100" s="203">
        <v>0</v>
      </c>
      <c r="CD100" s="203">
        <v>0</v>
      </c>
      <c r="CE100" s="203">
        <v>0</v>
      </c>
      <c r="CF100" s="203">
        <v>0</v>
      </c>
      <c r="CG100" s="233">
        <v>0</v>
      </c>
      <c r="CH100" s="200">
        <v>0</v>
      </c>
      <c r="CI100" s="201">
        <v>0</v>
      </c>
      <c r="CJ100" s="200">
        <v>0</v>
      </c>
      <c r="CK100" s="200">
        <v>0</v>
      </c>
      <c r="CL100" s="200">
        <v>0</v>
      </c>
      <c r="CM100" s="201">
        <v>0</v>
      </c>
      <c r="CN100" s="235">
        <v>0</v>
      </c>
      <c r="CO100" s="235" t="s">
        <v>2</v>
      </c>
    </row>
    <row r="101" spans="1:93" s="207" customFormat="1" ht="15" x14ac:dyDescent="0.25">
      <c r="A101" s="239" t="s">
        <v>1569</v>
      </c>
      <c r="B101" s="240" t="s">
        <v>508</v>
      </c>
      <c r="C101" s="241" t="s">
        <v>1570</v>
      </c>
      <c r="D101" s="289">
        <v>8</v>
      </c>
      <c r="E101" s="199">
        <v>42</v>
      </c>
      <c r="F101" s="201">
        <v>108</v>
      </c>
      <c r="G101" s="201">
        <v>451</v>
      </c>
      <c r="H101" s="242">
        <v>76</v>
      </c>
      <c r="I101" s="203">
        <v>19.5</v>
      </c>
      <c r="J101" s="203">
        <v>3.3</v>
      </c>
      <c r="K101" s="203">
        <v>0</v>
      </c>
      <c r="L101" s="203">
        <v>0</v>
      </c>
      <c r="M101" s="204">
        <v>1.2</v>
      </c>
      <c r="N101" s="200">
        <v>21</v>
      </c>
      <c r="O101" s="200">
        <v>224</v>
      </c>
      <c r="P101" s="223">
        <v>1</v>
      </c>
      <c r="Q101" s="223">
        <v>0.52</v>
      </c>
      <c r="R101" s="234">
        <v>65</v>
      </c>
      <c r="S101" s="234">
        <v>357</v>
      </c>
      <c r="T101" s="234">
        <v>29</v>
      </c>
      <c r="U101" s="224">
        <v>1.6E-2</v>
      </c>
      <c r="V101" s="224">
        <v>51</v>
      </c>
      <c r="W101" s="233">
        <v>36.5</v>
      </c>
      <c r="X101" s="203">
        <v>0</v>
      </c>
      <c r="Y101" s="224">
        <v>7.0000000000000007E-2</v>
      </c>
      <c r="Z101" s="224">
        <v>0.15</v>
      </c>
      <c r="AA101" s="224">
        <v>4.5999999999999996</v>
      </c>
      <c r="AB101" s="224">
        <v>0.76</v>
      </c>
      <c r="AC101" s="224">
        <v>0.42499999999999999</v>
      </c>
      <c r="AD101" s="234">
        <v>9</v>
      </c>
      <c r="AE101" s="234">
        <v>0</v>
      </c>
      <c r="AF101" s="203" t="s">
        <v>2</v>
      </c>
      <c r="AG101" s="233">
        <v>0.22</v>
      </c>
      <c r="AH101" s="201">
        <v>45</v>
      </c>
      <c r="AI101" s="200">
        <v>45</v>
      </c>
      <c r="AJ101" s="203" t="s">
        <v>2</v>
      </c>
      <c r="AK101" s="203">
        <v>1</v>
      </c>
      <c r="AL101" s="204">
        <v>0.1</v>
      </c>
      <c r="AM101" s="200">
        <v>0</v>
      </c>
      <c r="AN101" s="200">
        <v>0</v>
      </c>
      <c r="AO101" s="200">
        <v>0</v>
      </c>
      <c r="AP101" s="223">
        <v>1.1160000000000001</v>
      </c>
      <c r="AQ101" s="224">
        <v>0.747</v>
      </c>
      <c r="AR101" s="224">
        <v>0</v>
      </c>
      <c r="AS101" s="224">
        <v>0.1</v>
      </c>
      <c r="AT101" s="224">
        <v>0</v>
      </c>
      <c r="AU101" s="224">
        <v>0</v>
      </c>
      <c r="AV101" s="236">
        <v>0</v>
      </c>
      <c r="AW101" s="223">
        <v>1.0780000000000001</v>
      </c>
      <c r="AX101" s="224">
        <v>0</v>
      </c>
      <c r="AY101" s="224">
        <v>0.56399999999999995</v>
      </c>
      <c r="AZ101" s="236">
        <v>0.29299999999999998</v>
      </c>
      <c r="BA101" s="223">
        <v>0.71499999999999997</v>
      </c>
      <c r="BB101" s="224">
        <v>8.7999999999999995E-2</v>
      </c>
      <c r="BC101" s="224">
        <v>2.5000000000000001E-2</v>
      </c>
      <c r="BD101" s="224">
        <v>9.6000000000000002E-2</v>
      </c>
      <c r="BE101" s="224">
        <v>0.217</v>
      </c>
      <c r="BF101" s="236">
        <v>0.108</v>
      </c>
      <c r="BG101" s="230" t="s">
        <v>2</v>
      </c>
      <c r="BH101" s="230">
        <v>49</v>
      </c>
      <c r="BI101" s="234">
        <v>1777</v>
      </c>
      <c r="BJ101" s="234">
        <v>573</v>
      </c>
      <c r="BK101" s="234">
        <v>217</v>
      </c>
      <c r="BL101" s="234">
        <v>755</v>
      </c>
      <c r="BM101" s="234">
        <v>848</v>
      </c>
      <c r="BN101" s="234">
        <v>997</v>
      </c>
      <c r="BO101" s="234">
        <v>1573</v>
      </c>
      <c r="BP101" s="234">
        <v>892</v>
      </c>
      <c r="BQ101" s="234">
        <v>1158</v>
      </c>
      <c r="BR101" s="234">
        <v>570</v>
      </c>
      <c r="BS101" s="234">
        <v>207</v>
      </c>
      <c r="BT101" s="234">
        <v>653</v>
      </c>
      <c r="BU101" s="234">
        <v>1170</v>
      </c>
      <c r="BV101" s="234">
        <v>1981</v>
      </c>
      <c r="BW101" s="234">
        <v>1889</v>
      </c>
      <c r="BX101" s="234">
        <v>929</v>
      </c>
      <c r="BY101" s="234">
        <v>684</v>
      </c>
      <c r="BZ101" s="237">
        <v>789</v>
      </c>
      <c r="CA101" s="203">
        <v>0</v>
      </c>
      <c r="CB101" s="203">
        <v>0</v>
      </c>
      <c r="CC101" s="203">
        <v>0</v>
      </c>
      <c r="CD101" s="203">
        <v>0</v>
      </c>
      <c r="CE101" s="203">
        <v>0</v>
      </c>
      <c r="CF101" s="203">
        <v>0</v>
      </c>
      <c r="CG101" s="233">
        <v>0</v>
      </c>
      <c r="CH101" s="200">
        <v>0</v>
      </c>
      <c r="CI101" s="201">
        <v>0</v>
      </c>
      <c r="CJ101" s="200">
        <v>0</v>
      </c>
      <c r="CK101" s="200">
        <v>0</v>
      </c>
      <c r="CL101" s="200">
        <v>0</v>
      </c>
      <c r="CM101" s="201">
        <v>0</v>
      </c>
      <c r="CN101" s="235">
        <v>0</v>
      </c>
      <c r="CO101" s="235" t="s">
        <v>2</v>
      </c>
    </row>
    <row r="102" spans="1:93" s="207" customFormat="1" ht="15" x14ac:dyDescent="0.25">
      <c r="A102" s="239" t="s">
        <v>1571</v>
      </c>
      <c r="B102" s="240" t="s">
        <v>509</v>
      </c>
      <c r="C102" s="241" t="s">
        <v>1572</v>
      </c>
      <c r="D102" s="289">
        <v>8</v>
      </c>
      <c r="E102" s="199">
        <v>0</v>
      </c>
      <c r="F102" s="201">
        <v>98</v>
      </c>
      <c r="G102" s="200">
        <v>412</v>
      </c>
      <c r="H102" s="202">
        <v>76.400000000000006</v>
      </c>
      <c r="I102" s="203">
        <v>20.100000000000001</v>
      </c>
      <c r="J102" s="203">
        <v>2</v>
      </c>
      <c r="K102" s="203">
        <v>0</v>
      </c>
      <c r="L102" s="203">
        <v>0</v>
      </c>
      <c r="M102" s="204">
        <v>1.5</v>
      </c>
      <c r="N102" s="200">
        <v>90</v>
      </c>
      <c r="O102" s="200">
        <v>100</v>
      </c>
      <c r="P102" s="203" t="s">
        <v>2</v>
      </c>
      <c r="Q102" s="203" t="s">
        <v>2</v>
      </c>
      <c r="R102" s="200" t="s">
        <v>2</v>
      </c>
      <c r="S102" s="200" t="s">
        <v>2</v>
      </c>
      <c r="T102" s="200" t="s">
        <v>2</v>
      </c>
      <c r="U102" s="205" t="s">
        <v>2</v>
      </c>
      <c r="V102" s="205" t="s">
        <v>2</v>
      </c>
      <c r="W102" s="204" t="s">
        <v>2</v>
      </c>
      <c r="X102" s="203">
        <v>0</v>
      </c>
      <c r="Y102" s="205" t="s">
        <v>2</v>
      </c>
      <c r="Z102" s="205" t="s">
        <v>2</v>
      </c>
      <c r="AA102" s="205" t="s">
        <v>2</v>
      </c>
      <c r="AB102" s="205" t="s">
        <v>2</v>
      </c>
      <c r="AC102" s="205" t="s">
        <v>2</v>
      </c>
      <c r="AD102" s="200" t="s">
        <v>2</v>
      </c>
      <c r="AE102" s="200" t="s">
        <v>2</v>
      </c>
      <c r="AF102" s="203" t="s">
        <v>2</v>
      </c>
      <c r="AG102" s="204" t="s">
        <v>2</v>
      </c>
      <c r="AH102" s="201" t="s">
        <v>2</v>
      </c>
      <c r="AI102" s="200">
        <v>0</v>
      </c>
      <c r="AJ102" s="203" t="s">
        <v>2</v>
      </c>
      <c r="AK102" s="203" t="s">
        <v>2</v>
      </c>
      <c r="AL102" s="204" t="s">
        <v>2</v>
      </c>
      <c r="AM102" s="200">
        <v>0</v>
      </c>
      <c r="AN102" s="200">
        <v>0</v>
      </c>
      <c r="AO102" s="200">
        <v>0</v>
      </c>
      <c r="AP102" s="203" t="s">
        <v>2</v>
      </c>
      <c r="AQ102" s="205" t="s">
        <v>2</v>
      </c>
      <c r="AR102" s="205" t="s">
        <v>2</v>
      </c>
      <c r="AS102" s="205" t="s">
        <v>2</v>
      </c>
      <c r="AT102" s="205" t="s">
        <v>2</v>
      </c>
      <c r="AU102" s="205" t="s">
        <v>2</v>
      </c>
      <c r="AV102" s="206" t="s">
        <v>2</v>
      </c>
      <c r="AW102" s="203" t="s">
        <v>2</v>
      </c>
      <c r="AX102" s="205" t="s">
        <v>2</v>
      </c>
      <c r="AY102" s="205" t="s">
        <v>2</v>
      </c>
      <c r="AZ102" s="206" t="s">
        <v>2</v>
      </c>
      <c r="BA102" s="203" t="s">
        <v>2</v>
      </c>
      <c r="BB102" s="205" t="s">
        <v>2</v>
      </c>
      <c r="BC102" s="205" t="s">
        <v>2</v>
      </c>
      <c r="BD102" s="205" t="s">
        <v>2</v>
      </c>
      <c r="BE102" s="205" t="s">
        <v>2</v>
      </c>
      <c r="BF102" s="206" t="s">
        <v>2</v>
      </c>
      <c r="BG102" s="199" t="s">
        <v>2</v>
      </c>
      <c r="BH102" s="199" t="s">
        <v>2</v>
      </c>
      <c r="BI102" s="200" t="s">
        <v>2</v>
      </c>
      <c r="BJ102" s="200" t="s">
        <v>2</v>
      </c>
      <c r="BK102" s="200" t="s">
        <v>2</v>
      </c>
      <c r="BL102" s="200" t="s">
        <v>2</v>
      </c>
      <c r="BM102" s="200" t="s">
        <v>2</v>
      </c>
      <c r="BN102" s="200" t="s">
        <v>2</v>
      </c>
      <c r="BO102" s="200" t="s">
        <v>2</v>
      </c>
      <c r="BP102" s="200" t="s">
        <v>2</v>
      </c>
      <c r="BQ102" s="200" t="s">
        <v>2</v>
      </c>
      <c r="BR102" s="200" t="s">
        <v>2</v>
      </c>
      <c r="BS102" s="200" t="s">
        <v>2</v>
      </c>
      <c r="BT102" s="200" t="s">
        <v>2</v>
      </c>
      <c r="BU102" s="200" t="s">
        <v>2</v>
      </c>
      <c r="BV102" s="200" t="s">
        <v>2</v>
      </c>
      <c r="BW102" s="200" t="s">
        <v>2</v>
      </c>
      <c r="BX102" s="200" t="s">
        <v>2</v>
      </c>
      <c r="BY102" s="200" t="s">
        <v>2</v>
      </c>
      <c r="BZ102" s="201" t="s">
        <v>2</v>
      </c>
      <c r="CA102" s="203">
        <v>0</v>
      </c>
      <c r="CB102" s="203">
        <v>0</v>
      </c>
      <c r="CC102" s="203">
        <v>0</v>
      </c>
      <c r="CD102" s="203">
        <v>0</v>
      </c>
      <c r="CE102" s="203">
        <v>0</v>
      </c>
      <c r="CF102" s="203">
        <v>0</v>
      </c>
      <c r="CG102" s="204">
        <v>0</v>
      </c>
      <c r="CH102" s="200">
        <v>0</v>
      </c>
      <c r="CI102" s="201">
        <v>0</v>
      </c>
      <c r="CJ102" s="200">
        <v>0</v>
      </c>
      <c r="CK102" s="200">
        <v>0</v>
      </c>
      <c r="CL102" s="200">
        <v>0</v>
      </c>
      <c r="CM102" s="201">
        <v>0</v>
      </c>
      <c r="CN102" s="235">
        <v>0</v>
      </c>
      <c r="CO102" s="231" t="s">
        <v>2</v>
      </c>
    </row>
    <row r="103" spans="1:93" s="207" customFormat="1" ht="15" x14ac:dyDescent="0.25">
      <c r="A103" s="239" t="s">
        <v>1573</v>
      </c>
      <c r="B103" s="240" t="s">
        <v>510</v>
      </c>
      <c r="C103" s="241" t="s">
        <v>1574</v>
      </c>
      <c r="D103" s="289">
        <v>8</v>
      </c>
      <c r="E103" s="199">
        <v>40</v>
      </c>
      <c r="F103" s="201">
        <v>136</v>
      </c>
      <c r="G103" s="200">
        <v>568</v>
      </c>
      <c r="H103" s="202">
        <v>71.3</v>
      </c>
      <c r="I103" s="203">
        <v>22</v>
      </c>
      <c r="J103" s="203">
        <v>5.3</v>
      </c>
      <c r="K103" s="203">
        <v>0</v>
      </c>
      <c r="L103" s="203">
        <v>0</v>
      </c>
      <c r="M103" s="204">
        <v>1.4</v>
      </c>
      <c r="N103" s="200">
        <v>13</v>
      </c>
      <c r="O103" s="200">
        <v>230</v>
      </c>
      <c r="P103" s="203">
        <v>1.1000000000000001</v>
      </c>
      <c r="Q103" s="203">
        <v>0.41</v>
      </c>
      <c r="R103" s="200">
        <v>46</v>
      </c>
      <c r="S103" s="200">
        <v>423</v>
      </c>
      <c r="T103" s="200">
        <v>31</v>
      </c>
      <c r="U103" s="205">
        <v>1.4E-2</v>
      </c>
      <c r="V103" s="205">
        <v>51</v>
      </c>
      <c r="W103" s="204">
        <v>36.5</v>
      </c>
      <c r="X103" s="203">
        <v>0</v>
      </c>
      <c r="Y103" s="205">
        <v>0.22</v>
      </c>
      <c r="Z103" s="205">
        <v>7.0000000000000007E-2</v>
      </c>
      <c r="AA103" s="205">
        <v>7</v>
      </c>
      <c r="AB103" s="205">
        <v>0.82299999999999995</v>
      </c>
      <c r="AC103" s="205">
        <v>0.54900000000000004</v>
      </c>
      <c r="AD103" s="200">
        <v>9</v>
      </c>
      <c r="AE103" s="200">
        <v>0</v>
      </c>
      <c r="AF103" s="203" t="s">
        <v>2</v>
      </c>
      <c r="AG103" s="204">
        <v>4.17</v>
      </c>
      <c r="AH103" s="201">
        <v>30</v>
      </c>
      <c r="AI103" s="200">
        <v>30</v>
      </c>
      <c r="AJ103" s="203">
        <v>10.88</v>
      </c>
      <c r="AK103" s="203">
        <v>0.65</v>
      </c>
      <c r="AL103" s="204">
        <v>0.1</v>
      </c>
      <c r="AM103" s="200">
        <v>0</v>
      </c>
      <c r="AN103" s="200">
        <v>0</v>
      </c>
      <c r="AO103" s="200">
        <v>0</v>
      </c>
      <c r="AP103" s="203">
        <v>1.26</v>
      </c>
      <c r="AQ103" s="205">
        <v>0.751</v>
      </c>
      <c r="AR103" s="205">
        <v>0</v>
      </c>
      <c r="AS103" s="205">
        <v>0.20699999999999999</v>
      </c>
      <c r="AT103" s="205">
        <v>0</v>
      </c>
      <c r="AU103" s="205">
        <v>0</v>
      </c>
      <c r="AV103" s="206">
        <v>0</v>
      </c>
      <c r="AW103" s="203">
        <v>2.1339999999999999</v>
      </c>
      <c r="AX103" s="205">
        <v>0</v>
      </c>
      <c r="AY103" s="205">
        <v>0.50600000000000001</v>
      </c>
      <c r="AZ103" s="206">
        <v>1.204</v>
      </c>
      <c r="BA103" s="203">
        <v>1.992</v>
      </c>
      <c r="BB103" s="205">
        <v>0.20599999999999999</v>
      </c>
      <c r="BC103" s="205">
        <v>0.157</v>
      </c>
      <c r="BD103" s="205">
        <v>0.13300000000000001</v>
      </c>
      <c r="BE103" s="205">
        <v>0.42899999999999999</v>
      </c>
      <c r="BF103" s="206">
        <v>0.65600000000000003</v>
      </c>
      <c r="BG103" s="199" t="s">
        <v>2</v>
      </c>
      <c r="BH103" s="199">
        <v>45</v>
      </c>
      <c r="BI103" s="200">
        <v>1985</v>
      </c>
      <c r="BJ103" s="200">
        <v>640</v>
      </c>
      <c r="BK103" s="200">
        <v>242</v>
      </c>
      <c r="BL103" s="200">
        <v>844</v>
      </c>
      <c r="BM103" s="200">
        <v>948</v>
      </c>
      <c r="BN103" s="200">
        <v>1114</v>
      </c>
      <c r="BO103" s="200">
        <v>1757</v>
      </c>
      <c r="BP103" s="200">
        <v>996</v>
      </c>
      <c r="BQ103" s="200">
        <v>1294</v>
      </c>
      <c r="BR103" s="200">
        <v>636</v>
      </c>
      <c r="BS103" s="200">
        <v>232</v>
      </c>
      <c r="BT103" s="200">
        <v>730</v>
      </c>
      <c r="BU103" s="200">
        <v>1307</v>
      </c>
      <c r="BV103" s="200">
        <v>2214</v>
      </c>
      <c r="BW103" s="200">
        <v>3227</v>
      </c>
      <c r="BX103" s="200">
        <v>1038</v>
      </c>
      <c r="BY103" s="200">
        <v>764</v>
      </c>
      <c r="BZ103" s="201">
        <v>882</v>
      </c>
      <c r="CA103" s="203">
        <v>0</v>
      </c>
      <c r="CB103" s="203">
        <v>0</v>
      </c>
      <c r="CC103" s="203">
        <v>0</v>
      </c>
      <c r="CD103" s="203">
        <v>0</v>
      </c>
      <c r="CE103" s="203">
        <v>0</v>
      </c>
      <c r="CF103" s="203">
        <v>0</v>
      </c>
      <c r="CG103" s="204">
        <v>0</v>
      </c>
      <c r="CH103" s="200">
        <v>0</v>
      </c>
      <c r="CI103" s="201">
        <v>0</v>
      </c>
      <c r="CJ103" s="200">
        <v>0</v>
      </c>
      <c r="CK103" s="200">
        <v>0</v>
      </c>
      <c r="CL103" s="200">
        <v>0</v>
      </c>
      <c r="CM103" s="201">
        <v>0</v>
      </c>
      <c r="CN103" s="235">
        <v>0</v>
      </c>
      <c r="CO103" s="231">
        <v>170</v>
      </c>
    </row>
    <row r="104" spans="1:93" s="207" customFormat="1" ht="15" x14ac:dyDescent="0.25">
      <c r="A104" s="239" t="s">
        <v>1575</v>
      </c>
      <c r="B104" s="240" t="s">
        <v>511</v>
      </c>
      <c r="C104" s="241" t="s">
        <v>1576</v>
      </c>
      <c r="D104" s="289">
        <v>8</v>
      </c>
      <c r="E104" s="199">
        <v>15</v>
      </c>
      <c r="F104" s="201">
        <v>208</v>
      </c>
      <c r="G104" s="200">
        <v>872</v>
      </c>
      <c r="H104" s="202">
        <v>37.799999999999997</v>
      </c>
      <c r="I104" s="203">
        <v>43.3</v>
      </c>
      <c r="J104" s="203">
        <v>3.9</v>
      </c>
      <c r="K104" s="203">
        <v>0</v>
      </c>
      <c r="L104" s="203">
        <v>0</v>
      </c>
      <c r="M104" s="204">
        <v>15</v>
      </c>
      <c r="N104" s="200">
        <v>120</v>
      </c>
      <c r="O104" s="200">
        <v>95</v>
      </c>
      <c r="P104" s="203">
        <v>0.9</v>
      </c>
      <c r="Q104" s="203" t="s">
        <v>2</v>
      </c>
      <c r="R104" s="200" t="s">
        <v>2</v>
      </c>
      <c r="S104" s="200" t="s">
        <v>2</v>
      </c>
      <c r="T104" s="200" t="s">
        <v>2</v>
      </c>
      <c r="U104" s="205" t="s">
        <v>2</v>
      </c>
      <c r="V104" s="205" t="s">
        <v>2</v>
      </c>
      <c r="W104" s="204" t="s">
        <v>2</v>
      </c>
      <c r="X104" s="203">
        <v>0</v>
      </c>
      <c r="Y104" s="205">
        <v>0.08</v>
      </c>
      <c r="Z104" s="205">
        <v>0.31</v>
      </c>
      <c r="AA104" s="205">
        <v>4.5999999999999996</v>
      </c>
      <c r="AB104" s="205" t="s">
        <v>2</v>
      </c>
      <c r="AC104" s="205" t="s">
        <v>2</v>
      </c>
      <c r="AD104" s="200" t="s">
        <v>2</v>
      </c>
      <c r="AE104" s="200" t="s">
        <v>2</v>
      </c>
      <c r="AF104" s="203" t="s">
        <v>2</v>
      </c>
      <c r="AG104" s="204" t="s">
        <v>2</v>
      </c>
      <c r="AH104" s="201" t="s">
        <v>2</v>
      </c>
      <c r="AI104" s="200">
        <v>0</v>
      </c>
      <c r="AJ104" s="203" t="s">
        <v>2</v>
      </c>
      <c r="AK104" s="203" t="s">
        <v>2</v>
      </c>
      <c r="AL104" s="204" t="s">
        <v>2</v>
      </c>
      <c r="AM104" s="200">
        <v>0</v>
      </c>
      <c r="AN104" s="200">
        <v>0</v>
      </c>
      <c r="AO104" s="200">
        <v>0</v>
      </c>
      <c r="AP104" s="203" t="s">
        <v>2</v>
      </c>
      <c r="AQ104" s="205" t="s">
        <v>2</v>
      </c>
      <c r="AR104" s="205" t="s">
        <v>2</v>
      </c>
      <c r="AS104" s="205" t="s">
        <v>2</v>
      </c>
      <c r="AT104" s="205" t="s">
        <v>2</v>
      </c>
      <c r="AU104" s="205" t="s">
        <v>2</v>
      </c>
      <c r="AV104" s="206" t="s">
        <v>2</v>
      </c>
      <c r="AW104" s="203" t="s">
        <v>2</v>
      </c>
      <c r="AX104" s="205" t="s">
        <v>2</v>
      </c>
      <c r="AY104" s="205" t="s">
        <v>2</v>
      </c>
      <c r="AZ104" s="206" t="s">
        <v>2</v>
      </c>
      <c r="BA104" s="203" t="s">
        <v>2</v>
      </c>
      <c r="BB104" s="205" t="s">
        <v>2</v>
      </c>
      <c r="BC104" s="205" t="s">
        <v>2</v>
      </c>
      <c r="BD104" s="205" t="s">
        <v>2</v>
      </c>
      <c r="BE104" s="205" t="s">
        <v>2</v>
      </c>
      <c r="BF104" s="206" t="s">
        <v>2</v>
      </c>
      <c r="BG104" s="199" t="s">
        <v>2</v>
      </c>
      <c r="BH104" s="199" t="s">
        <v>2</v>
      </c>
      <c r="BI104" s="200" t="s">
        <v>2</v>
      </c>
      <c r="BJ104" s="200" t="s">
        <v>2</v>
      </c>
      <c r="BK104" s="200" t="s">
        <v>2</v>
      </c>
      <c r="BL104" s="200" t="s">
        <v>2</v>
      </c>
      <c r="BM104" s="200" t="s">
        <v>2</v>
      </c>
      <c r="BN104" s="200" t="s">
        <v>2</v>
      </c>
      <c r="BO104" s="200" t="s">
        <v>2</v>
      </c>
      <c r="BP104" s="200" t="s">
        <v>2</v>
      </c>
      <c r="BQ104" s="200" t="s">
        <v>2</v>
      </c>
      <c r="BR104" s="200" t="s">
        <v>2</v>
      </c>
      <c r="BS104" s="200" t="s">
        <v>2</v>
      </c>
      <c r="BT104" s="200" t="s">
        <v>2</v>
      </c>
      <c r="BU104" s="200" t="s">
        <v>2</v>
      </c>
      <c r="BV104" s="200" t="s">
        <v>2</v>
      </c>
      <c r="BW104" s="200" t="s">
        <v>2</v>
      </c>
      <c r="BX104" s="200" t="s">
        <v>2</v>
      </c>
      <c r="BY104" s="200" t="s">
        <v>2</v>
      </c>
      <c r="BZ104" s="201" t="s">
        <v>2</v>
      </c>
      <c r="CA104" s="203">
        <v>0</v>
      </c>
      <c r="CB104" s="203">
        <v>0</v>
      </c>
      <c r="CC104" s="203">
        <v>0</v>
      </c>
      <c r="CD104" s="203">
        <v>0</v>
      </c>
      <c r="CE104" s="203">
        <v>0</v>
      </c>
      <c r="CF104" s="203">
        <v>0</v>
      </c>
      <c r="CG104" s="204">
        <v>0</v>
      </c>
      <c r="CH104" s="200">
        <v>0</v>
      </c>
      <c r="CI104" s="201">
        <v>0</v>
      </c>
      <c r="CJ104" s="200">
        <v>0</v>
      </c>
      <c r="CK104" s="200">
        <v>0</v>
      </c>
      <c r="CL104" s="200">
        <v>0</v>
      </c>
      <c r="CM104" s="201">
        <v>0</v>
      </c>
      <c r="CN104" s="235">
        <v>0</v>
      </c>
      <c r="CO104" s="231" t="s">
        <v>2</v>
      </c>
    </row>
    <row r="105" spans="1:93" s="207" customFormat="1" ht="15" x14ac:dyDescent="0.25">
      <c r="A105" s="239" t="s">
        <v>1577</v>
      </c>
      <c r="B105" s="240" t="s">
        <v>512</v>
      </c>
      <c r="C105" s="241" t="s">
        <v>2</v>
      </c>
      <c r="D105" s="289">
        <v>8</v>
      </c>
      <c r="E105" s="199">
        <v>0</v>
      </c>
      <c r="F105" s="201">
        <v>71</v>
      </c>
      <c r="G105" s="200">
        <v>298</v>
      </c>
      <c r="H105" s="202">
        <v>78.099999999999994</v>
      </c>
      <c r="I105" s="203">
        <v>16.7</v>
      </c>
      <c r="J105" s="203">
        <v>0.5</v>
      </c>
      <c r="K105" s="203">
        <v>0</v>
      </c>
      <c r="L105" s="203">
        <v>0</v>
      </c>
      <c r="M105" s="204">
        <v>4.7</v>
      </c>
      <c r="N105" s="200">
        <v>80</v>
      </c>
      <c r="O105" s="200">
        <v>210</v>
      </c>
      <c r="P105" s="203" t="s">
        <v>2</v>
      </c>
      <c r="Q105" s="203" t="s">
        <v>2</v>
      </c>
      <c r="R105" s="200" t="s">
        <v>2</v>
      </c>
      <c r="S105" s="200" t="s">
        <v>2</v>
      </c>
      <c r="T105" s="200" t="s">
        <v>2</v>
      </c>
      <c r="U105" s="205" t="s">
        <v>2</v>
      </c>
      <c r="V105" s="205" t="s">
        <v>2</v>
      </c>
      <c r="W105" s="204" t="s">
        <v>2</v>
      </c>
      <c r="X105" s="203">
        <v>0</v>
      </c>
      <c r="Y105" s="205" t="s">
        <v>2</v>
      </c>
      <c r="Z105" s="205" t="s">
        <v>2</v>
      </c>
      <c r="AA105" s="205" t="s">
        <v>2</v>
      </c>
      <c r="AB105" s="205" t="s">
        <v>2</v>
      </c>
      <c r="AC105" s="205" t="s">
        <v>2</v>
      </c>
      <c r="AD105" s="200" t="s">
        <v>2</v>
      </c>
      <c r="AE105" s="200" t="s">
        <v>2</v>
      </c>
      <c r="AF105" s="203" t="s">
        <v>2</v>
      </c>
      <c r="AG105" s="204" t="s">
        <v>2</v>
      </c>
      <c r="AH105" s="201" t="s">
        <v>2</v>
      </c>
      <c r="AI105" s="200">
        <v>0</v>
      </c>
      <c r="AJ105" s="203" t="s">
        <v>2</v>
      </c>
      <c r="AK105" s="203" t="s">
        <v>2</v>
      </c>
      <c r="AL105" s="204" t="s">
        <v>2</v>
      </c>
      <c r="AM105" s="200">
        <v>0</v>
      </c>
      <c r="AN105" s="200">
        <v>0</v>
      </c>
      <c r="AO105" s="200">
        <v>0</v>
      </c>
      <c r="AP105" s="203" t="s">
        <v>2</v>
      </c>
      <c r="AQ105" s="205" t="s">
        <v>2</v>
      </c>
      <c r="AR105" s="205" t="s">
        <v>2</v>
      </c>
      <c r="AS105" s="205" t="s">
        <v>2</v>
      </c>
      <c r="AT105" s="205" t="s">
        <v>2</v>
      </c>
      <c r="AU105" s="205" t="s">
        <v>2</v>
      </c>
      <c r="AV105" s="206" t="s">
        <v>2</v>
      </c>
      <c r="AW105" s="203" t="s">
        <v>2</v>
      </c>
      <c r="AX105" s="205" t="s">
        <v>2</v>
      </c>
      <c r="AY105" s="205" t="s">
        <v>2</v>
      </c>
      <c r="AZ105" s="206" t="s">
        <v>2</v>
      </c>
      <c r="BA105" s="203" t="s">
        <v>2</v>
      </c>
      <c r="BB105" s="205" t="s">
        <v>2</v>
      </c>
      <c r="BC105" s="205" t="s">
        <v>2</v>
      </c>
      <c r="BD105" s="205" t="s">
        <v>2</v>
      </c>
      <c r="BE105" s="205" t="s">
        <v>2</v>
      </c>
      <c r="BF105" s="206" t="s">
        <v>2</v>
      </c>
      <c r="BG105" s="199" t="s">
        <v>2</v>
      </c>
      <c r="BH105" s="199" t="s">
        <v>2</v>
      </c>
      <c r="BI105" s="200" t="s">
        <v>2</v>
      </c>
      <c r="BJ105" s="200" t="s">
        <v>2</v>
      </c>
      <c r="BK105" s="200" t="s">
        <v>2</v>
      </c>
      <c r="BL105" s="200" t="s">
        <v>2</v>
      </c>
      <c r="BM105" s="200" t="s">
        <v>2</v>
      </c>
      <c r="BN105" s="200" t="s">
        <v>2</v>
      </c>
      <c r="BO105" s="200" t="s">
        <v>2</v>
      </c>
      <c r="BP105" s="200" t="s">
        <v>2</v>
      </c>
      <c r="BQ105" s="200" t="s">
        <v>2</v>
      </c>
      <c r="BR105" s="200" t="s">
        <v>2</v>
      </c>
      <c r="BS105" s="200" t="s">
        <v>2</v>
      </c>
      <c r="BT105" s="200" t="s">
        <v>2</v>
      </c>
      <c r="BU105" s="200" t="s">
        <v>2</v>
      </c>
      <c r="BV105" s="200" t="s">
        <v>2</v>
      </c>
      <c r="BW105" s="200" t="s">
        <v>2</v>
      </c>
      <c r="BX105" s="200" t="s">
        <v>2</v>
      </c>
      <c r="BY105" s="200" t="s">
        <v>2</v>
      </c>
      <c r="BZ105" s="201" t="s">
        <v>2</v>
      </c>
      <c r="CA105" s="203">
        <v>0</v>
      </c>
      <c r="CB105" s="203">
        <v>0</v>
      </c>
      <c r="CC105" s="203">
        <v>0</v>
      </c>
      <c r="CD105" s="203">
        <v>0</v>
      </c>
      <c r="CE105" s="203">
        <v>0</v>
      </c>
      <c r="CF105" s="203">
        <v>0</v>
      </c>
      <c r="CG105" s="204">
        <v>0</v>
      </c>
      <c r="CH105" s="200">
        <v>0</v>
      </c>
      <c r="CI105" s="201">
        <v>0</v>
      </c>
      <c r="CJ105" s="200">
        <v>0</v>
      </c>
      <c r="CK105" s="200">
        <v>0</v>
      </c>
      <c r="CL105" s="200">
        <v>0</v>
      </c>
      <c r="CM105" s="201">
        <v>0</v>
      </c>
      <c r="CN105" s="235">
        <v>0</v>
      </c>
      <c r="CO105" s="231" t="s">
        <v>2</v>
      </c>
    </row>
    <row r="106" spans="1:93" s="207" customFormat="1" ht="15" x14ac:dyDescent="0.25">
      <c r="A106" s="239" t="s">
        <v>1578</v>
      </c>
      <c r="B106" s="240" t="s">
        <v>513</v>
      </c>
      <c r="C106" s="241" t="s">
        <v>1579</v>
      </c>
      <c r="D106" s="289">
        <v>8</v>
      </c>
      <c r="E106" s="199">
        <v>36</v>
      </c>
      <c r="F106" s="201">
        <v>144</v>
      </c>
      <c r="G106" s="200">
        <v>600</v>
      </c>
      <c r="H106" s="202">
        <v>74.7</v>
      </c>
      <c r="I106" s="203">
        <v>15.4</v>
      </c>
      <c r="J106" s="203">
        <v>9.1</v>
      </c>
      <c r="K106" s="203">
        <v>0</v>
      </c>
      <c r="L106" s="203">
        <v>0</v>
      </c>
      <c r="M106" s="204">
        <v>0.8</v>
      </c>
      <c r="N106" s="200">
        <v>157</v>
      </c>
      <c r="O106" s="200">
        <v>215</v>
      </c>
      <c r="P106" s="203" t="s">
        <v>2</v>
      </c>
      <c r="Q106" s="203" t="s">
        <v>2</v>
      </c>
      <c r="R106" s="200">
        <v>31</v>
      </c>
      <c r="S106" s="200">
        <v>319</v>
      </c>
      <c r="T106" s="200">
        <v>39</v>
      </c>
      <c r="U106" s="205" t="s">
        <v>2</v>
      </c>
      <c r="V106" s="205" t="s">
        <v>2</v>
      </c>
      <c r="W106" s="204" t="s">
        <v>2</v>
      </c>
      <c r="X106" s="203">
        <v>0</v>
      </c>
      <c r="Y106" s="205" t="s">
        <v>2</v>
      </c>
      <c r="Z106" s="205" t="s">
        <v>2</v>
      </c>
      <c r="AA106" s="205" t="s">
        <v>2</v>
      </c>
      <c r="AB106" s="205" t="s">
        <v>2</v>
      </c>
      <c r="AC106" s="205" t="s">
        <v>2</v>
      </c>
      <c r="AD106" s="200" t="s">
        <v>2</v>
      </c>
      <c r="AE106" s="200" t="s">
        <v>2</v>
      </c>
      <c r="AF106" s="203" t="s">
        <v>2</v>
      </c>
      <c r="AG106" s="204" t="s">
        <v>2</v>
      </c>
      <c r="AH106" s="201" t="s">
        <v>2</v>
      </c>
      <c r="AI106" s="200">
        <v>0</v>
      </c>
      <c r="AJ106" s="203" t="s">
        <v>2</v>
      </c>
      <c r="AK106" s="203" t="s">
        <v>2</v>
      </c>
      <c r="AL106" s="204" t="s">
        <v>2</v>
      </c>
      <c r="AM106" s="200">
        <v>0</v>
      </c>
      <c r="AN106" s="200">
        <v>0</v>
      </c>
      <c r="AO106" s="200">
        <v>0</v>
      </c>
      <c r="AP106" s="203" t="s">
        <v>2</v>
      </c>
      <c r="AQ106" s="205" t="s">
        <v>2</v>
      </c>
      <c r="AR106" s="205" t="s">
        <v>2</v>
      </c>
      <c r="AS106" s="205" t="s">
        <v>2</v>
      </c>
      <c r="AT106" s="205" t="s">
        <v>2</v>
      </c>
      <c r="AU106" s="205" t="s">
        <v>2</v>
      </c>
      <c r="AV106" s="206" t="s">
        <v>2</v>
      </c>
      <c r="AW106" s="203" t="s">
        <v>2</v>
      </c>
      <c r="AX106" s="205" t="s">
        <v>2</v>
      </c>
      <c r="AY106" s="205" t="s">
        <v>2</v>
      </c>
      <c r="AZ106" s="206" t="s">
        <v>2</v>
      </c>
      <c r="BA106" s="203" t="s">
        <v>2</v>
      </c>
      <c r="BB106" s="205" t="s">
        <v>2</v>
      </c>
      <c r="BC106" s="205" t="s">
        <v>2</v>
      </c>
      <c r="BD106" s="205" t="s">
        <v>2</v>
      </c>
      <c r="BE106" s="205" t="s">
        <v>2</v>
      </c>
      <c r="BF106" s="206" t="s">
        <v>2</v>
      </c>
      <c r="BG106" s="199" t="s">
        <v>2</v>
      </c>
      <c r="BH106" s="199" t="s">
        <v>2</v>
      </c>
      <c r="BI106" s="200" t="s">
        <v>2</v>
      </c>
      <c r="BJ106" s="200" t="s">
        <v>2</v>
      </c>
      <c r="BK106" s="200" t="s">
        <v>2</v>
      </c>
      <c r="BL106" s="200" t="s">
        <v>2</v>
      </c>
      <c r="BM106" s="200" t="s">
        <v>2</v>
      </c>
      <c r="BN106" s="200" t="s">
        <v>2</v>
      </c>
      <c r="BO106" s="200" t="s">
        <v>2</v>
      </c>
      <c r="BP106" s="200" t="s">
        <v>2</v>
      </c>
      <c r="BQ106" s="200" t="s">
        <v>2</v>
      </c>
      <c r="BR106" s="200" t="s">
        <v>2</v>
      </c>
      <c r="BS106" s="200" t="s">
        <v>2</v>
      </c>
      <c r="BT106" s="200" t="s">
        <v>2</v>
      </c>
      <c r="BU106" s="200" t="s">
        <v>2</v>
      </c>
      <c r="BV106" s="200" t="s">
        <v>2</v>
      </c>
      <c r="BW106" s="200" t="s">
        <v>2</v>
      </c>
      <c r="BX106" s="200" t="s">
        <v>2</v>
      </c>
      <c r="BY106" s="200" t="s">
        <v>2</v>
      </c>
      <c r="BZ106" s="201" t="s">
        <v>2</v>
      </c>
      <c r="CA106" s="203">
        <v>0</v>
      </c>
      <c r="CB106" s="203">
        <v>0</v>
      </c>
      <c r="CC106" s="203">
        <v>0</v>
      </c>
      <c r="CD106" s="203">
        <v>0</v>
      </c>
      <c r="CE106" s="203">
        <v>0</v>
      </c>
      <c r="CF106" s="203">
        <v>0</v>
      </c>
      <c r="CG106" s="204">
        <v>0</v>
      </c>
      <c r="CH106" s="200">
        <v>0</v>
      </c>
      <c r="CI106" s="201">
        <v>0</v>
      </c>
      <c r="CJ106" s="200">
        <v>0</v>
      </c>
      <c r="CK106" s="200">
        <v>0</v>
      </c>
      <c r="CL106" s="200">
        <v>0</v>
      </c>
      <c r="CM106" s="201">
        <v>0</v>
      </c>
      <c r="CN106" s="235">
        <v>0</v>
      </c>
      <c r="CO106" s="231" t="s">
        <v>2</v>
      </c>
    </row>
    <row r="107" spans="1:93" s="207" customFormat="1" ht="15" x14ac:dyDescent="0.25">
      <c r="A107" s="239" t="s">
        <v>1580</v>
      </c>
      <c r="B107" s="240" t="s">
        <v>1581</v>
      </c>
      <c r="C107" s="241" t="s">
        <v>1582</v>
      </c>
      <c r="D107" s="289">
        <v>8</v>
      </c>
      <c r="E107" s="199">
        <v>45</v>
      </c>
      <c r="F107" s="201">
        <v>124</v>
      </c>
      <c r="G107" s="200">
        <v>519</v>
      </c>
      <c r="H107" s="202">
        <v>75.3</v>
      </c>
      <c r="I107" s="203">
        <v>17.5</v>
      </c>
      <c r="J107" s="203">
        <v>6</v>
      </c>
      <c r="K107" s="203">
        <v>0</v>
      </c>
      <c r="L107" s="203">
        <v>0</v>
      </c>
      <c r="M107" s="204">
        <v>1.2</v>
      </c>
      <c r="N107" s="200">
        <v>80</v>
      </c>
      <c r="O107" s="200">
        <v>240</v>
      </c>
      <c r="P107" s="203">
        <v>3</v>
      </c>
      <c r="Q107" s="203" t="s">
        <v>2</v>
      </c>
      <c r="R107" s="200">
        <v>100</v>
      </c>
      <c r="S107" s="200" t="s">
        <v>2</v>
      </c>
      <c r="T107" s="200">
        <v>24</v>
      </c>
      <c r="U107" s="205" t="s">
        <v>2</v>
      </c>
      <c r="V107" s="205">
        <v>170</v>
      </c>
      <c r="W107" s="204">
        <v>58</v>
      </c>
      <c r="X107" s="203">
        <v>0</v>
      </c>
      <c r="Y107" s="205">
        <v>0.02</v>
      </c>
      <c r="Z107" s="205">
        <v>0.15</v>
      </c>
      <c r="AA107" s="205">
        <v>10.1</v>
      </c>
      <c r="AB107" s="205" t="s">
        <v>2</v>
      </c>
      <c r="AC107" s="205">
        <v>0.96</v>
      </c>
      <c r="AD107" s="200" t="s">
        <v>2</v>
      </c>
      <c r="AE107" s="200" t="s">
        <v>2</v>
      </c>
      <c r="AF107" s="203" t="s">
        <v>2</v>
      </c>
      <c r="AG107" s="204">
        <v>0.14000000000000001</v>
      </c>
      <c r="AH107" s="201">
        <v>20</v>
      </c>
      <c r="AI107" s="200">
        <v>20</v>
      </c>
      <c r="AJ107" s="203" t="s">
        <v>2</v>
      </c>
      <c r="AK107" s="203" t="s">
        <v>2</v>
      </c>
      <c r="AL107" s="204" t="s">
        <v>2</v>
      </c>
      <c r="AM107" s="200">
        <v>0</v>
      </c>
      <c r="AN107" s="200">
        <v>0</v>
      </c>
      <c r="AO107" s="200">
        <v>0</v>
      </c>
      <c r="AP107" s="203" t="s">
        <v>2</v>
      </c>
      <c r="AQ107" s="205">
        <v>0.64</v>
      </c>
      <c r="AR107" s="205" t="s">
        <v>2</v>
      </c>
      <c r="AS107" s="205">
        <v>0.25</v>
      </c>
      <c r="AT107" s="205" t="s">
        <v>2</v>
      </c>
      <c r="AU107" s="205" t="s">
        <v>2</v>
      </c>
      <c r="AV107" s="206" t="s">
        <v>2</v>
      </c>
      <c r="AW107" s="203" t="s">
        <v>2</v>
      </c>
      <c r="AX107" s="205" t="s">
        <v>2</v>
      </c>
      <c r="AY107" s="205">
        <v>0.39</v>
      </c>
      <c r="AZ107" s="206">
        <v>0.56000000000000005</v>
      </c>
      <c r="BA107" s="203" t="s">
        <v>2</v>
      </c>
      <c r="BB107" s="205">
        <v>8.7999999999999995E-2</v>
      </c>
      <c r="BC107" s="205">
        <v>4.3999999999999997E-2</v>
      </c>
      <c r="BD107" s="205">
        <v>4.9000000000000002E-2</v>
      </c>
      <c r="BE107" s="205">
        <v>0.57999999999999996</v>
      </c>
      <c r="BF107" s="206">
        <v>0.81</v>
      </c>
      <c r="BG107" s="199" t="s">
        <v>2</v>
      </c>
      <c r="BH107" s="199" t="s">
        <v>2</v>
      </c>
      <c r="BI107" s="200">
        <v>2280</v>
      </c>
      <c r="BJ107" s="200">
        <v>640</v>
      </c>
      <c r="BK107" s="200">
        <v>240</v>
      </c>
      <c r="BL107" s="200">
        <v>910</v>
      </c>
      <c r="BM107" s="200">
        <v>1120</v>
      </c>
      <c r="BN107" s="200">
        <v>1450</v>
      </c>
      <c r="BO107" s="200">
        <v>1870</v>
      </c>
      <c r="BP107" s="200">
        <v>1190</v>
      </c>
      <c r="BQ107" s="200">
        <v>1310</v>
      </c>
      <c r="BR107" s="200">
        <v>460</v>
      </c>
      <c r="BS107" s="200">
        <v>220</v>
      </c>
      <c r="BT107" s="200">
        <v>810</v>
      </c>
      <c r="BU107" s="200">
        <v>1600</v>
      </c>
      <c r="BV107" s="200">
        <v>2320</v>
      </c>
      <c r="BW107" s="200">
        <v>3040</v>
      </c>
      <c r="BX107" s="200">
        <v>1240</v>
      </c>
      <c r="BY107" s="200">
        <v>850</v>
      </c>
      <c r="BZ107" s="201">
        <v>1100</v>
      </c>
      <c r="CA107" s="203">
        <v>0</v>
      </c>
      <c r="CB107" s="203">
        <v>0</v>
      </c>
      <c r="CC107" s="203">
        <v>0</v>
      </c>
      <c r="CD107" s="203">
        <v>0</v>
      </c>
      <c r="CE107" s="203">
        <v>0</v>
      </c>
      <c r="CF107" s="203">
        <v>0</v>
      </c>
      <c r="CG107" s="204">
        <v>0</v>
      </c>
      <c r="CH107" s="200">
        <v>0</v>
      </c>
      <c r="CI107" s="201">
        <v>0</v>
      </c>
      <c r="CJ107" s="200">
        <v>0</v>
      </c>
      <c r="CK107" s="200">
        <v>0</v>
      </c>
      <c r="CL107" s="200">
        <v>0</v>
      </c>
      <c r="CM107" s="201">
        <v>0</v>
      </c>
      <c r="CN107" s="235">
        <v>0</v>
      </c>
      <c r="CO107" s="231">
        <v>345</v>
      </c>
    </row>
    <row r="108" spans="1:93" s="207" customFormat="1" ht="15" x14ac:dyDescent="0.25">
      <c r="A108" s="239" t="s">
        <v>1583</v>
      </c>
      <c r="B108" s="240" t="s">
        <v>514</v>
      </c>
      <c r="C108" s="241" t="s">
        <v>2</v>
      </c>
      <c r="D108" s="289">
        <v>8</v>
      </c>
      <c r="E108" s="199">
        <v>0</v>
      </c>
      <c r="F108" s="201">
        <v>151</v>
      </c>
      <c r="G108" s="200">
        <v>631</v>
      </c>
      <c r="H108" s="202">
        <v>72.7</v>
      </c>
      <c r="I108" s="203">
        <v>16.8</v>
      </c>
      <c r="J108" s="203">
        <v>9.3000000000000007</v>
      </c>
      <c r="K108" s="203">
        <v>0</v>
      </c>
      <c r="L108" s="203">
        <v>0</v>
      </c>
      <c r="M108" s="204">
        <v>1.2</v>
      </c>
      <c r="N108" s="200">
        <v>42</v>
      </c>
      <c r="O108" s="200">
        <v>173</v>
      </c>
      <c r="P108" s="203">
        <v>1.4</v>
      </c>
      <c r="Q108" s="203" t="s">
        <v>2</v>
      </c>
      <c r="R108" s="200" t="s">
        <v>2</v>
      </c>
      <c r="S108" s="200" t="s">
        <v>2</v>
      </c>
      <c r="T108" s="200" t="s">
        <v>2</v>
      </c>
      <c r="U108" s="205" t="s">
        <v>2</v>
      </c>
      <c r="V108" s="205" t="s">
        <v>2</v>
      </c>
      <c r="W108" s="204" t="s">
        <v>2</v>
      </c>
      <c r="X108" s="203">
        <v>0</v>
      </c>
      <c r="Y108" s="205">
        <v>0.08</v>
      </c>
      <c r="Z108" s="205">
        <v>0.21</v>
      </c>
      <c r="AA108" s="205">
        <v>2.7</v>
      </c>
      <c r="AB108" s="205" t="s">
        <v>2</v>
      </c>
      <c r="AC108" s="205" t="s">
        <v>2</v>
      </c>
      <c r="AD108" s="200" t="s">
        <v>2</v>
      </c>
      <c r="AE108" s="200" t="s">
        <v>2</v>
      </c>
      <c r="AF108" s="203" t="s">
        <v>2</v>
      </c>
      <c r="AG108" s="204" t="s">
        <v>2</v>
      </c>
      <c r="AH108" s="201">
        <v>30</v>
      </c>
      <c r="AI108" s="200">
        <v>30</v>
      </c>
      <c r="AJ108" s="203" t="s">
        <v>2</v>
      </c>
      <c r="AK108" s="203" t="s">
        <v>2</v>
      </c>
      <c r="AL108" s="204" t="s">
        <v>2</v>
      </c>
      <c r="AM108" s="200">
        <v>0</v>
      </c>
      <c r="AN108" s="200">
        <v>0</v>
      </c>
      <c r="AO108" s="200">
        <v>0</v>
      </c>
      <c r="AP108" s="203" t="s">
        <v>2</v>
      </c>
      <c r="AQ108" s="205" t="s">
        <v>2</v>
      </c>
      <c r="AR108" s="205" t="s">
        <v>2</v>
      </c>
      <c r="AS108" s="205" t="s">
        <v>2</v>
      </c>
      <c r="AT108" s="205" t="s">
        <v>2</v>
      </c>
      <c r="AU108" s="205" t="s">
        <v>2</v>
      </c>
      <c r="AV108" s="206" t="s">
        <v>2</v>
      </c>
      <c r="AW108" s="203" t="s">
        <v>2</v>
      </c>
      <c r="AX108" s="205" t="s">
        <v>2</v>
      </c>
      <c r="AY108" s="205" t="s">
        <v>2</v>
      </c>
      <c r="AZ108" s="206" t="s">
        <v>2</v>
      </c>
      <c r="BA108" s="203" t="s">
        <v>2</v>
      </c>
      <c r="BB108" s="205" t="s">
        <v>2</v>
      </c>
      <c r="BC108" s="205" t="s">
        <v>2</v>
      </c>
      <c r="BD108" s="205" t="s">
        <v>2</v>
      </c>
      <c r="BE108" s="205" t="s">
        <v>2</v>
      </c>
      <c r="BF108" s="206" t="s">
        <v>2</v>
      </c>
      <c r="BG108" s="199" t="s">
        <v>2</v>
      </c>
      <c r="BH108" s="199">
        <v>200</v>
      </c>
      <c r="BI108" s="200" t="s">
        <v>2</v>
      </c>
      <c r="BJ108" s="200" t="s">
        <v>2</v>
      </c>
      <c r="BK108" s="200" t="s">
        <v>2</v>
      </c>
      <c r="BL108" s="200" t="s">
        <v>2</v>
      </c>
      <c r="BM108" s="200" t="s">
        <v>2</v>
      </c>
      <c r="BN108" s="200" t="s">
        <v>2</v>
      </c>
      <c r="BO108" s="200" t="s">
        <v>2</v>
      </c>
      <c r="BP108" s="200" t="s">
        <v>2</v>
      </c>
      <c r="BQ108" s="200" t="s">
        <v>2</v>
      </c>
      <c r="BR108" s="200" t="s">
        <v>2</v>
      </c>
      <c r="BS108" s="200" t="s">
        <v>2</v>
      </c>
      <c r="BT108" s="200" t="s">
        <v>2</v>
      </c>
      <c r="BU108" s="200" t="s">
        <v>2</v>
      </c>
      <c r="BV108" s="200" t="s">
        <v>2</v>
      </c>
      <c r="BW108" s="200" t="s">
        <v>2</v>
      </c>
      <c r="BX108" s="200" t="s">
        <v>2</v>
      </c>
      <c r="BY108" s="200" t="s">
        <v>2</v>
      </c>
      <c r="BZ108" s="201" t="s">
        <v>2</v>
      </c>
      <c r="CA108" s="203">
        <v>0</v>
      </c>
      <c r="CB108" s="203">
        <v>0</v>
      </c>
      <c r="CC108" s="203">
        <v>0</v>
      </c>
      <c r="CD108" s="203">
        <v>0</v>
      </c>
      <c r="CE108" s="203">
        <v>0</v>
      </c>
      <c r="CF108" s="203">
        <v>0</v>
      </c>
      <c r="CG108" s="204">
        <v>0</v>
      </c>
      <c r="CH108" s="200">
        <v>0</v>
      </c>
      <c r="CI108" s="201">
        <v>0</v>
      </c>
      <c r="CJ108" s="200">
        <v>0</v>
      </c>
      <c r="CK108" s="200">
        <v>0</v>
      </c>
      <c r="CL108" s="200">
        <v>0</v>
      </c>
      <c r="CM108" s="201">
        <v>0</v>
      </c>
      <c r="CN108" s="235">
        <v>0</v>
      </c>
      <c r="CO108" s="231" t="s">
        <v>2</v>
      </c>
    </row>
    <row r="109" spans="1:93" s="207" customFormat="1" ht="15" x14ac:dyDescent="0.25">
      <c r="A109" s="239" t="s">
        <v>1584</v>
      </c>
      <c r="B109" s="240" t="s">
        <v>515</v>
      </c>
      <c r="C109" s="241" t="s">
        <v>1585</v>
      </c>
      <c r="D109" s="289">
        <v>8</v>
      </c>
      <c r="E109" s="199">
        <v>0</v>
      </c>
      <c r="F109" s="201">
        <v>116</v>
      </c>
      <c r="G109" s="200">
        <v>487</v>
      </c>
      <c r="H109" s="202">
        <v>73.3</v>
      </c>
      <c r="I109" s="203">
        <v>22.1</v>
      </c>
      <c r="J109" s="203">
        <v>3.1</v>
      </c>
      <c r="K109" s="203">
        <v>0</v>
      </c>
      <c r="L109" s="203">
        <v>0</v>
      </c>
      <c r="M109" s="204">
        <v>1.5</v>
      </c>
      <c r="N109" s="200">
        <v>60</v>
      </c>
      <c r="O109" s="200">
        <v>102</v>
      </c>
      <c r="P109" s="203" t="s">
        <v>2</v>
      </c>
      <c r="Q109" s="203" t="s">
        <v>2</v>
      </c>
      <c r="R109" s="200" t="s">
        <v>2</v>
      </c>
      <c r="S109" s="200" t="s">
        <v>2</v>
      </c>
      <c r="T109" s="200" t="s">
        <v>2</v>
      </c>
      <c r="U109" s="205" t="s">
        <v>2</v>
      </c>
      <c r="V109" s="205" t="s">
        <v>2</v>
      </c>
      <c r="W109" s="204" t="s">
        <v>2</v>
      </c>
      <c r="X109" s="203">
        <v>0</v>
      </c>
      <c r="Y109" s="205" t="s">
        <v>2</v>
      </c>
      <c r="Z109" s="205" t="s">
        <v>2</v>
      </c>
      <c r="AA109" s="205" t="s">
        <v>2</v>
      </c>
      <c r="AB109" s="205" t="s">
        <v>2</v>
      </c>
      <c r="AC109" s="205" t="s">
        <v>2</v>
      </c>
      <c r="AD109" s="200" t="s">
        <v>2</v>
      </c>
      <c r="AE109" s="200" t="s">
        <v>2</v>
      </c>
      <c r="AF109" s="203" t="s">
        <v>2</v>
      </c>
      <c r="AG109" s="204" t="s">
        <v>2</v>
      </c>
      <c r="AH109" s="201" t="s">
        <v>2</v>
      </c>
      <c r="AI109" s="200">
        <v>0</v>
      </c>
      <c r="AJ109" s="203" t="s">
        <v>2</v>
      </c>
      <c r="AK109" s="203" t="s">
        <v>2</v>
      </c>
      <c r="AL109" s="204" t="s">
        <v>2</v>
      </c>
      <c r="AM109" s="200">
        <v>0</v>
      </c>
      <c r="AN109" s="200">
        <v>0</v>
      </c>
      <c r="AO109" s="200">
        <v>0</v>
      </c>
      <c r="AP109" s="203" t="s">
        <v>2</v>
      </c>
      <c r="AQ109" s="205" t="s">
        <v>2</v>
      </c>
      <c r="AR109" s="205" t="s">
        <v>2</v>
      </c>
      <c r="AS109" s="205" t="s">
        <v>2</v>
      </c>
      <c r="AT109" s="205" t="s">
        <v>2</v>
      </c>
      <c r="AU109" s="205" t="s">
        <v>2</v>
      </c>
      <c r="AV109" s="206" t="s">
        <v>2</v>
      </c>
      <c r="AW109" s="203" t="s">
        <v>2</v>
      </c>
      <c r="AX109" s="205" t="s">
        <v>2</v>
      </c>
      <c r="AY109" s="205" t="s">
        <v>2</v>
      </c>
      <c r="AZ109" s="206" t="s">
        <v>2</v>
      </c>
      <c r="BA109" s="203" t="s">
        <v>2</v>
      </c>
      <c r="BB109" s="205" t="s">
        <v>2</v>
      </c>
      <c r="BC109" s="205" t="s">
        <v>2</v>
      </c>
      <c r="BD109" s="205" t="s">
        <v>2</v>
      </c>
      <c r="BE109" s="205" t="s">
        <v>2</v>
      </c>
      <c r="BF109" s="206" t="s">
        <v>2</v>
      </c>
      <c r="BG109" s="199" t="s">
        <v>2</v>
      </c>
      <c r="BH109" s="199" t="s">
        <v>2</v>
      </c>
      <c r="BI109" s="200" t="s">
        <v>2</v>
      </c>
      <c r="BJ109" s="200" t="s">
        <v>2</v>
      </c>
      <c r="BK109" s="200" t="s">
        <v>2</v>
      </c>
      <c r="BL109" s="200" t="s">
        <v>2</v>
      </c>
      <c r="BM109" s="200" t="s">
        <v>2</v>
      </c>
      <c r="BN109" s="200" t="s">
        <v>2</v>
      </c>
      <c r="BO109" s="200" t="s">
        <v>2</v>
      </c>
      <c r="BP109" s="200" t="s">
        <v>2</v>
      </c>
      <c r="BQ109" s="200" t="s">
        <v>2</v>
      </c>
      <c r="BR109" s="200" t="s">
        <v>2</v>
      </c>
      <c r="BS109" s="200" t="s">
        <v>2</v>
      </c>
      <c r="BT109" s="200" t="s">
        <v>2</v>
      </c>
      <c r="BU109" s="200" t="s">
        <v>2</v>
      </c>
      <c r="BV109" s="200" t="s">
        <v>2</v>
      </c>
      <c r="BW109" s="200" t="s">
        <v>2</v>
      </c>
      <c r="BX109" s="200" t="s">
        <v>2</v>
      </c>
      <c r="BY109" s="200" t="s">
        <v>2</v>
      </c>
      <c r="BZ109" s="201" t="s">
        <v>2</v>
      </c>
      <c r="CA109" s="203">
        <v>0</v>
      </c>
      <c r="CB109" s="203">
        <v>0</v>
      </c>
      <c r="CC109" s="203">
        <v>0</v>
      </c>
      <c r="CD109" s="203">
        <v>0</v>
      </c>
      <c r="CE109" s="203">
        <v>0</v>
      </c>
      <c r="CF109" s="203">
        <v>0</v>
      </c>
      <c r="CG109" s="204">
        <v>0</v>
      </c>
      <c r="CH109" s="200">
        <v>0</v>
      </c>
      <c r="CI109" s="201">
        <v>0</v>
      </c>
      <c r="CJ109" s="200">
        <v>0</v>
      </c>
      <c r="CK109" s="200">
        <v>0</v>
      </c>
      <c r="CL109" s="200">
        <v>0</v>
      </c>
      <c r="CM109" s="201">
        <v>0</v>
      </c>
      <c r="CN109" s="235">
        <v>0</v>
      </c>
      <c r="CO109" s="231" t="s">
        <v>2</v>
      </c>
    </row>
    <row r="110" spans="1:93" s="207" customFormat="1" ht="15" x14ac:dyDescent="0.25">
      <c r="A110" s="239" t="s">
        <v>1586</v>
      </c>
      <c r="B110" s="240" t="s">
        <v>516</v>
      </c>
      <c r="C110" s="241" t="s">
        <v>1587</v>
      </c>
      <c r="D110" s="289">
        <v>8</v>
      </c>
      <c r="E110" s="199">
        <v>39</v>
      </c>
      <c r="F110" s="201">
        <v>80</v>
      </c>
      <c r="G110" s="231">
        <v>334</v>
      </c>
      <c r="H110" s="242">
        <v>80</v>
      </c>
      <c r="I110" s="203">
        <v>17.5</v>
      </c>
      <c r="J110" s="203">
        <v>1.1000000000000001</v>
      </c>
      <c r="K110" s="203">
        <v>0</v>
      </c>
      <c r="L110" s="203">
        <v>0</v>
      </c>
      <c r="M110" s="204">
        <v>1.4</v>
      </c>
      <c r="N110" s="200">
        <v>42</v>
      </c>
      <c r="O110" s="200">
        <v>173</v>
      </c>
      <c r="P110" s="203">
        <v>1.4</v>
      </c>
      <c r="Q110" s="203" t="s">
        <v>2</v>
      </c>
      <c r="R110" s="200" t="s">
        <v>2</v>
      </c>
      <c r="S110" s="200" t="s">
        <v>2</v>
      </c>
      <c r="T110" s="200" t="s">
        <v>2</v>
      </c>
      <c r="U110" s="205" t="s">
        <v>2</v>
      </c>
      <c r="V110" s="205" t="s">
        <v>2</v>
      </c>
      <c r="W110" s="204" t="s">
        <v>2</v>
      </c>
      <c r="X110" s="203">
        <v>0</v>
      </c>
      <c r="Y110" s="205">
        <v>0.06</v>
      </c>
      <c r="Z110" s="205">
        <v>0.08</v>
      </c>
      <c r="AA110" s="205">
        <v>2.2000000000000002</v>
      </c>
      <c r="AB110" s="205" t="s">
        <v>2</v>
      </c>
      <c r="AC110" s="205" t="s">
        <v>2</v>
      </c>
      <c r="AD110" s="200" t="s">
        <v>2</v>
      </c>
      <c r="AE110" s="200" t="s">
        <v>2</v>
      </c>
      <c r="AF110" s="203" t="s">
        <v>2</v>
      </c>
      <c r="AG110" s="204" t="s">
        <v>2</v>
      </c>
      <c r="AH110" s="201" t="s">
        <v>2</v>
      </c>
      <c r="AI110" s="200">
        <v>0</v>
      </c>
      <c r="AJ110" s="203" t="s">
        <v>2</v>
      </c>
      <c r="AK110" s="203" t="s">
        <v>2</v>
      </c>
      <c r="AL110" s="204" t="s">
        <v>2</v>
      </c>
      <c r="AM110" s="200">
        <v>0</v>
      </c>
      <c r="AN110" s="200">
        <v>0</v>
      </c>
      <c r="AO110" s="200">
        <v>0</v>
      </c>
      <c r="AP110" s="203" t="s">
        <v>2</v>
      </c>
      <c r="AQ110" s="205" t="s">
        <v>2</v>
      </c>
      <c r="AR110" s="205" t="s">
        <v>2</v>
      </c>
      <c r="AS110" s="205" t="s">
        <v>2</v>
      </c>
      <c r="AT110" s="205" t="s">
        <v>2</v>
      </c>
      <c r="AU110" s="205" t="s">
        <v>2</v>
      </c>
      <c r="AV110" s="206" t="s">
        <v>2</v>
      </c>
      <c r="AW110" s="203" t="s">
        <v>2</v>
      </c>
      <c r="AX110" s="205" t="s">
        <v>2</v>
      </c>
      <c r="AY110" s="205" t="s">
        <v>2</v>
      </c>
      <c r="AZ110" s="206" t="s">
        <v>2</v>
      </c>
      <c r="BA110" s="203" t="s">
        <v>2</v>
      </c>
      <c r="BB110" s="205" t="s">
        <v>2</v>
      </c>
      <c r="BC110" s="205" t="s">
        <v>2</v>
      </c>
      <c r="BD110" s="205" t="s">
        <v>2</v>
      </c>
      <c r="BE110" s="205" t="s">
        <v>2</v>
      </c>
      <c r="BF110" s="206" t="s">
        <v>2</v>
      </c>
      <c r="BG110" s="199" t="s">
        <v>2</v>
      </c>
      <c r="BH110" s="199" t="s">
        <v>2</v>
      </c>
      <c r="BI110" s="200">
        <v>1420</v>
      </c>
      <c r="BJ110" s="200">
        <v>470</v>
      </c>
      <c r="BK110" s="200">
        <v>230</v>
      </c>
      <c r="BL110" s="200">
        <v>610</v>
      </c>
      <c r="BM110" s="200">
        <v>750</v>
      </c>
      <c r="BN110" s="200">
        <v>910</v>
      </c>
      <c r="BO110" s="200">
        <v>1260</v>
      </c>
      <c r="BP110" s="200">
        <v>1100</v>
      </c>
      <c r="BQ110" s="200">
        <v>930</v>
      </c>
      <c r="BR110" s="200">
        <v>420</v>
      </c>
      <c r="BS110" s="200" t="s">
        <v>2</v>
      </c>
      <c r="BT110" s="200" t="s">
        <v>2</v>
      </c>
      <c r="BU110" s="200" t="s">
        <v>2</v>
      </c>
      <c r="BV110" s="200" t="s">
        <v>2</v>
      </c>
      <c r="BW110" s="200" t="s">
        <v>2</v>
      </c>
      <c r="BX110" s="200" t="s">
        <v>2</v>
      </c>
      <c r="BY110" s="200" t="s">
        <v>2</v>
      </c>
      <c r="BZ110" s="201" t="s">
        <v>2</v>
      </c>
      <c r="CA110" s="203">
        <v>0</v>
      </c>
      <c r="CB110" s="203">
        <v>0</v>
      </c>
      <c r="CC110" s="203">
        <v>0</v>
      </c>
      <c r="CD110" s="203">
        <v>0</v>
      </c>
      <c r="CE110" s="203">
        <v>0</v>
      </c>
      <c r="CF110" s="203">
        <v>0</v>
      </c>
      <c r="CG110" s="204">
        <v>0</v>
      </c>
      <c r="CH110" s="200">
        <v>0</v>
      </c>
      <c r="CI110" s="201">
        <v>0</v>
      </c>
      <c r="CJ110" s="200">
        <v>0</v>
      </c>
      <c r="CK110" s="200">
        <v>0</v>
      </c>
      <c r="CL110" s="200">
        <v>0</v>
      </c>
      <c r="CM110" s="201">
        <v>0</v>
      </c>
      <c r="CN110" s="235">
        <v>0</v>
      </c>
      <c r="CO110" s="231" t="s">
        <v>2</v>
      </c>
    </row>
    <row r="111" spans="1:93" s="207" customFormat="1" ht="15" x14ac:dyDescent="0.25">
      <c r="A111" s="239" t="s">
        <v>1588</v>
      </c>
      <c r="B111" s="240" t="s">
        <v>517</v>
      </c>
      <c r="C111" s="241" t="s">
        <v>1589</v>
      </c>
      <c r="D111" s="289">
        <v>8</v>
      </c>
      <c r="E111" s="199">
        <v>42</v>
      </c>
      <c r="F111" s="201">
        <v>87</v>
      </c>
      <c r="G111" s="231">
        <v>363</v>
      </c>
      <c r="H111" s="202">
        <v>77.5</v>
      </c>
      <c r="I111" s="203">
        <v>21</v>
      </c>
      <c r="J111" s="203">
        <v>0.3</v>
      </c>
      <c r="K111" s="203">
        <v>0</v>
      </c>
      <c r="L111" s="203">
        <v>0</v>
      </c>
      <c r="M111" s="204">
        <v>1.2</v>
      </c>
      <c r="N111" s="200">
        <v>44</v>
      </c>
      <c r="O111" s="200">
        <v>206</v>
      </c>
      <c r="P111" s="203">
        <v>1</v>
      </c>
      <c r="Q111" s="203">
        <v>0.52</v>
      </c>
      <c r="R111" s="200">
        <v>78</v>
      </c>
      <c r="S111" s="200">
        <v>518</v>
      </c>
      <c r="T111" s="200">
        <v>50</v>
      </c>
      <c r="U111" s="205">
        <v>0.01</v>
      </c>
      <c r="V111" s="205">
        <v>64</v>
      </c>
      <c r="W111" s="204">
        <v>36.5</v>
      </c>
      <c r="X111" s="203">
        <v>1</v>
      </c>
      <c r="Y111" s="205">
        <v>0.02</v>
      </c>
      <c r="Z111" s="205">
        <v>0.08</v>
      </c>
      <c r="AA111" s="205">
        <v>4</v>
      </c>
      <c r="AB111" s="205">
        <v>0.75</v>
      </c>
      <c r="AC111" s="205">
        <v>0.9</v>
      </c>
      <c r="AD111" s="200">
        <v>2</v>
      </c>
      <c r="AE111" s="200">
        <v>0</v>
      </c>
      <c r="AF111" s="203">
        <v>1.5</v>
      </c>
      <c r="AG111" s="204">
        <v>0.52</v>
      </c>
      <c r="AH111" s="201">
        <v>5</v>
      </c>
      <c r="AI111" s="200">
        <v>5</v>
      </c>
      <c r="AJ111" s="203" t="s">
        <v>2</v>
      </c>
      <c r="AK111" s="203">
        <v>0.5</v>
      </c>
      <c r="AL111" s="204">
        <v>0.1</v>
      </c>
      <c r="AM111" s="200">
        <v>0</v>
      </c>
      <c r="AN111" s="200">
        <v>0</v>
      </c>
      <c r="AO111" s="200">
        <v>0</v>
      </c>
      <c r="AP111" s="203">
        <v>0.23499999999999999</v>
      </c>
      <c r="AQ111" s="205">
        <v>0.156</v>
      </c>
      <c r="AR111" s="205">
        <v>0</v>
      </c>
      <c r="AS111" s="205">
        <v>5.0999999999999997E-2</v>
      </c>
      <c r="AT111" s="205">
        <v>0</v>
      </c>
      <c r="AU111" s="205">
        <v>0</v>
      </c>
      <c r="AV111" s="206">
        <v>0</v>
      </c>
      <c r="AW111" s="203">
        <v>0.154</v>
      </c>
      <c r="AX111" s="205">
        <v>0</v>
      </c>
      <c r="AY111" s="205">
        <v>2.5000000000000001E-2</v>
      </c>
      <c r="AZ111" s="206">
        <v>0.108</v>
      </c>
      <c r="BA111" s="203">
        <v>0.28399999999999997</v>
      </c>
      <c r="BB111" s="205">
        <v>8.0000000000000002E-3</v>
      </c>
      <c r="BC111" s="205">
        <v>1.2E-2</v>
      </c>
      <c r="BD111" s="205">
        <v>2.8000000000000001E-2</v>
      </c>
      <c r="BE111" s="205">
        <v>3.6999999999999998E-2</v>
      </c>
      <c r="BF111" s="206">
        <v>0.18099999999999999</v>
      </c>
      <c r="BG111" s="199" t="s">
        <v>2</v>
      </c>
      <c r="BH111" s="199">
        <v>45</v>
      </c>
      <c r="BI111" s="200">
        <v>2147</v>
      </c>
      <c r="BJ111" s="200">
        <v>692</v>
      </c>
      <c r="BK111" s="200">
        <v>262</v>
      </c>
      <c r="BL111" s="200">
        <v>913</v>
      </c>
      <c r="BM111" s="200">
        <v>1025</v>
      </c>
      <c r="BN111" s="200">
        <v>1204</v>
      </c>
      <c r="BO111" s="200">
        <v>1900</v>
      </c>
      <c r="BP111" s="200">
        <v>1077</v>
      </c>
      <c r="BQ111" s="200">
        <v>1399</v>
      </c>
      <c r="BR111" s="200">
        <v>688</v>
      </c>
      <c r="BS111" s="200">
        <v>251</v>
      </c>
      <c r="BT111" s="200">
        <v>789</v>
      </c>
      <c r="BU111" s="200">
        <v>1414</v>
      </c>
      <c r="BV111" s="200">
        <v>2394</v>
      </c>
      <c r="BW111" s="200">
        <v>3489</v>
      </c>
      <c r="BX111" s="200">
        <v>1122</v>
      </c>
      <c r="BY111" s="200">
        <v>827</v>
      </c>
      <c r="BZ111" s="201">
        <v>954</v>
      </c>
      <c r="CA111" s="203">
        <v>0</v>
      </c>
      <c r="CB111" s="203">
        <v>0</v>
      </c>
      <c r="CC111" s="203">
        <v>0</v>
      </c>
      <c r="CD111" s="203">
        <v>0</v>
      </c>
      <c r="CE111" s="203">
        <v>0</v>
      </c>
      <c r="CF111" s="203">
        <v>0</v>
      </c>
      <c r="CG111" s="204">
        <v>0</v>
      </c>
      <c r="CH111" s="200">
        <v>0</v>
      </c>
      <c r="CI111" s="201">
        <v>0</v>
      </c>
      <c r="CJ111" s="200">
        <v>0</v>
      </c>
      <c r="CK111" s="200">
        <v>0</v>
      </c>
      <c r="CL111" s="200">
        <v>0</v>
      </c>
      <c r="CM111" s="201">
        <v>0</v>
      </c>
      <c r="CN111" s="235">
        <v>0</v>
      </c>
      <c r="CO111" s="231" t="s">
        <v>2</v>
      </c>
    </row>
    <row r="112" spans="1:93" s="207" customFormat="1" ht="15" x14ac:dyDescent="0.25">
      <c r="A112" s="239" t="s">
        <v>1590</v>
      </c>
      <c r="B112" s="240" t="s">
        <v>518</v>
      </c>
      <c r="C112" s="241" t="s">
        <v>1591</v>
      </c>
      <c r="D112" s="289">
        <v>8</v>
      </c>
      <c r="E112" s="199">
        <v>0</v>
      </c>
      <c r="F112" s="201">
        <v>111</v>
      </c>
      <c r="G112" s="231">
        <v>462</v>
      </c>
      <c r="H112" s="202">
        <v>74.900000000000006</v>
      </c>
      <c r="I112" s="203">
        <v>20.2</v>
      </c>
      <c r="J112" s="203">
        <v>3.3</v>
      </c>
      <c r="K112" s="203">
        <v>0</v>
      </c>
      <c r="L112" s="203">
        <v>0</v>
      </c>
      <c r="M112" s="204">
        <v>1.6</v>
      </c>
      <c r="N112" s="200">
        <v>85</v>
      </c>
      <c r="O112" s="200">
        <v>160</v>
      </c>
      <c r="P112" s="203">
        <v>3.25</v>
      </c>
      <c r="Q112" s="203">
        <v>1.72</v>
      </c>
      <c r="R112" s="200">
        <v>104</v>
      </c>
      <c r="S112" s="200">
        <v>383</v>
      </c>
      <c r="T112" s="200">
        <v>41</v>
      </c>
      <c r="U112" s="205">
        <v>7.0000000000000007E-2</v>
      </c>
      <c r="V112" s="205">
        <v>211</v>
      </c>
      <c r="W112" s="204">
        <v>36.5</v>
      </c>
      <c r="X112" s="203">
        <v>0</v>
      </c>
      <c r="Y112" s="205">
        <v>5.5E-2</v>
      </c>
      <c r="Z112" s="205">
        <v>0.25600000000000001</v>
      </c>
      <c r="AA112" s="205">
        <v>14.023999999999999</v>
      </c>
      <c r="AB112" s="205">
        <v>0.64500000000000002</v>
      </c>
      <c r="AC112" s="205">
        <v>0.14299999999999999</v>
      </c>
      <c r="AD112" s="200">
        <v>9</v>
      </c>
      <c r="AE112" s="200">
        <v>0</v>
      </c>
      <c r="AF112" s="223" t="s">
        <v>2</v>
      </c>
      <c r="AG112" s="204">
        <v>0.62</v>
      </c>
      <c r="AH112" s="201">
        <v>15</v>
      </c>
      <c r="AI112" s="200">
        <v>15</v>
      </c>
      <c r="AJ112" s="203" t="s">
        <v>2</v>
      </c>
      <c r="AK112" s="203">
        <v>0.56999999999999995</v>
      </c>
      <c r="AL112" s="204">
        <v>0.1</v>
      </c>
      <c r="AM112" s="200">
        <v>0</v>
      </c>
      <c r="AN112" s="200">
        <v>0</v>
      </c>
      <c r="AO112" s="200">
        <v>0</v>
      </c>
      <c r="AP112" s="203">
        <v>1.282</v>
      </c>
      <c r="AQ112" s="205">
        <v>0.71499999999999997</v>
      </c>
      <c r="AR112" s="205">
        <v>0</v>
      </c>
      <c r="AS112" s="205">
        <v>0.252</v>
      </c>
      <c r="AT112" s="205">
        <v>0</v>
      </c>
      <c r="AU112" s="205">
        <v>0</v>
      </c>
      <c r="AV112" s="206">
        <v>0</v>
      </c>
      <c r="AW112" s="203">
        <v>1.1819999999999999</v>
      </c>
      <c r="AX112" s="205">
        <v>0</v>
      </c>
      <c r="AY112" s="205">
        <v>0.4</v>
      </c>
      <c r="AZ112" s="206">
        <v>0.624</v>
      </c>
      <c r="BA112" s="203">
        <v>1.637</v>
      </c>
      <c r="BB112" s="205">
        <v>9.7000000000000003E-2</v>
      </c>
      <c r="BC112" s="205">
        <v>0</v>
      </c>
      <c r="BD112" s="205">
        <v>7.0000000000000001E-3</v>
      </c>
      <c r="BE112" s="205">
        <v>0.53800000000000003</v>
      </c>
      <c r="BF112" s="206">
        <v>0.91100000000000003</v>
      </c>
      <c r="BG112" s="230" t="s">
        <v>2</v>
      </c>
      <c r="BH112" s="199">
        <v>60</v>
      </c>
      <c r="BI112" s="200">
        <v>1869</v>
      </c>
      <c r="BJ112" s="200">
        <v>602</v>
      </c>
      <c r="BK112" s="200">
        <v>228</v>
      </c>
      <c r="BL112" s="200">
        <v>794</v>
      </c>
      <c r="BM112" s="200">
        <v>892</v>
      </c>
      <c r="BN112" s="200">
        <v>1048</v>
      </c>
      <c r="BO112" s="200">
        <v>1654</v>
      </c>
      <c r="BP112" s="200">
        <v>938</v>
      </c>
      <c r="BQ112" s="200">
        <v>1217</v>
      </c>
      <c r="BR112" s="200">
        <v>599</v>
      </c>
      <c r="BS112" s="200">
        <v>218</v>
      </c>
      <c r="BT112" s="200">
        <v>687</v>
      </c>
      <c r="BU112" s="200">
        <v>1231</v>
      </c>
      <c r="BV112" s="200">
        <v>2084</v>
      </c>
      <c r="BW112" s="200">
        <v>3038</v>
      </c>
      <c r="BX112" s="200">
        <v>977</v>
      </c>
      <c r="BY112" s="200">
        <v>720</v>
      </c>
      <c r="BZ112" s="201">
        <v>830</v>
      </c>
      <c r="CA112" s="203">
        <v>0</v>
      </c>
      <c r="CB112" s="203">
        <v>0</v>
      </c>
      <c r="CC112" s="203">
        <v>0</v>
      </c>
      <c r="CD112" s="203">
        <v>0</v>
      </c>
      <c r="CE112" s="203">
        <v>0</v>
      </c>
      <c r="CF112" s="203">
        <v>0</v>
      </c>
      <c r="CG112" s="204">
        <v>0</v>
      </c>
      <c r="CH112" s="200">
        <v>0</v>
      </c>
      <c r="CI112" s="201">
        <v>0</v>
      </c>
      <c r="CJ112" s="200">
        <v>0</v>
      </c>
      <c r="CK112" s="200">
        <v>0</v>
      </c>
      <c r="CL112" s="200">
        <v>0</v>
      </c>
      <c r="CM112" s="201">
        <v>0</v>
      </c>
      <c r="CN112" s="235">
        <v>0</v>
      </c>
      <c r="CO112" s="235" t="s">
        <v>2</v>
      </c>
    </row>
    <row r="113" spans="1:93" s="207" customFormat="1" ht="15" x14ac:dyDescent="0.25">
      <c r="A113" s="239" t="s">
        <v>1592</v>
      </c>
      <c r="B113" s="240" t="s">
        <v>519</v>
      </c>
      <c r="C113" s="241" t="s">
        <v>1593</v>
      </c>
      <c r="D113" s="289">
        <v>8</v>
      </c>
      <c r="E113" s="199">
        <v>0</v>
      </c>
      <c r="F113" s="201">
        <v>104</v>
      </c>
      <c r="G113" s="231">
        <v>436</v>
      </c>
      <c r="H113" s="202">
        <v>78.2</v>
      </c>
      <c r="I113" s="203">
        <v>15.9</v>
      </c>
      <c r="J113" s="203">
        <v>4.5</v>
      </c>
      <c r="K113" s="203">
        <v>0</v>
      </c>
      <c r="L113" s="203">
        <v>0</v>
      </c>
      <c r="M113" s="204">
        <v>1.4</v>
      </c>
      <c r="N113" s="200">
        <v>40</v>
      </c>
      <c r="O113" s="200">
        <v>50</v>
      </c>
      <c r="P113" s="203" t="s">
        <v>2</v>
      </c>
      <c r="Q113" s="203" t="s">
        <v>2</v>
      </c>
      <c r="R113" s="200" t="s">
        <v>2</v>
      </c>
      <c r="S113" s="200" t="s">
        <v>2</v>
      </c>
      <c r="T113" s="200" t="s">
        <v>2</v>
      </c>
      <c r="U113" s="205" t="s">
        <v>2</v>
      </c>
      <c r="V113" s="205" t="s">
        <v>2</v>
      </c>
      <c r="W113" s="204" t="s">
        <v>2</v>
      </c>
      <c r="X113" s="203">
        <v>0</v>
      </c>
      <c r="Y113" s="205" t="s">
        <v>2</v>
      </c>
      <c r="Z113" s="205" t="s">
        <v>2</v>
      </c>
      <c r="AA113" s="205" t="s">
        <v>2</v>
      </c>
      <c r="AB113" s="205" t="s">
        <v>2</v>
      </c>
      <c r="AC113" s="205" t="s">
        <v>2</v>
      </c>
      <c r="AD113" s="200" t="s">
        <v>2</v>
      </c>
      <c r="AE113" s="200" t="s">
        <v>2</v>
      </c>
      <c r="AF113" s="203" t="s">
        <v>2</v>
      </c>
      <c r="AG113" s="204" t="s">
        <v>2</v>
      </c>
      <c r="AH113" s="201" t="s">
        <v>2</v>
      </c>
      <c r="AI113" s="200">
        <v>0</v>
      </c>
      <c r="AJ113" s="203" t="s">
        <v>2</v>
      </c>
      <c r="AK113" s="203" t="s">
        <v>2</v>
      </c>
      <c r="AL113" s="204" t="s">
        <v>2</v>
      </c>
      <c r="AM113" s="200">
        <v>0</v>
      </c>
      <c r="AN113" s="200">
        <v>0</v>
      </c>
      <c r="AO113" s="200">
        <v>0</v>
      </c>
      <c r="AP113" s="223" t="s">
        <v>2</v>
      </c>
      <c r="AQ113" s="224" t="s">
        <v>2</v>
      </c>
      <c r="AR113" s="224" t="s">
        <v>2</v>
      </c>
      <c r="AS113" s="224" t="s">
        <v>2</v>
      </c>
      <c r="AT113" s="224" t="s">
        <v>2</v>
      </c>
      <c r="AU113" s="224" t="s">
        <v>2</v>
      </c>
      <c r="AV113" s="236" t="s">
        <v>2</v>
      </c>
      <c r="AW113" s="223" t="s">
        <v>2</v>
      </c>
      <c r="AX113" s="224" t="s">
        <v>2</v>
      </c>
      <c r="AY113" s="224" t="s">
        <v>2</v>
      </c>
      <c r="AZ113" s="236" t="s">
        <v>2</v>
      </c>
      <c r="BA113" s="223" t="s">
        <v>2</v>
      </c>
      <c r="BB113" s="224" t="s">
        <v>2</v>
      </c>
      <c r="BC113" s="224" t="s">
        <v>2</v>
      </c>
      <c r="BD113" s="224" t="s">
        <v>2</v>
      </c>
      <c r="BE113" s="224" t="s">
        <v>2</v>
      </c>
      <c r="BF113" s="236" t="s">
        <v>2</v>
      </c>
      <c r="BG113" s="230" t="s">
        <v>2</v>
      </c>
      <c r="BH113" s="230" t="s">
        <v>2</v>
      </c>
      <c r="BI113" s="234" t="s">
        <v>2</v>
      </c>
      <c r="BJ113" s="234" t="s">
        <v>2</v>
      </c>
      <c r="BK113" s="234" t="s">
        <v>2</v>
      </c>
      <c r="BL113" s="234" t="s">
        <v>2</v>
      </c>
      <c r="BM113" s="234" t="s">
        <v>2</v>
      </c>
      <c r="BN113" s="234" t="s">
        <v>2</v>
      </c>
      <c r="BO113" s="234" t="s">
        <v>2</v>
      </c>
      <c r="BP113" s="234" t="s">
        <v>2</v>
      </c>
      <c r="BQ113" s="234" t="s">
        <v>2</v>
      </c>
      <c r="BR113" s="234" t="s">
        <v>2</v>
      </c>
      <c r="BS113" s="234" t="s">
        <v>2</v>
      </c>
      <c r="BT113" s="234" t="s">
        <v>2</v>
      </c>
      <c r="BU113" s="234" t="s">
        <v>2</v>
      </c>
      <c r="BV113" s="234" t="s">
        <v>2</v>
      </c>
      <c r="BW113" s="234" t="s">
        <v>2</v>
      </c>
      <c r="BX113" s="234" t="s">
        <v>2</v>
      </c>
      <c r="BY113" s="234" t="s">
        <v>2</v>
      </c>
      <c r="BZ113" s="237" t="s">
        <v>2</v>
      </c>
      <c r="CA113" s="203">
        <v>0</v>
      </c>
      <c r="CB113" s="223">
        <v>0</v>
      </c>
      <c r="CC113" s="223">
        <v>0</v>
      </c>
      <c r="CD113" s="223">
        <v>0</v>
      </c>
      <c r="CE113" s="223">
        <v>0</v>
      </c>
      <c r="CF113" s="223">
        <v>0</v>
      </c>
      <c r="CG113" s="233">
        <v>0</v>
      </c>
      <c r="CH113" s="200">
        <v>0</v>
      </c>
      <c r="CI113" s="201">
        <v>0</v>
      </c>
      <c r="CJ113" s="200">
        <v>0</v>
      </c>
      <c r="CK113" s="200">
        <v>0</v>
      </c>
      <c r="CL113" s="200">
        <v>0</v>
      </c>
      <c r="CM113" s="201">
        <v>0</v>
      </c>
      <c r="CN113" s="235">
        <v>0</v>
      </c>
      <c r="CO113" s="235" t="s">
        <v>2</v>
      </c>
    </row>
    <row r="114" spans="1:93" s="207" customFormat="1" ht="15" x14ac:dyDescent="0.25">
      <c r="A114" s="239" t="s">
        <v>1594</v>
      </c>
      <c r="B114" s="240" t="s">
        <v>520</v>
      </c>
      <c r="C114" s="241" t="s">
        <v>1595</v>
      </c>
      <c r="D114" s="289">
        <v>8</v>
      </c>
      <c r="E114" s="199">
        <v>40</v>
      </c>
      <c r="F114" s="201">
        <v>97</v>
      </c>
      <c r="G114" s="231">
        <v>406</v>
      </c>
      <c r="H114" s="202">
        <v>78</v>
      </c>
      <c r="I114" s="203">
        <v>18.2</v>
      </c>
      <c r="J114" s="203">
        <v>2.7</v>
      </c>
      <c r="K114" s="203">
        <v>0</v>
      </c>
      <c r="L114" s="203">
        <v>0</v>
      </c>
      <c r="M114" s="204">
        <v>1.1000000000000001</v>
      </c>
      <c r="N114" s="200">
        <v>90</v>
      </c>
      <c r="O114" s="200">
        <v>240</v>
      </c>
      <c r="P114" s="203" t="s">
        <v>2</v>
      </c>
      <c r="Q114" s="203" t="s">
        <v>2</v>
      </c>
      <c r="R114" s="200" t="s">
        <v>2</v>
      </c>
      <c r="S114" s="200" t="s">
        <v>2</v>
      </c>
      <c r="T114" s="200" t="s">
        <v>2</v>
      </c>
      <c r="U114" s="205" t="s">
        <v>2</v>
      </c>
      <c r="V114" s="205" t="s">
        <v>2</v>
      </c>
      <c r="W114" s="204" t="s">
        <v>2</v>
      </c>
      <c r="X114" s="203">
        <v>0</v>
      </c>
      <c r="Y114" s="205">
        <v>0.04</v>
      </c>
      <c r="Z114" s="205">
        <v>0.12</v>
      </c>
      <c r="AA114" s="205">
        <v>2.2999999999999998</v>
      </c>
      <c r="AB114" s="205" t="s">
        <v>2</v>
      </c>
      <c r="AC114" s="205" t="s">
        <v>2</v>
      </c>
      <c r="AD114" s="200" t="s">
        <v>2</v>
      </c>
      <c r="AE114" s="200" t="s">
        <v>2</v>
      </c>
      <c r="AF114" s="203" t="s">
        <v>2</v>
      </c>
      <c r="AG114" s="204" t="s">
        <v>2</v>
      </c>
      <c r="AH114" s="201" t="s">
        <v>2</v>
      </c>
      <c r="AI114" s="200">
        <v>0</v>
      </c>
      <c r="AJ114" s="203" t="s">
        <v>2</v>
      </c>
      <c r="AK114" s="203" t="s">
        <v>2</v>
      </c>
      <c r="AL114" s="204" t="s">
        <v>2</v>
      </c>
      <c r="AM114" s="200">
        <v>0</v>
      </c>
      <c r="AN114" s="200">
        <v>0</v>
      </c>
      <c r="AO114" s="200">
        <v>0</v>
      </c>
      <c r="AP114" s="223" t="s">
        <v>2</v>
      </c>
      <c r="AQ114" s="224" t="s">
        <v>2</v>
      </c>
      <c r="AR114" s="224" t="s">
        <v>2</v>
      </c>
      <c r="AS114" s="224" t="s">
        <v>2</v>
      </c>
      <c r="AT114" s="224" t="s">
        <v>2</v>
      </c>
      <c r="AU114" s="224" t="s">
        <v>2</v>
      </c>
      <c r="AV114" s="236" t="s">
        <v>2</v>
      </c>
      <c r="AW114" s="223" t="s">
        <v>2</v>
      </c>
      <c r="AX114" s="224" t="s">
        <v>2</v>
      </c>
      <c r="AY114" s="224" t="s">
        <v>2</v>
      </c>
      <c r="AZ114" s="236" t="s">
        <v>2</v>
      </c>
      <c r="BA114" s="223" t="s">
        <v>2</v>
      </c>
      <c r="BB114" s="224" t="s">
        <v>2</v>
      </c>
      <c r="BC114" s="224" t="s">
        <v>2</v>
      </c>
      <c r="BD114" s="224" t="s">
        <v>2</v>
      </c>
      <c r="BE114" s="224" t="s">
        <v>2</v>
      </c>
      <c r="BF114" s="236" t="s">
        <v>2</v>
      </c>
      <c r="BG114" s="230" t="s">
        <v>2</v>
      </c>
      <c r="BH114" s="230">
        <v>600</v>
      </c>
      <c r="BI114" s="234" t="s">
        <v>2</v>
      </c>
      <c r="BJ114" s="234" t="s">
        <v>2</v>
      </c>
      <c r="BK114" s="234" t="s">
        <v>2</v>
      </c>
      <c r="BL114" s="234" t="s">
        <v>2</v>
      </c>
      <c r="BM114" s="234" t="s">
        <v>2</v>
      </c>
      <c r="BN114" s="234" t="s">
        <v>2</v>
      </c>
      <c r="BO114" s="234" t="s">
        <v>2</v>
      </c>
      <c r="BP114" s="234" t="s">
        <v>2</v>
      </c>
      <c r="BQ114" s="234" t="s">
        <v>2</v>
      </c>
      <c r="BR114" s="234" t="s">
        <v>2</v>
      </c>
      <c r="BS114" s="234" t="s">
        <v>2</v>
      </c>
      <c r="BT114" s="234" t="s">
        <v>2</v>
      </c>
      <c r="BU114" s="234" t="s">
        <v>2</v>
      </c>
      <c r="BV114" s="234" t="s">
        <v>2</v>
      </c>
      <c r="BW114" s="234" t="s">
        <v>2</v>
      </c>
      <c r="BX114" s="234" t="s">
        <v>2</v>
      </c>
      <c r="BY114" s="234" t="s">
        <v>2</v>
      </c>
      <c r="BZ114" s="237" t="s">
        <v>2</v>
      </c>
      <c r="CA114" s="203">
        <v>0</v>
      </c>
      <c r="CB114" s="223">
        <v>0</v>
      </c>
      <c r="CC114" s="223">
        <v>0</v>
      </c>
      <c r="CD114" s="223">
        <v>0</v>
      </c>
      <c r="CE114" s="223">
        <v>0</v>
      </c>
      <c r="CF114" s="223">
        <v>0</v>
      </c>
      <c r="CG114" s="233">
        <v>0</v>
      </c>
      <c r="CH114" s="200">
        <v>0</v>
      </c>
      <c r="CI114" s="201">
        <v>0</v>
      </c>
      <c r="CJ114" s="200">
        <v>0</v>
      </c>
      <c r="CK114" s="200">
        <v>0</v>
      </c>
      <c r="CL114" s="200">
        <v>0</v>
      </c>
      <c r="CM114" s="201">
        <v>0</v>
      </c>
      <c r="CN114" s="235">
        <v>0</v>
      </c>
      <c r="CO114" s="235" t="s">
        <v>2</v>
      </c>
    </row>
    <row r="115" spans="1:93" s="207" customFormat="1" ht="15" x14ac:dyDescent="0.25">
      <c r="A115" s="239" t="s">
        <v>1596</v>
      </c>
      <c r="B115" s="240" t="s">
        <v>521</v>
      </c>
      <c r="C115" s="241" t="s">
        <v>1597</v>
      </c>
      <c r="D115" s="289">
        <v>8</v>
      </c>
      <c r="E115" s="199">
        <v>44</v>
      </c>
      <c r="F115" s="201">
        <v>126</v>
      </c>
      <c r="G115" s="231">
        <v>527</v>
      </c>
      <c r="H115" s="202">
        <v>74.2</v>
      </c>
      <c r="I115" s="203">
        <v>19.100000000000001</v>
      </c>
      <c r="J115" s="203">
        <v>5.5</v>
      </c>
      <c r="K115" s="203">
        <v>0</v>
      </c>
      <c r="L115" s="203">
        <v>0</v>
      </c>
      <c r="M115" s="204">
        <v>1.2</v>
      </c>
      <c r="N115" s="200">
        <v>26</v>
      </c>
      <c r="O115" s="200">
        <v>151</v>
      </c>
      <c r="P115" s="203">
        <v>0.25</v>
      </c>
      <c r="Q115" s="203" t="s">
        <v>2</v>
      </c>
      <c r="R115" s="200" t="s">
        <v>2</v>
      </c>
      <c r="S115" s="200" t="s">
        <v>2</v>
      </c>
      <c r="T115" s="234" t="s">
        <v>2</v>
      </c>
      <c r="U115" s="224" t="s">
        <v>2</v>
      </c>
      <c r="V115" s="205" t="s">
        <v>2</v>
      </c>
      <c r="W115" s="204" t="s">
        <v>2</v>
      </c>
      <c r="X115" s="203">
        <v>0</v>
      </c>
      <c r="Y115" s="205" t="s">
        <v>2</v>
      </c>
      <c r="Z115" s="205" t="s">
        <v>2</v>
      </c>
      <c r="AA115" s="205" t="s">
        <v>2</v>
      </c>
      <c r="AB115" s="205" t="s">
        <v>2</v>
      </c>
      <c r="AC115" s="205" t="s">
        <v>2</v>
      </c>
      <c r="AD115" s="200" t="s">
        <v>2</v>
      </c>
      <c r="AE115" s="200" t="s">
        <v>2</v>
      </c>
      <c r="AF115" s="203" t="s">
        <v>2</v>
      </c>
      <c r="AG115" s="204" t="s">
        <v>2</v>
      </c>
      <c r="AH115" s="201" t="s">
        <v>2</v>
      </c>
      <c r="AI115" s="200">
        <v>0</v>
      </c>
      <c r="AJ115" s="203" t="s">
        <v>2</v>
      </c>
      <c r="AK115" s="203" t="s">
        <v>2</v>
      </c>
      <c r="AL115" s="204" t="s">
        <v>2</v>
      </c>
      <c r="AM115" s="200">
        <v>0</v>
      </c>
      <c r="AN115" s="200">
        <v>0</v>
      </c>
      <c r="AO115" s="200">
        <v>0</v>
      </c>
      <c r="AP115" s="223" t="s">
        <v>2</v>
      </c>
      <c r="AQ115" s="224" t="s">
        <v>2</v>
      </c>
      <c r="AR115" s="224" t="s">
        <v>2</v>
      </c>
      <c r="AS115" s="224" t="s">
        <v>2</v>
      </c>
      <c r="AT115" s="224" t="s">
        <v>2</v>
      </c>
      <c r="AU115" s="224" t="s">
        <v>2</v>
      </c>
      <c r="AV115" s="236" t="s">
        <v>2</v>
      </c>
      <c r="AW115" s="223" t="s">
        <v>2</v>
      </c>
      <c r="AX115" s="224" t="s">
        <v>2</v>
      </c>
      <c r="AY115" s="224" t="s">
        <v>2</v>
      </c>
      <c r="AZ115" s="236" t="s">
        <v>2</v>
      </c>
      <c r="BA115" s="223" t="s">
        <v>2</v>
      </c>
      <c r="BB115" s="224" t="s">
        <v>2</v>
      </c>
      <c r="BC115" s="224" t="s">
        <v>2</v>
      </c>
      <c r="BD115" s="224" t="s">
        <v>2</v>
      </c>
      <c r="BE115" s="224" t="s">
        <v>2</v>
      </c>
      <c r="BF115" s="236" t="s">
        <v>2</v>
      </c>
      <c r="BG115" s="230" t="s">
        <v>2</v>
      </c>
      <c r="BH115" s="230" t="s">
        <v>2</v>
      </c>
      <c r="BI115" s="234" t="s">
        <v>2</v>
      </c>
      <c r="BJ115" s="234" t="s">
        <v>2</v>
      </c>
      <c r="BK115" s="234" t="s">
        <v>2</v>
      </c>
      <c r="BL115" s="234" t="s">
        <v>2</v>
      </c>
      <c r="BM115" s="234" t="s">
        <v>2</v>
      </c>
      <c r="BN115" s="234" t="s">
        <v>2</v>
      </c>
      <c r="BO115" s="234" t="s">
        <v>2</v>
      </c>
      <c r="BP115" s="234" t="s">
        <v>2</v>
      </c>
      <c r="BQ115" s="234" t="s">
        <v>2</v>
      </c>
      <c r="BR115" s="234" t="s">
        <v>2</v>
      </c>
      <c r="BS115" s="234" t="s">
        <v>2</v>
      </c>
      <c r="BT115" s="234" t="s">
        <v>2</v>
      </c>
      <c r="BU115" s="234" t="s">
        <v>2</v>
      </c>
      <c r="BV115" s="234" t="s">
        <v>2</v>
      </c>
      <c r="BW115" s="234" t="s">
        <v>2</v>
      </c>
      <c r="BX115" s="234" t="s">
        <v>2</v>
      </c>
      <c r="BY115" s="234" t="s">
        <v>2</v>
      </c>
      <c r="BZ115" s="237" t="s">
        <v>2</v>
      </c>
      <c r="CA115" s="203">
        <v>0</v>
      </c>
      <c r="CB115" s="223">
        <v>0</v>
      </c>
      <c r="CC115" s="223">
        <v>0</v>
      </c>
      <c r="CD115" s="223">
        <v>0</v>
      </c>
      <c r="CE115" s="223">
        <v>0</v>
      </c>
      <c r="CF115" s="223">
        <v>0</v>
      </c>
      <c r="CG115" s="233">
        <v>0</v>
      </c>
      <c r="CH115" s="200">
        <v>0</v>
      </c>
      <c r="CI115" s="201">
        <v>0</v>
      </c>
      <c r="CJ115" s="200">
        <v>0</v>
      </c>
      <c r="CK115" s="200">
        <v>0</v>
      </c>
      <c r="CL115" s="200">
        <v>0</v>
      </c>
      <c r="CM115" s="201">
        <v>0</v>
      </c>
      <c r="CN115" s="235">
        <v>0</v>
      </c>
      <c r="CO115" s="235" t="s">
        <v>2</v>
      </c>
    </row>
    <row r="116" spans="1:93" s="207" customFormat="1" ht="15" x14ac:dyDescent="0.25">
      <c r="A116" s="239" t="s">
        <v>1598</v>
      </c>
      <c r="B116" s="240" t="s">
        <v>522</v>
      </c>
      <c r="C116" s="241" t="s">
        <v>1599</v>
      </c>
      <c r="D116" s="289">
        <v>8</v>
      </c>
      <c r="E116" s="199">
        <v>43</v>
      </c>
      <c r="F116" s="201">
        <v>100</v>
      </c>
      <c r="G116" s="231">
        <v>416</v>
      </c>
      <c r="H116" s="202">
        <v>76.8</v>
      </c>
      <c r="I116" s="203">
        <v>19.7</v>
      </c>
      <c r="J116" s="203">
        <v>2.2999999999999998</v>
      </c>
      <c r="K116" s="203">
        <v>0</v>
      </c>
      <c r="L116" s="203">
        <v>0</v>
      </c>
      <c r="M116" s="204">
        <v>1.2</v>
      </c>
      <c r="N116" s="200">
        <v>50</v>
      </c>
      <c r="O116" s="200">
        <v>148</v>
      </c>
      <c r="P116" s="203">
        <v>0.53</v>
      </c>
      <c r="Q116" s="203" t="s">
        <v>2</v>
      </c>
      <c r="R116" s="200" t="s">
        <v>2</v>
      </c>
      <c r="S116" s="200" t="s">
        <v>2</v>
      </c>
      <c r="T116" s="234" t="s">
        <v>2</v>
      </c>
      <c r="U116" s="224" t="s">
        <v>2</v>
      </c>
      <c r="V116" s="205" t="s">
        <v>2</v>
      </c>
      <c r="W116" s="204" t="s">
        <v>2</v>
      </c>
      <c r="X116" s="203">
        <v>0</v>
      </c>
      <c r="Y116" s="205" t="s">
        <v>2</v>
      </c>
      <c r="Z116" s="205" t="s">
        <v>2</v>
      </c>
      <c r="AA116" s="205" t="s">
        <v>2</v>
      </c>
      <c r="AB116" s="205" t="s">
        <v>2</v>
      </c>
      <c r="AC116" s="205" t="s">
        <v>2</v>
      </c>
      <c r="AD116" s="200" t="s">
        <v>2</v>
      </c>
      <c r="AE116" s="200" t="s">
        <v>2</v>
      </c>
      <c r="AF116" s="203" t="s">
        <v>2</v>
      </c>
      <c r="AG116" s="204" t="s">
        <v>2</v>
      </c>
      <c r="AH116" s="201" t="s">
        <v>2</v>
      </c>
      <c r="AI116" s="200">
        <v>0</v>
      </c>
      <c r="AJ116" s="203">
        <v>3.1</v>
      </c>
      <c r="AK116" s="203" t="s">
        <v>2</v>
      </c>
      <c r="AL116" s="204" t="s">
        <v>2</v>
      </c>
      <c r="AM116" s="200">
        <v>0</v>
      </c>
      <c r="AN116" s="200">
        <v>0</v>
      </c>
      <c r="AO116" s="200">
        <v>0</v>
      </c>
      <c r="AP116" s="223" t="s">
        <v>2</v>
      </c>
      <c r="AQ116" s="224" t="s">
        <v>2</v>
      </c>
      <c r="AR116" s="224" t="s">
        <v>2</v>
      </c>
      <c r="AS116" s="224" t="s">
        <v>2</v>
      </c>
      <c r="AT116" s="224" t="s">
        <v>2</v>
      </c>
      <c r="AU116" s="224" t="s">
        <v>2</v>
      </c>
      <c r="AV116" s="236" t="s">
        <v>2</v>
      </c>
      <c r="AW116" s="223" t="s">
        <v>2</v>
      </c>
      <c r="AX116" s="224" t="s">
        <v>2</v>
      </c>
      <c r="AY116" s="224" t="s">
        <v>2</v>
      </c>
      <c r="AZ116" s="236" t="s">
        <v>2</v>
      </c>
      <c r="BA116" s="223" t="s">
        <v>2</v>
      </c>
      <c r="BB116" s="224" t="s">
        <v>2</v>
      </c>
      <c r="BC116" s="224" t="s">
        <v>2</v>
      </c>
      <c r="BD116" s="224" t="s">
        <v>2</v>
      </c>
      <c r="BE116" s="224" t="s">
        <v>2</v>
      </c>
      <c r="BF116" s="236" t="s">
        <v>2</v>
      </c>
      <c r="BG116" s="230" t="s">
        <v>2</v>
      </c>
      <c r="BH116" s="230" t="s">
        <v>2</v>
      </c>
      <c r="BI116" s="234" t="s">
        <v>2</v>
      </c>
      <c r="BJ116" s="234" t="s">
        <v>2</v>
      </c>
      <c r="BK116" s="234" t="s">
        <v>2</v>
      </c>
      <c r="BL116" s="234" t="s">
        <v>2</v>
      </c>
      <c r="BM116" s="234" t="s">
        <v>2</v>
      </c>
      <c r="BN116" s="234" t="s">
        <v>2</v>
      </c>
      <c r="BO116" s="234" t="s">
        <v>2</v>
      </c>
      <c r="BP116" s="234" t="s">
        <v>2</v>
      </c>
      <c r="BQ116" s="234" t="s">
        <v>2</v>
      </c>
      <c r="BR116" s="234" t="s">
        <v>2</v>
      </c>
      <c r="BS116" s="234" t="s">
        <v>2</v>
      </c>
      <c r="BT116" s="234" t="s">
        <v>2</v>
      </c>
      <c r="BU116" s="234" t="s">
        <v>2</v>
      </c>
      <c r="BV116" s="234" t="s">
        <v>2</v>
      </c>
      <c r="BW116" s="234" t="s">
        <v>2</v>
      </c>
      <c r="BX116" s="234" t="s">
        <v>2</v>
      </c>
      <c r="BY116" s="234" t="s">
        <v>2</v>
      </c>
      <c r="BZ116" s="237" t="s">
        <v>2</v>
      </c>
      <c r="CA116" s="203">
        <v>0</v>
      </c>
      <c r="CB116" s="223">
        <v>0</v>
      </c>
      <c r="CC116" s="223">
        <v>0</v>
      </c>
      <c r="CD116" s="223">
        <v>0</v>
      </c>
      <c r="CE116" s="223">
        <v>0</v>
      </c>
      <c r="CF116" s="223">
        <v>0</v>
      </c>
      <c r="CG116" s="233">
        <v>0</v>
      </c>
      <c r="CH116" s="200">
        <v>0</v>
      </c>
      <c r="CI116" s="201">
        <v>0</v>
      </c>
      <c r="CJ116" s="200">
        <v>0</v>
      </c>
      <c r="CK116" s="200">
        <v>0</v>
      </c>
      <c r="CL116" s="200">
        <v>0</v>
      </c>
      <c r="CM116" s="201">
        <v>0</v>
      </c>
      <c r="CN116" s="235">
        <v>0</v>
      </c>
      <c r="CO116" s="235" t="s">
        <v>2</v>
      </c>
    </row>
    <row r="117" spans="1:93" s="207" customFormat="1" ht="15" x14ac:dyDescent="0.25">
      <c r="A117" s="239" t="s">
        <v>1600</v>
      </c>
      <c r="B117" s="240" t="s">
        <v>523</v>
      </c>
      <c r="C117" s="241" t="s">
        <v>1601</v>
      </c>
      <c r="D117" s="289">
        <v>8</v>
      </c>
      <c r="E117" s="230" t="s">
        <v>96</v>
      </c>
      <c r="F117" s="201">
        <v>73</v>
      </c>
      <c r="G117" s="231">
        <v>306</v>
      </c>
      <c r="H117" s="202">
        <v>81.3</v>
      </c>
      <c r="I117" s="203">
        <v>17.399999999999999</v>
      </c>
      <c r="J117" s="203">
        <v>0.4</v>
      </c>
      <c r="K117" s="203">
        <v>0</v>
      </c>
      <c r="L117" s="203">
        <v>0</v>
      </c>
      <c r="M117" s="204">
        <v>0.9</v>
      </c>
      <c r="N117" s="200">
        <v>36</v>
      </c>
      <c r="O117" s="200">
        <v>45</v>
      </c>
      <c r="P117" s="223" t="s">
        <v>2</v>
      </c>
      <c r="Q117" s="203" t="s">
        <v>2</v>
      </c>
      <c r="R117" s="200" t="s">
        <v>2</v>
      </c>
      <c r="S117" s="200" t="s">
        <v>2</v>
      </c>
      <c r="T117" s="234" t="s">
        <v>2</v>
      </c>
      <c r="U117" s="224" t="s">
        <v>2</v>
      </c>
      <c r="V117" s="205" t="s">
        <v>2</v>
      </c>
      <c r="W117" s="204" t="s">
        <v>2</v>
      </c>
      <c r="X117" s="203">
        <v>0</v>
      </c>
      <c r="Y117" s="205" t="s">
        <v>2</v>
      </c>
      <c r="Z117" s="205" t="s">
        <v>2</v>
      </c>
      <c r="AA117" s="205" t="s">
        <v>2</v>
      </c>
      <c r="AB117" s="205" t="s">
        <v>2</v>
      </c>
      <c r="AC117" s="205" t="s">
        <v>2</v>
      </c>
      <c r="AD117" s="200" t="s">
        <v>2</v>
      </c>
      <c r="AE117" s="200" t="s">
        <v>2</v>
      </c>
      <c r="AF117" s="203" t="s">
        <v>2</v>
      </c>
      <c r="AG117" s="204" t="s">
        <v>2</v>
      </c>
      <c r="AH117" s="201" t="s">
        <v>2</v>
      </c>
      <c r="AI117" s="200">
        <v>0</v>
      </c>
      <c r="AJ117" s="203" t="s">
        <v>2</v>
      </c>
      <c r="AK117" s="203" t="s">
        <v>2</v>
      </c>
      <c r="AL117" s="204" t="s">
        <v>2</v>
      </c>
      <c r="AM117" s="200">
        <v>0</v>
      </c>
      <c r="AN117" s="200">
        <v>0</v>
      </c>
      <c r="AO117" s="200">
        <v>0</v>
      </c>
      <c r="AP117" s="223" t="s">
        <v>2</v>
      </c>
      <c r="AQ117" s="224" t="s">
        <v>2</v>
      </c>
      <c r="AR117" s="224" t="s">
        <v>2</v>
      </c>
      <c r="AS117" s="224" t="s">
        <v>2</v>
      </c>
      <c r="AT117" s="224" t="s">
        <v>2</v>
      </c>
      <c r="AU117" s="224" t="s">
        <v>2</v>
      </c>
      <c r="AV117" s="236" t="s">
        <v>2</v>
      </c>
      <c r="AW117" s="223" t="s">
        <v>2</v>
      </c>
      <c r="AX117" s="224" t="s">
        <v>2</v>
      </c>
      <c r="AY117" s="224" t="s">
        <v>2</v>
      </c>
      <c r="AZ117" s="236" t="s">
        <v>2</v>
      </c>
      <c r="BA117" s="223" t="s">
        <v>2</v>
      </c>
      <c r="BB117" s="224" t="s">
        <v>2</v>
      </c>
      <c r="BC117" s="224" t="s">
        <v>2</v>
      </c>
      <c r="BD117" s="224" t="s">
        <v>2</v>
      </c>
      <c r="BE117" s="224" t="s">
        <v>2</v>
      </c>
      <c r="BF117" s="236" t="s">
        <v>2</v>
      </c>
      <c r="BG117" s="230" t="s">
        <v>2</v>
      </c>
      <c r="BH117" s="230">
        <v>13</v>
      </c>
      <c r="BI117" s="234" t="s">
        <v>2</v>
      </c>
      <c r="BJ117" s="234" t="s">
        <v>2</v>
      </c>
      <c r="BK117" s="234" t="s">
        <v>2</v>
      </c>
      <c r="BL117" s="234" t="s">
        <v>2</v>
      </c>
      <c r="BM117" s="234" t="s">
        <v>2</v>
      </c>
      <c r="BN117" s="234" t="s">
        <v>2</v>
      </c>
      <c r="BO117" s="234" t="s">
        <v>2</v>
      </c>
      <c r="BP117" s="234" t="s">
        <v>2</v>
      </c>
      <c r="BQ117" s="234" t="s">
        <v>2</v>
      </c>
      <c r="BR117" s="234" t="s">
        <v>2</v>
      </c>
      <c r="BS117" s="234" t="s">
        <v>2</v>
      </c>
      <c r="BT117" s="234" t="s">
        <v>2</v>
      </c>
      <c r="BU117" s="234" t="s">
        <v>2</v>
      </c>
      <c r="BV117" s="234" t="s">
        <v>2</v>
      </c>
      <c r="BW117" s="234" t="s">
        <v>2</v>
      </c>
      <c r="BX117" s="234" t="s">
        <v>2</v>
      </c>
      <c r="BY117" s="234" t="s">
        <v>2</v>
      </c>
      <c r="BZ117" s="237" t="s">
        <v>2</v>
      </c>
      <c r="CA117" s="203">
        <v>0</v>
      </c>
      <c r="CB117" s="223">
        <v>0</v>
      </c>
      <c r="CC117" s="223">
        <v>0</v>
      </c>
      <c r="CD117" s="223">
        <v>0</v>
      </c>
      <c r="CE117" s="223">
        <v>0</v>
      </c>
      <c r="CF117" s="223">
        <v>0</v>
      </c>
      <c r="CG117" s="233">
        <v>0</v>
      </c>
      <c r="CH117" s="200">
        <v>0</v>
      </c>
      <c r="CI117" s="201">
        <v>0</v>
      </c>
      <c r="CJ117" s="200">
        <v>0</v>
      </c>
      <c r="CK117" s="200">
        <v>0</v>
      </c>
      <c r="CL117" s="200">
        <v>0</v>
      </c>
      <c r="CM117" s="201">
        <v>0</v>
      </c>
      <c r="CN117" s="235">
        <v>0</v>
      </c>
      <c r="CO117" s="235" t="s">
        <v>2</v>
      </c>
    </row>
    <row r="118" spans="1:93" s="207" customFormat="1" ht="15" x14ac:dyDescent="0.25">
      <c r="A118" s="239" t="s">
        <v>1602</v>
      </c>
      <c r="B118" s="240" t="s">
        <v>524</v>
      </c>
      <c r="C118" s="241" t="s">
        <v>1603</v>
      </c>
      <c r="D118" s="289">
        <v>8</v>
      </c>
      <c r="E118" s="199">
        <v>35</v>
      </c>
      <c r="F118" s="201">
        <v>166</v>
      </c>
      <c r="G118" s="231">
        <v>692</v>
      </c>
      <c r="H118" s="202">
        <v>70.2</v>
      </c>
      <c r="I118" s="203">
        <v>18.2</v>
      </c>
      <c r="J118" s="203">
        <v>10.3</v>
      </c>
      <c r="K118" s="203">
        <v>0</v>
      </c>
      <c r="L118" s="203">
        <v>0</v>
      </c>
      <c r="M118" s="204">
        <v>1.3</v>
      </c>
      <c r="N118" s="200">
        <v>50</v>
      </c>
      <c r="O118" s="200">
        <v>90</v>
      </c>
      <c r="P118" s="203">
        <v>1.3</v>
      </c>
      <c r="Q118" s="223" t="s">
        <v>2</v>
      </c>
      <c r="R118" s="200">
        <v>110</v>
      </c>
      <c r="S118" s="200">
        <v>486</v>
      </c>
      <c r="T118" s="200">
        <v>35</v>
      </c>
      <c r="U118" s="224" t="s">
        <v>2</v>
      </c>
      <c r="V118" s="205">
        <v>200</v>
      </c>
      <c r="W118" s="204" t="s">
        <v>2</v>
      </c>
      <c r="X118" s="203">
        <v>0</v>
      </c>
      <c r="Y118" s="205">
        <v>7.0000000000000007E-2</v>
      </c>
      <c r="Z118" s="205">
        <v>0.17</v>
      </c>
      <c r="AA118" s="205">
        <v>6.6</v>
      </c>
      <c r="AB118" s="205" t="s">
        <v>2</v>
      </c>
      <c r="AC118" s="205" t="s">
        <v>2</v>
      </c>
      <c r="AD118" s="200" t="s">
        <v>2</v>
      </c>
      <c r="AE118" s="200" t="s">
        <v>2</v>
      </c>
      <c r="AF118" s="223">
        <v>7</v>
      </c>
      <c r="AG118" s="204" t="s">
        <v>2</v>
      </c>
      <c r="AH118" s="201">
        <v>10</v>
      </c>
      <c r="AI118" s="200">
        <v>10</v>
      </c>
      <c r="AJ118" s="203" t="s">
        <v>2</v>
      </c>
      <c r="AK118" s="203" t="s">
        <v>2</v>
      </c>
      <c r="AL118" s="204" t="s">
        <v>2</v>
      </c>
      <c r="AM118" s="200">
        <v>0</v>
      </c>
      <c r="AN118" s="200">
        <v>0</v>
      </c>
      <c r="AO118" s="200">
        <v>0</v>
      </c>
      <c r="AP118" s="203">
        <v>5.64</v>
      </c>
      <c r="AQ118" s="205">
        <v>3.49</v>
      </c>
      <c r="AR118" s="205">
        <v>0</v>
      </c>
      <c r="AS118" s="205">
        <v>0.61</v>
      </c>
      <c r="AT118" s="205">
        <v>0</v>
      </c>
      <c r="AU118" s="205">
        <v>0</v>
      </c>
      <c r="AV118" s="206">
        <v>0</v>
      </c>
      <c r="AW118" s="203">
        <v>9.66</v>
      </c>
      <c r="AX118" s="205">
        <v>0</v>
      </c>
      <c r="AY118" s="205">
        <v>0.81</v>
      </c>
      <c r="AZ118" s="206">
        <v>3.1</v>
      </c>
      <c r="BA118" s="203">
        <v>6.52</v>
      </c>
      <c r="BB118" s="205">
        <v>0.64</v>
      </c>
      <c r="BC118" s="205">
        <v>0.32</v>
      </c>
      <c r="BD118" s="205">
        <v>0.91</v>
      </c>
      <c r="BE118" s="205">
        <v>1.27</v>
      </c>
      <c r="BF118" s="206">
        <v>3.17</v>
      </c>
      <c r="BG118" s="230" t="s">
        <v>2</v>
      </c>
      <c r="BH118" s="230" t="s">
        <v>2</v>
      </c>
      <c r="BI118" s="200">
        <v>1600</v>
      </c>
      <c r="BJ118" s="200">
        <v>520</v>
      </c>
      <c r="BK118" s="200">
        <v>190</v>
      </c>
      <c r="BL118" s="200">
        <v>730</v>
      </c>
      <c r="BM118" s="200">
        <v>790</v>
      </c>
      <c r="BN118" s="200">
        <v>1100</v>
      </c>
      <c r="BO118" s="200">
        <v>1400</v>
      </c>
      <c r="BP118" s="200">
        <v>900</v>
      </c>
      <c r="BQ118" s="200">
        <v>1000</v>
      </c>
      <c r="BR118" s="200">
        <v>840</v>
      </c>
      <c r="BS118" s="200">
        <v>140</v>
      </c>
      <c r="BT118" s="200">
        <v>640</v>
      </c>
      <c r="BU118" s="234">
        <v>1100</v>
      </c>
      <c r="BV118" s="234">
        <v>1700</v>
      </c>
      <c r="BW118" s="234">
        <v>2200</v>
      </c>
      <c r="BX118" s="234">
        <v>840</v>
      </c>
      <c r="BY118" s="234">
        <v>610</v>
      </c>
      <c r="BZ118" s="237">
        <v>730</v>
      </c>
      <c r="CA118" s="203">
        <v>0</v>
      </c>
      <c r="CB118" s="223">
        <v>0</v>
      </c>
      <c r="CC118" s="223">
        <v>0</v>
      </c>
      <c r="CD118" s="223">
        <v>0</v>
      </c>
      <c r="CE118" s="223">
        <v>0</v>
      </c>
      <c r="CF118" s="223">
        <v>0</v>
      </c>
      <c r="CG118" s="233">
        <v>0</v>
      </c>
      <c r="CH118" s="200">
        <v>0</v>
      </c>
      <c r="CI118" s="201">
        <v>0</v>
      </c>
      <c r="CJ118" s="200">
        <v>0</v>
      </c>
      <c r="CK118" s="200">
        <v>0</v>
      </c>
      <c r="CL118" s="200">
        <v>0</v>
      </c>
      <c r="CM118" s="201">
        <v>0</v>
      </c>
      <c r="CN118" s="235">
        <v>0</v>
      </c>
      <c r="CO118" s="235">
        <v>145</v>
      </c>
    </row>
    <row r="119" spans="1:93" s="207" customFormat="1" ht="15" x14ac:dyDescent="0.25">
      <c r="A119" s="239" t="s">
        <v>1604</v>
      </c>
      <c r="B119" s="240" t="s">
        <v>525</v>
      </c>
      <c r="C119" s="241" t="s">
        <v>1605</v>
      </c>
      <c r="D119" s="289">
        <v>8</v>
      </c>
      <c r="E119" s="199">
        <v>30</v>
      </c>
      <c r="F119" s="201">
        <v>156</v>
      </c>
      <c r="G119" s="231">
        <v>651</v>
      </c>
      <c r="H119" s="202">
        <v>70.3</v>
      </c>
      <c r="I119" s="203">
        <v>20</v>
      </c>
      <c r="J119" s="203">
        <v>8.4</v>
      </c>
      <c r="K119" s="203">
        <v>0</v>
      </c>
      <c r="L119" s="203">
        <v>0</v>
      </c>
      <c r="M119" s="204">
        <v>1.3</v>
      </c>
      <c r="N119" s="200">
        <v>22</v>
      </c>
      <c r="O119" s="200">
        <v>190</v>
      </c>
      <c r="P119" s="203">
        <v>3</v>
      </c>
      <c r="Q119" s="223">
        <v>0.67</v>
      </c>
      <c r="R119" s="234">
        <v>86</v>
      </c>
      <c r="S119" s="234">
        <v>406</v>
      </c>
      <c r="T119" s="234">
        <v>28</v>
      </c>
      <c r="U119" s="224">
        <v>1.4999999999999999E-2</v>
      </c>
      <c r="V119" s="224">
        <v>93</v>
      </c>
      <c r="W119" s="233">
        <v>36.5</v>
      </c>
      <c r="X119" s="203">
        <v>0</v>
      </c>
      <c r="Y119" s="205">
        <v>0.05</v>
      </c>
      <c r="Z119" s="205">
        <v>0.1</v>
      </c>
      <c r="AA119" s="205">
        <v>6</v>
      </c>
      <c r="AB119" s="224">
        <v>0.316</v>
      </c>
      <c r="AC119" s="224">
        <v>0.33</v>
      </c>
      <c r="AD119" s="234">
        <v>2</v>
      </c>
      <c r="AE119" s="234">
        <v>0</v>
      </c>
      <c r="AF119" s="223" t="s">
        <v>2</v>
      </c>
      <c r="AG119" s="233">
        <v>4.4000000000000004</v>
      </c>
      <c r="AH119" s="201">
        <v>35</v>
      </c>
      <c r="AI119" s="200">
        <v>35</v>
      </c>
      <c r="AJ119" s="203" t="s">
        <v>2</v>
      </c>
      <c r="AK119" s="223">
        <v>1</v>
      </c>
      <c r="AL119" s="204">
        <v>0.1</v>
      </c>
      <c r="AM119" s="200">
        <v>0</v>
      </c>
      <c r="AN119" s="200">
        <v>0</v>
      </c>
      <c r="AO119" s="200">
        <v>0</v>
      </c>
      <c r="AP119" s="223">
        <v>2.2469999999999999</v>
      </c>
      <c r="AQ119" s="224">
        <v>1.389</v>
      </c>
      <c r="AR119" s="224">
        <v>0</v>
      </c>
      <c r="AS119" s="224">
        <v>0.441</v>
      </c>
      <c r="AT119" s="224">
        <v>0</v>
      </c>
      <c r="AU119" s="224">
        <v>0</v>
      </c>
      <c r="AV119" s="236">
        <v>0</v>
      </c>
      <c r="AW119" s="223">
        <v>2.629</v>
      </c>
      <c r="AX119" s="224">
        <v>0</v>
      </c>
      <c r="AY119" s="224">
        <v>0.47</v>
      </c>
      <c r="AZ119" s="236">
        <v>1.3280000000000001</v>
      </c>
      <c r="BA119" s="223">
        <v>1.94</v>
      </c>
      <c r="BB119" s="224">
        <v>0.11600000000000001</v>
      </c>
      <c r="BC119" s="224">
        <v>0.05</v>
      </c>
      <c r="BD119" s="224">
        <v>8.1000000000000003E-2</v>
      </c>
      <c r="BE119" s="224">
        <v>0.50900000000000001</v>
      </c>
      <c r="BF119" s="236">
        <v>0.93200000000000005</v>
      </c>
      <c r="BG119" s="230" t="s">
        <v>2</v>
      </c>
      <c r="BH119" s="230">
        <v>47</v>
      </c>
      <c r="BI119" s="200">
        <v>1843</v>
      </c>
      <c r="BJ119" s="200">
        <v>594</v>
      </c>
      <c r="BK119" s="200">
        <v>225</v>
      </c>
      <c r="BL119" s="200">
        <v>783</v>
      </c>
      <c r="BM119" s="200">
        <v>880</v>
      </c>
      <c r="BN119" s="200">
        <v>1034</v>
      </c>
      <c r="BO119" s="200">
        <v>1631</v>
      </c>
      <c r="BP119" s="200">
        <v>925</v>
      </c>
      <c r="BQ119" s="200">
        <v>1201</v>
      </c>
      <c r="BR119" s="200">
        <v>591</v>
      </c>
      <c r="BS119" s="200">
        <v>215</v>
      </c>
      <c r="BT119" s="200">
        <v>678</v>
      </c>
      <c r="BU119" s="200">
        <v>1214</v>
      </c>
      <c r="BV119" s="200">
        <v>2055</v>
      </c>
      <c r="BW119" s="200">
        <v>2996</v>
      </c>
      <c r="BX119" s="200">
        <v>963</v>
      </c>
      <c r="BY119" s="200">
        <v>710</v>
      </c>
      <c r="BZ119" s="201">
        <v>819</v>
      </c>
      <c r="CA119" s="203">
        <v>0</v>
      </c>
      <c r="CB119" s="223">
        <v>0</v>
      </c>
      <c r="CC119" s="223">
        <v>0</v>
      </c>
      <c r="CD119" s="223">
        <v>0</v>
      </c>
      <c r="CE119" s="223">
        <v>0</v>
      </c>
      <c r="CF119" s="223">
        <v>0</v>
      </c>
      <c r="CG119" s="233">
        <v>0</v>
      </c>
      <c r="CH119" s="200">
        <v>0</v>
      </c>
      <c r="CI119" s="201">
        <v>0</v>
      </c>
      <c r="CJ119" s="200">
        <v>0</v>
      </c>
      <c r="CK119" s="200">
        <v>0</v>
      </c>
      <c r="CL119" s="200">
        <v>0</v>
      </c>
      <c r="CM119" s="201">
        <v>0</v>
      </c>
      <c r="CN119" s="235">
        <v>0</v>
      </c>
      <c r="CO119" s="235" t="s">
        <v>2</v>
      </c>
    </row>
    <row r="120" spans="1:93" s="207" customFormat="1" ht="15" x14ac:dyDescent="0.25">
      <c r="A120" s="239" t="s">
        <v>1606</v>
      </c>
      <c r="B120" s="240" t="s">
        <v>526</v>
      </c>
      <c r="C120" s="241" t="s">
        <v>1607</v>
      </c>
      <c r="D120" s="289">
        <v>8</v>
      </c>
      <c r="E120" s="199">
        <v>26</v>
      </c>
      <c r="F120" s="201">
        <v>110</v>
      </c>
      <c r="G120" s="231">
        <v>462</v>
      </c>
      <c r="H120" s="202">
        <v>74.2</v>
      </c>
      <c r="I120" s="203">
        <v>20.399999999999999</v>
      </c>
      <c r="J120" s="203">
        <v>3.2</v>
      </c>
      <c r="K120" s="203">
        <v>0</v>
      </c>
      <c r="L120" s="203">
        <v>0</v>
      </c>
      <c r="M120" s="204">
        <v>2.2000000000000002</v>
      </c>
      <c r="N120" s="200">
        <v>109</v>
      </c>
      <c r="O120" s="200">
        <v>231</v>
      </c>
      <c r="P120" s="203">
        <v>0.2</v>
      </c>
      <c r="Q120" s="203" t="s">
        <v>2</v>
      </c>
      <c r="R120" s="200" t="s">
        <v>2</v>
      </c>
      <c r="S120" s="200" t="s">
        <v>2</v>
      </c>
      <c r="T120" s="234" t="s">
        <v>2</v>
      </c>
      <c r="U120" s="224" t="s">
        <v>2</v>
      </c>
      <c r="V120" s="205" t="s">
        <v>2</v>
      </c>
      <c r="W120" s="204" t="s">
        <v>2</v>
      </c>
      <c r="X120" s="203">
        <v>0</v>
      </c>
      <c r="Y120" s="205" t="s">
        <v>2</v>
      </c>
      <c r="Z120" s="205" t="s">
        <v>2</v>
      </c>
      <c r="AA120" s="205" t="s">
        <v>2</v>
      </c>
      <c r="AB120" s="205" t="s">
        <v>2</v>
      </c>
      <c r="AC120" s="205" t="s">
        <v>2</v>
      </c>
      <c r="AD120" s="200" t="s">
        <v>2</v>
      </c>
      <c r="AE120" s="200" t="s">
        <v>2</v>
      </c>
      <c r="AF120" s="203" t="s">
        <v>2</v>
      </c>
      <c r="AG120" s="204" t="s">
        <v>2</v>
      </c>
      <c r="AH120" s="201" t="s">
        <v>2</v>
      </c>
      <c r="AI120" s="200">
        <v>0</v>
      </c>
      <c r="AJ120" s="203">
        <v>23.3</v>
      </c>
      <c r="AK120" s="203" t="s">
        <v>2</v>
      </c>
      <c r="AL120" s="204" t="s">
        <v>2</v>
      </c>
      <c r="AM120" s="200">
        <v>0</v>
      </c>
      <c r="AN120" s="200">
        <v>0</v>
      </c>
      <c r="AO120" s="200">
        <v>0</v>
      </c>
      <c r="AP120" s="223" t="s">
        <v>2</v>
      </c>
      <c r="AQ120" s="224" t="s">
        <v>2</v>
      </c>
      <c r="AR120" s="224" t="s">
        <v>2</v>
      </c>
      <c r="AS120" s="224" t="s">
        <v>2</v>
      </c>
      <c r="AT120" s="224" t="s">
        <v>2</v>
      </c>
      <c r="AU120" s="224" t="s">
        <v>2</v>
      </c>
      <c r="AV120" s="236" t="s">
        <v>2</v>
      </c>
      <c r="AW120" s="223" t="s">
        <v>2</v>
      </c>
      <c r="AX120" s="224" t="s">
        <v>2</v>
      </c>
      <c r="AY120" s="224" t="s">
        <v>2</v>
      </c>
      <c r="AZ120" s="236" t="s">
        <v>2</v>
      </c>
      <c r="BA120" s="223" t="s">
        <v>2</v>
      </c>
      <c r="BB120" s="224" t="s">
        <v>2</v>
      </c>
      <c r="BC120" s="224" t="s">
        <v>2</v>
      </c>
      <c r="BD120" s="224" t="s">
        <v>2</v>
      </c>
      <c r="BE120" s="224" t="s">
        <v>2</v>
      </c>
      <c r="BF120" s="236" t="s">
        <v>2</v>
      </c>
      <c r="BG120" s="230" t="s">
        <v>2</v>
      </c>
      <c r="BH120" s="230" t="s">
        <v>2</v>
      </c>
      <c r="BI120" s="234" t="s">
        <v>2</v>
      </c>
      <c r="BJ120" s="234" t="s">
        <v>2</v>
      </c>
      <c r="BK120" s="234" t="s">
        <v>2</v>
      </c>
      <c r="BL120" s="234" t="s">
        <v>2</v>
      </c>
      <c r="BM120" s="234" t="s">
        <v>2</v>
      </c>
      <c r="BN120" s="234" t="s">
        <v>2</v>
      </c>
      <c r="BO120" s="234" t="s">
        <v>2</v>
      </c>
      <c r="BP120" s="234" t="s">
        <v>2</v>
      </c>
      <c r="BQ120" s="234" t="s">
        <v>2</v>
      </c>
      <c r="BR120" s="234" t="s">
        <v>2</v>
      </c>
      <c r="BS120" s="234" t="s">
        <v>2</v>
      </c>
      <c r="BT120" s="234" t="s">
        <v>2</v>
      </c>
      <c r="BU120" s="234" t="s">
        <v>2</v>
      </c>
      <c r="BV120" s="234" t="s">
        <v>2</v>
      </c>
      <c r="BW120" s="234" t="s">
        <v>2</v>
      </c>
      <c r="BX120" s="234" t="s">
        <v>2</v>
      </c>
      <c r="BY120" s="234" t="s">
        <v>2</v>
      </c>
      <c r="BZ120" s="237" t="s">
        <v>2</v>
      </c>
      <c r="CA120" s="203">
        <v>0</v>
      </c>
      <c r="CB120" s="223">
        <v>0</v>
      </c>
      <c r="CC120" s="223">
        <v>0</v>
      </c>
      <c r="CD120" s="223">
        <v>0</v>
      </c>
      <c r="CE120" s="223">
        <v>0</v>
      </c>
      <c r="CF120" s="223">
        <v>0</v>
      </c>
      <c r="CG120" s="233">
        <v>0</v>
      </c>
      <c r="CH120" s="200">
        <v>0</v>
      </c>
      <c r="CI120" s="201">
        <v>0</v>
      </c>
      <c r="CJ120" s="200">
        <v>0</v>
      </c>
      <c r="CK120" s="200">
        <v>0</v>
      </c>
      <c r="CL120" s="200">
        <v>0</v>
      </c>
      <c r="CM120" s="201">
        <v>0</v>
      </c>
      <c r="CN120" s="235">
        <v>0</v>
      </c>
      <c r="CO120" s="235" t="s">
        <v>2</v>
      </c>
    </row>
    <row r="121" spans="1:93" s="207" customFormat="1" ht="15" x14ac:dyDescent="0.25">
      <c r="A121" s="239" t="s">
        <v>1608</v>
      </c>
      <c r="B121" s="240" t="s">
        <v>527</v>
      </c>
      <c r="C121" s="241" t="s">
        <v>1609</v>
      </c>
      <c r="D121" s="289">
        <v>8</v>
      </c>
      <c r="E121" s="199">
        <v>35</v>
      </c>
      <c r="F121" s="201">
        <v>91</v>
      </c>
      <c r="G121" s="231">
        <v>382</v>
      </c>
      <c r="H121" s="202">
        <v>79.400000000000006</v>
      </c>
      <c r="I121" s="203">
        <v>17</v>
      </c>
      <c r="J121" s="203">
        <v>2.6</v>
      </c>
      <c r="K121" s="203">
        <v>0</v>
      </c>
      <c r="L121" s="203">
        <v>0</v>
      </c>
      <c r="M121" s="204">
        <v>1</v>
      </c>
      <c r="N121" s="200">
        <v>57</v>
      </c>
      <c r="O121" s="200">
        <v>145</v>
      </c>
      <c r="P121" s="203">
        <v>0.1</v>
      </c>
      <c r="Q121" s="203" t="s">
        <v>2</v>
      </c>
      <c r="R121" s="200">
        <v>26</v>
      </c>
      <c r="S121" s="200">
        <v>305</v>
      </c>
      <c r="T121" s="234">
        <v>34</v>
      </c>
      <c r="U121" s="224" t="s">
        <v>2</v>
      </c>
      <c r="V121" s="205" t="s">
        <v>2</v>
      </c>
      <c r="W121" s="204" t="s">
        <v>2</v>
      </c>
      <c r="X121" s="203">
        <v>0</v>
      </c>
      <c r="Y121" s="205" t="s">
        <v>2</v>
      </c>
      <c r="Z121" s="205" t="s">
        <v>2</v>
      </c>
      <c r="AA121" s="205" t="s">
        <v>2</v>
      </c>
      <c r="AB121" s="205" t="s">
        <v>2</v>
      </c>
      <c r="AC121" s="205" t="s">
        <v>2</v>
      </c>
      <c r="AD121" s="200" t="s">
        <v>2</v>
      </c>
      <c r="AE121" s="200" t="s">
        <v>2</v>
      </c>
      <c r="AF121" s="203" t="s">
        <v>2</v>
      </c>
      <c r="AG121" s="204" t="s">
        <v>2</v>
      </c>
      <c r="AH121" s="201" t="s">
        <v>2</v>
      </c>
      <c r="AI121" s="200">
        <v>0</v>
      </c>
      <c r="AJ121" s="203">
        <v>24.7</v>
      </c>
      <c r="AK121" s="203" t="s">
        <v>2</v>
      </c>
      <c r="AL121" s="204" t="s">
        <v>2</v>
      </c>
      <c r="AM121" s="200">
        <v>0</v>
      </c>
      <c r="AN121" s="200">
        <v>0</v>
      </c>
      <c r="AO121" s="200">
        <v>0</v>
      </c>
      <c r="AP121" s="223" t="s">
        <v>2</v>
      </c>
      <c r="AQ121" s="224" t="s">
        <v>2</v>
      </c>
      <c r="AR121" s="224" t="s">
        <v>2</v>
      </c>
      <c r="AS121" s="224" t="s">
        <v>2</v>
      </c>
      <c r="AT121" s="224" t="s">
        <v>2</v>
      </c>
      <c r="AU121" s="224" t="s">
        <v>2</v>
      </c>
      <c r="AV121" s="236" t="s">
        <v>2</v>
      </c>
      <c r="AW121" s="223" t="s">
        <v>2</v>
      </c>
      <c r="AX121" s="224" t="s">
        <v>2</v>
      </c>
      <c r="AY121" s="224" t="s">
        <v>2</v>
      </c>
      <c r="AZ121" s="236" t="s">
        <v>2</v>
      </c>
      <c r="BA121" s="223" t="s">
        <v>2</v>
      </c>
      <c r="BB121" s="224" t="s">
        <v>2</v>
      </c>
      <c r="BC121" s="224" t="s">
        <v>2</v>
      </c>
      <c r="BD121" s="224" t="s">
        <v>2</v>
      </c>
      <c r="BE121" s="224" t="s">
        <v>2</v>
      </c>
      <c r="BF121" s="236" t="s">
        <v>2</v>
      </c>
      <c r="BG121" s="230" t="s">
        <v>2</v>
      </c>
      <c r="BH121" s="230" t="s">
        <v>2</v>
      </c>
      <c r="BI121" s="234" t="s">
        <v>2</v>
      </c>
      <c r="BJ121" s="234" t="s">
        <v>2</v>
      </c>
      <c r="BK121" s="234" t="s">
        <v>2</v>
      </c>
      <c r="BL121" s="234" t="s">
        <v>2</v>
      </c>
      <c r="BM121" s="234" t="s">
        <v>2</v>
      </c>
      <c r="BN121" s="234" t="s">
        <v>2</v>
      </c>
      <c r="BO121" s="234" t="s">
        <v>2</v>
      </c>
      <c r="BP121" s="234" t="s">
        <v>2</v>
      </c>
      <c r="BQ121" s="234" t="s">
        <v>2</v>
      </c>
      <c r="BR121" s="234" t="s">
        <v>2</v>
      </c>
      <c r="BS121" s="234" t="s">
        <v>2</v>
      </c>
      <c r="BT121" s="234" t="s">
        <v>2</v>
      </c>
      <c r="BU121" s="234" t="s">
        <v>2</v>
      </c>
      <c r="BV121" s="234" t="s">
        <v>2</v>
      </c>
      <c r="BW121" s="234" t="s">
        <v>2</v>
      </c>
      <c r="BX121" s="234" t="s">
        <v>2</v>
      </c>
      <c r="BY121" s="234" t="s">
        <v>2</v>
      </c>
      <c r="BZ121" s="237" t="s">
        <v>2</v>
      </c>
      <c r="CA121" s="203">
        <v>0</v>
      </c>
      <c r="CB121" s="223">
        <v>0</v>
      </c>
      <c r="CC121" s="223">
        <v>0</v>
      </c>
      <c r="CD121" s="223">
        <v>0</v>
      </c>
      <c r="CE121" s="223">
        <v>0</v>
      </c>
      <c r="CF121" s="223">
        <v>0</v>
      </c>
      <c r="CG121" s="233">
        <v>0</v>
      </c>
      <c r="CH121" s="200">
        <v>0</v>
      </c>
      <c r="CI121" s="201">
        <v>0</v>
      </c>
      <c r="CJ121" s="200">
        <v>0</v>
      </c>
      <c r="CK121" s="200">
        <v>0</v>
      </c>
      <c r="CL121" s="200">
        <v>0</v>
      </c>
      <c r="CM121" s="201">
        <v>0</v>
      </c>
      <c r="CN121" s="235">
        <v>0</v>
      </c>
      <c r="CO121" s="235" t="s">
        <v>2</v>
      </c>
    </row>
    <row r="122" spans="1:93" s="207" customFormat="1" ht="15" x14ac:dyDescent="0.25">
      <c r="A122" s="239" t="s">
        <v>1610</v>
      </c>
      <c r="B122" s="240" t="s">
        <v>528</v>
      </c>
      <c r="C122" s="241" t="s">
        <v>1611</v>
      </c>
      <c r="D122" s="289">
        <v>8</v>
      </c>
      <c r="E122" s="199">
        <v>40</v>
      </c>
      <c r="F122" s="201">
        <v>173</v>
      </c>
      <c r="G122" s="231">
        <v>724</v>
      </c>
      <c r="H122" s="202">
        <v>70.400000000000006</v>
      </c>
      <c r="I122" s="203">
        <v>16.5</v>
      </c>
      <c r="J122" s="203">
        <v>11.9</v>
      </c>
      <c r="K122" s="203">
        <v>0</v>
      </c>
      <c r="L122" s="203">
        <v>0</v>
      </c>
      <c r="M122" s="204">
        <v>1.2</v>
      </c>
      <c r="N122" s="200">
        <v>20</v>
      </c>
      <c r="O122" s="200">
        <v>210</v>
      </c>
      <c r="P122" s="203">
        <v>1</v>
      </c>
      <c r="Q122" s="203">
        <v>0.74</v>
      </c>
      <c r="R122" s="200">
        <v>53</v>
      </c>
      <c r="S122" s="200">
        <v>299</v>
      </c>
      <c r="T122" s="200">
        <v>23</v>
      </c>
      <c r="U122" s="205">
        <v>1.7999999999999999E-2</v>
      </c>
      <c r="V122" s="205">
        <v>101</v>
      </c>
      <c r="W122" s="204">
        <v>12.6</v>
      </c>
      <c r="X122" s="203">
        <v>0</v>
      </c>
      <c r="Y122" s="205">
        <v>0.1</v>
      </c>
      <c r="Z122" s="205">
        <v>0.04</v>
      </c>
      <c r="AA122" s="205">
        <v>1.4</v>
      </c>
      <c r="AB122" s="205">
        <v>0.6</v>
      </c>
      <c r="AC122" s="205">
        <v>0.188</v>
      </c>
      <c r="AD122" s="200">
        <v>10</v>
      </c>
      <c r="AE122" s="200">
        <v>0</v>
      </c>
      <c r="AF122" s="223" t="s">
        <v>2</v>
      </c>
      <c r="AG122" s="204">
        <v>2.4700000000000002</v>
      </c>
      <c r="AH122" s="201">
        <v>93.33</v>
      </c>
      <c r="AI122" s="200">
        <v>93</v>
      </c>
      <c r="AJ122" s="203">
        <v>13.75</v>
      </c>
      <c r="AK122" s="203">
        <v>1.2</v>
      </c>
      <c r="AL122" s="204">
        <v>0.1</v>
      </c>
      <c r="AM122" s="200">
        <v>0</v>
      </c>
      <c r="AN122" s="200">
        <v>0</v>
      </c>
      <c r="AO122" s="200">
        <v>0</v>
      </c>
      <c r="AP122" s="203">
        <v>1.768</v>
      </c>
      <c r="AQ122" s="205">
        <v>1.274</v>
      </c>
      <c r="AR122" s="205">
        <v>0</v>
      </c>
      <c r="AS122" s="205">
        <v>0.35399999999999998</v>
      </c>
      <c r="AT122" s="205">
        <v>0</v>
      </c>
      <c r="AU122" s="205">
        <v>0</v>
      </c>
      <c r="AV122" s="206">
        <v>0</v>
      </c>
      <c r="AW122" s="203">
        <v>3.5859999999999999</v>
      </c>
      <c r="AX122" s="205">
        <v>0</v>
      </c>
      <c r="AY122" s="205">
        <v>0.28299999999999997</v>
      </c>
      <c r="AZ122" s="206">
        <v>3.1680000000000001</v>
      </c>
      <c r="BA122" s="203">
        <v>1.5680000000000001</v>
      </c>
      <c r="BB122" s="205">
        <v>0.876</v>
      </c>
      <c r="BC122" s="205">
        <v>9.6000000000000002E-2</v>
      </c>
      <c r="BD122" s="205">
        <v>8.5000000000000006E-2</v>
      </c>
      <c r="BE122" s="205">
        <v>6.7000000000000004E-2</v>
      </c>
      <c r="BF122" s="206">
        <v>0.20699999999999999</v>
      </c>
      <c r="BG122" s="230" t="s">
        <v>2</v>
      </c>
      <c r="BH122" s="199">
        <v>47</v>
      </c>
      <c r="BI122" s="200">
        <v>1429</v>
      </c>
      <c r="BJ122" s="200">
        <v>460</v>
      </c>
      <c r="BK122" s="200">
        <v>174</v>
      </c>
      <c r="BL122" s="200">
        <v>607</v>
      </c>
      <c r="BM122" s="200">
        <v>682</v>
      </c>
      <c r="BN122" s="200">
        <v>801</v>
      </c>
      <c r="BO122" s="200">
        <v>1264</v>
      </c>
      <c r="BP122" s="200">
        <v>717</v>
      </c>
      <c r="BQ122" s="200">
        <v>931</v>
      </c>
      <c r="BR122" s="200">
        <v>458</v>
      </c>
      <c r="BS122" s="200">
        <v>167</v>
      </c>
      <c r="BT122" s="200">
        <v>525</v>
      </c>
      <c r="BU122" s="200">
        <v>941</v>
      </c>
      <c r="BV122" s="200">
        <v>1593</v>
      </c>
      <c r="BW122" s="200">
        <v>2322</v>
      </c>
      <c r="BX122" s="200">
        <v>747</v>
      </c>
      <c r="BY122" s="200">
        <v>550</v>
      </c>
      <c r="BZ122" s="201">
        <v>635</v>
      </c>
      <c r="CA122" s="203">
        <v>0</v>
      </c>
      <c r="CB122" s="223">
        <v>0</v>
      </c>
      <c r="CC122" s="223">
        <v>0</v>
      </c>
      <c r="CD122" s="223">
        <v>0</v>
      </c>
      <c r="CE122" s="223">
        <v>0</v>
      </c>
      <c r="CF122" s="223">
        <v>0</v>
      </c>
      <c r="CG122" s="233">
        <v>0</v>
      </c>
      <c r="CH122" s="200">
        <v>0</v>
      </c>
      <c r="CI122" s="201">
        <v>0</v>
      </c>
      <c r="CJ122" s="200">
        <v>0</v>
      </c>
      <c r="CK122" s="200">
        <v>0</v>
      </c>
      <c r="CL122" s="200">
        <v>0</v>
      </c>
      <c r="CM122" s="201">
        <v>0</v>
      </c>
      <c r="CN122" s="235">
        <v>0</v>
      </c>
      <c r="CO122" s="235" t="s">
        <v>2</v>
      </c>
    </row>
    <row r="123" spans="1:93" s="207" customFormat="1" ht="15" x14ac:dyDescent="0.25">
      <c r="A123" s="239" t="s">
        <v>1612</v>
      </c>
      <c r="B123" s="240" t="s">
        <v>529</v>
      </c>
      <c r="C123" s="241" t="s">
        <v>1613</v>
      </c>
      <c r="D123" s="289">
        <v>8</v>
      </c>
      <c r="E123" s="199">
        <v>35</v>
      </c>
      <c r="F123" s="201">
        <v>166</v>
      </c>
      <c r="G123" s="231">
        <v>695</v>
      </c>
      <c r="H123" s="202">
        <v>70.5</v>
      </c>
      <c r="I123" s="203">
        <v>17.7</v>
      </c>
      <c r="J123" s="203">
        <v>10.6</v>
      </c>
      <c r="K123" s="203">
        <v>0</v>
      </c>
      <c r="L123" s="203">
        <v>0</v>
      </c>
      <c r="M123" s="204">
        <v>1.2</v>
      </c>
      <c r="N123" s="200">
        <v>64</v>
      </c>
      <c r="O123" s="200">
        <v>174</v>
      </c>
      <c r="P123" s="203">
        <v>2.8</v>
      </c>
      <c r="Q123" s="203">
        <v>0.53</v>
      </c>
      <c r="R123" s="200">
        <v>160</v>
      </c>
      <c r="S123" s="200">
        <v>423</v>
      </c>
      <c r="T123" s="200">
        <v>32</v>
      </c>
      <c r="U123" s="205">
        <v>0.02</v>
      </c>
      <c r="V123" s="205">
        <v>300</v>
      </c>
      <c r="W123" s="204">
        <v>36.5</v>
      </c>
      <c r="X123" s="203">
        <v>0</v>
      </c>
      <c r="Y123" s="205">
        <v>0.02</v>
      </c>
      <c r="Z123" s="205">
        <v>0.18</v>
      </c>
      <c r="AA123" s="205">
        <v>5</v>
      </c>
      <c r="AB123" s="205">
        <v>1</v>
      </c>
      <c r="AC123" s="205">
        <v>0.45</v>
      </c>
      <c r="AD123" s="200">
        <v>5</v>
      </c>
      <c r="AE123" s="200">
        <v>0</v>
      </c>
      <c r="AF123" s="203">
        <v>10</v>
      </c>
      <c r="AG123" s="204">
        <v>10</v>
      </c>
      <c r="AH123" s="201">
        <v>20</v>
      </c>
      <c r="AI123" s="200">
        <v>20</v>
      </c>
      <c r="AJ123" s="203">
        <v>4.18</v>
      </c>
      <c r="AK123" s="223" t="s">
        <v>2</v>
      </c>
      <c r="AL123" s="204" t="s">
        <v>2</v>
      </c>
      <c r="AM123" s="200">
        <v>0</v>
      </c>
      <c r="AN123" s="234">
        <v>0</v>
      </c>
      <c r="AO123" s="234">
        <v>0</v>
      </c>
      <c r="AP123" s="203">
        <v>3.2570000000000001</v>
      </c>
      <c r="AQ123" s="205">
        <v>2.0230000000000001</v>
      </c>
      <c r="AR123" s="205">
        <v>0</v>
      </c>
      <c r="AS123" s="205">
        <v>0.25700000000000001</v>
      </c>
      <c r="AT123" s="205">
        <v>0</v>
      </c>
      <c r="AU123" s="205">
        <v>0</v>
      </c>
      <c r="AV123" s="206">
        <v>0</v>
      </c>
      <c r="AW123" s="203">
        <v>6.8719999999999999</v>
      </c>
      <c r="AX123" s="205">
        <v>0</v>
      </c>
      <c r="AY123" s="205">
        <v>1.0569999999999999</v>
      </c>
      <c r="AZ123" s="206">
        <v>2.9129999999999998</v>
      </c>
      <c r="BA123" s="203">
        <v>2.423</v>
      </c>
      <c r="BB123" s="205">
        <v>0.192</v>
      </c>
      <c r="BC123" s="205">
        <v>5.7000000000000002E-2</v>
      </c>
      <c r="BD123" s="205">
        <v>0.248</v>
      </c>
      <c r="BE123" s="205">
        <v>0.96899999999999997</v>
      </c>
      <c r="BF123" s="206">
        <v>0.68899999999999995</v>
      </c>
      <c r="BG123" s="230" t="s">
        <v>2</v>
      </c>
      <c r="BH123" s="199">
        <v>406</v>
      </c>
      <c r="BI123" s="200">
        <v>1506</v>
      </c>
      <c r="BJ123" s="200">
        <v>485</v>
      </c>
      <c r="BK123" s="200">
        <v>184</v>
      </c>
      <c r="BL123" s="200">
        <v>640</v>
      </c>
      <c r="BM123" s="200">
        <v>719</v>
      </c>
      <c r="BN123" s="200">
        <v>845</v>
      </c>
      <c r="BO123" s="200">
        <v>1332</v>
      </c>
      <c r="BP123" s="200">
        <v>755</v>
      </c>
      <c r="BQ123" s="200">
        <v>981</v>
      </c>
      <c r="BR123" s="200">
        <v>483</v>
      </c>
      <c r="BS123" s="200">
        <v>176</v>
      </c>
      <c r="BT123" s="200">
        <v>553</v>
      </c>
      <c r="BU123" s="200">
        <v>991</v>
      </c>
      <c r="BV123" s="200">
        <v>1679</v>
      </c>
      <c r="BW123" s="200">
        <v>2447</v>
      </c>
      <c r="BX123" s="200">
        <v>787</v>
      </c>
      <c r="BY123" s="200">
        <v>580</v>
      </c>
      <c r="BZ123" s="201">
        <v>669</v>
      </c>
      <c r="CA123" s="203">
        <v>0</v>
      </c>
      <c r="CB123" s="223">
        <v>0</v>
      </c>
      <c r="CC123" s="223">
        <v>0</v>
      </c>
      <c r="CD123" s="223">
        <v>0</v>
      </c>
      <c r="CE123" s="223">
        <v>0</v>
      </c>
      <c r="CF123" s="223">
        <v>0</v>
      </c>
      <c r="CG123" s="233">
        <v>0</v>
      </c>
      <c r="CH123" s="234">
        <v>0</v>
      </c>
      <c r="CI123" s="201">
        <v>0</v>
      </c>
      <c r="CJ123" s="200">
        <v>0</v>
      </c>
      <c r="CK123" s="200">
        <v>0</v>
      </c>
      <c r="CL123" s="200">
        <v>0</v>
      </c>
      <c r="CM123" s="201">
        <v>0</v>
      </c>
      <c r="CN123" s="235">
        <v>0</v>
      </c>
      <c r="CO123" s="235">
        <v>210</v>
      </c>
    </row>
    <row r="124" spans="1:93" s="207" customFormat="1" ht="15" x14ac:dyDescent="0.25">
      <c r="A124" s="239" t="s">
        <v>1614</v>
      </c>
      <c r="B124" s="240" t="s">
        <v>530</v>
      </c>
      <c r="C124" s="241" t="s">
        <v>1615</v>
      </c>
      <c r="D124" s="289">
        <v>8</v>
      </c>
      <c r="E124" s="199">
        <v>27.6</v>
      </c>
      <c r="F124" s="201">
        <v>127</v>
      </c>
      <c r="G124" s="231">
        <v>529</v>
      </c>
      <c r="H124" s="202">
        <v>74.3</v>
      </c>
      <c r="I124" s="203">
        <v>18.8</v>
      </c>
      <c r="J124" s="203">
        <v>5.7</v>
      </c>
      <c r="K124" s="203">
        <v>0</v>
      </c>
      <c r="L124" s="203">
        <v>0</v>
      </c>
      <c r="M124" s="204">
        <v>1.2</v>
      </c>
      <c r="N124" s="200">
        <v>76</v>
      </c>
      <c r="O124" s="200">
        <v>185</v>
      </c>
      <c r="P124" s="203">
        <v>0.05</v>
      </c>
      <c r="Q124" s="203" t="s">
        <v>2</v>
      </c>
      <c r="R124" s="200">
        <v>14</v>
      </c>
      <c r="S124" s="200">
        <v>314</v>
      </c>
      <c r="T124" s="200">
        <v>35</v>
      </c>
      <c r="U124" s="205" t="s">
        <v>2</v>
      </c>
      <c r="V124" s="205" t="s">
        <v>2</v>
      </c>
      <c r="W124" s="204" t="s">
        <v>2</v>
      </c>
      <c r="X124" s="203">
        <v>0</v>
      </c>
      <c r="Y124" s="205" t="s">
        <v>2</v>
      </c>
      <c r="Z124" s="205" t="s">
        <v>2</v>
      </c>
      <c r="AA124" s="205" t="s">
        <v>2</v>
      </c>
      <c r="AB124" s="205" t="s">
        <v>2</v>
      </c>
      <c r="AC124" s="205" t="s">
        <v>2</v>
      </c>
      <c r="AD124" s="200" t="s">
        <v>2</v>
      </c>
      <c r="AE124" s="200" t="s">
        <v>2</v>
      </c>
      <c r="AF124" s="203" t="s">
        <v>2</v>
      </c>
      <c r="AG124" s="204" t="s">
        <v>2</v>
      </c>
      <c r="AH124" s="201" t="s">
        <v>2</v>
      </c>
      <c r="AI124" s="200">
        <v>0</v>
      </c>
      <c r="AJ124" s="203" t="s">
        <v>2</v>
      </c>
      <c r="AK124" s="223" t="s">
        <v>2</v>
      </c>
      <c r="AL124" s="204" t="s">
        <v>2</v>
      </c>
      <c r="AM124" s="200">
        <v>0</v>
      </c>
      <c r="AN124" s="200">
        <v>0</v>
      </c>
      <c r="AO124" s="200">
        <v>0</v>
      </c>
      <c r="AP124" s="223" t="s">
        <v>2</v>
      </c>
      <c r="AQ124" s="224" t="s">
        <v>2</v>
      </c>
      <c r="AR124" s="224" t="s">
        <v>2</v>
      </c>
      <c r="AS124" s="224" t="s">
        <v>2</v>
      </c>
      <c r="AT124" s="224" t="s">
        <v>2</v>
      </c>
      <c r="AU124" s="224" t="s">
        <v>2</v>
      </c>
      <c r="AV124" s="236" t="s">
        <v>2</v>
      </c>
      <c r="AW124" s="223" t="s">
        <v>2</v>
      </c>
      <c r="AX124" s="224" t="s">
        <v>2</v>
      </c>
      <c r="AY124" s="224" t="s">
        <v>2</v>
      </c>
      <c r="AZ124" s="236" t="s">
        <v>2</v>
      </c>
      <c r="BA124" s="223" t="s">
        <v>2</v>
      </c>
      <c r="BB124" s="224" t="s">
        <v>2</v>
      </c>
      <c r="BC124" s="224" t="s">
        <v>2</v>
      </c>
      <c r="BD124" s="224" t="s">
        <v>2</v>
      </c>
      <c r="BE124" s="224" t="s">
        <v>2</v>
      </c>
      <c r="BF124" s="236" t="s">
        <v>2</v>
      </c>
      <c r="BG124" s="230" t="s">
        <v>2</v>
      </c>
      <c r="BH124" s="230" t="s">
        <v>2</v>
      </c>
      <c r="BI124" s="234" t="s">
        <v>2</v>
      </c>
      <c r="BJ124" s="234" t="s">
        <v>2</v>
      </c>
      <c r="BK124" s="234" t="s">
        <v>2</v>
      </c>
      <c r="BL124" s="234" t="s">
        <v>2</v>
      </c>
      <c r="BM124" s="234" t="s">
        <v>2</v>
      </c>
      <c r="BN124" s="234" t="s">
        <v>2</v>
      </c>
      <c r="BO124" s="234" t="s">
        <v>2</v>
      </c>
      <c r="BP124" s="234" t="s">
        <v>2</v>
      </c>
      <c r="BQ124" s="234" t="s">
        <v>2</v>
      </c>
      <c r="BR124" s="234" t="s">
        <v>2</v>
      </c>
      <c r="BS124" s="234" t="s">
        <v>2</v>
      </c>
      <c r="BT124" s="234" t="s">
        <v>2</v>
      </c>
      <c r="BU124" s="234" t="s">
        <v>2</v>
      </c>
      <c r="BV124" s="234" t="s">
        <v>2</v>
      </c>
      <c r="BW124" s="234" t="s">
        <v>2</v>
      </c>
      <c r="BX124" s="234" t="s">
        <v>2</v>
      </c>
      <c r="BY124" s="234" t="s">
        <v>2</v>
      </c>
      <c r="BZ124" s="237" t="s">
        <v>2</v>
      </c>
      <c r="CA124" s="203">
        <v>0</v>
      </c>
      <c r="CB124" s="223">
        <v>0</v>
      </c>
      <c r="CC124" s="223">
        <v>0</v>
      </c>
      <c r="CD124" s="223">
        <v>0</v>
      </c>
      <c r="CE124" s="223">
        <v>0</v>
      </c>
      <c r="CF124" s="223">
        <v>0</v>
      </c>
      <c r="CG124" s="233">
        <v>0</v>
      </c>
      <c r="CH124" s="200">
        <v>0</v>
      </c>
      <c r="CI124" s="201">
        <v>0</v>
      </c>
      <c r="CJ124" s="200">
        <v>0</v>
      </c>
      <c r="CK124" s="200">
        <v>0</v>
      </c>
      <c r="CL124" s="200">
        <v>0</v>
      </c>
      <c r="CM124" s="201">
        <v>0</v>
      </c>
      <c r="CN124" s="235">
        <v>0</v>
      </c>
      <c r="CO124" s="235" t="s">
        <v>2</v>
      </c>
    </row>
    <row r="125" spans="1:93" s="207" customFormat="1" ht="15" x14ac:dyDescent="0.25">
      <c r="A125" s="239" t="s">
        <v>1616</v>
      </c>
      <c r="B125" s="240" t="s">
        <v>531</v>
      </c>
      <c r="C125" s="241" t="s">
        <v>1617</v>
      </c>
      <c r="D125" s="289">
        <v>8</v>
      </c>
      <c r="E125" s="199">
        <v>40</v>
      </c>
      <c r="F125" s="201">
        <v>103</v>
      </c>
      <c r="G125" s="231">
        <v>433</v>
      </c>
      <c r="H125" s="202">
        <v>72.2</v>
      </c>
      <c r="I125" s="203">
        <v>17.5</v>
      </c>
      <c r="J125" s="203">
        <v>0.6</v>
      </c>
      <c r="K125" s="203">
        <v>7</v>
      </c>
      <c r="L125" s="203">
        <v>0</v>
      </c>
      <c r="M125" s="204">
        <v>2.7</v>
      </c>
      <c r="N125" s="200">
        <v>141</v>
      </c>
      <c r="O125" s="200">
        <v>191</v>
      </c>
      <c r="P125" s="203">
        <v>3.8</v>
      </c>
      <c r="Q125" s="203">
        <v>1.4</v>
      </c>
      <c r="R125" s="200">
        <v>316</v>
      </c>
      <c r="S125" s="200">
        <v>322</v>
      </c>
      <c r="T125" s="200">
        <v>48</v>
      </c>
      <c r="U125" s="205" t="s">
        <v>2</v>
      </c>
      <c r="V125" s="205" t="s">
        <v>2</v>
      </c>
      <c r="W125" s="204" t="s">
        <v>2</v>
      </c>
      <c r="X125" s="203">
        <v>0</v>
      </c>
      <c r="Y125" s="205">
        <v>0.03</v>
      </c>
      <c r="Z125" s="205">
        <v>0.71</v>
      </c>
      <c r="AA125" s="205">
        <v>2.7</v>
      </c>
      <c r="AB125" s="205" t="s">
        <v>2</v>
      </c>
      <c r="AC125" s="205" t="s">
        <v>2</v>
      </c>
      <c r="AD125" s="200" t="s">
        <v>2</v>
      </c>
      <c r="AE125" s="200" t="s">
        <v>2</v>
      </c>
      <c r="AF125" s="203" t="s">
        <v>2</v>
      </c>
      <c r="AG125" s="204" t="s">
        <v>2</v>
      </c>
      <c r="AH125" s="201">
        <v>36</v>
      </c>
      <c r="AI125" s="200">
        <v>36</v>
      </c>
      <c r="AJ125" s="203" t="s">
        <v>2</v>
      </c>
      <c r="AK125" s="223" t="s">
        <v>2</v>
      </c>
      <c r="AL125" s="204" t="s">
        <v>2</v>
      </c>
      <c r="AM125" s="200">
        <v>0</v>
      </c>
      <c r="AN125" s="200">
        <v>0</v>
      </c>
      <c r="AO125" s="200">
        <v>0</v>
      </c>
      <c r="AP125" s="203">
        <v>0.222</v>
      </c>
      <c r="AQ125" s="205">
        <v>141</v>
      </c>
      <c r="AR125" s="205">
        <v>0</v>
      </c>
      <c r="AS125" s="205">
        <v>8.1000000000000003E-2</v>
      </c>
      <c r="AT125" s="205">
        <v>0</v>
      </c>
      <c r="AU125" s="205">
        <v>0</v>
      </c>
      <c r="AV125" s="206">
        <v>0</v>
      </c>
      <c r="AW125" s="203">
        <v>0.192</v>
      </c>
      <c r="AX125" s="205">
        <v>0</v>
      </c>
      <c r="AY125" s="205">
        <v>5.8999999999999997E-2</v>
      </c>
      <c r="AZ125" s="206">
        <v>0.104</v>
      </c>
      <c r="BA125" s="203">
        <v>0.38700000000000001</v>
      </c>
      <c r="BB125" s="205">
        <v>1.2E-2</v>
      </c>
      <c r="BC125" s="205">
        <v>0</v>
      </c>
      <c r="BD125" s="205">
        <v>5.5E-2</v>
      </c>
      <c r="BE125" s="205">
        <v>0.17</v>
      </c>
      <c r="BF125" s="206">
        <v>0.15</v>
      </c>
      <c r="BG125" s="230" t="s">
        <v>2</v>
      </c>
      <c r="BH125" s="199">
        <v>78</v>
      </c>
      <c r="BI125" s="200">
        <v>1526</v>
      </c>
      <c r="BJ125" s="200">
        <v>517</v>
      </c>
      <c r="BK125" s="200">
        <v>278</v>
      </c>
      <c r="BL125" s="200">
        <v>820</v>
      </c>
      <c r="BM125" s="200">
        <v>888</v>
      </c>
      <c r="BN125" s="200">
        <v>853</v>
      </c>
      <c r="BO125" s="200">
        <v>1540</v>
      </c>
      <c r="BP125" s="200">
        <v>800</v>
      </c>
      <c r="BQ125" s="200">
        <v>1084</v>
      </c>
      <c r="BR125" s="200">
        <v>407</v>
      </c>
      <c r="BS125" s="200">
        <v>283</v>
      </c>
      <c r="BT125" s="200">
        <v>806</v>
      </c>
      <c r="BU125" s="200">
        <v>982</v>
      </c>
      <c r="BV125" s="200">
        <v>2054</v>
      </c>
      <c r="BW125" s="200">
        <v>2780</v>
      </c>
      <c r="BX125" s="200">
        <v>811</v>
      </c>
      <c r="BY125" s="200">
        <v>773</v>
      </c>
      <c r="BZ125" s="201">
        <v>839</v>
      </c>
      <c r="CA125" s="203" t="s">
        <v>2</v>
      </c>
      <c r="CB125" s="203" t="s">
        <v>2</v>
      </c>
      <c r="CC125" s="203" t="s">
        <v>2</v>
      </c>
      <c r="CD125" s="203" t="s">
        <v>2</v>
      </c>
      <c r="CE125" s="203" t="s">
        <v>2</v>
      </c>
      <c r="CF125" s="203" t="s">
        <v>2</v>
      </c>
      <c r="CG125" s="233" t="s">
        <v>2</v>
      </c>
      <c r="CH125" s="200">
        <v>0</v>
      </c>
      <c r="CI125" s="201">
        <v>0</v>
      </c>
      <c r="CJ125" s="200">
        <v>0</v>
      </c>
      <c r="CK125" s="200">
        <v>0</v>
      </c>
      <c r="CL125" s="200">
        <v>0</v>
      </c>
      <c r="CM125" s="201">
        <v>0</v>
      </c>
      <c r="CN125" s="235">
        <v>0</v>
      </c>
      <c r="CO125" s="235" t="s">
        <v>2</v>
      </c>
    </row>
    <row r="126" spans="1:93" s="207" customFormat="1" ht="15" x14ac:dyDescent="0.25">
      <c r="A126" s="239" t="s">
        <v>1618</v>
      </c>
      <c r="B126" s="240" t="s">
        <v>532</v>
      </c>
      <c r="C126" s="241" t="s">
        <v>1619</v>
      </c>
      <c r="D126" s="289">
        <v>8</v>
      </c>
      <c r="E126" s="199">
        <v>69</v>
      </c>
      <c r="F126" s="201">
        <v>87</v>
      </c>
      <c r="G126" s="231">
        <v>364</v>
      </c>
      <c r="H126" s="202">
        <v>74.400000000000006</v>
      </c>
      <c r="I126" s="203">
        <v>12.3</v>
      </c>
      <c r="J126" s="203">
        <v>3.3</v>
      </c>
      <c r="K126" s="203">
        <v>2</v>
      </c>
      <c r="L126" s="203">
        <v>0</v>
      </c>
      <c r="M126" s="204">
        <v>8</v>
      </c>
      <c r="N126" s="200">
        <v>826</v>
      </c>
      <c r="O126" s="200">
        <v>171</v>
      </c>
      <c r="P126" s="203">
        <v>1.4</v>
      </c>
      <c r="Q126" s="203" t="s">
        <v>2</v>
      </c>
      <c r="R126" s="200">
        <v>1484</v>
      </c>
      <c r="S126" s="200">
        <v>27</v>
      </c>
      <c r="T126" s="200">
        <v>154</v>
      </c>
      <c r="U126" s="205" t="s">
        <v>2</v>
      </c>
      <c r="V126" s="205" t="s">
        <v>2</v>
      </c>
      <c r="W126" s="204" t="s">
        <v>2</v>
      </c>
      <c r="X126" s="203">
        <v>0</v>
      </c>
      <c r="Y126" s="205">
        <v>0.01</v>
      </c>
      <c r="Z126" s="205">
        <v>0.51</v>
      </c>
      <c r="AA126" s="205">
        <v>2.1</v>
      </c>
      <c r="AB126" s="205" t="s">
        <v>2</v>
      </c>
      <c r="AC126" s="205" t="s">
        <v>2</v>
      </c>
      <c r="AD126" s="200" t="s">
        <v>2</v>
      </c>
      <c r="AE126" s="200" t="s">
        <v>2</v>
      </c>
      <c r="AF126" s="203" t="s">
        <v>2</v>
      </c>
      <c r="AG126" s="204" t="s">
        <v>2</v>
      </c>
      <c r="AH126" s="201">
        <v>210</v>
      </c>
      <c r="AI126" s="200">
        <v>210</v>
      </c>
      <c r="AJ126" s="203" t="s">
        <v>2</v>
      </c>
      <c r="AK126" s="223" t="s">
        <v>2</v>
      </c>
      <c r="AL126" s="204" t="s">
        <v>2</v>
      </c>
      <c r="AM126" s="200">
        <v>0</v>
      </c>
      <c r="AN126" s="200">
        <v>0</v>
      </c>
      <c r="AO126" s="200">
        <v>0</v>
      </c>
      <c r="AP126" s="223" t="s">
        <v>2</v>
      </c>
      <c r="AQ126" s="224" t="s">
        <v>2</v>
      </c>
      <c r="AR126" s="224" t="s">
        <v>2</v>
      </c>
      <c r="AS126" s="224" t="s">
        <v>2</v>
      </c>
      <c r="AT126" s="224" t="s">
        <v>2</v>
      </c>
      <c r="AU126" s="224" t="s">
        <v>2</v>
      </c>
      <c r="AV126" s="236" t="s">
        <v>2</v>
      </c>
      <c r="AW126" s="223" t="s">
        <v>2</v>
      </c>
      <c r="AX126" s="224" t="s">
        <v>2</v>
      </c>
      <c r="AY126" s="224" t="s">
        <v>2</v>
      </c>
      <c r="AZ126" s="236" t="s">
        <v>2</v>
      </c>
      <c r="BA126" s="223" t="s">
        <v>2</v>
      </c>
      <c r="BB126" s="224" t="s">
        <v>2</v>
      </c>
      <c r="BC126" s="224" t="s">
        <v>2</v>
      </c>
      <c r="BD126" s="224" t="s">
        <v>2</v>
      </c>
      <c r="BE126" s="224" t="s">
        <v>2</v>
      </c>
      <c r="BF126" s="236" t="s">
        <v>2</v>
      </c>
      <c r="BG126" s="230" t="s">
        <v>2</v>
      </c>
      <c r="BH126" s="230" t="s">
        <v>2</v>
      </c>
      <c r="BI126" s="234" t="s">
        <v>2</v>
      </c>
      <c r="BJ126" s="234" t="s">
        <v>2</v>
      </c>
      <c r="BK126" s="234" t="s">
        <v>2</v>
      </c>
      <c r="BL126" s="234" t="s">
        <v>2</v>
      </c>
      <c r="BM126" s="234" t="s">
        <v>2</v>
      </c>
      <c r="BN126" s="234" t="s">
        <v>2</v>
      </c>
      <c r="BO126" s="234" t="s">
        <v>2</v>
      </c>
      <c r="BP126" s="234" t="s">
        <v>2</v>
      </c>
      <c r="BQ126" s="234" t="s">
        <v>2</v>
      </c>
      <c r="BR126" s="234" t="s">
        <v>2</v>
      </c>
      <c r="BS126" s="234" t="s">
        <v>2</v>
      </c>
      <c r="BT126" s="234" t="s">
        <v>2</v>
      </c>
      <c r="BU126" s="234" t="s">
        <v>2</v>
      </c>
      <c r="BV126" s="234" t="s">
        <v>2</v>
      </c>
      <c r="BW126" s="234" t="s">
        <v>2</v>
      </c>
      <c r="BX126" s="234" t="s">
        <v>2</v>
      </c>
      <c r="BY126" s="234" t="s">
        <v>2</v>
      </c>
      <c r="BZ126" s="237" t="s">
        <v>2</v>
      </c>
      <c r="CA126" s="203" t="s">
        <v>2</v>
      </c>
      <c r="CB126" s="203" t="s">
        <v>2</v>
      </c>
      <c r="CC126" s="203" t="s">
        <v>2</v>
      </c>
      <c r="CD126" s="203" t="s">
        <v>2</v>
      </c>
      <c r="CE126" s="203" t="s">
        <v>2</v>
      </c>
      <c r="CF126" s="203" t="s">
        <v>2</v>
      </c>
      <c r="CG126" s="233" t="s">
        <v>2</v>
      </c>
      <c r="CH126" s="200">
        <v>0</v>
      </c>
      <c r="CI126" s="201">
        <v>0</v>
      </c>
      <c r="CJ126" s="200">
        <v>0</v>
      </c>
      <c r="CK126" s="200">
        <v>0</v>
      </c>
      <c r="CL126" s="200">
        <v>0</v>
      </c>
      <c r="CM126" s="201">
        <v>0</v>
      </c>
      <c r="CN126" s="235">
        <v>0</v>
      </c>
      <c r="CO126" s="235" t="s">
        <v>2</v>
      </c>
    </row>
    <row r="127" spans="1:93" s="207" customFormat="1" ht="15" x14ac:dyDescent="0.25">
      <c r="A127" s="239" t="s">
        <v>1620</v>
      </c>
      <c r="B127" s="240" t="s">
        <v>1621</v>
      </c>
      <c r="C127" s="241" t="s">
        <v>1622</v>
      </c>
      <c r="D127" s="289">
        <v>8</v>
      </c>
      <c r="E127" s="199">
        <v>68</v>
      </c>
      <c r="F127" s="201">
        <v>54</v>
      </c>
      <c r="G127" s="231">
        <v>226</v>
      </c>
      <c r="H127" s="202">
        <v>85.5</v>
      </c>
      <c r="I127" s="203">
        <v>11.9</v>
      </c>
      <c r="J127" s="203">
        <v>0.7</v>
      </c>
      <c r="K127" s="203">
        <v>0</v>
      </c>
      <c r="L127" s="203">
        <v>0</v>
      </c>
      <c r="M127" s="204">
        <v>1.9</v>
      </c>
      <c r="N127" s="200">
        <v>89</v>
      </c>
      <c r="O127" s="200">
        <v>229</v>
      </c>
      <c r="P127" s="203">
        <v>0.74</v>
      </c>
      <c r="Q127" s="203">
        <v>3.54</v>
      </c>
      <c r="R127" s="200">
        <v>293</v>
      </c>
      <c r="S127" s="200">
        <v>329</v>
      </c>
      <c r="T127" s="200">
        <v>34</v>
      </c>
      <c r="U127" s="205">
        <v>0.15</v>
      </c>
      <c r="V127" s="205">
        <v>669</v>
      </c>
      <c r="W127" s="204">
        <v>37.4</v>
      </c>
      <c r="X127" s="203">
        <v>0</v>
      </c>
      <c r="Y127" s="205">
        <v>0.03</v>
      </c>
      <c r="Z127" s="205">
        <v>0.71</v>
      </c>
      <c r="AA127" s="205">
        <v>2.7</v>
      </c>
      <c r="AB127" s="205">
        <v>0.35</v>
      </c>
      <c r="AC127" s="205">
        <v>0.15</v>
      </c>
      <c r="AD127" s="200">
        <v>44</v>
      </c>
      <c r="AE127" s="200">
        <v>0</v>
      </c>
      <c r="AF127" s="203" t="s">
        <v>2</v>
      </c>
      <c r="AG127" s="204">
        <v>9</v>
      </c>
      <c r="AH127" s="201">
        <v>2</v>
      </c>
      <c r="AI127" s="200">
        <v>2</v>
      </c>
      <c r="AJ127" s="203" t="s">
        <v>2</v>
      </c>
      <c r="AK127" s="223" t="s">
        <v>2</v>
      </c>
      <c r="AL127" s="204" t="s">
        <v>2</v>
      </c>
      <c r="AM127" s="200">
        <v>0</v>
      </c>
      <c r="AN127" s="200">
        <v>0</v>
      </c>
      <c r="AO127" s="200">
        <v>0</v>
      </c>
      <c r="AP127" s="203">
        <v>0.222</v>
      </c>
      <c r="AQ127" s="205">
        <v>141</v>
      </c>
      <c r="AR127" s="205">
        <v>0</v>
      </c>
      <c r="AS127" s="205">
        <v>8.1000000000000003E-2</v>
      </c>
      <c r="AT127" s="205">
        <v>0</v>
      </c>
      <c r="AU127" s="205">
        <v>0</v>
      </c>
      <c r="AV127" s="206">
        <v>0</v>
      </c>
      <c r="AW127" s="203">
        <v>0.192</v>
      </c>
      <c r="AX127" s="205">
        <v>0</v>
      </c>
      <c r="AY127" s="205">
        <v>5.8999999999999997E-2</v>
      </c>
      <c r="AZ127" s="206">
        <v>0.104</v>
      </c>
      <c r="BA127" s="203">
        <v>0.38700000000000001</v>
      </c>
      <c r="BB127" s="205">
        <v>1.2E-2</v>
      </c>
      <c r="BC127" s="205">
        <v>0</v>
      </c>
      <c r="BD127" s="205">
        <v>5.5E-2</v>
      </c>
      <c r="BE127" s="205">
        <v>0.17</v>
      </c>
      <c r="BF127" s="206">
        <v>0.15</v>
      </c>
      <c r="BG127" s="230" t="s">
        <v>2</v>
      </c>
      <c r="BH127" s="199">
        <v>78</v>
      </c>
      <c r="BI127" s="234" t="s">
        <v>2</v>
      </c>
      <c r="BJ127" s="234" t="s">
        <v>2</v>
      </c>
      <c r="BK127" s="234" t="s">
        <v>2</v>
      </c>
      <c r="BL127" s="234" t="s">
        <v>2</v>
      </c>
      <c r="BM127" s="234" t="s">
        <v>2</v>
      </c>
      <c r="BN127" s="234" t="s">
        <v>2</v>
      </c>
      <c r="BO127" s="234" t="s">
        <v>2</v>
      </c>
      <c r="BP127" s="234" t="s">
        <v>2</v>
      </c>
      <c r="BQ127" s="234" t="s">
        <v>2</v>
      </c>
      <c r="BR127" s="234" t="s">
        <v>2</v>
      </c>
      <c r="BS127" s="234" t="s">
        <v>2</v>
      </c>
      <c r="BT127" s="234" t="s">
        <v>2</v>
      </c>
      <c r="BU127" s="234" t="s">
        <v>2</v>
      </c>
      <c r="BV127" s="234" t="s">
        <v>2</v>
      </c>
      <c r="BW127" s="234" t="s">
        <v>2</v>
      </c>
      <c r="BX127" s="234" t="s">
        <v>2</v>
      </c>
      <c r="BY127" s="234" t="s">
        <v>2</v>
      </c>
      <c r="BZ127" s="237" t="s">
        <v>2</v>
      </c>
      <c r="CA127" s="203">
        <v>0</v>
      </c>
      <c r="CB127" s="223">
        <v>0</v>
      </c>
      <c r="CC127" s="223">
        <v>0</v>
      </c>
      <c r="CD127" s="223">
        <v>0</v>
      </c>
      <c r="CE127" s="223">
        <v>0</v>
      </c>
      <c r="CF127" s="223">
        <v>0</v>
      </c>
      <c r="CG127" s="233">
        <v>0</v>
      </c>
      <c r="CH127" s="200">
        <v>0</v>
      </c>
      <c r="CI127" s="201">
        <v>0</v>
      </c>
      <c r="CJ127" s="200">
        <v>0</v>
      </c>
      <c r="CK127" s="200">
        <v>0</v>
      </c>
      <c r="CL127" s="200">
        <v>0</v>
      </c>
      <c r="CM127" s="201">
        <v>0</v>
      </c>
      <c r="CN127" s="235">
        <v>0</v>
      </c>
      <c r="CO127" s="235" t="s">
        <v>2</v>
      </c>
    </row>
    <row r="128" spans="1:93" s="207" customFormat="1" ht="15" x14ac:dyDescent="0.25">
      <c r="A128" s="239" t="s">
        <v>1623</v>
      </c>
      <c r="B128" s="240" t="s">
        <v>533</v>
      </c>
      <c r="C128" s="241" t="s">
        <v>1624</v>
      </c>
      <c r="D128" s="289">
        <v>8</v>
      </c>
      <c r="E128" s="199">
        <v>0</v>
      </c>
      <c r="F128" s="201">
        <v>90</v>
      </c>
      <c r="G128" s="231">
        <v>374</v>
      </c>
      <c r="H128" s="202">
        <v>76.900000000000006</v>
      </c>
      <c r="I128" s="203">
        <v>21.5</v>
      </c>
      <c r="J128" s="203">
        <v>0.3</v>
      </c>
      <c r="K128" s="203">
        <v>0.2</v>
      </c>
      <c r="L128" s="203">
        <v>0</v>
      </c>
      <c r="M128" s="204">
        <v>1.1000000000000001</v>
      </c>
      <c r="N128" s="200">
        <v>118</v>
      </c>
      <c r="O128" s="200">
        <v>22</v>
      </c>
      <c r="P128" s="203">
        <v>1.4</v>
      </c>
      <c r="Q128" s="203" t="s">
        <v>2</v>
      </c>
      <c r="R128" s="200" t="s">
        <v>2</v>
      </c>
      <c r="S128" s="200" t="s">
        <v>2</v>
      </c>
      <c r="T128" s="200" t="s">
        <v>2</v>
      </c>
      <c r="U128" s="205" t="s">
        <v>2</v>
      </c>
      <c r="V128" s="205" t="s">
        <v>2</v>
      </c>
      <c r="W128" s="204" t="s">
        <v>2</v>
      </c>
      <c r="X128" s="203">
        <v>0</v>
      </c>
      <c r="Y128" s="205">
        <v>0.01</v>
      </c>
      <c r="Z128" s="205">
        <v>0.02</v>
      </c>
      <c r="AA128" s="205">
        <v>0.1</v>
      </c>
      <c r="AB128" s="205" t="s">
        <v>2</v>
      </c>
      <c r="AC128" s="205" t="s">
        <v>2</v>
      </c>
      <c r="AD128" s="200" t="s">
        <v>2</v>
      </c>
      <c r="AE128" s="200" t="s">
        <v>2</v>
      </c>
      <c r="AF128" s="203" t="s">
        <v>2</v>
      </c>
      <c r="AG128" s="204" t="s">
        <v>2</v>
      </c>
      <c r="AH128" s="201">
        <v>102</v>
      </c>
      <c r="AI128" s="200">
        <v>102</v>
      </c>
      <c r="AJ128" s="203" t="s">
        <v>2</v>
      </c>
      <c r="AK128" s="223" t="s">
        <v>2</v>
      </c>
      <c r="AL128" s="204" t="s">
        <v>2</v>
      </c>
      <c r="AM128" s="200">
        <v>0</v>
      </c>
      <c r="AN128" s="200">
        <v>0</v>
      </c>
      <c r="AO128" s="200">
        <v>0</v>
      </c>
      <c r="AP128" s="223" t="s">
        <v>2</v>
      </c>
      <c r="AQ128" s="224" t="s">
        <v>2</v>
      </c>
      <c r="AR128" s="224" t="s">
        <v>2</v>
      </c>
      <c r="AS128" s="224" t="s">
        <v>2</v>
      </c>
      <c r="AT128" s="224" t="s">
        <v>2</v>
      </c>
      <c r="AU128" s="224" t="s">
        <v>2</v>
      </c>
      <c r="AV128" s="236" t="s">
        <v>2</v>
      </c>
      <c r="AW128" s="223" t="s">
        <v>2</v>
      </c>
      <c r="AX128" s="224" t="s">
        <v>2</v>
      </c>
      <c r="AY128" s="224" t="s">
        <v>2</v>
      </c>
      <c r="AZ128" s="236" t="s">
        <v>2</v>
      </c>
      <c r="BA128" s="223" t="s">
        <v>2</v>
      </c>
      <c r="BB128" s="224" t="s">
        <v>2</v>
      </c>
      <c r="BC128" s="224" t="s">
        <v>2</v>
      </c>
      <c r="BD128" s="224" t="s">
        <v>2</v>
      </c>
      <c r="BE128" s="224" t="s">
        <v>2</v>
      </c>
      <c r="BF128" s="236" t="s">
        <v>2</v>
      </c>
      <c r="BG128" s="230" t="s">
        <v>2</v>
      </c>
      <c r="BH128" s="230" t="s">
        <v>2</v>
      </c>
      <c r="BI128" s="200">
        <v>885</v>
      </c>
      <c r="BJ128" s="200">
        <v>335</v>
      </c>
      <c r="BK128" s="200">
        <v>125</v>
      </c>
      <c r="BL128" s="200">
        <v>510</v>
      </c>
      <c r="BM128" s="200">
        <v>1090</v>
      </c>
      <c r="BN128" s="200">
        <v>920</v>
      </c>
      <c r="BO128" s="200">
        <v>1090</v>
      </c>
      <c r="BP128" s="200">
        <v>715</v>
      </c>
      <c r="BQ128" s="200">
        <v>1325</v>
      </c>
      <c r="BR128" s="200">
        <v>210</v>
      </c>
      <c r="BS128" s="200">
        <v>305</v>
      </c>
      <c r="BT128" s="200">
        <v>545</v>
      </c>
      <c r="BU128" s="200">
        <v>1460</v>
      </c>
      <c r="BV128" s="200">
        <v>2040</v>
      </c>
      <c r="BW128" s="200">
        <v>3060</v>
      </c>
      <c r="BX128" s="200">
        <v>3195</v>
      </c>
      <c r="BY128" s="200">
        <v>1530</v>
      </c>
      <c r="BZ128" s="201">
        <v>1020</v>
      </c>
      <c r="CA128" s="203" t="s">
        <v>2</v>
      </c>
      <c r="CB128" s="203" t="s">
        <v>2</v>
      </c>
      <c r="CC128" s="203" t="s">
        <v>2</v>
      </c>
      <c r="CD128" s="203" t="s">
        <v>2</v>
      </c>
      <c r="CE128" s="203" t="s">
        <v>2</v>
      </c>
      <c r="CF128" s="203" t="s">
        <v>2</v>
      </c>
      <c r="CG128" s="233" t="s">
        <v>2</v>
      </c>
      <c r="CH128" s="200">
        <v>0</v>
      </c>
      <c r="CI128" s="201">
        <v>0</v>
      </c>
      <c r="CJ128" s="200">
        <v>0</v>
      </c>
      <c r="CK128" s="200">
        <v>0</v>
      </c>
      <c r="CL128" s="200">
        <v>0</v>
      </c>
      <c r="CM128" s="201">
        <v>0</v>
      </c>
      <c r="CN128" s="235">
        <v>0</v>
      </c>
      <c r="CO128" s="235" t="s">
        <v>2</v>
      </c>
    </row>
    <row r="129" spans="1:93" s="207" customFormat="1" ht="15" x14ac:dyDescent="0.25">
      <c r="A129" s="239" t="s">
        <v>1625</v>
      </c>
      <c r="B129" s="240" t="s">
        <v>534</v>
      </c>
      <c r="C129" s="241" t="s">
        <v>1626</v>
      </c>
      <c r="D129" s="289">
        <v>8</v>
      </c>
      <c r="E129" s="199">
        <v>82</v>
      </c>
      <c r="F129" s="201">
        <v>45</v>
      </c>
      <c r="G129" s="231">
        <v>187</v>
      </c>
      <c r="H129" s="202">
        <v>88.8</v>
      </c>
      <c r="I129" s="203">
        <v>4.5</v>
      </c>
      <c r="J129" s="203">
        <v>0.7</v>
      </c>
      <c r="K129" s="203">
        <v>5.0999999999999996</v>
      </c>
      <c r="L129" s="203">
        <v>0</v>
      </c>
      <c r="M129" s="204">
        <v>0.9</v>
      </c>
      <c r="N129" s="200">
        <v>144</v>
      </c>
      <c r="O129" s="200">
        <v>86</v>
      </c>
      <c r="P129" s="203">
        <v>1.6</v>
      </c>
      <c r="Q129" s="203" t="s">
        <v>2</v>
      </c>
      <c r="R129" s="200">
        <v>86</v>
      </c>
      <c r="S129" s="200">
        <v>54</v>
      </c>
      <c r="T129" s="200">
        <v>91</v>
      </c>
      <c r="U129" s="205" t="s">
        <v>2</v>
      </c>
      <c r="V129" s="205" t="s">
        <v>2</v>
      </c>
      <c r="W129" s="204" t="s">
        <v>2</v>
      </c>
      <c r="X129" s="203">
        <v>0</v>
      </c>
      <c r="Y129" s="205" t="s">
        <v>2</v>
      </c>
      <c r="Z129" s="205">
        <v>0.12</v>
      </c>
      <c r="AA129" s="205">
        <v>2.2999999999999998</v>
      </c>
      <c r="AB129" s="205" t="s">
        <v>2</v>
      </c>
      <c r="AC129" s="205" t="s">
        <v>2</v>
      </c>
      <c r="AD129" s="200" t="s">
        <v>2</v>
      </c>
      <c r="AE129" s="200" t="s">
        <v>2</v>
      </c>
      <c r="AF129" s="203" t="s">
        <v>2</v>
      </c>
      <c r="AG129" s="204" t="s">
        <v>2</v>
      </c>
      <c r="AH129" s="201" t="s">
        <v>2</v>
      </c>
      <c r="AI129" s="200">
        <v>0</v>
      </c>
      <c r="AJ129" s="203" t="s">
        <v>2</v>
      </c>
      <c r="AK129" s="203" t="s">
        <v>2</v>
      </c>
      <c r="AL129" s="204" t="s">
        <v>2</v>
      </c>
      <c r="AM129" s="200">
        <v>0</v>
      </c>
      <c r="AN129" s="200">
        <v>0</v>
      </c>
      <c r="AO129" s="200">
        <v>0</v>
      </c>
      <c r="AP129" s="223" t="s">
        <v>2</v>
      </c>
      <c r="AQ129" s="224" t="s">
        <v>2</v>
      </c>
      <c r="AR129" s="224" t="s">
        <v>2</v>
      </c>
      <c r="AS129" s="224" t="s">
        <v>2</v>
      </c>
      <c r="AT129" s="224" t="s">
        <v>2</v>
      </c>
      <c r="AU129" s="224" t="s">
        <v>2</v>
      </c>
      <c r="AV129" s="236" t="s">
        <v>2</v>
      </c>
      <c r="AW129" s="223" t="s">
        <v>2</v>
      </c>
      <c r="AX129" s="224" t="s">
        <v>2</v>
      </c>
      <c r="AY129" s="224" t="s">
        <v>2</v>
      </c>
      <c r="AZ129" s="236" t="s">
        <v>2</v>
      </c>
      <c r="BA129" s="223" t="s">
        <v>2</v>
      </c>
      <c r="BB129" s="224" t="s">
        <v>2</v>
      </c>
      <c r="BC129" s="224" t="s">
        <v>2</v>
      </c>
      <c r="BD129" s="224" t="s">
        <v>2</v>
      </c>
      <c r="BE129" s="224" t="s">
        <v>2</v>
      </c>
      <c r="BF129" s="236" t="s">
        <v>2</v>
      </c>
      <c r="BG129" s="230" t="s">
        <v>2</v>
      </c>
      <c r="BH129" s="230" t="s">
        <v>2</v>
      </c>
      <c r="BI129" s="200">
        <v>330</v>
      </c>
      <c r="BJ129" s="200">
        <v>108</v>
      </c>
      <c r="BK129" s="200">
        <v>42</v>
      </c>
      <c r="BL129" s="200">
        <v>194</v>
      </c>
      <c r="BM129" s="200">
        <v>165</v>
      </c>
      <c r="BN129" s="200">
        <v>151</v>
      </c>
      <c r="BO129" s="200">
        <v>309</v>
      </c>
      <c r="BP129" s="200">
        <v>194</v>
      </c>
      <c r="BQ129" s="200">
        <v>467</v>
      </c>
      <c r="BR129" s="200">
        <v>45</v>
      </c>
      <c r="BS129" s="200">
        <v>59</v>
      </c>
      <c r="BT129" s="200">
        <v>151</v>
      </c>
      <c r="BU129" s="200">
        <v>266</v>
      </c>
      <c r="BV129" s="200">
        <v>438</v>
      </c>
      <c r="BW129" s="200">
        <v>618</v>
      </c>
      <c r="BX129" s="200">
        <v>244</v>
      </c>
      <c r="BY129" s="200">
        <v>179</v>
      </c>
      <c r="BZ129" s="201">
        <v>201</v>
      </c>
      <c r="CA129" s="203" t="s">
        <v>2</v>
      </c>
      <c r="CB129" s="203" t="s">
        <v>2</v>
      </c>
      <c r="CC129" s="203" t="s">
        <v>2</v>
      </c>
      <c r="CD129" s="203" t="s">
        <v>2</v>
      </c>
      <c r="CE129" s="203" t="s">
        <v>2</v>
      </c>
      <c r="CF129" s="203" t="s">
        <v>2</v>
      </c>
      <c r="CG129" s="233" t="s">
        <v>2</v>
      </c>
      <c r="CH129" s="200">
        <v>0</v>
      </c>
      <c r="CI129" s="201">
        <v>0</v>
      </c>
      <c r="CJ129" s="200">
        <v>0</v>
      </c>
      <c r="CK129" s="200">
        <v>0</v>
      </c>
      <c r="CL129" s="200">
        <v>0</v>
      </c>
      <c r="CM129" s="201">
        <v>0</v>
      </c>
      <c r="CN129" s="235">
        <v>0</v>
      </c>
      <c r="CO129" s="235" t="s">
        <v>2</v>
      </c>
    </row>
    <row r="130" spans="1:93" s="207" customFormat="1" ht="15" x14ac:dyDescent="0.25">
      <c r="A130" s="239" t="s">
        <v>1627</v>
      </c>
      <c r="B130" s="240" t="s">
        <v>535</v>
      </c>
      <c r="C130" s="241" t="s">
        <v>1628</v>
      </c>
      <c r="D130" s="289">
        <v>8</v>
      </c>
      <c r="E130" s="199">
        <v>35</v>
      </c>
      <c r="F130" s="201">
        <v>130</v>
      </c>
      <c r="G130" s="231">
        <v>543</v>
      </c>
      <c r="H130" s="202">
        <v>68.3</v>
      </c>
      <c r="I130" s="203">
        <v>18.399999999999999</v>
      </c>
      <c r="J130" s="203">
        <v>1.5</v>
      </c>
      <c r="K130" s="203">
        <v>10.7</v>
      </c>
      <c r="L130" s="203">
        <v>0</v>
      </c>
      <c r="M130" s="204">
        <v>1.1000000000000001</v>
      </c>
      <c r="N130" s="200">
        <v>35</v>
      </c>
      <c r="O130" s="200">
        <v>164</v>
      </c>
      <c r="P130" s="203">
        <v>1</v>
      </c>
      <c r="Q130" s="203">
        <v>1.62</v>
      </c>
      <c r="R130" s="200">
        <v>51</v>
      </c>
      <c r="S130" s="200">
        <v>272</v>
      </c>
      <c r="T130" s="200">
        <v>20</v>
      </c>
      <c r="U130" s="205">
        <v>3.5000000000000003E-2</v>
      </c>
      <c r="V130" s="205">
        <v>23</v>
      </c>
      <c r="W130" s="204">
        <v>6.5</v>
      </c>
      <c r="X130" s="203">
        <v>0</v>
      </c>
      <c r="Y130" s="205">
        <v>0.15</v>
      </c>
      <c r="Z130" s="205">
        <v>0.31</v>
      </c>
      <c r="AA130" s="205">
        <v>3.8</v>
      </c>
      <c r="AB130" s="205">
        <v>0.24</v>
      </c>
      <c r="AC130" s="205">
        <v>6.7000000000000004E-2</v>
      </c>
      <c r="AD130" s="200">
        <v>15</v>
      </c>
      <c r="AE130" s="200">
        <v>0</v>
      </c>
      <c r="AF130" s="203" t="s">
        <v>2</v>
      </c>
      <c r="AG130" s="204">
        <v>3</v>
      </c>
      <c r="AH130" s="201">
        <v>1800</v>
      </c>
      <c r="AI130" s="200">
        <v>1800</v>
      </c>
      <c r="AJ130" s="203">
        <v>23.3</v>
      </c>
      <c r="AK130" s="203">
        <v>4</v>
      </c>
      <c r="AL130" s="204">
        <v>0</v>
      </c>
      <c r="AM130" s="200">
        <v>0</v>
      </c>
      <c r="AN130" s="200">
        <v>0</v>
      </c>
      <c r="AO130" s="200">
        <v>0</v>
      </c>
      <c r="AP130" s="203">
        <v>2.3580000000000001</v>
      </c>
      <c r="AQ130" s="205">
        <v>1.585</v>
      </c>
      <c r="AR130" s="205">
        <v>0</v>
      </c>
      <c r="AS130" s="205">
        <v>0.191</v>
      </c>
      <c r="AT130" s="205">
        <v>0</v>
      </c>
      <c r="AU130" s="205">
        <v>0</v>
      </c>
      <c r="AV130" s="206">
        <v>0</v>
      </c>
      <c r="AW130" s="203">
        <v>7.19</v>
      </c>
      <c r="AX130" s="205">
        <v>0</v>
      </c>
      <c r="AY130" s="205">
        <v>1.2549999999999999</v>
      </c>
      <c r="AZ130" s="206">
        <v>2.7719999999999998</v>
      </c>
      <c r="BA130" s="203">
        <v>0.94699999999999995</v>
      </c>
      <c r="BB130" s="205">
        <v>0.19600000000000001</v>
      </c>
      <c r="BC130" s="205">
        <v>0.432</v>
      </c>
      <c r="BD130" s="205">
        <v>9.5000000000000001E-2</v>
      </c>
      <c r="BE130" s="205">
        <v>8.4000000000000005E-2</v>
      </c>
      <c r="BF130" s="206">
        <v>6.3E-2</v>
      </c>
      <c r="BG130" s="230" t="s">
        <v>2</v>
      </c>
      <c r="BH130" s="199">
        <v>126</v>
      </c>
      <c r="BI130" s="200">
        <v>1040</v>
      </c>
      <c r="BJ130" s="200">
        <v>700</v>
      </c>
      <c r="BK130" s="200">
        <v>30</v>
      </c>
      <c r="BL130" s="200">
        <v>1260</v>
      </c>
      <c r="BM130" s="200">
        <v>1340</v>
      </c>
      <c r="BN130" s="200">
        <v>1140</v>
      </c>
      <c r="BO130" s="200">
        <v>1320</v>
      </c>
      <c r="BP130" s="200">
        <v>1360</v>
      </c>
      <c r="BQ130" s="200">
        <v>1190</v>
      </c>
      <c r="BR130" s="200">
        <v>495</v>
      </c>
      <c r="BS130" s="200">
        <v>158</v>
      </c>
      <c r="BT130" s="200">
        <v>672</v>
      </c>
      <c r="BU130" s="200">
        <v>922</v>
      </c>
      <c r="BV130" s="200">
        <v>170</v>
      </c>
      <c r="BW130" s="200">
        <v>2840</v>
      </c>
      <c r="BX130" s="200">
        <v>815</v>
      </c>
      <c r="BY130" s="200">
        <v>658</v>
      </c>
      <c r="BZ130" s="201">
        <v>957</v>
      </c>
      <c r="CA130" s="203" t="s">
        <v>2</v>
      </c>
      <c r="CB130" s="203" t="s">
        <v>2</v>
      </c>
      <c r="CC130" s="203" t="s">
        <v>2</v>
      </c>
      <c r="CD130" s="203" t="s">
        <v>2</v>
      </c>
      <c r="CE130" s="203" t="s">
        <v>2</v>
      </c>
      <c r="CF130" s="203" t="s">
        <v>2</v>
      </c>
      <c r="CG130" s="233" t="s">
        <v>2</v>
      </c>
      <c r="CH130" s="200">
        <v>0</v>
      </c>
      <c r="CI130" s="201">
        <v>0</v>
      </c>
      <c r="CJ130" s="200">
        <v>0</v>
      </c>
      <c r="CK130" s="200">
        <v>0</v>
      </c>
      <c r="CL130" s="200">
        <v>0</v>
      </c>
      <c r="CM130" s="201">
        <v>0</v>
      </c>
      <c r="CN130" s="235">
        <v>0</v>
      </c>
      <c r="CO130" s="235" t="s">
        <v>2</v>
      </c>
    </row>
    <row r="131" spans="1:93" s="207" customFormat="1" ht="15" x14ac:dyDescent="0.25">
      <c r="A131" s="239" t="s">
        <v>1629</v>
      </c>
      <c r="B131" s="240" t="s">
        <v>536</v>
      </c>
      <c r="C131" s="241" t="s">
        <v>1630</v>
      </c>
      <c r="D131" s="289">
        <v>8</v>
      </c>
      <c r="E131" s="199">
        <v>4</v>
      </c>
      <c r="F131" s="201">
        <v>291</v>
      </c>
      <c r="G131" s="231">
        <v>1217</v>
      </c>
      <c r="H131" s="202">
        <v>26.2</v>
      </c>
      <c r="I131" s="203">
        <v>60.1</v>
      </c>
      <c r="J131" s="203">
        <v>4.5</v>
      </c>
      <c r="K131" s="203">
        <v>2.5</v>
      </c>
      <c r="L131" s="203">
        <v>0</v>
      </c>
      <c r="M131" s="204">
        <v>6.7</v>
      </c>
      <c r="N131" s="200">
        <v>27</v>
      </c>
      <c r="O131" s="200">
        <v>287</v>
      </c>
      <c r="P131" s="203">
        <v>5.6</v>
      </c>
      <c r="Q131" s="203" t="s">
        <v>2</v>
      </c>
      <c r="R131" s="200">
        <v>445</v>
      </c>
      <c r="S131" s="200">
        <v>1368</v>
      </c>
      <c r="T131" s="200">
        <v>269</v>
      </c>
      <c r="U131" s="205" t="s">
        <v>2</v>
      </c>
      <c r="V131" s="205" t="s">
        <v>2</v>
      </c>
      <c r="W131" s="204" t="s">
        <v>2</v>
      </c>
      <c r="X131" s="203">
        <v>0</v>
      </c>
      <c r="Y131" s="205">
        <v>0.13</v>
      </c>
      <c r="Z131" s="205">
        <v>0.17</v>
      </c>
      <c r="AA131" s="205">
        <v>6.8</v>
      </c>
      <c r="AB131" s="205" t="s">
        <v>2</v>
      </c>
      <c r="AC131" s="205" t="s">
        <v>2</v>
      </c>
      <c r="AD131" s="200" t="s">
        <v>2</v>
      </c>
      <c r="AE131" s="200" t="s">
        <v>2</v>
      </c>
      <c r="AF131" s="203" t="s">
        <v>2</v>
      </c>
      <c r="AG131" s="204" t="s">
        <v>2</v>
      </c>
      <c r="AH131" s="201" t="s">
        <v>2</v>
      </c>
      <c r="AI131" s="200">
        <v>0</v>
      </c>
      <c r="AJ131" s="203" t="s">
        <v>2</v>
      </c>
      <c r="AK131" s="203" t="s">
        <v>2</v>
      </c>
      <c r="AL131" s="204" t="s">
        <v>2</v>
      </c>
      <c r="AM131" s="200">
        <v>0</v>
      </c>
      <c r="AN131" s="200">
        <v>0</v>
      </c>
      <c r="AO131" s="200">
        <v>0</v>
      </c>
      <c r="AP131" s="223" t="s">
        <v>2</v>
      </c>
      <c r="AQ131" s="224" t="s">
        <v>2</v>
      </c>
      <c r="AR131" s="224" t="s">
        <v>2</v>
      </c>
      <c r="AS131" s="224" t="s">
        <v>2</v>
      </c>
      <c r="AT131" s="224" t="s">
        <v>2</v>
      </c>
      <c r="AU131" s="224" t="s">
        <v>2</v>
      </c>
      <c r="AV131" s="236" t="s">
        <v>2</v>
      </c>
      <c r="AW131" s="223" t="s">
        <v>2</v>
      </c>
      <c r="AX131" s="224" t="s">
        <v>2</v>
      </c>
      <c r="AY131" s="224" t="s">
        <v>2</v>
      </c>
      <c r="AZ131" s="236" t="s">
        <v>2</v>
      </c>
      <c r="BA131" s="223" t="s">
        <v>2</v>
      </c>
      <c r="BB131" s="224" t="s">
        <v>2</v>
      </c>
      <c r="BC131" s="224" t="s">
        <v>2</v>
      </c>
      <c r="BD131" s="224" t="s">
        <v>2</v>
      </c>
      <c r="BE131" s="224" t="s">
        <v>2</v>
      </c>
      <c r="BF131" s="236" t="s">
        <v>2</v>
      </c>
      <c r="BG131" s="230" t="s">
        <v>2</v>
      </c>
      <c r="BH131" s="230" t="s">
        <v>2</v>
      </c>
      <c r="BI131" s="234" t="s">
        <v>2</v>
      </c>
      <c r="BJ131" s="234" t="s">
        <v>2</v>
      </c>
      <c r="BK131" s="234" t="s">
        <v>2</v>
      </c>
      <c r="BL131" s="234" t="s">
        <v>2</v>
      </c>
      <c r="BM131" s="234" t="s">
        <v>2</v>
      </c>
      <c r="BN131" s="234" t="s">
        <v>2</v>
      </c>
      <c r="BO131" s="234" t="s">
        <v>2</v>
      </c>
      <c r="BP131" s="234" t="s">
        <v>2</v>
      </c>
      <c r="BQ131" s="234" t="s">
        <v>2</v>
      </c>
      <c r="BR131" s="234" t="s">
        <v>2</v>
      </c>
      <c r="BS131" s="234" t="s">
        <v>2</v>
      </c>
      <c r="BT131" s="234" t="s">
        <v>2</v>
      </c>
      <c r="BU131" s="234" t="s">
        <v>2</v>
      </c>
      <c r="BV131" s="234" t="s">
        <v>2</v>
      </c>
      <c r="BW131" s="234" t="s">
        <v>2</v>
      </c>
      <c r="BX131" s="234" t="s">
        <v>2</v>
      </c>
      <c r="BY131" s="234" t="s">
        <v>2</v>
      </c>
      <c r="BZ131" s="237" t="s">
        <v>2</v>
      </c>
      <c r="CA131" s="203" t="s">
        <v>2</v>
      </c>
      <c r="CB131" s="203" t="s">
        <v>2</v>
      </c>
      <c r="CC131" s="203" t="s">
        <v>2</v>
      </c>
      <c r="CD131" s="203" t="s">
        <v>2</v>
      </c>
      <c r="CE131" s="203" t="s">
        <v>2</v>
      </c>
      <c r="CF131" s="203" t="s">
        <v>2</v>
      </c>
      <c r="CG131" s="233" t="s">
        <v>2</v>
      </c>
      <c r="CH131" s="200">
        <v>0</v>
      </c>
      <c r="CI131" s="201">
        <v>0</v>
      </c>
      <c r="CJ131" s="200">
        <v>0</v>
      </c>
      <c r="CK131" s="200">
        <v>0</v>
      </c>
      <c r="CL131" s="200">
        <v>0</v>
      </c>
      <c r="CM131" s="201">
        <v>0</v>
      </c>
      <c r="CN131" s="235">
        <v>0</v>
      </c>
      <c r="CO131" s="235" t="s">
        <v>2</v>
      </c>
    </row>
    <row r="132" spans="1:93" s="207" customFormat="1" ht="15" x14ac:dyDescent="0.25">
      <c r="A132" s="239" t="s">
        <v>1631</v>
      </c>
      <c r="B132" s="240" t="s">
        <v>537</v>
      </c>
      <c r="C132" s="241" t="s">
        <v>1632</v>
      </c>
      <c r="D132" s="289">
        <v>8</v>
      </c>
      <c r="E132" s="199">
        <v>22</v>
      </c>
      <c r="F132" s="201">
        <v>73</v>
      </c>
      <c r="G132" s="231">
        <v>307</v>
      </c>
      <c r="H132" s="202">
        <v>81.400000000000006</v>
      </c>
      <c r="I132" s="203">
        <v>16.3</v>
      </c>
      <c r="J132" s="203">
        <v>0.9</v>
      </c>
      <c r="K132" s="203">
        <v>0</v>
      </c>
      <c r="L132" s="203">
        <v>0</v>
      </c>
      <c r="M132" s="204">
        <v>1.4</v>
      </c>
      <c r="N132" s="200">
        <v>14</v>
      </c>
      <c r="O132" s="200">
        <v>150</v>
      </c>
      <c r="P132" s="203">
        <v>0.6</v>
      </c>
      <c r="Q132" s="203">
        <v>0.7</v>
      </c>
      <c r="R132" s="200">
        <v>44</v>
      </c>
      <c r="S132" s="200">
        <v>273</v>
      </c>
      <c r="T132" s="200">
        <v>33</v>
      </c>
      <c r="U132" s="205">
        <v>3.5000000000000003E-2</v>
      </c>
      <c r="V132" s="205">
        <v>1891</v>
      </c>
      <c r="W132" s="204">
        <v>44.8</v>
      </c>
      <c r="X132" s="203">
        <v>4.7</v>
      </c>
      <c r="Y132" s="205">
        <v>0.01</v>
      </c>
      <c r="Z132" s="205">
        <v>0.06</v>
      </c>
      <c r="AA132" s="205">
        <v>1</v>
      </c>
      <c r="AB132" s="205">
        <v>0.5</v>
      </c>
      <c r="AC132" s="205">
        <v>5.6000000000000001E-2</v>
      </c>
      <c r="AD132" s="200">
        <v>5</v>
      </c>
      <c r="AE132" s="200">
        <v>0</v>
      </c>
      <c r="AF132" s="203" t="s">
        <v>2</v>
      </c>
      <c r="AG132" s="204">
        <v>1.3</v>
      </c>
      <c r="AH132" s="201">
        <v>10</v>
      </c>
      <c r="AI132" s="200">
        <v>10</v>
      </c>
      <c r="AJ132" s="203">
        <v>0</v>
      </c>
      <c r="AK132" s="203">
        <v>1.2</v>
      </c>
      <c r="AL132" s="204">
        <v>0</v>
      </c>
      <c r="AM132" s="200">
        <v>0</v>
      </c>
      <c r="AN132" s="200">
        <v>0</v>
      </c>
      <c r="AO132" s="200">
        <v>0</v>
      </c>
      <c r="AP132" s="203">
        <v>0.35799999999999998</v>
      </c>
      <c r="AQ132" s="205">
        <v>0.26300000000000001</v>
      </c>
      <c r="AR132" s="205">
        <v>0</v>
      </c>
      <c r="AS132" s="205">
        <v>5.8000000000000003E-2</v>
      </c>
      <c r="AT132" s="205">
        <v>0</v>
      </c>
      <c r="AU132" s="205">
        <v>0</v>
      </c>
      <c r="AV132" s="206">
        <v>0</v>
      </c>
      <c r="AW132" s="203">
        <v>0.107</v>
      </c>
      <c r="AX132" s="205">
        <v>0</v>
      </c>
      <c r="AY132" s="205">
        <v>8.0000000000000002E-3</v>
      </c>
      <c r="AZ132" s="206">
        <v>4.5999999999999999E-2</v>
      </c>
      <c r="BA132" s="203">
        <v>0.52400000000000002</v>
      </c>
      <c r="BB132" s="205">
        <v>2E-3</v>
      </c>
      <c r="BC132" s="205">
        <v>4.0000000000000001E-3</v>
      </c>
      <c r="BD132" s="205">
        <v>8.9999999999999993E-3</v>
      </c>
      <c r="BE132" s="205">
        <v>0.14599999999999999</v>
      </c>
      <c r="BF132" s="206">
        <v>0.34200000000000003</v>
      </c>
      <c r="BG132" s="230" t="s">
        <v>2</v>
      </c>
      <c r="BH132" s="199">
        <v>233</v>
      </c>
      <c r="BI132" s="200">
        <v>1164</v>
      </c>
      <c r="BJ132" s="200">
        <v>351</v>
      </c>
      <c r="BK132" s="200">
        <v>174</v>
      </c>
      <c r="BL132" s="200">
        <v>558</v>
      </c>
      <c r="BM132" s="200">
        <v>670</v>
      </c>
      <c r="BN132" s="200">
        <v>680</v>
      </c>
      <c r="BO132" s="200">
        <v>1096</v>
      </c>
      <c r="BP132" s="200">
        <v>678</v>
      </c>
      <c r="BQ132" s="200">
        <v>1136</v>
      </c>
      <c r="BR132" s="200">
        <v>299</v>
      </c>
      <c r="BS132" s="200">
        <v>204</v>
      </c>
      <c r="BT132" s="200">
        <v>498</v>
      </c>
      <c r="BU132" s="200">
        <v>942</v>
      </c>
      <c r="BV132" s="200">
        <v>1503</v>
      </c>
      <c r="BW132" s="200">
        <v>2118</v>
      </c>
      <c r="BX132" s="200">
        <v>974</v>
      </c>
      <c r="BY132" s="200">
        <v>635</v>
      </c>
      <c r="BZ132" s="201">
        <v>698</v>
      </c>
      <c r="CA132" s="203" t="s">
        <v>2</v>
      </c>
      <c r="CB132" s="203" t="s">
        <v>2</v>
      </c>
      <c r="CC132" s="203" t="s">
        <v>2</v>
      </c>
      <c r="CD132" s="203" t="s">
        <v>2</v>
      </c>
      <c r="CE132" s="203" t="s">
        <v>2</v>
      </c>
      <c r="CF132" s="203" t="s">
        <v>2</v>
      </c>
      <c r="CG132" s="233" t="s">
        <v>2</v>
      </c>
      <c r="CH132" s="200">
        <v>0</v>
      </c>
      <c r="CI132" s="201">
        <v>0</v>
      </c>
      <c r="CJ132" s="200">
        <v>0</v>
      </c>
      <c r="CK132" s="200">
        <v>0</v>
      </c>
      <c r="CL132" s="200">
        <v>0</v>
      </c>
      <c r="CM132" s="201">
        <v>0</v>
      </c>
      <c r="CN132" s="235">
        <v>0</v>
      </c>
      <c r="CO132" s="235" t="s">
        <v>2</v>
      </c>
    </row>
    <row r="133" spans="1:93" s="207" customFormat="1" ht="15" x14ac:dyDescent="0.25">
      <c r="A133" s="239" t="s">
        <v>1633</v>
      </c>
      <c r="B133" s="240" t="s">
        <v>538</v>
      </c>
      <c r="C133" s="241" t="s">
        <v>1634</v>
      </c>
      <c r="D133" s="289">
        <v>8</v>
      </c>
      <c r="E133" s="199">
        <v>67</v>
      </c>
      <c r="F133" s="201">
        <v>84</v>
      </c>
      <c r="G133" s="231">
        <v>351</v>
      </c>
      <c r="H133" s="202">
        <v>76.8</v>
      </c>
      <c r="I133" s="203">
        <v>11.1</v>
      </c>
      <c r="J133" s="203">
        <v>0.7</v>
      </c>
      <c r="K133" s="203">
        <v>8.3000000000000007</v>
      </c>
      <c r="L133" s="203">
        <v>0</v>
      </c>
      <c r="M133" s="204">
        <v>3.1</v>
      </c>
      <c r="N133" s="200">
        <v>1310</v>
      </c>
      <c r="O133" s="200">
        <v>64</v>
      </c>
      <c r="P133" s="203" t="s">
        <v>2</v>
      </c>
      <c r="Q133" s="203" t="s">
        <v>2</v>
      </c>
      <c r="R133" s="200" t="s">
        <v>2</v>
      </c>
      <c r="S133" s="200" t="s">
        <v>2</v>
      </c>
      <c r="T133" s="200" t="s">
        <v>2</v>
      </c>
      <c r="U133" s="205" t="s">
        <v>2</v>
      </c>
      <c r="V133" s="205" t="s">
        <v>2</v>
      </c>
      <c r="W133" s="204" t="s">
        <v>2</v>
      </c>
      <c r="X133" s="203">
        <v>0</v>
      </c>
      <c r="Y133" s="205" t="s">
        <v>2</v>
      </c>
      <c r="Z133" s="205" t="s">
        <v>2</v>
      </c>
      <c r="AA133" s="205" t="s">
        <v>2</v>
      </c>
      <c r="AB133" s="205" t="s">
        <v>2</v>
      </c>
      <c r="AC133" s="205" t="s">
        <v>2</v>
      </c>
      <c r="AD133" s="200" t="s">
        <v>2</v>
      </c>
      <c r="AE133" s="200" t="s">
        <v>2</v>
      </c>
      <c r="AF133" s="203" t="s">
        <v>2</v>
      </c>
      <c r="AG133" s="204" t="s">
        <v>2</v>
      </c>
      <c r="AH133" s="201" t="s">
        <v>2</v>
      </c>
      <c r="AI133" s="200">
        <v>0</v>
      </c>
      <c r="AJ133" s="203" t="s">
        <v>2</v>
      </c>
      <c r="AK133" s="203" t="s">
        <v>2</v>
      </c>
      <c r="AL133" s="204" t="s">
        <v>2</v>
      </c>
      <c r="AM133" s="200">
        <v>0</v>
      </c>
      <c r="AN133" s="200">
        <v>0</v>
      </c>
      <c r="AO133" s="200">
        <v>0</v>
      </c>
      <c r="AP133" s="223" t="s">
        <v>2</v>
      </c>
      <c r="AQ133" s="224" t="s">
        <v>2</v>
      </c>
      <c r="AR133" s="224" t="s">
        <v>2</v>
      </c>
      <c r="AS133" s="224" t="s">
        <v>2</v>
      </c>
      <c r="AT133" s="224" t="s">
        <v>2</v>
      </c>
      <c r="AU133" s="224" t="s">
        <v>2</v>
      </c>
      <c r="AV133" s="236" t="s">
        <v>2</v>
      </c>
      <c r="AW133" s="223" t="s">
        <v>2</v>
      </c>
      <c r="AX133" s="224" t="s">
        <v>2</v>
      </c>
      <c r="AY133" s="224" t="s">
        <v>2</v>
      </c>
      <c r="AZ133" s="236" t="s">
        <v>2</v>
      </c>
      <c r="BA133" s="223" t="s">
        <v>2</v>
      </c>
      <c r="BB133" s="224" t="s">
        <v>2</v>
      </c>
      <c r="BC133" s="224" t="s">
        <v>2</v>
      </c>
      <c r="BD133" s="224" t="s">
        <v>2</v>
      </c>
      <c r="BE133" s="224" t="s">
        <v>2</v>
      </c>
      <c r="BF133" s="236" t="s">
        <v>2</v>
      </c>
      <c r="BG133" s="230" t="s">
        <v>2</v>
      </c>
      <c r="BH133" s="230" t="s">
        <v>2</v>
      </c>
      <c r="BI133" s="234" t="s">
        <v>2</v>
      </c>
      <c r="BJ133" s="234" t="s">
        <v>2</v>
      </c>
      <c r="BK133" s="234" t="s">
        <v>2</v>
      </c>
      <c r="BL133" s="234" t="s">
        <v>2</v>
      </c>
      <c r="BM133" s="234" t="s">
        <v>2</v>
      </c>
      <c r="BN133" s="234" t="s">
        <v>2</v>
      </c>
      <c r="BO133" s="234" t="s">
        <v>2</v>
      </c>
      <c r="BP133" s="234" t="s">
        <v>2</v>
      </c>
      <c r="BQ133" s="234" t="s">
        <v>2</v>
      </c>
      <c r="BR133" s="234" t="s">
        <v>2</v>
      </c>
      <c r="BS133" s="234" t="s">
        <v>2</v>
      </c>
      <c r="BT133" s="234" t="s">
        <v>2</v>
      </c>
      <c r="BU133" s="234" t="s">
        <v>2</v>
      </c>
      <c r="BV133" s="234" t="s">
        <v>2</v>
      </c>
      <c r="BW133" s="234" t="s">
        <v>2</v>
      </c>
      <c r="BX133" s="234" t="s">
        <v>2</v>
      </c>
      <c r="BY133" s="234" t="s">
        <v>2</v>
      </c>
      <c r="BZ133" s="237" t="s">
        <v>2</v>
      </c>
      <c r="CA133" s="203" t="s">
        <v>2</v>
      </c>
      <c r="CB133" s="203" t="s">
        <v>2</v>
      </c>
      <c r="CC133" s="203" t="s">
        <v>2</v>
      </c>
      <c r="CD133" s="203" t="s">
        <v>2</v>
      </c>
      <c r="CE133" s="203" t="s">
        <v>2</v>
      </c>
      <c r="CF133" s="203" t="s">
        <v>2</v>
      </c>
      <c r="CG133" s="233" t="s">
        <v>2</v>
      </c>
      <c r="CH133" s="200">
        <v>0</v>
      </c>
      <c r="CI133" s="201">
        <v>0</v>
      </c>
      <c r="CJ133" s="200">
        <v>0</v>
      </c>
      <c r="CK133" s="200">
        <v>0</v>
      </c>
      <c r="CL133" s="200">
        <v>0</v>
      </c>
      <c r="CM133" s="201">
        <v>0</v>
      </c>
      <c r="CN133" s="235">
        <v>0</v>
      </c>
      <c r="CO133" s="235" t="s">
        <v>2</v>
      </c>
    </row>
    <row r="134" spans="1:93" s="207" customFormat="1" ht="15" x14ac:dyDescent="0.25">
      <c r="A134" s="239" t="s">
        <v>1635</v>
      </c>
      <c r="B134" s="240" t="s">
        <v>539</v>
      </c>
      <c r="C134" s="241" t="s">
        <v>1636</v>
      </c>
      <c r="D134" s="289">
        <v>8</v>
      </c>
      <c r="E134" s="199">
        <v>80</v>
      </c>
      <c r="F134" s="201">
        <v>63</v>
      </c>
      <c r="G134" s="231">
        <v>264</v>
      </c>
      <c r="H134" s="202">
        <v>80.3</v>
      </c>
      <c r="I134" s="203">
        <v>11.2</v>
      </c>
      <c r="J134" s="203">
        <v>0.3</v>
      </c>
      <c r="K134" s="203">
        <v>3.9</v>
      </c>
      <c r="L134" s="203">
        <v>0</v>
      </c>
      <c r="M134" s="204">
        <v>4.3</v>
      </c>
      <c r="N134" s="200">
        <v>1660</v>
      </c>
      <c r="O134" s="200">
        <v>83</v>
      </c>
      <c r="P134" s="203" t="s">
        <v>2</v>
      </c>
      <c r="Q134" s="203" t="s">
        <v>2</v>
      </c>
      <c r="R134" s="200" t="s">
        <v>2</v>
      </c>
      <c r="S134" s="200" t="s">
        <v>2</v>
      </c>
      <c r="T134" s="200" t="s">
        <v>2</v>
      </c>
      <c r="U134" s="205" t="s">
        <v>2</v>
      </c>
      <c r="V134" s="205" t="s">
        <v>2</v>
      </c>
      <c r="W134" s="204" t="s">
        <v>2</v>
      </c>
      <c r="X134" s="203">
        <v>0</v>
      </c>
      <c r="Y134" s="205" t="s">
        <v>2</v>
      </c>
      <c r="Z134" s="205" t="s">
        <v>2</v>
      </c>
      <c r="AA134" s="205" t="s">
        <v>2</v>
      </c>
      <c r="AB134" s="205" t="s">
        <v>2</v>
      </c>
      <c r="AC134" s="205" t="s">
        <v>2</v>
      </c>
      <c r="AD134" s="200" t="s">
        <v>2</v>
      </c>
      <c r="AE134" s="200" t="s">
        <v>2</v>
      </c>
      <c r="AF134" s="203" t="s">
        <v>2</v>
      </c>
      <c r="AG134" s="204" t="s">
        <v>2</v>
      </c>
      <c r="AH134" s="201" t="s">
        <v>2</v>
      </c>
      <c r="AI134" s="200">
        <v>0</v>
      </c>
      <c r="AJ134" s="203" t="s">
        <v>2</v>
      </c>
      <c r="AK134" s="203" t="s">
        <v>2</v>
      </c>
      <c r="AL134" s="204" t="s">
        <v>2</v>
      </c>
      <c r="AM134" s="200">
        <v>0</v>
      </c>
      <c r="AN134" s="200">
        <v>0</v>
      </c>
      <c r="AO134" s="200">
        <v>0</v>
      </c>
      <c r="AP134" s="223" t="s">
        <v>2</v>
      </c>
      <c r="AQ134" s="224" t="s">
        <v>2</v>
      </c>
      <c r="AR134" s="224" t="s">
        <v>2</v>
      </c>
      <c r="AS134" s="224" t="s">
        <v>2</v>
      </c>
      <c r="AT134" s="224" t="s">
        <v>2</v>
      </c>
      <c r="AU134" s="224" t="s">
        <v>2</v>
      </c>
      <c r="AV134" s="236" t="s">
        <v>2</v>
      </c>
      <c r="AW134" s="223" t="s">
        <v>2</v>
      </c>
      <c r="AX134" s="224" t="s">
        <v>2</v>
      </c>
      <c r="AY134" s="224" t="s">
        <v>2</v>
      </c>
      <c r="AZ134" s="236" t="s">
        <v>2</v>
      </c>
      <c r="BA134" s="223" t="s">
        <v>2</v>
      </c>
      <c r="BB134" s="224" t="s">
        <v>2</v>
      </c>
      <c r="BC134" s="224" t="s">
        <v>2</v>
      </c>
      <c r="BD134" s="224" t="s">
        <v>2</v>
      </c>
      <c r="BE134" s="224" t="s">
        <v>2</v>
      </c>
      <c r="BF134" s="236" t="s">
        <v>2</v>
      </c>
      <c r="BG134" s="230" t="s">
        <v>2</v>
      </c>
      <c r="BH134" s="230" t="s">
        <v>2</v>
      </c>
      <c r="BI134" s="234" t="s">
        <v>2</v>
      </c>
      <c r="BJ134" s="234" t="s">
        <v>2</v>
      </c>
      <c r="BK134" s="234" t="s">
        <v>2</v>
      </c>
      <c r="BL134" s="234" t="s">
        <v>2</v>
      </c>
      <c r="BM134" s="234" t="s">
        <v>2</v>
      </c>
      <c r="BN134" s="234" t="s">
        <v>2</v>
      </c>
      <c r="BO134" s="234" t="s">
        <v>2</v>
      </c>
      <c r="BP134" s="234" t="s">
        <v>2</v>
      </c>
      <c r="BQ134" s="234" t="s">
        <v>2</v>
      </c>
      <c r="BR134" s="234" t="s">
        <v>2</v>
      </c>
      <c r="BS134" s="234" t="s">
        <v>2</v>
      </c>
      <c r="BT134" s="234" t="s">
        <v>2</v>
      </c>
      <c r="BU134" s="234" t="s">
        <v>2</v>
      </c>
      <c r="BV134" s="234" t="s">
        <v>2</v>
      </c>
      <c r="BW134" s="234" t="s">
        <v>2</v>
      </c>
      <c r="BX134" s="234" t="s">
        <v>2</v>
      </c>
      <c r="BY134" s="234" t="s">
        <v>2</v>
      </c>
      <c r="BZ134" s="237" t="s">
        <v>2</v>
      </c>
      <c r="CA134" s="203" t="s">
        <v>2</v>
      </c>
      <c r="CB134" s="203" t="s">
        <v>2</v>
      </c>
      <c r="CC134" s="203" t="s">
        <v>2</v>
      </c>
      <c r="CD134" s="203" t="s">
        <v>2</v>
      </c>
      <c r="CE134" s="203" t="s">
        <v>2</v>
      </c>
      <c r="CF134" s="203" t="s">
        <v>2</v>
      </c>
      <c r="CG134" s="233" t="s">
        <v>2</v>
      </c>
      <c r="CH134" s="200">
        <v>0</v>
      </c>
      <c r="CI134" s="201">
        <v>0</v>
      </c>
      <c r="CJ134" s="200">
        <v>0</v>
      </c>
      <c r="CK134" s="200">
        <v>0</v>
      </c>
      <c r="CL134" s="200">
        <v>0</v>
      </c>
      <c r="CM134" s="201">
        <v>0</v>
      </c>
      <c r="CN134" s="235">
        <v>0</v>
      </c>
      <c r="CO134" s="235" t="s">
        <v>2</v>
      </c>
    </row>
    <row r="135" spans="1:93" s="207" customFormat="1" ht="15" x14ac:dyDescent="0.25">
      <c r="A135" s="239" t="s">
        <v>1637</v>
      </c>
      <c r="B135" s="240" t="s">
        <v>540</v>
      </c>
      <c r="C135" s="241" t="s">
        <v>1638</v>
      </c>
      <c r="D135" s="289">
        <v>8</v>
      </c>
      <c r="E135" s="199">
        <v>79</v>
      </c>
      <c r="F135" s="201">
        <v>84</v>
      </c>
      <c r="G135" s="231">
        <v>353</v>
      </c>
      <c r="H135" s="202">
        <v>77.599999999999994</v>
      </c>
      <c r="I135" s="203">
        <v>11.9</v>
      </c>
      <c r="J135" s="203">
        <v>0.7</v>
      </c>
      <c r="K135" s="203">
        <v>7.6</v>
      </c>
      <c r="L135" s="203">
        <v>0</v>
      </c>
      <c r="M135" s="204">
        <v>2.2000000000000002</v>
      </c>
      <c r="N135" s="200">
        <v>1357</v>
      </c>
      <c r="O135" s="200">
        <v>191</v>
      </c>
      <c r="P135" s="203" t="s">
        <v>2</v>
      </c>
      <c r="Q135" s="203" t="s">
        <v>2</v>
      </c>
      <c r="R135" s="200" t="s">
        <v>2</v>
      </c>
      <c r="S135" s="200" t="s">
        <v>2</v>
      </c>
      <c r="T135" s="200" t="s">
        <v>2</v>
      </c>
      <c r="U135" s="205" t="s">
        <v>2</v>
      </c>
      <c r="V135" s="205" t="s">
        <v>2</v>
      </c>
      <c r="W135" s="204" t="s">
        <v>2</v>
      </c>
      <c r="X135" s="203">
        <v>0</v>
      </c>
      <c r="Y135" s="205">
        <v>0.05</v>
      </c>
      <c r="Z135" s="205">
        <v>0.17</v>
      </c>
      <c r="AA135" s="205">
        <v>2.2000000000000002</v>
      </c>
      <c r="AB135" s="224" t="s">
        <v>2</v>
      </c>
      <c r="AC135" s="224" t="s">
        <v>2</v>
      </c>
      <c r="AD135" s="234" t="s">
        <v>2</v>
      </c>
      <c r="AE135" s="234" t="s">
        <v>2</v>
      </c>
      <c r="AF135" s="223" t="s">
        <v>2</v>
      </c>
      <c r="AG135" s="204" t="s">
        <v>2</v>
      </c>
      <c r="AH135" s="201" t="s">
        <v>2</v>
      </c>
      <c r="AI135" s="200">
        <v>0</v>
      </c>
      <c r="AJ135" s="203" t="s">
        <v>2</v>
      </c>
      <c r="AK135" s="203" t="s">
        <v>2</v>
      </c>
      <c r="AL135" s="204" t="s">
        <v>2</v>
      </c>
      <c r="AM135" s="200">
        <v>0</v>
      </c>
      <c r="AN135" s="200">
        <v>0</v>
      </c>
      <c r="AO135" s="200">
        <v>0</v>
      </c>
      <c r="AP135" s="223" t="s">
        <v>2</v>
      </c>
      <c r="AQ135" s="224" t="s">
        <v>2</v>
      </c>
      <c r="AR135" s="224" t="s">
        <v>2</v>
      </c>
      <c r="AS135" s="224" t="s">
        <v>2</v>
      </c>
      <c r="AT135" s="224" t="s">
        <v>2</v>
      </c>
      <c r="AU135" s="224" t="s">
        <v>2</v>
      </c>
      <c r="AV135" s="236" t="s">
        <v>2</v>
      </c>
      <c r="AW135" s="223" t="s">
        <v>2</v>
      </c>
      <c r="AX135" s="224" t="s">
        <v>2</v>
      </c>
      <c r="AY135" s="224" t="s">
        <v>2</v>
      </c>
      <c r="AZ135" s="236" t="s">
        <v>2</v>
      </c>
      <c r="BA135" s="223" t="s">
        <v>2</v>
      </c>
      <c r="BB135" s="224" t="s">
        <v>2</v>
      </c>
      <c r="BC135" s="224" t="s">
        <v>2</v>
      </c>
      <c r="BD135" s="224" t="s">
        <v>2</v>
      </c>
      <c r="BE135" s="224" t="s">
        <v>2</v>
      </c>
      <c r="BF135" s="236" t="s">
        <v>2</v>
      </c>
      <c r="BG135" s="230" t="s">
        <v>2</v>
      </c>
      <c r="BH135" s="230" t="s">
        <v>2</v>
      </c>
      <c r="BI135" s="234" t="s">
        <v>2</v>
      </c>
      <c r="BJ135" s="234" t="s">
        <v>2</v>
      </c>
      <c r="BK135" s="234" t="s">
        <v>2</v>
      </c>
      <c r="BL135" s="234" t="s">
        <v>2</v>
      </c>
      <c r="BM135" s="234" t="s">
        <v>2</v>
      </c>
      <c r="BN135" s="234" t="s">
        <v>2</v>
      </c>
      <c r="BO135" s="234" t="s">
        <v>2</v>
      </c>
      <c r="BP135" s="234" t="s">
        <v>2</v>
      </c>
      <c r="BQ135" s="234" t="s">
        <v>2</v>
      </c>
      <c r="BR135" s="234" t="s">
        <v>2</v>
      </c>
      <c r="BS135" s="234" t="s">
        <v>2</v>
      </c>
      <c r="BT135" s="234" t="s">
        <v>2</v>
      </c>
      <c r="BU135" s="234" t="s">
        <v>2</v>
      </c>
      <c r="BV135" s="234" t="s">
        <v>2</v>
      </c>
      <c r="BW135" s="234" t="s">
        <v>2</v>
      </c>
      <c r="BX135" s="234" t="s">
        <v>2</v>
      </c>
      <c r="BY135" s="234" t="s">
        <v>2</v>
      </c>
      <c r="BZ135" s="237" t="s">
        <v>2</v>
      </c>
      <c r="CA135" s="203" t="s">
        <v>2</v>
      </c>
      <c r="CB135" s="203" t="s">
        <v>2</v>
      </c>
      <c r="CC135" s="203" t="s">
        <v>2</v>
      </c>
      <c r="CD135" s="203" t="s">
        <v>2</v>
      </c>
      <c r="CE135" s="203" t="s">
        <v>2</v>
      </c>
      <c r="CF135" s="203" t="s">
        <v>2</v>
      </c>
      <c r="CG135" s="233" t="s">
        <v>2</v>
      </c>
      <c r="CH135" s="200">
        <v>0</v>
      </c>
      <c r="CI135" s="201">
        <v>0</v>
      </c>
      <c r="CJ135" s="200">
        <v>0</v>
      </c>
      <c r="CK135" s="200">
        <v>0</v>
      </c>
      <c r="CL135" s="200">
        <v>0</v>
      </c>
      <c r="CM135" s="201">
        <v>0</v>
      </c>
      <c r="CN135" s="235">
        <v>0</v>
      </c>
      <c r="CO135" s="235" t="s">
        <v>2</v>
      </c>
    </row>
    <row r="136" spans="1:93" s="207" customFormat="1" ht="15" x14ac:dyDescent="0.25">
      <c r="A136" s="239" t="s">
        <v>1639</v>
      </c>
      <c r="B136" s="240" t="s">
        <v>541</v>
      </c>
      <c r="C136" s="241" t="s">
        <v>1640</v>
      </c>
      <c r="D136" s="289">
        <v>8</v>
      </c>
      <c r="E136" s="199">
        <v>70</v>
      </c>
      <c r="F136" s="201">
        <v>72</v>
      </c>
      <c r="G136" s="231">
        <v>303</v>
      </c>
      <c r="H136" s="202">
        <v>79.099999999999994</v>
      </c>
      <c r="I136" s="203">
        <v>12.2</v>
      </c>
      <c r="J136" s="203">
        <v>0.7</v>
      </c>
      <c r="K136" s="203">
        <v>4.3</v>
      </c>
      <c r="L136" s="203">
        <v>0</v>
      </c>
      <c r="M136" s="204">
        <v>3.7</v>
      </c>
      <c r="N136" s="200">
        <v>1356</v>
      </c>
      <c r="O136" s="200">
        <v>51</v>
      </c>
      <c r="P136" s="203" t="s">
        <v>2</v>
      </c>
      <c r="Q136" s="203" t="s">
        <v>2</v>
      </c>
      <c r="R136" s="200" t="s">
        <v>2</v>
      </c>
      <c r="S136" s="200" t="s">
        <v>2</v>
      </c>
      <c r="T136" s="200" t="s">
        <v>2</v>
      </c>
      <c r="U136" s="205" t="s">
        <v>2</v>
      </c>
      <c r="V136" s="205" t="s">
        <v>2</v>
      </c>
      <c r="W136" s="204" t="s">
        <v>2</v>
      </c>
      <c r="X136" s="203">
        <v>0</v>
      </c>
      <c r="Y136" s="205" t="s">
        <v>2</v>
      </c>
      <c r="Z136" s="205" t="s">
        <v>2</v>
      </c>
      <c r="AA136" s="205" t="s">
        <v>2</v>
      </c>
      <c r="AB136" s="205" t="s">
        <v>2</v>
      </c>
      <c r="AC136" s="205" t="s">
        <v>2</v>
      </c>
      <c r="AD136" s="200" t="s">
        <v>2</v>
      </c>
      <c r="AE136" s="200" t="s">
        <v>2</v>
      </c>
      <c r="AF136" s="203" t="s">
        <v>2</v>
      </c>
      <c r="AG136" s="204" t="s">
        <v>2</v>
      </c>
      <c r="AH136" s="201" t="s">
        <v>2</v>
      </c>
      <c r="AI136" s="200">
        <v>0</v>
      </c>
      <c r="AJ136" s="203" t="s">
        <v>2</v>
      </c>
      <c r="AK136" s="203" t="s">
        <v>2</v>
      </c>
      <c r="AL136" s="204" t="s">
        <v>2</v>
      </c>
      <c r="AM136" s="200">
        <v>0</v>
      </c>
      <c r="AN136" s="200">
        <v>0</v>
      </c>
      <c r="AO136" s="200">
        <v>0</v>
      </c>
      <c r="AP136" s="223" t="s">
        <v>2</v>
      </c>
      <c r="AQ136" s="224" t="s">
        <v>2</v>
      </c>
      <c r="AR136" s="224" t="s">
        <v>2</v>
      </c>
      <c r="AS136" s="224" t="s">
        <v>2</v>
      </c>
      <c r="AT136" s="224" t="s">
        <v>2</v>
      </c>
      <c r="AU136" s="224" t="s">
        <v>2</v>
      </c>
      <c r="AV136" s="236" t="s">
        <v>2</v>
      </c>
      <c r="AW136" s="223" t="s">
        <v>2</v>
      </c>
      <c r="AX136" s="224" t="s">
        <v>2</v>
      </c>
      <c r="AY136" s="224" t="s">
        <v>2</v>
      </c>
      <c r="AZ136" s="236" t="s">
        <v>2</v>
      </c>
      <c r="BA136" s="223" t="s">
        <v>2</v>
      </c>
      <c r="BB136" s="224" t="s">
        <v>2</v>
      </c>
      <c r="BC136" s="224" t="s">
        <v>2</v>
      </c>
      <c r="BD136" s="224" t="s">
        <v>2</v>
      </c>
      <c r="BE136" s="224" t="s">
        <v>2</v>
      </c>
      <c r="BF136" s="236" t="s">
        <v>2</v>
      </c>
      <c r="BG136" s="230" t="s">
        <v>2</v>
      </c>
      <c r="BH136" s="230" t="s">
        <v>2</v>
      </c>
      <c r="BI136" s="234" t="s">
        <v>2</v>
      </c>
      <c r="BJ136" s="234" t="s">
        <v>2</v>
      </c>
      <c r="BK136" s="234" t="s">
        <v>2</v>
      </c>
      <c r="BL136" s="234" t="s">
        <v>2</v>
      </c>
      <c r="BM136" s="234" t="s">
        <v>2</v>
      </c>
      <c r="BN136" s="234" t="s">
        <v>2</v>
      </c>
      <c r="BO136" s="234" t="s">
        <v>2</v>
      </c>
      <c r="BP136" s="234" t="s">
        <v>2</v>
      </c>
      <c r="BQ136" s="234" t="s">
        <v>2</v>
      </c>
      <c r="BR136" s="234" t="s">
        <v>2</v>
      </c>
      <c r="BS136" s="234" t="s">
        <v>2</v>
      </c>
      <c r="BT136" s="234" t="s">
        <v>2</v>
      </c>
      <c r="BU136" s="234" t="s">
        <v>2</v>
      </c>
      <c r="BV136" s="234" t="s">
        <v>2</v>
      </c>
      <c r="BW136" s="234" t="s">
        <v>2</v>
      </c>
      <c r="BX136" s="234" t="s">
        <v>2</v>
      </c>
      <c r="BY136" s="234" t="s">
        <v>2</v>
      </c>
      <c r="BZ136" s="237" t="s">
        <v>2</v>
      </c>
      <c r="CA136" s="203" t="s">
        <v>2</v>
      </c>
      <c r="CB136" s="203" t="s">
        <v>2</v>
      </c>
      <c r="CC136" s="203" t="s">
        <v>2</v>
      </c>
      <c r="CD136" s="203" t="s">
        <v>2</v>
      </c>
      <c r="CE136" s="203" t="s">
        <v>2</v>
      </c>
      <c r="CF136" s="203" t="s">
        <v>2</v>
      </c>
      <c r="CG136" s="233" t="s">
        <v>2</v>
      </c>
      <c r="CH136" s="200">
        <v>0</v>
      </c>
      <c r="CI136" s="201">
        <v>0</v>
      </c>
      <c r="CJ136" s="200">
        <v>0</v>
      </c>
      <c r="CK136" s="200">
        <v>0</v>
      </c>
      <c r="CL136" s="200">
        <v>0</v>
      </c>
      <c r="CM136" s="201">
        <v>0</v>
      </c>
      <c r="CN136" s="235">
        <v>0</v>
      </c>
      <c r="CO136" s="235" t="s">
        <v>2</v>
      </c>
    </row>
    <row r="137" spans="1:93" s="207" customFormat="1" ht="15" x14ac:dyDescent="0.25">
      <c r="A137" s="239" t="s">
        <v>1641</v>
      </c>
      <c r="B137" s="240" t="s">
        <v>542</v>
      </c>
      <c r="C137" s="241" t="s">
        <v>1642</v>
      </c>
      <c r="D137" s="289">
        <v>8</v>
      </c>
      <c r="E137" s="199">
        <v>50</v>
      </c>
      <c r="F137" s="201">
        <v>83</v>
      </c>
      <c r="G137" s="231">
        <v>347</v>
      </c>
      <c r="H137" s="202">
        <v>64.400000000000006</v>
      </c>
      <c r="I137" s="203">
        <v>14.2</v>
      </c>
      <c r="J137" s="203">
        <v>2.9</v>
      </c>
      <c r="K137" s="203">
        <v>0</v>
      </c>
      <c r="L137" s="203">
        <v>0</v>
      </c>
      <c r="M137" s="204">
        <v>18.5</v>
      </c>
      <c r="N137" s="200">
        <v>4820</v>
      </c>
      <c r="O137" s="200">
        <v>330</v>
      </c>
      <c r="P137" s="203" t="s">
        <v>2</v>
      </c>
      <c r="Q137" s="203" t="s">
        <v>2</v>
      </c>
      <c r="R137" s="200" t="s">
        <v>2</v>
      </c>
      <c r="S137" s="200" t="s">
        <v>2</v>
      </c>
      <c r="T137" s="200" t="s">
        <v>2</v>
      </c>
      <c r="U137" s="205" t="s">
        <v>2</v>
      </c>
      <c r="V137" s="205" t="s">
        <v>2</v>
      </c>
      <c r="W137" s="204" t="s">
        <v>2</v>
      </c>
      <c r="X137" s="203">
        <v>0</v>
      </c>
      <c r="Y137" s="205" t="s">
        <v>2</v>
      </c>
      <c r="Z137" s="205" t="s">
        <v>2</v>
      </c>
      <c r="AA137" s="205" t="s">
        <v>2</v>
      </c>
      <c r="AB137" s="205" t="s">
        <v>2</v>
      </c>
      <c r="AC137" s="205" t="s">
        <v>2</v>
      </c>
      <c r="AD137" s="200" t="s">
        <v>2</v>
      </c>
      <c r="AE137" s="200" t="s">
        <v>2</v>
      </c>
      <c r="AF137" s="203" t="s">
        <v>2</v>
      </c>
      <c r="AG137" s="204" t="s">
        <v>2</v>
      </c>
      <c r="AH137" s="201" t="s">
        <v>2</v>
      </c>
      <c r="AI137" s="200">
        <v>0</v>
      </c>
      <c r="AJ137" s="203" t="s">
        <v>2</v>
      </c>
      <c r="AK137" s="203" t="s">
        <v>2</v>
      </c>
      <c r="AL137" s="204" t="s">
        <v>2</v>
      </c>
      <c r="AM137" s="200">
        <v>0</v>
      </c>
      <c r="AN137" s="200">
        <v>0</v>
      </c>
      <c r="AO137" s="200">
        <v>0</v>
      </c>
      <c r="AP137" s="223" t="s">
        <v>2</v>
      </c>
      <c r="AQ137" s="224" t="s">
        <v>2</v>
      </c>
      <c r="AR137" s="224" t="s">
        <v>2</v>
      </c>
      <c r="AS137" s="224" t="s">
        <v>2</v>
      </c>
      <c r="AT137" s="224" t="s">
        <v>2</v>
      </c>
      <c r="AU137" s="224" t="s">
        <v>2</v>
      </c>
      <c r="AV137" s="236" t="s">
        <v>2</v>
      </c>
      <c r="AW137" s="223" t="s">
        <v>2</v>
      </c>
      <c r="AX137" s="224" t="s">
        <v>2</v>
      </c>
      <c r="AY137" s="224" t="s">
        <v>2</v>
      </c>
      <c r="AZ137" s="236" t="s">
        <v>2</v>
      </c>
      <c r="BA137" s="223" t="s">
        <v>2</v>
      </c>
      <c r="BB137" s="224" t="s">
        <v>2</v>
      </c>
      <c r="BC137" s="224" t="s">
        <v>2</v>
      </c>
      <c r="BD137" s="224" t="s">
        <v>2</v>
      </c>
      <c r="BE137" s="224" t="s">
        <v>2</v>
      </c>
      <c r="BF137" s="236" t="s">
        <v>2</v>
      </c>
      <c r="BG137" s="230" t="s">
        <v>2</v>
      </c>
      <c r="BH137" s="230" t="s">
        <v>2</v>
      </c>
      <c r="BI137" s="234" t="s">
        <v>2</v>
      </c>
      <c r="BJ137" s="234" t="s">
        <v>2</v>
      </c>
      <c r="BK137" s="234" t="s">
        <v>2</v>
      </c>
      <c r="BL137" s="234" t="s">
        <v>2</v>
      </c>
      <c r="BM137" s="234" t="s">
        <v>2</v>
      </c>
      <c r="BN137" s="234" t="s">
        <v>2</v>
      </c>
      <c r="BO137" s="234" t="s">
        <v>2</v>
      </c>
      <c r="BP137" s="234" t="s">
        <v>2</v>
      </c>
      <c r="BQ137" s="234" t="s">
        <v>2</v>
      </c>
      <c r="BR137" s="234" t="s">
        <v>2</v>
      </c>
      <c r="BS137" s="234" t="s">
        <v>2</v>
      </c>
      <c r="BT137" s="234" t="s">
        <v>2</v>
      </c>
      <c r="BU137" s="234" t="s">
        <v>2</v>
      </c>
      <c r="BV137" s="234" t="s">
        <v>2</v>
      </c>
      <c r="BW137" s="234" t="s">
        <v>2</v>
      </c>
      <c r="BX137" s="234" t="s">
        <v>2</v>
      </c>
      <c r="BY137" s="234" t="s">
        <v>2</v>
      </c>
      <c r="BZ137" s="237" t="s">
        <v>2</v>
      </c>
      <c r="CA137" s="203">
        <v>0</v>
      </c>
      <c r="CB137" s="223">
        <v>0</v>
      </c>
      <c r="CC137" s="223">
        <v>0</v>
      </c>
      <c r="CD137" s="223">
        <v>0</v>
      </c>
      <c r="CE137" s="223">
        <v>0</v>
      </c>
      <c r="CF137" s="223">
        <v>0</v>
      </c>
      <c r="CG137" s="233">
        <v>0</v>
      </c>
      <c r="CH137" s="200">
        <v>0</v>
      </c>
      <c r="CI137" s="201">
        <v>0</v>
      </c>
      <c r="CJ137" s="200">
        <v>0</v>
      </c>
      <c r="CK137" s="200">
        <v>0</v>
      </c>
      <c r="CL137" s="200">
        <v>0</v>
      </c>
      <c r="CM137" s="201">
        <v>0</v>
      </c>
      <c r="CN137" s="235">
        <v>0</v>
      </c>
      <c r="CO137" s="235" t="s">
        <v>2</v>
      </c>
    </row>
    <row r="138" spans="1:93" s="207" customFormat="1" ht="15" x14ac:dyDescent="0.25">
      <c r="A138" s="239" t="s">
        <v>1643</v>
      </c>
      <c r="B138" s="240" t="s">
        <v>543</v>
      </c>
      <c r="C138" s="241" t="s">
        <v>1644</v>
      </c>
      <c r="D138" s="289">
        <v>8</v>
      </c>
      <c r="E138" s="199">
        <v>50</v>
      </c>
      <c r="F138" s="201">
        <v>77</v>
      </c>
      <c r="G138" s="231">
        <v>321</v>
      </c>
      <c r="H138" s="202">
        <v>78.2</v>
      </c>
      <c r="I138" s="203">
        <v>12.9</v>
      </c>
      <c r="J138" s="203">
        <v>2.8</v>
      </c>
      <c r="K138" s="203">
        <v>0</v>
      </c>
      <c r="L138" s="203">
        <v>0</v>
      </c>
      <c r="M138" s="204">
        <v>6.1</v>
      </c>
      <c r="N138" s="200">
        <v>3520</v>
      </c>
      <c r="O138" s="200">
        <v>180</v>
      </c>
      <c r="P138" s="203" t="s">
        <v>2</v>
      </c>
      <c r="Q138" s="203" t="s">
        <v>2</v>
      </c>
      <c r="R138" s="200" t="s">
        <v>2</v>
      </c>
      <c r="S138" s="200" t="s">
        <v>2</v>
      </c>
      <c r="T138" s="200" t="s">
        <v>2</v>
      </c>
      <c r="U138" s="205" t="s">
        <v>2</v>
      </c>
      <c r="V138" s="205" t="s">
        <v>2</v>
      </c>
      <c r="W138" s="204" t="s">
        <v>2</v>
      </c>
      <c r="X138" s="203">
        <v>0</v>
      </c>
      <c r="Y138" s="205" t="s">
        <v>2</v>
      </c>
      <c r="Z138" s="205" t="s">
        <v>2</v>
      </c>
      <c r="AA138" s="205" t="s">
        <v>2</v>
      </c>
      <c r="AB138" s="205" t="s">
        <v>2</v>
      </c>
      <c r="AC138" s="205" t="s">
        <v>2</v>
      </c>
      <c r="AD138" s="200" t="s">
        <v>2</v>
      </c>
      <c r="AE138" s="200" t="s">
        <v>2</v>
      </c>
      <c r="AF138" s="203" t="s">
        <v>2</v>
      </c>
      <c r="AG138" s="204" t="s">
        <v>2</v>
      </c>
      <c r="AH138" s="201" t="s">
        <v>2</v>
      </c>
      <c r="AI138" s="200">
        <v>0</v>
      </c>
      <c r="AJ138" s="203" t="s">
        <v>2</v>
      </c>
      <c r="AK138" s="203" t="s">
        <v>2</v>
      </c>
      <c r="AL138" s="204" t="s">
        <v>2</v>
      </c>
      <c r="AM138" s="200">
        <v>0</v>
      </c>
      <c r="AN138" s="200">
        <v>0</v>
      </c>
      <c r="AO138" s="200">
        <v>0</v>
      </c>
      <c r="AP138" s="223" t="s">
        <v>2</v>
      </c>
      <c r="AQ138" s="224" t="s">
        <v>2</v>
      </c>
      <c r="AR138" s="224" t="s">
        <v>2</v>
      </c>
      <c r="AS138" s="224" t="s">
        <v>2</v>
      </c>
      <c r="AT138" s="224" t="s">
        <v>2</v>
      </c>
      <c r="AU138" s="224" t="s">
        <v>2</v>
      </c>
      <c r="AV138" s="236" t="s">
        <v>2</v>
      </c>
      <c r="AW138" s="223" t="s">
        <v>2</v>
      </c>
      <c r="AX138" s="224" t="s">
        <v>2</v>
      </c>
      <c r="AY138" s="224" t="s">
        <v>2</v>
      </c>
      <c r="AZ138" s="236" t="s">
        <v>2</v>
      </c>
      <c r="BA138" s="223" t="s">
        <v>2</v>
      </c>
      <c r="BB138" s="224" t="s">
        <v>2</v>
      </c>
      <c r="BC138" s="224" t="s">
        <v>2</v>
      </c>
      <c r="BD138" s="224" t="s">
        <v>2</v>
      </c>
      <c r="BE138" s="224" t="s">
        <v>2</v>
      </c>
      <c r="BF138" s="236" t="s">
        <v>2</v>
      </c>
      <c r="BG138" s="230" t="s">
        <v>2</v>
      </c>
      <c r="BH138" s="230" t="s">
        <v>2</v>
      </c>
      <c r="BI138" s="234" t="s">
        <v>2</v>
      </c>
      <c r="BJ138" s="234" t="s">
        <v>2</v>
      </c>
      <c r="BK138" s="234" t="s">
        <v>2</v>
      </c>
      <c r="BL138" s="234" t="s">
        <v>2</v>
      </c>
      <c r="BM138" s="234" t="s">
        <v>2</v>
      </c>
      <c r="BN138" s="234" t="s">
        <v>2</v>
      </c>
      <c r="BO138" s="234" t="s">
        <v>2</v>
      </c>
      <c r="BP138" s="234" t="s">
        <v>2</v>
      </c>
      <c r="BQ138" s="234" t="s">
        <v>2</v>
      </c>
      <c r="BR138" s="234" t="s">
        <v>2</v>
      </c>
      <c r="BS138" s="234" t="s">
        <v>2</v>
      </c>
      <c r="BT138" s="234" t="s">
        <v>2</v>
      </c>
      <c r="BU138" s="234" t="s">
        <v>2</v>
      </c>
      <c r="BV138" s="234" t="s">
        <v>2</v>
      </c>
      <c r="BW138" s="234" t="s">
        <v>2</v>
      </c>
      <c r="BX138" s="234" t="s">
        <v>2</v>
      </c>
      <c r="BY138" s="234" t="s">
        <v>2</v>
      </c>
      <c r="BZ138" s="237" t="s">
        <v>2</v>
      </c>
      <c r="CA138" s="203">
        <v>0</v>
      </c>
      <c r="CB138" s="203">
        <v>0</v>
      </c>
      <c r="CC138" s="203">
        <v>0</v>
      </c>
      <c r="CD138" s="203">
        <v>0</v>
      </c>
      <c r="CE138" s="203">
        <v>0</v>
      </c>
      <c r="CF138" s="203">
        <v>0</v>
      </c>
      <c r="CG138" s="233">
        <v>0</v>
      </c>
      <c r="CH138" s="200">
        <v>0</v>
      </c>
      <c r="CI138" s="201">
        <v>0</v>
      </c>
      <c r="CJ138" s="200">
        <v>0</v>
      </c>
      <c r="CK138" s="200">
        <v>0</v>
      </c>
      <c r="CL138" s="200">
        <v>0</v>
      </c>
      <c r="CM138" s="201">
        <v>0</v>
      </c>
      <c r="CN138" s="235">
        <v>0</v>
      </c>
      <c r="CO138" s="235" t="s">
        <v>2</v>
      </c>
    </row>
    <row r="139" spans="1:93" s="207" customFormat="1" ht="15" x14ac:dyDescent="0.25">
      <c r="A139" s="239" t="s">
        <v>1645</v>
      </c>
      <c r="B139" s="240" t="s">
        <v>544</v>
      </c>
      <c r="C139" s="241" t="s">
        <v>1646</v>
      </c>
      <c r="D139" s="289">
        <v>8</v>
      </c>
      <c r="E139" s="199">
        <v>5</v>
      </c>
      <c r="F139" s="201">
        <v>89</v>
      </c>
      <c r="G139" s="231">
        <v>373</v>
      </c>
      <c r="H139" s="202">
        <v>81.900000000000006</v>
      </c>
      <c r="I139" s="203">
        <v>12.4</v>
      </c>
      <c r="J139" s="203">
        <v>4.4000000000000004</v>
      </c>
      <c r="K139" s="203">
        <v>0</v>
      </c>
      <c r="L139" s="203">
        <v>0</v>
      </c>
      <c r="M139" s="204">
        <v>1.3</v>
      </c>
      <c r="N139" s="200">
        <v>66</v>
      </c>
      <c r="O139" s="200">
        <v>57</v>
      </c>
      <c r="P139" s="203">
        <v>1.8</v>
      </c>
      <c r="Q139" s="203" t="s">
        <v>2</v>
      </c>
      <c r="R139" s="200" t="s">
        <v>2</v>
      </c>
      <c r="S139" s="200" t="s">
        <v>2</v>
      </c>
      <c r="T139" s="200" t="s">
        <v>2</v>
      </c>
      <c r="U139" s="205" t="s">
        <v>2</v>
      </c>
      <c r="V139" s="205" t="s">
        <v>2</v>
      </c>
      <c r="W139" s="204" t="s">
        <v>2</v>
      </c>
      <c r="X139" s="203">
        <v>0</v>
      </c>
      <c r="Y139" s="205" t="s">
        <v>2</v>
      </c>
      <c r="Z139" s="205" t="s">
        <v>2</v>
      </c>
      <c r="AA139" s="205" t="s">
        <v>2</v>
      </c>
      <c r="AB139" s="205" t="s">
        <v>2</v>
      </c>
      <c r="AC139" s="205" t="s">
        <v>2</v>
      </c>
      <c r="AD139" s="200" t="s">
        <v>2</v>
      </c>
      <c r="AE139" s="200" t="s">
        <v>2</v>
      </c>
      <c r="AF139" s="203" t="s">
        <v>2</v>
      </c>
      <c r="AG139" s="204" t="s">
        <v>2</v>
      </c>
      <c r="AH139" s="201" t="s">
        <v>2</v>
      </c>
      <c r="AI139" s="200">
        <v>0</v>
      </c>
      <c r="AJ139" s="203" t="s">
        <v>2</v>
      </c>
      <c r="AK139" s="203" t="s">
        <v>2</v>
      </c>
      <c r="AL139" s="204" t="s">
        <v>2</v>
      </c>
      <c r="AM139" s="200">
        <v>0</v>
      </c>
      <c r="AN139" s="200">
        <v>0</v>
      </c>
      <c r="AO139" s="200">
        <v>0</v>
      </c>
      <c r="AP139" s="223" t="s">
        <v>2</v>
      </c>
      <c r="AQ139" s="224" t="s">
        <v>2</v>
      </c>
      <c r="AR139" s="224" t="s">
        <v>2</v>
      </c>
      <c r="AS139" s="224" t="s">
        <v>2</v>
      </c>
      <c r="AT139" s="224" t="s">
        <v>2</v>
      </c>
      <c r="AU139" s="224" t="s">
        <v>2</v>
      </c>
      <c r="AV139" s="236" t="s">
        <v>2</v>
      </c>
      <c r="AW139" s="223" t="s">
        <v>2</v>
      </c>
      <c r="AX139" s="224" t="s">
        <v>2</v>
      </c>
      <c r="AY139" s="224" t="s">
        <v>2</v>
      </c>
      <c r="AZ139" s="236" t="s">
        <v>2</v>
      </c>
      <c r="BA139" s="223" t="s">
        <v>2</v>
      </c>
      <c r="BB139" s="224" t="s">
        <v>2</v>
      </c>
      <c r="BC139" s="224" t="s">
        <v>2</v>
      </c>
      <c r="BD139" s="224" t="s">
        <v>2</v>
      </c>
      <c r="BE139" s="224" t="s">
        <v>2</v>
      </c>
      <c r="BF139" s="236" t="s">
        <v>2</v>
      </c>
      <c r="BG139" s="230" t="s">
        <v>2</v>
      </c>
      <c r="BH139" s="230" t="s">
        <v>2</v>
      </c>
      <c r="BI139" s="234" t="s">
        <v>2</v>
      </c>
      <c r="BJ139" s="234" t="s">
        <v>2</v>
      </c>
      <c r="BK139" s="234" t="s">
        <v>2</v>
      </c>
      <c r="BL139" s="234" t="s">
        <v>2</v>
      </c>
      <c r="BM139" s="234" t="s">
        <v>2</v>
      </c>
      <c r="BN139" s="234" t="s">
        <v>2</v>
      </c>
      <c r="BO139" s="234" t="s">
        <v>2</v>
      </c>
      <c r="BP139" s="234" t="s">
        <v>2</v>
      </c>
      <c r="BQ139" s="234" t="s">
        <v>2</v>
      </c>
      <c r="BR139" s="234" t="s">
        <v>2</v>
      </c>
      <c r="BS139" s="234" t="s">
        <v>2</v>
      </c>
      <c r="BT139" s="234" t="s">
        <v>2</v>
      </c>
      <c r="BU139" s="234" t="s">
        <v>2</v>
      </c>
      <c r="BV139" s="234" t="s">
        <v>2</v>
      </c>
      <c r="BW139" s="234" t="s">
        <v>2</v>
      </c>
      <c r="BX139" s="234" t="s">
        <v>2</v>
      </c>
      <c r="BY139" s="234" t="s">
        <v>2</v>
      </c>
      <c r="BZ139" s="237" t="s">
        <v>2</v>
      </c>
      <c r="CA139" s="203">
        <v>0</v>
      </c>
      <c r="CB139" s="203">
        <v>0</v>
      </c>
      <c r="CC139" s="203">
        <v>0</v>
      </c>
      <c r="CD139" s="203">
        <v>0</v>
      </c>
      <c r="CE139" s="203">
        <v>0</v>
      </c>
      <c r="CF139" s="203">
        <v>0</v>
      </c>
      <c r="CG139" s="233">
        <v>0</v>
      </c>
      <c r="CH139" s="200">
        <v>0</v>
      </c>
      <c r="CI139" s="201">
        <v>0</v>
      </c>
      <c r="CJ139" s="200">
        <v>0</v>
      </c>
      <c r="CK139" s="200">
        <v>0</v>
      </c>
      <c r="CL139" s="200">
        <v>0</v>
      </c>
      <c r="CM139" s="201">
        <v>0</v>
      </c>
      <c r="CN139" s="235">
        <v>0</v>
      </c>
      <c r="CO139" s="235" t="s">
        <v>2</v>
      </c>
    </row>
    <row r="140" spans="1:93" s="207" customFormat="1" ht="15" x14ac:dyDescent="0.25">
      <c r="A140" s="239" t="s">
        <v>1647</v>
      </c>
      <c r="B140" s="240" t="s">
        <v>545</v>
      </c>
      <c r="C140" s="241" t="s">
        <v>1648</v>
      </c>
      <c r="D140" s="289">
        <v>8</v>
      </c>
      <c r="E140" s="199">
        <v>80</v>
      </c>
      <c r="F140" s="201">
        <v>51</v>
      </c>
      <c r="G140" s="231">
        <v>213</v>
      </c>
      <c r="H140" s="202">
        <v>83.8</v>
      </c>
      <c r="I140" s="203">
        <v>8.8000000000000007</v>
      </c>
      <c r="J140" s="203">
        <v>0.4</v>
      </c>
      <c r="K140" s="203">
        <v>3</v>
      </c>
      <c r="L140" s="203">
        <v>0</v>
      </c>
      <c r="M140" s="204">
        <v>4</v>
      </c>
      <c r="N140" s="200">
        <v>37</v>
      </c>
      <c r="O140" s="200">
        <v>82</v>
      </c>
      <c r="P140" s="203">
        <v>1.9</v>
      </c>
      <c r="Q140" s="203">
        <v>13.4</v>
      </c>
      <c r="R140" s="200">
        <v>380</v>
      </c>
      <c r="S140" s="200">
        <v>223</v>
      </c>
      <c r="T140" s="200">
        <v>42</v>
      </c>
      <c r="U140" s="205">
        <v>0.6</v>
      </c>
      <c r="V140" s="205">
        <v>1576</v>
      </c>
      <c r="W140" s="204">
        <v>77</v>
      </c>
      <c r="X140" s="203">
        <v>0</v>
      </c>
      <c r="Y140" s="205">
        <v>0.03</v>
      </c>
      <c r="Z140" s="205">
        <v>0.15</v>
      </c>
      <c r="AA140" s="205">
        <v>1.7</v>
      </c>
      <c r="AB140" s="205">
        <v>0.5</v>
      </c>
      <c r="AC140" s="205">
        <v>0.05</v>
      </c>
      <c r="AD140" s="200">
        <v>10</v>
      </c>
      <c r="AE140" s="200">
        <v>0</v>
      </c>
      <c r="AF140" s="203">
        <v>41</v>
      </c>
      <c r="AG140" s="204">
        <v>16</v>
      </c>
      <c r="AH140" s="201">
        <v>53</v>
      </c>
      <c r="AI140" s="200">
        <v>53</v>
      </c>
      <c r="AJ140" s="203" t="s">
        <v>2</v>
      </c>
      <c r="AK140" s="203" t="s">
        <v>2</v>
      </c>
      <c r="AL140" s="204" t="s">
        <v>2</v>
      </c>
      <c r="AM140" s="200">
        <v>0</v>
      </c>
      <c r="AN140" s="200">
        <v>0</v>
      </c>
      <c r="AO140" s="200">
        <v>0</v>
      </c>
      <c r="AP140" s="203">
        <v>0.51</v>
      </c>
      <c r="AQ140" s="205">
        <v>0.35699999999999998</v>
      </c>
      <c r="AR140" s="205">
        <v>0</v>
      </c>
      <c r="AS140" s="205">
        <v>7.0999999999999994E-2</v>
      </c>
      <c r="AT140" s="205">
        <v>0</v>
      </c>
      <c r="AU140" s="205">
        <v>0</v>
      </c>
      <c r="AV140" s="206">
        <v>0</v>
      </c>
      <c r="AW140" s="203">
        <v>0.35799999999999998</v>
      </c>
      <c r="AX140" s="205">
        <v>0</v>
      </c>
      <c r="AY140" s="205">
        <v>0.114</v>
      </c>
      <c r="AZ140" s="206">
        <v>0.191</v>
      </c>
      <c r="BA140" s="203">
        <v>0.89400000000000002</v>
      </c>
      <c r="BB140" s="205">
        <v>3.2000000000000001E-2</v>
      </c>
      <c r="BC140" s="205">
        <v>3.2000000000000001E-2</v>
      </c>
      <c r="BD140" s="205">
        <v>3.7999999999999999E-2</v>
      </c>
      <c r="BE140" s="205">
        <v>0.438</v>
      </c>
      <c r="BF140" s="206">
        <v>0.25</v>
      </c>
      <c r="BG140" s="230" t="s">
        <v>2</v>
      </c>
      <c r="BH140" s="199">
        <v>50</v>
      </c>
      <c r="BI140" s="200">
        <v>722</v>
      </c>
      <c r="BJ140" s="200">
        <v>245</v>
      </c>
      <c r="BK140" s="200">
        <v>87</v>
      </c>
      <c r="BL140" s="200">
        <v>425</v>
      </c>
      <c r="BM140" s="200">
        <v>419</v>
      </c>
      <c r="BN140" s="200">
        <v>484</v>
      </c>
      <c r="BO140" s="200">
        <v>833</v>
      </c>
      <c r="BP140" s="200">
        <v>762</v>
      </c>
      <c r="BQ140" s="200">
        <v>767</v>
      </c>
      <c r="BR140" s="200">
        <v>153</v>
      </c>
      <c r="BS140" s="200">
        <v>148</v>
      </c>
      <c r="BT140" s="200">
        <v>228</v>
      </c>
      <c r="BU140" s="200">
        <v>522</v>
      </c>
      <c r="BV140" s="200">
        <v>827</v>
      </c>
      <c r="BW140" s="200">
        <v>1489</v>
      </c>
      <c r="BX140" s="200">
        <v>458</v>
      </c>
      <c r="BY140" s="200">
        <v>632</v>
      </c>
      <c r="BZ140" s="201">
        <v>425</v>
      </c>
      <c r="CA140" s="203" t="s">
        <v>2</v>
      </c>
      <c r="CB140" s="203" t="s">
        <v>2</v>
      </c>
      <c r="CC140" s="203" t="s">
        <v>2</v>
      </c>
      <c r="CD140" s="203" t="s">
        <v>2</v>
      </c>
      <c r="CE140" s="203" t="s">
        <v>2</v>
      </c>
      <c r="CF140" s="203" t="s">
        <v>2</v>
      </c>
      <c r="CG140" s="233" t="s">
        <v>2</v>
      </c>
      <c r="CH140" s="200">
        <v>0</v>
      </c>
      <c r="CI140" s="201">
        <v>0</v>
      </c>
      <c r="CJ140" s="200">
        <v>0</v>
      </c>
      <c r="CK140" s="200">
        <v>0</v>
      </c>
      <c r="CL140" s="200">
        <v>0</v>
      </c>
      <c r="CM140" s="201">
        <v>0</v>
      </c>
      <c r="CN140" s="235">
        <v>0</v>
      </c>
      <c r="CO140" s="235">
        <v>90</v>
      </c>
    </row>
    <row r="141" spans="1:93" s="207" customFormat="1" ht="15" x14ac:dyDescent="0.25">
      <c r="A141" s="239" t="s">
        <v>1649</v>
      </c>
      <c r="B141" s="240" t="s">
        <v>546</v>
      </c>
      <c r="C141" s="241" t="s">
        <v>1650</v>
      </c>
      <c r="D141" s="289">
        <v>8</v>
      </c>
      <c r="E141" s="199">
        <v>8</v>
      </c>
      <c r="F141" s="201">
        <v>58</v>
      </c>
      <c r="G141" s="231">
        <v>241</v>
      </c>
      <c r="H141" s="202">
        <v>84.5</v>
      </c>
      <c r="I141" s="203">
        <v>11.7</v>
      </c>
      <c r="J141" s="203">
        <v>1.2</v>
      </c>
      <c r="K141" s="203">
        <v>0</v>
      </c>
      <c r="L141" s="203">
        <v>0</v>
      </c>
      <c r="M141" s="204">
        <v>2.6</v>
      </c>
      <c r="N141" s="200">
        <v>910</v>
      </c>
      <c r="O141" s="200">
        <v>218</v>
      </c>
      <c r="P141" s="203" t="s">
        <v>2</v>
      </c>
      <c r="Q141" s="223" t="s">
        <v>2</v>
      </c>
      <c r="R141" s="234" t="s">
        <v>2</v>
      </c>
      <c r="S141" s="234" t="s">
        <v>2</v>
      </c>
      <c r="T141" s="200" t="s">
        <v>2</v>
      </c>
      <c r="U141" s="205" t="s">
        <v>2</v>
      </c>
      <c r="V141" s="224" t="s">
        <v>2</v>
      </c>
      <c r="W141" s="204" t="s">
        <v>2</v>
      </c>
      <c r="X141" s="203">
        <v>0</v>
      </c>
      <c r="Y141" s="205" t="s">
        <v>2</v>
      </c>
      <c r="Z141" s="205" t="s">
        <v>2</v>
      </c>
      <c r="AA141" s="205" t="s">
        <v>2</v>
      </c>
      <c r="AB141" s="205" t="s">
        <v>2</v>
      </c>
      <c r="AC141" s="205" t="s">
        <v>2</v>
      </c>
      <c r="AD141" s="200" t="s">
        <v>2</v>
      </c>
      <c r="AE141" s="200" t="s">
        <v>2</v>
      </c>
      <c r="AF141" s="203" t="s">
        <v>2</v>
      </c>
      <c r="AG141" s="204" t="s">
        <v>2</v>
      </c>
      <c r="AH141" s="201" t="s">
        <v>2</v>
      </c>
      <c r="AI141" s="200">
        <v>0</v>
      </c>
      <c r="AJ141" s="203" t="s">
        <v>2</v>
      </c>
      <c r="AK141" s="203" t="s">
        <v>2</v>
      </c>
      <c r="AL141" s="204" t="s">
        <v>2</v>
      </c>
      <c r="AM141" s="200" t="s">
        <v>2</v>
      </c>
      <c r="AN141" s="200" t="s">
        <v>2</v>
      </c>
      <c r="AO141" s="200" t="s">
        <v>2</v>
      </c>
      <c r="AP141" s="223" t="s">
        <v>2</v>
      </c>
      <c r="AQ141" s="224" t="s">
        <v>2</v>
      </c>
      <c r="AR141" s="224" t="s">
        <v>2</v>
      </c>
      <c r="AS141" s="224" t="s">
        <v>2</v>
      </c>
      <c r="AT141" s="224" t="s">
        <v>2</v>
      </c>
      <c r="AU141" s="224" t="s">
        <v>2</v>
      </c>
      <c r="AV141" s="236" t="s">
        <v>2</v>
      </c>
      <c r="AW141" s="223" t="s">
        <v>2</v>
      </c>
      <c r="AX141" s="224" t="s">
        <v>2</v>
      </c>
      <c r="AY141" s="224" t="s">
        <v>2</v>
      </c>
      <c r="AZ141" s="236" t="s">
        <v>2</v>
      </c>
      <c r="BA141" s="223" t="s">
        <v>2</v>
      </c>
      <c r="BB141" s="224" t="s">
        <v>2</v>
      </c>
      <c r="BC141" s="224" t="s">
        <v>2</v>
      </c>
      <c r="BD141" s="224" t="s">
        <v>2</v>
      </c>
      <c r="BE141" s="224" t="s">
        <v>2</v>
      </c>
      <c r="BF141" s="236" t="s">
        <v>2</v>
      </c>
      <c r="BG141" s="230" t="s">
        <v>2</v>
      </c>
      <c r="BH141" s="230" t="s">
        <v>2</v>
      </c>
      <c r="BI141" s="234" t="s">
        <v>2</v>
      </c>
      <c r="BJ141" s="234" t="s">
        <v>2</v>
      </c>
      <c r="BK141" s="234" t="s">
        <v>2</v>
      </c>
      <c r="BL141" s="234" t="s">
        <v>2</v>
      </c>
      <c r="BM141" s="234" t="s">
        <v>2</v>
      </c>
      <c r="BN141" s="234" t="s">
        <v>2</v>
      </c>
      <c r="BO141" s="234" t="s">
        <v>2</v>
      </c>
      <c r="BP141" s="234" t="s">
        <v>2</v>
      </c>
      <c r="BQ141" s="234" t="s">
        <v>2</v>
      </c>
      <c r="BR141" s="234" t="s">
        <v>2</v>
      </c>
      <c r="BS141" s="234" t="s">
        <v>2</v>
      </c>
      <c r="BT141" s="234" t="s">
        <v>2</v>
      </c>
      <c r="BU141" s="234" t="s">
        <v>2</v>
      </c>
      <c r="BV141" s="234" t="s">
        <v>2</v>
      </c>
      <c r="BW141" s="234" t="s">
        <v>2</v>
      </c>
      <c r="BX141" s="234" t="s">
        <v>2</v>
      </c>
      <c r="BY141" s="234" t="s">
        <v>2</v>
      </c>
      <c r="BZ141" s="237" t="s">
        <v>2</v>
      </c>
      <c r="CA141" s="203">
        <v>0</v>
      </c>
      <c r="CB141" s="203">
        <v>0</v>
      </c>
      <c r="CC141" s="203">
        <v>0</v>
      </c>
      <c r="CD141" s="203">
        <v>0</v>
      </c>
      <c r="CE141" s="203">
        <v>0</v>
      </c>
      <c r="CF141" s="203">
        <v>0</v>
      </c>
      <c r="CG141" s="233">
        <v>0</v>
      </c>
      <c r="CH141" s="200" t="s">
        <v>2</v>
      </c>
      <c r="CI141" s="201" t="s">
        <v>2</v>
      </c>
      <c r="CJ141" s="200">
        <v>0</v>
      </c>
      <c r="CK141" s="200">
        <v>0</v>
      </c>
      <c r="CL141" s="200">
        <v>0</v>
      </c>
      <c r="CM141" s="201">
        <v>0</v>
      </c>
      <c r="CN141" s="235">
        <v>0</v>
      </c>
      <c r="CO141" s="235" t="s">
        <v>2</v>
      </c>
    </row>
    <row r="142" spans="1:93" s="207" customFormat="1" ht="15" x14ac:dyDescent="0.25">
      <c r="A142" s="239" t="s">
        <v>1651</v>
      </c>
      <c r="B142" s="240" t="s">
        <v>547</v>
      </c>
      <c r="C142" s="241" t="s">
        <v>1652</v>
      </c>
      <c r="D142" s="289">
        <v>8</v>
      </c>
      <c r="E142" s="199">
        <v>5</v>
      </c>
      <c r="F142" s="201">
        <v>269</v>
      </c>
      <c r="G142" s="231">
        <v>1125</v>
      </c>
      <c r="H142" s="202">
        <v>23</v>
      </c>
      <c r="I142" s="203">
        <v>59.8</v>
      </c>
      <c r="J142" s="203">
        <v>3</v>
      </c>
      <c r="K142" s="203">
        <v>0.7</v>
      </c>
      <c r="L142" s="203">
        <v>0</v>
      </c>
      <c r="M142" s="204">
        <v>13.5</v>
      </c>
      <c r="N142" s="200">
        <v>2000</v>
      </c>
      <c r="O142" s="200">
        <v>605</v>
      </c>
      <c r="P142" s="203">
        <v>5.5</v>
      </c>
      <c r="Q142" s="223" t="s">
        <v>2</v>
      </c>
      <c r="R142" s="234" t="s">
        <v>2</v>
      </c>
      <c r="S142" s="234" t="s">
        <v>2</v>
      </c>
      <c r="T142" s="200" t="s">
        <v>2</v>
      </c>
      <c r="U142" s="205" t="s">
        <v>2</v>
      </c>
      <c r="V142" s="224" t="s">
        <v>2</v>
      </c>
      <c r="W142" s="204" t="s">
        <v>2</v>
      </c>
      <c r="X142" s="203">
        <v>0</v>
      </c>
      <c r="Y142" s="205">
        <v>0.03</v>
      </c>
      <c r="Z142" s="205">
        <v>7.0000000000000007E-2</v>
      </c>
      <c r="AA142" s="205">
        <v>2.5</v>
      </c>
      <c r="AB142" s="205" t="s">
        <v>2</v>
      </c>
      <c r="AC142" s="205" t="s">
        <v>2</v>
      </c>
      <c r="AD142" s="200" t="s">
        <v>2</v>
      </c>
      <c r="AE142" s="200" t="s">
        <v>2</v>
      </c>
      <c r="AF142" s="203" t="s">
        <v>2</v>
      </c>
      <c r="AG142" s="204" t="s">
        <v>2</v>
      </c>
      <c r="AH142" s="201" t="s">
        <v>2</v>
      </c>
      <c r="AI142" s="200">
        <v>0</v>
      </c>
      <c r="AJ142" s="203" t="s">
        <v>2</v>
      </c>
      <c r="AK142" s="203" t="s">
        <v>2</v>
      </c>
      <c r="AL142" s="204" t="s">
        <v>2</v>
      </c>
      <c r="AM142" s="200" t="s">
        <v>2</v>
      </c>
      <c r="AN142" s="200" t="s">
        <v>2</v>
      </c>
      <c r="AO142" s="200" t="s">
        <v>2</v>
      </c>
      <c r="AP142" s="223" t="s">
        <v>2</v>
      </c>
      <c r="AQ142" s="224" t="s">
        <v>2</v>
      </c>
      <c r="AR142" s="224" t="s">
        <v>2</v>
      </c>
      <c r="AS142" s="224" t="s">
        <v>2</v>
      </c>
      <c r="AT142" s="224" t="s">
        <v>2</v>
      </c>
      <c r="AU142" s="224" t="s">
        <v>2</v>
      </c>
      <c r="AV142" s="236" t="s">
        <v>2</v>
      </c>
      <c r="AW142" s="223" t="s">
        <v>2</v>
      </c>
      <c r="AX142" s="224" t="s">
        <v>2</v>
      </c>
      <c r="AY142" s="224" t="s">
        <v>2</v>
      </c>
      <c r="AZ142" s="236" t="s">
        <v>2</v>
      </c>
      <c r="BA142" s="223" t="s">
        <v>2</v>
      </c>
      <c r="BB142" s="224" t="s">
        <v>2</v>
      </c>
      <c r="BC142" s="224" t="s">
        <v>2</v>
      </c>
      <c r="BD142" s="224" t="s">
        <v>2</v>
      </c>
      <c r="BE142" s="224" t="s">
        <v>2</v>
      </c>
      <c r="BF142" s="236" t="s">
        <v>2</v>
      </c>
      <c r="BG142" s="230" t="s">
        <v>2</v>
      </c>
      <c r="BH142" s="230" t="s">
        <v>2</v>
      </c>
      <c r="BI142" s="234" t="s">
        <v>2</v>
      </c>
      <c r="BJ142" s="234" t="s">
        <v>2</v>
      </c>
      <c r="BK142" s="234" t="s">
        <v>2</v>
      </c>
      <c r="BL142" s="234" t="s">
        <v>2</v>
      </c>
      <c r="BM142" s="234" t="s">
        <v>2</v>
      </c>
      <c r="BN142" s="234" t="s">
        <v>2</v>
      </c>
      <c r="BO142" s="234" t="s">
        <v>2</v>
      </c>
      <c r="BP142" s="234" t="s">
        <v>2</v>
      </c>
      <c r="BQ142" s="234" t="s">
        <v>2</v>
      </c>
      <c r="BR142" s="234" t="s">
        <v>2</v>
      </c>
      <c r="BS142" s="234" t="s">
        <v>2</v>
      </c>
      <c r="BT142" s="234" t="s">
        <v>2</v>
      </c>
      <c r="BU142" s="234" t="s">
        <v>2</v>
      </c>
      <c r="BV142" s="234" t="s">
        <v>2</v>
      </c>
      <c r="BW142" s="234" t="s">
        <v>2</v>
      </c>
      <c r="BX142" s="234" t="s">
        <v>2</v>
      </c>
      <c r="BY142" s="234" t="s">
        <v>2</v>
      </c>
      <c r="BZ142" s="237" t="s">
        <v>2</v>
      </c>
      <c r="CA142" s="203" t="s">
        <v>2</v>
      </c>
      <c r="CB142" s="203" t="s">
        <v>2</v>
      </c>
      <c r="CC142" s="203" t="s">
        <v>2</v>
      </c>
      <c r="CD142" s="203" t="s">
        <v>2</v>
      </c>
      <c r="CE142" s="203" t="s">
        <v>2</v>
      </c>
      <c r="CF142" s="203" t="s">
        <v>2</v>
      </c>
      <c r="CG142" s="233" t="s">
        <v>2</v>
      </c>
      <c r="CH142" s="200" t="s">
        <v>2</v>
      </c>
      <c r="CI142" s="201" t="s">
        <v>2</v>
      </c>
      <c r="CJ142" s="200">
        <v>0</v>
      </c>
      <c r="CK142" s="200">
        <v>0</v>
      </c>
      <c r="CL142" s="200">
        <v>0</v>
      </c>
      <c r="CM142" s="201">
        <v>0</v>
      </c>
      <c r="CN142" s="235">
        <v>0</v>
      </c>
      <c r="CO142" s="235" t="s">
        <v>2</v>
      </c>
    </row>
    <row r="143" spans="1:93" s="207" customFormat="1" ht="15" x14ac:dyDescent="0.25">
      <c r="A143" s="239" t="s">
        <v>1653</v>
      </c>
      <c r="B143" s="240" t="s">
        <v>548</v>
      </c>
      <c r="C143" s="241" t="s">
        <v>1654</v>
      </c>
      <c r="D143" s="289">
        <v>8</v>
      </c>
      <c r="E143" s="199">
        <v>54</v>
      </c>
      <c r="F143" s="201">
        <v>82</v>
      </c>
      <c r="G143" s="231">
        <v>344</v>
      </c>
      <c r="H143" s="202">
        <v>79.2</v>
      </c>
      <c r="I143" s="203">
        <v>17.600000000000001</v>
      </c>
      <c r="J143" s="203">
        <v>0.9</v>
      </c>
      <c r="K143" s="203">
        <v>0.9</v>
      </c>
      <c r="L143" s="203">
        <v>0</v>
      </c>
      <c r="M143" s="204">
        <v>1.4</v>
      </c>
      <c r="N143" s="200">
        <v>79</v>
      </c>
      <c r="O143" s="200">
        <v>184</v>
      </c>
      <c r="P143" s="203">
        <v>1.6</v>
      </c>
      <c r="Q143" s="203">
        <v>1.1100000000000001</v>
      </c>
      <c r="R143" s="200">
        <v>148</v>
      </c>
      <c r="S143" s="200">
        <v>185</v>
      </c>
      <c r="T143" s="200">
        <v>37</v>
      </c>
      <c r="U143" s="205">
        <v>0.05</v>
      </c>
      <c r="V143" s="205">
        <v>264</v>
      </c>
      <c r="W143" s="204">
        <v>38</v>
      </c>
      <c r="X143" s="203">
        <v>0</v>
      </c>
      <c r="Y143" s="205">
        <v>0.04</v>
      </c>
      <c r="Z143" s="205">
        <v>0.08</v>
      </c>
      <c r="AA143" s="205">
        <v>2.2999999999999998</v>
      </c>
      <c r="AB143" s="205">
        <v>0.27600000000000002</v>
      </c>
      <c r="AC143" s="205">
        <v>0.104</v>
      </c>
      <c r="AD143" s="200">
        <v>3</v>
      </c>
      <c r="AE143" s="200">
        <v>0</v>
      </c>
      <c r="AF143" s="203">
        <v>5</v>
      </c>
      <c r="AG143" s="204">
        <v>1.1599999999999999</v>
      </c>
      <c r="AH143" s="201">
        <v>20</v>
      </c>
      <c r="AI143" s="200">
        <v>20</v>
      </c>
      <c r="AJ143" s="203">
        <v>0.05</v>
      </c>
      <c r="AK143" s="203">
        <v>1.1000000000000001</v>
      </c>
      <c r="AL143" s="204">
        <v>0</v>
      </c>
      <c r="AM143" s="200">
        <v>5</v>
      </c>
      <c r="AN143" s="200" t="s">
        <v>2</v>
      </c>
      <c r="AO143" s="200" t="s">
        <v>2</v>
      </c>
      <c r="AP143" s="203">
        <v>0.32800000000000001</v>
      </c>
      <c r="AQ143" s="205">
        <v>0.184</v>
      </c>
      <c r="AR143" s="205">
        <v>0</v>
      </c>
      <c r="AS143" s="205">
        <v>0.10299999999999999</v>
      </c>
      <c r="AT143" s="205">
        <v>0</v>
      </c>
      <c r="AU143" s="205">
        <v>0</v>
      </c>
      <c r="AV143" s="206">
        <v>0</v>
      </c>
      <c r="AW143" s="203">
        <v>0.253</v>
      </c>
      <c r="AX143" s="205">
        <v>0</v>
      </c>
      <c r="AY143" s="205">
        <v>8.3000000000000004E-2</v>
      </c>
      <c r="AZ143" s="206">
        <v>0.14699999999999999</v>
      </c>
      <c r="BA143" s="203">
        <v>0.66900000000000004</v>
      </c>
      <c r="BB143" s="205">
        <v>2.8000000000000001E-2</v>
      </c>
      <c r="BC143" s="205">
        <v>1.4E-2</v>
      </c>
      <c r="BD143" s="205">
        <v>8.6999999999999994E-2</v>
      </c>
      <c r="BE143" s="205">
        <v>0.25800000000000001</v>
      </c>
      <c r="BF143" s="206">
        <v>0.222</v>
      </c>
      <c r="BG143" s="230" t="s">
        <v>2</v>
      </c>
      <c r="BH143" s="199">
        <v>152</v>
      </c>
      <c r="BI143" s="234" t="s">
        <v>2</v>
      </c>
      <c r="BJ143" s="234" t="s">
        <v>2</v>
      </c>
      <c r="BK143" s="234" t="s">
        <v>2</v>
      </c>
      <c r="BL143" s="234" t="s">
        <v>2</v>
      </c>
      <c r="BM143" s="234" t="s">
        <v>2</v>
      </c>
      <c r="BN143" s="234" t="s">
        <v>2</v>
      </c>
      <c r="BO143" s="234" t="s">
        <v>2</v>
      </c>
      <c r="BP143" s="234" t="s">
        <v>2</v>
      </c>
      <c r="BQ143" s="234" t="s">
        <v>2</v>
      </c>
      <c r="BR143" s="234" t="s">
        <v>2</v>
      </c>
      <c r="BS143" s="234" t="s">
        <v>2</v>
      </c>
      <c r="BT143" s="234" t="s">
        <v>2</v>
      </c>
      <c r="BU143" s="234" t="s">
        <v>2</v>
      </c>
      <c r="BV143" s="234" t="s">
        <v>2</v>
      </c>
      <c r="BW143" s="234" t="s">
        <v>2</v>
      </c>
      <c r="BX143" s="234" t="s">
        <v>2</v>
      </c>
      <c r="BY143" s="234" t="s">
        <v>2</v>
      </c>
      <c r="BZ143" s="237" t="s">
        <v>2</v>
      </c>
      <c r="CA143" s="203" t="s">
        <v>2</v>
      </c>
      <c r="CB143" s="203" t="s">
        <v>2</v>
      </c>
      <c r="CC143" s="203" t="s">
        <v>2</v>
      </c>
      <c r="CD143" s="203" t="s">
        <v>2</v>
      </c>
      <c r="CE143" s="203" t="s">
        <v>2</v>
      </c>
      <c r="CF143" s="203" t="s">
        <v>2</v>
      </c>
      <c r="CG143" s="233" t="s">
        <v>2</v>
      </c>
      <c r="CH143" s="200" t="s">
        <v>2</v>
      </c>
      <c r="CI143" s="201" t="s">
        <v>2</v>
      </c>
      <c r="CJ143" s="200">
        <v>0</v>
      </c>
      <c r="CK143" s="200">
        <v>0</v>
      </c>
      <c r="CL143" s="200">
        <v>0</v>
      </c>
      <c r="CM143" s="201">
        <v>0</v>
      </c>
      <c r="CN143" s="235">
        <v>0</v>
      </c>
      <c r="CO143" s="235">
        <v>147</v>
      </c>
    </row>
    <row r="144" spans="1:93" s="207" customFormat="1" ht="15" x14ac:dyDescent="0.25">
      <c r="A144" s="239" t="s">
        <v>1655</v>
      </c>
      <c r="B144" s="240" t="s">
        <v>549</v>
      </c>
      <c r="C144" s="241" t="s">
        <v>1656</v>
      </c>
      <c r="D144" s="289">
        <v>8</v>
      </c>
      <c r="E144" s="199">
        <v>10</v>
      </c>
      <c r="F144" s="201">
        <v>90</v>
      </c>
      <c r="G144" s="231">
        <v>376</v>
      </c>
      <c r="H144" s="202">
        <v>76.900000000000006</v>
      </c>
      <c r="I144" s="203">
        <v>18.399999999999999</v>
      </c>
      <c r="J144" s="203">
        <v>1.8</v>
      </c>
      <c r="K144" s="203">
        <v>0</v>
      </c>
      <c r="L144" s="203">
        <v>0</v>
      </c>
      <c r="M144" s="204">
        <v>2.9</v>
      </c>
      <c r="N144" s="200">
        <v>1120</v>
      </c>
      <c r="O144" s="200">
        <v>150</v>
      </c>
      <c r="P144" s="203">
        <v>2.2000000000000002</v>
      </c>
      <c r="Q144" s="223" t="s">
        <v>2</v>
      </c>
      <c r="R144" s="200">
        <v>418</v>
      </c>
      <c r="S144" s="200">
        <v>316</v>
      </c>
      <c r="T144" s="200">
        <v>42</v>
      </c>
      <c r="U144" s="205" t="s">
        <v>2</v>
      </c>
      <c r="V144" s="224" t="s">
        <v>2</v>
      </c>
      <c r="W144" s="204">
        <v>58.8</v>
      </c>
      <c r="X144" s="203">
        <v>0</v>
      </c>
      <c r="Y144" s="205">
        <v>0.02</v>
      </c>
      <c r="Z144" s="205">
        <v>0.03</v>
      </c>
      <c r="AA144" s="205">
        <v>3.2</v>
      </c>
      <c r="AB144" s="205" t="s">
        <v>2</v>
      </c>
      <c r="AC144" s="205" t="s">
        <v>2</v>
      </c>
      <c r="AD144" s="200" t="s">
        <v>2</v>
      </c>
      <c r="AE144" s="200" t="s">
        <v>2</v>
      </c>
      <c r="AF144" s="203" t="s">
        <v>2</v>
      </c>
      <c r="AG144" s="204" t="s">
        <v>2</v>
      </c>
      <c r="AH144" s="201">
        <v>15</v>
      </c>
      <c r="AI144" s="200">
        <v>15</v>
      </c>
      <c r="AJ144" s="203" t="s">
        <v>2</v>
      </c>
      <c r="AK144" s="203" t="s">
        <v>2</v>
      </c>
      <c r="AL144" s="204" t="s">
        <v>2</v>
      </c>
      <c r="AM144" s="200" t="s">
        <v>2</v>
      </c>
      <c r="AN144" s="200" t="s">
        <v>2</v>
      </c>
      <c r="AO144" s="200" t="s">
        <v>2</v>
      </c>
      <c r="AP144" s="223" t="s">
        <v>2</v>
      </c>
      <c r="AQ144" s="224" t="s">
        <v>2</v>
      </c>
      <c r="AR144" s="224" t="s">
        <v>2</v>
      </c>
      <c r="AS144" s="224" t="s">
        <v>2</v>
      </c>
      <c r="AT144" s="224" t="s">
        <v>2</v>
      </c>
      <c r="AU144" s="224" t="s">
        <v>2</v>
      </c>
      <c r="AV144" s="236" t="s">
        <v>2</v>
      </c>
      <c r="AW144" s="223" t="s">
        <v>2</v>
      </c>
      <c r="AX144" s="224" t="s">
        <v>2</v>
      </c>
      <c r="AY144" s="224" t="s">
        <v>2</v>
      </c>
      <c r="AZ144" s="236" t="s">
        <v>2</v>
      </c>
      <c r="BA144" s="223" t="s">
        <v>2</v>
      </c>
      <c r="BB144" s="224" t="s">
        <v>2</v>
      </c>
      <c r="BC144" s="224" t="s">
        <v>2</v>
      </c>
      <c r="BD144" s="224" t="s">
        <v>2</v>
      </c>
      <c r="BE144" s="224" t="s">
        <v>2</v>
      </c>
      <c r="BF144" s="236" t="s">
        <v>2</v>
      </c>
      <c r="BG144" s="230" t="s">
        <v>2</v>
      </c>
      <c r="BH144" s="230" t="s">
        <v>2</v>
      </c>
      <c r="BI144" s="200">
        <v>1560</v>
      </c>
      <c r="BJ144" s="200">
        <v>630</v>
      </c>
      <c r="BK144" s="200">
        <v>180</v>
      </c>
      <c r="BL144" s="200">
        <v>830</v>
      </c>
      <c r="BM144" s="200">
        <v>750</v>
      </c>
      <c r="BN144" s="200">
        <v>940</v>
      </c>
      <c r="BO144" s="200">
        <v>1560</v>
      </c>
      <c r="BP144" s="200">
        <v>980</v>
      </c>
      <c r="BQ144" s="200">
        <v>1730</v>
      </c>
      <c r="BR144" s="200">
        <v>400</v>
      </c>
      <c r="BS144" s="200">
        <v>200</v>
      </c>
      <c r="BT144" s="200">
        <v>556</v>
      </c>
      <c r="BU144" s="200">
        <v>961</v>
      </c>
      <c r="BV144" s="200">
        <v>1872</v>
      </c>
      <c r="BW144" s="200">
        <v>2844</v>
      </c>
      <c r="BX144" s="200">
        <v>1141</v>
      </c>
      <c r="BY144" s="200">
        <v>644</v>
      </c>
      <c r="BZ144" s="201">
        <v>674</v>
      </c>
      <c r="CA144" s="203">
        <v>0</v>
      </c>
      <c r="CB144" s="203">
        <v>0</v>
      </c>
      <c r="CC144" s="203">
        <v>0</v>
      </c>
      <c r="CD144" s="203">
        <v>0</v>
      </c>
      <c r="CE144" s="203">
        <v>0</v>
      </c>
      <c r="CF144" s="203">
        <v>0</v>
      </c>
      <c r="CG144" s="233">
        <v>0</v>
      </c>
      <c r="CH144" s="200" t="s">
        <v>2</v>
      </c>
      <c r="CI144" s="201" t="s">
        <v>2</v>
      </c>
      <c r="CJ144" s="200">
        <v>0</v>
      </c>
      <c r="CK144" s="200">
        <v>0</v>
      </c>
      <c r="CL144" s="200">
        <v>0</v>
      </c>
      <c r="CM144" s="201">
        <v>0</v>
      </c>
      <c r="CN144" s="235">
        <v>0</v>
      </c>
      <c r="CO144" s="235" t="s">
        <v>2</v>
      </c>
    </row>
    <row r="145" spans="1:93" s="207" customFormat="1" ht="15" x14ac:dyDescent="0.25">
      <c r="A145" s="239" t="s">
        <v>1657</v>
      </c>
      <c r="B145" s="240" t="s">
        <v>550</v>
      </c>
      <c r="C145" s="241" t="s">
        <v>1658</v>
      </c>
      <c r="D145" s="289">
        <v>8</v>
      </c>
      <c r="E145" s="199">
        <v>5</v>
      </c>
      <c r="F145" s="201">
        <v>347</v>
      </c>
      <c r="G145" s="231">
        <v>1450</v>
      </c>
      <c r="H145" s="202">
        <v>12.6</v>
      </c>
      <c r="I145" s="203">
        <v>75.599999999999994</v>
      </c>
      <c r="J145" s="203">
        <v>3.8</v>
      </c>
      <c r="K145" s="203">
        <v>2.5</v>
      </c>
      <c r="L145" s="203">
        <v>0</v>
      </c>
      <c r="M145" s="204">
        <v>5.5</v>
      </c>
      <c r="N145" s="200">
        <v>236</v>
      </c>
      <c r="O145" s="200">
        <v>995</v>
      </c>
      <c r="P145" s="203">
        <v>4.5999999999999996</v>
      </c>
      <c r="Q145" s="223" t="s">
        <v>2</v>
      </c>
      <c r="R145" s="234" t="s">
        <v>2</v>
      </c>
      <c r="S145" s="234" t="s">
        <v>2</v>
      </c>
      <c r="T145" s="200" t="s">
        <v>2</v>
      </c>
      <c r="U145" s="205" t="s">
        <v>2</v>
      </c>
      <c r="V145" s="224" t="s">
        <v>2</v>
      </c>
      <c r="W145" s="233" t="s">
        <v>2</v>
      </c>
      <c r="X145" s="203">
        <v>0</v>
      </c>
      <c r="Y145" s="205">
        <v>0.16</v>
      </c>
      <c r="Z145" s="205">
        <v>0.34</v>
      </c>
      <c r="AA145" s="205">
        <v>9.5</v>
      </c>
      <c r="AB145" s="205" t="s">
        <v>2</v>
      </c>
      <c r="AC145" s="205" t="s">
        <v>2</v>
      </c>
      <c r="AD145" s="200" t="s">
        <v>2</v>
      </c>
      <c r="AE145" s="200" t="s">
        <v>2</v>
      </c>
      <c r="AF145" s="203" t="s">
        <v>2</v>
      </c>
      <c r="AG145" s="204" t="s">
        <v>2</v>
      </c>
      <c r="AH145" s="201" t="s">
        <v>2</v>
      </c>
      <c r="AI145" s="200">
        <v>0</v>
      </c>
      <c r="AJ145" s="203" t="s">
        <v>2</v>
      </c>
      <c r="AK145" s="203" t="s">
        <v>2</v>
      </c>
      <c r="AL145" s="204" t="s">
        <v>2</v>
      </c>
      <c r="AM145" s="200" t="s">
        <v>2</v>
      </c>
      <c r="AN145" s="200" t="s">
        <v>2</v>
      </c>
      <c r="AO145" s="200" t="s">
        <v>2</v>
      </c>
      <c r="AP145" s="223" t="s">
        <v>2</v>
      </c>
      <c r="AQ145" s="224" t="s">
        <v>2</v>
      </c>
      <c r="AR145" s="224" t="s">
        <v>2</v>
      </c>
      <c r="AS145" s="224" t="s">
        <v>2</v>
      </c>
      <c r="AT145" s="224" t="s">
        <v>2</v>
      </c>
      <c r="AU145" s="224" t="s">
        <v>2</v>
      </c>
      <c r="AV145" s="236" t="s">
        <v>2</v>
      </c>
      <c r="AW145" s="223" t="s">
        <v>2</v>
      </c>
      <c r="AX145" s="224" t="s">
        <v>2</v>
      </c>
      <c r="AY145" s="224" t="s">
        <v>2</v>
      </c>
      <c r="AZ145" s="236" t="s">
        <v>2</v>
      </c>
      <c r="BA145" s="223" t="s">
        <v>2</v>
      </c>
      <c r="BB145" s="224" t="s">
        <v>2</v>
      </c>
      <c r="BC145" s="224" t="s">
        <v>2</v>
      </c>
      <c r="BD145" s="224" t="s">
        <v>2</v>
      </c>
      <c r="BE145" s="224" t="s">
        <v>2</v>
      </c>
      <c r="BF145" s="236" t="s">
        <v>2</v>
      </c>
      <c r="BG145" s="230" t="s">
        <v>2</v>
      </c>
      <c r="BH145" s="230" t="s">
        <v>2</v>
      </c>
      <c r="BI145" s="234" t="s">
        <v>2</v>
      </c>
      <c r="BJ145" s="234" t="s">
        <v>2</v>
      </c>
      <c r="BK145" s="234" t="s">
        <v>2</v>
      </c>
      <c r="BL145" s="234" t="s">
        <v>2</v>
      </c>
      <c r="BM145" s="234" t="s">
        <v>2</v>
      </c>
      <c r="BN145" s="234" t="s">
        <v>2</v>
      </c>
      <c r="BO145" s="234" t="s">
        <v>2</v>
      </c>
      <c r="BP145" s="234" t="s">
        <v>2</v>
      </c>
      <c r="BQ145" s="234" t="s">
        <v>2</v>
      </c>
      <c r="BR145" s="234" t="s">
        <v>2</v>
      </c>
      <c r="BS145" s="234" t="s">
        <v>2</v>
      </c>
      <c r="BT145" s="234" t="s">
        <v>2</v>
      </c>
      <c r="BU145" s="234" t="s">
        <v>2</v>
      </c>
      <c r="BV145" s="234" t="s">
        <v>2</v>
      </c>
      <c r="BW145" s="234" t="s">
        <v>2</v>
      </c>
      <c r="BX145" s="234" t="s">
        <v>2</v>
      </c>
      <c r="BY145" s="234" t="s">
        <v>2</v>
      </c>
      <c r="BZ145" s="237" t="s">
        <v>2</v>
      </c>
      <c r="CA145" s="203" t="s">
        <v>2</v>
      </c>
      <c r="CB145" s="203" t="s">
        <v>2</v>
      </c>
      <c r="CC145" s="203" t="s">
        <v>2</v>
      </c>
      <c r="CD145" s="203" t="s">
        <v>2</v>
      </c>
      <c r="CE145" s="203" t="s">
        <v>2</v>
      </c>
      <c r="CF145" s="203" t="s">
        <v>2</v>
      </c>
      <c r="CG145" s="233" t="s">
        <v>2</v>
      </c>
      <c r="CH145" s="200" t="s">
        <v>2</v>
      </c>
      <c r="CI145" s="201" t="s">
        <v>2</v>
      </c>
      <c r="CJ145" s="200">
        <v>0</v>
      </c>
      <c r="CK145" s="200">
        <v>0</v>
      </c>
      <c r="CL145" s="200">
        <v>0</v>
      </c>
      <c r="CM145" s="201">
        <v>0</v>
      </c>
      <c r="CN145" s="235">
        <v>0</v>
      </c>
      <c r="CO145" s="235" t="s">
        <v>2</v>
      </c>
    </row>
    <row r="146" spans="1:93" s="207" customFormat="1" ht="15" x14ac:dyDescent="0.25">
      <c r="A146" s="239" t="s">
        <v>1659</v>
      </c>
      <c r="B146" s="240" t="s">
        <v>551</v>
      </c>
      <c r="C146" s="241" t="s">
        <v>1660</v>
      </c>
      <c r="D146" s="289">
        <v>8</v>
      </c>
      <c r="E146" s="199">
        <v>60</v>
      </c>
      <c r="F146" s="201">
        <v>38</v>
      </c>
      <c r="G146" s="231">
        <v>160</v>
      </c>
      <c r="H146" s="202">
        <v>89.9</v>
      </c>
      <c r="I146" s="203">
        <v>4.5999999999999996</v>
      </c>
      <c r="J146" s="203">
        <v>1.1000000000000001</v>
      </c>
      <c r="K146" s="203">
        <v>2.5</v>
      </c>
      <c r="L146" s="203">
        <v>0</v>
      </c>
      <c r="M146" s="204">
        <v>1.9</v>
      </c>
      <c r="N146" s="200">
        <v>668</v>
      </c>
      <c r="O146" s="200">
        <v>107</v>
      </c>
      <c r="P146" s="203">
        <v>1.5</v>
      </c>
      <c r="Q146" s="203">
        <v>1.37</v>
      </c>
      <c r="R146" s="200">
        <v>56</v>
      </c>
      <c r="S146" s="200">
        <v>314</v>
      </c>
      <c r="T146" s="200">
        <v>9</v>
      </c>
      <c r="U146" s="205">
        <v>0.5</v>
      </c>
      <c r="V146" s="205">
        <v>344</v>
      </c>
      <c r="W146" s="204">
        <v>24.3</v>
      </c>
      <c r="X146" s="203">
        <v>0</v>
      </c>
      <c r="Y146" s="205">
        <v>0.02</v>
      </c>
      <c r="Z146" s="205">
        <v>0.46</v>
      </c>
      <c r="AA146" s="205">
        <v>3.1</v>
      </c>
      <c r="AB146" s="205">
        <v>0.36199999999999999</v>
      </c>
      <c r="AC146" s="205">
        <v>0.06</v>
      </c>
      <c r="AD146" s="200">
        <v>16</v>
      </c>
      <c r="AE146" s="200">
        <v>0</v>
      </c>
      <c r="AF146" s="203" t="s">
        <v>2</v>
      </c>
      <c r="AG146" s="204">
        <v>49.44</v>
      </c>
      <c r="AH146" s="201">
        <v>90</v>
      </c>
      <c r="AI146" s="200">
        <v>90</v>
      </c>
      <c r="AJ146" s="203" t="s">
        <v>2</v>
      </c>
      <c r="AK146" s="203">
        <v>0.31</v>
      </c>
      <c r="AL146" s="204">
        <v>0.2</v>
      </c>
      <c r="AM146" s="200">
        <v>0</v>
      </c>
      <c r="AN146" s="200">
        <v>0</v>
      </c>
      <c r="AO146" s="200">
        <v>0</v>
      </c>
      <c r="AP146" s="203">
        <v>9.4E-2</v>
      </c>
      <c r="AQ146" s="205">
        <v>0.06</v>
      </c>
      <c r="AR146" s="205">
        <v>0</v>
      </c>
      <c r="AS146" s="205">
        <v>1.7999999999999999E-2</v>
      </c>
      <c r="AT146" s="205">
        <v>0</v>
      </c>
      <c r="AU146" s="205">
        <v>0</v>
      </c>
      <c r="AV146" s="206">
        <v>0</v>
      </c>
      <c r="AW146" s="203">
        <v>0.08</v>
      </c>
      <c r="AX146" s="205">
        <v>0</v>
      </c>
      <c r="AY146" s="205">
        <v>2.1999999999999999E-2</v>
      </c>
      <c r="AZ146" s="206">
        <v>3.4000000000000002E-2</v>
      </c>
      <c r="BA146" s="203">
        <v>0.28199999999999997</v>
      </c>
      <c r="BB146" s="205">
        <v>1.6E-2</v>
      </c>
      <c r="BC146" s="205">
        <v>4.0000000000000001E-3</v>
      </c>
      <c r="BD146" s="205">
        <v>4.1000000000000002E-2</v>
      </c>
      <c r="BE146" s="205">
        <v>6.9000000000000006E-2</v>
      </c>
      <c r="BF146" s="206">
        <v>7.2999999999999995E-2</v>
      </c>
      <c r="BG146" s="230" t="s">
        <v>2</v>
      </c>
      <c r="BH146" s="199">
        <v>34</v>
      </c>
      <c r="BI146" s="200">
        <v>200</v>
      </c>
      <c r="BJ146" s="200">
        <v>120</v>
      </c>
      <c r="BK146" s="200">
        <v>50</v>
      </c>
      <c r="BL146" s="200">
        <v>250</v>
      </c>
      <c r="BM146" s="200">
        <v>340</v>
      </c>
      <c r="BN146" s="200">
        <v>250</v>
      </c>
      <c r="BO146" s="200">
        <v>270</v>
      </c>
      <c r="BP146" s="200">
        <v>270</v>
      </c>
      <c r="BQ146" s="200">
        <v>240</v>
      </c>
      <c r="BR146" s="200">
        <v>60</v>
      </c>
      <c r="BS146" s="234" t="s">
        <v>2</v>
      </c>
      <c r="BT146" s="234" t="s">
        <v>2</v>
      </c>
      <c r="BU146" s="234" t="s">
        <v>2</v>
      </c>
      <c r="BV146" s="234" t="s">
        <v>2</v>
      </c>
      <c r="BW146" s="234" t="s">
        <v>2</v>
      </c>
      <c r="BX146" s="234" t="s">
        <v>2</v>
      </c>
      <c r="BY146" s="234" t="s">
        <v>2</v>
      </c>
      <c r="BZ146" s="237" t="s">
        <v>2</v>
      </c>
      <c r="CA146" s="203" t="s">
        <v>2</v>
      </c>
      <c r="CB146" s="203" t="s">
        <v>2</v>
      </c>
      <c r="CC146" s="203" t="s">
        <v>2</v>
      </c>
      <c r="CD146" s="203" t="s">
        <v>2</v>
      </c>
      <c r="CE146" s="203" t="s">
        <v>2</v>
      </c>
      <c r="CF146" s="203" t="s">
        <v>2</v>
      </c>
      <c r="CG146" s="233" t="s">
        <v>2</v>
      </c>
      <c r="CH146" s="200">
        <v>0</v>
      </c>
      <c r="CI146" s="201">
        <v>0</v>
      </c>
      <c r="CJ146" s="200">
        <v>0</v>
      </c>
      <c r="CK146" s="200">
        <v>0</v>
      </c>
      <c r="CL146" s="200">
        <v>0</v>
      </c>
      <c r="CM146" s="201">
        <v>0</v>
      </c>
      <c r="CN146" s="235">
        <v>0</v>
      </c>
      <c r="CO146" s="235" t="s">
        <v>2</v>
      </c>
    </row>
    <row r="147" spans="1:93" s="207" customFormat="1" ht="15" x14ac:dyDescent="0.25">
      <c r="A147" s="239" t="s">
        <v>1661</v>
      </c>
      <c r="B147" s="240" t="s">
        <v>552</v>
      </c>
      <c r="C147" s="241" t="s">
        <v>1662</v>
      </c>
      <c r="D147" s="289">
        <v>8</v>
      </c>
      <c r="E147" s="199">
        <v>0</v>
      </c>
      <c r="F147" s="201">
        <v>676</v>
      </c>
      <c r="G147" s="231">
        <v>2827</v>
      </c>
      <c r="H147" s="202">
        <v>3.8</v>
      </c>
      <c r="I147" s="203">
        <v>1.6</v>
      </c>
      <c r="J147" s="203">
        <v>59.2</v>
      </c>
      <c r="K147" s="203">
        <v>34.1</v>
      </c>
      <c r="L147" s="203">
        <v>0</v>
      </c>
      <c r="M147" s="204">
        <v>1.3</v>
      </c>
      <c r="N147" s="200">
        <v>175</v>
      </c>
      <c r="O147" s="200">
        <v>30</v>
      </c>
      <c r="P147" s="203" t="s">
        <v>2</v>
      </c>
      <c r="Q147" s="203" t="s">
        <v>2</v>
      </c>
      <c r="R147" s="200" t="s">
        <v>2</v>
      </c>
      <c r="S147" s="200" t="s">
        <v>2</v>
      </c>
      <c r="T147" s="200" t="s">
        <v>2</v>
      </c>
      <c r="U147" s="205" t="s">
        <v>2</v>
      </c>
      <c r="V147" s="205" t="s">
        <v>2</v>
      </c>
      <c r="W147" s="204" t="s">
        <v>2</v>
      </c>
      <c r="X147" s="203">
        <v>0</v>
      </c>
      <c r="Y147" s="205" t="s">
        <v>2</v>
      </c>
      <c r="Z147" s="205" t="s">
        <v>2</v>
      </c>
      <c r="AA147" s="205" t="s">
        <v>2</v>
      </c>
      <c r="AB147" s="205" t="s">
        <v>2</v>
      </c>
      <c r="AC147" s="205" t="s">
        <v>2</v>
      </c>
      <c r="AD147" s="200" t="s">
        <v>2</v>
      </c>
      <c r="AE147" s="200" t="s">
        <v>2</v>
      </c>
      <c r="AF147" s="203" t="s">
        <v>2</v>
      </c>
      <c r="AG147" s="204" t="s">
        <v>2</v>
      </c>
      <c r="AH147" s="201" t="s">
        <v>2</v>
      </c>
      <c r="AI147" s="200">
        <v>0</v>
      </c>
      <c r="AJ147" s="203" t="s">
        <v>2</v>
      </c>
      <c r="AK147" s="203" t="s">
        <v>2</v>
      </c>
      <c r="AL147" s="204" t="s">
        <v>2</v>
      </c>
      <c r="AM147" s="200">
        <v>0</v>
      </c>
      <c r="AN147" s="200">
        <v>0</v>
      </c>
      <c r="AO147" s="201">
        <v>0</v>
      </c>
      <c r="AP147" s="223" t="s">
        <v>2</v>
      </c>
      <c r="AQ147" s="224" t="s">
        <v>2</v>
      </c>
      <c r="AR147" s="224" t="s">
        <v>2</v>
      </c>
      <c r="AS147" s="224" t="s">
        <v>2</v>
      </c>
      <c r="AT147" s="224" t="s">
        <v>2</v>
      </c>
      <c r="AU147" s="224" t="s">
        <v>2</v>
      </c>
      <c r="AV147" s="236" t="s">
        <v>2</v>
      </c>
      <c r="AW147" s="223" t="s">
        <v>2</v>
      </c>
      <c r="AX147" s="224" t="s">
        <v>2</v>
      </c>
      <c r="AY147" s="224" t="s">
        <v>2</v>
      </c>
      <c r="AZ147" s="236" t="s">
        <v>2</v>
      </c>
      <c r="BA147" s="223" t="s">
        <v>2</v>
      </c>
      <c r="BB147" s="224" t="s">
        <v>2</v>
      </c>
      <c r="BC147" s="224" t="s">
        <v>2</v>
      </c>
      <c r="BD147" s="224" t="s">
        <v>2</v>
      </c>
      <c r="BE147" s="224" t="s">
        <v>2</v>
      </c>
      <c r="BF147" s="236" t="s">
        <v>2</v>
      </c>
      <c r="BG147" s="230" t="s">
        <v>2</v>
      </c>
      <c r="BH147" s="230" t="s">
        <v>2</v>
      </c>
      <c r="BI147" s="234" t="s">
        <v>2</v>
      </c>
      <c r="BJ147" s="234" t="s">
        <v>2</v>
      </c>
      <c r="BK147" s="234" t="s">
        <v>2</v>
      </c>
      <c r="BL147" s="234" t="s">
        <v>2</v>
      </c>
      <c r="BM147" s="234" t="s">
        <v>2</v>
      </c>
      <c r="BN147" s="234" t="s">
        <v>2</v>
      </c>
      <c r="BO147" s="234" t="s">
        <v>2</v>
      </c>
      <c r="BP147" s="234" t="s">
        <v>2</v>
      </c>
      <c r="BQ147" s="234" t="s">
        <v>2</v>
      </c>
      <c r="BR147" s="234" t="s">
        <v>2</v>
      </c>
      <c r="BS147" s="234" t="s">
        <v>2</v>
      </c>
      <c r="BT147" s="234" t="s">
        <v>2</v>
      </c>
      <c r="BU147" s="234" t="s">
        <v>2</v>
      </c>
      <c r="BV147" s="234" t="s">
        <v>2</v>
      </c>
      <c r="BW147" s="234" t="s">
        <v>2</v>
      </c>
      <c r="BX147" s="234" t="s">
        <v>2</v>
      </c>
      <c r="BY147" s="234" t="s">
        <v>2</v>
      </c>
      <c r="BZ147" s="237" t="s">
        <v>2</v>
      </c>
      <c r="CA147" s="203" t="s">
        <v>2</v>
      </c>
      <c r="CB147" s="203" t="s">
        <v>2</v>
      </c>
      <c r="CC147" s="203" t="s">
        <v>2</v>
      </c>
      <c r="CD147" s="203" t="s">
        <v>2</v>
      </c>
      <c r="CE147" s="203" t="s">
        <v>2</v>
      </c>
      <c r="CF147" s="203" t="s">
        <v>2</v>
      </c>
      <c r="CG147" s="233" t="s">
        <v>2</v>
      </c>
      <c r="CH147" s="200">
        <v>0</v>
      </c>
      <c r="CI147" s="201">
        <v>0</v>
      </c>
      <c r="CJ147" s="200">
        <v>0</v>
      </c>
      <c r="CK147" s="200">
        <v>0</v>
      </c>
      <c r="CL147" s="200">
        <v>0</v>
      </c>
      <c r="CM147" s="201">
        <v>0</v>
      </c>
      <c r="CN147" s="235">
        <v>0</v>
      </c>
      <c r="CO147" s="235" t="s">
        <v>2</v>
      </c>
    </row>
    <row r="148" spans="1:93" s="207" customFormat="1" ht="15" x14ac:dyDescent="0.25">
      <c r="A148" s="239" t="s">
        <v>1663</v>
      </c>
      <c r="B148" s="240" t="s">
        <v>553</v>
      </c>
      <c r="C148" s="241" t="s">
        <v>1664</v>
      </c>
      <c r="D148" s="289">
        <v>8</v>
      </c>
      <c r="E148" s="199">
        <v>0</v>
      </c>
      <c r="F148" s="201">
        <v>381</v>
      </c>
      <c r="G148" s="231">
        <v>1596</v>
      </c>
      <c r="H148" s="202">
        <v>12</v>
      </c>
      <c r="I148" s="203">
        <v>3.4</v>
      </c>
      <c r="J148" s="203">
        <v>7.4</v>
      </c>
      <c r="K148" s="203">
        <v>75.3</v>
      </c>
      <c r="L148" s="203">
        <v>0</v>
      </c>
      <c r="M148" s="204">
        <v>1.9</v>
      </c>
      <c r="N148" s="200">
        <v>258</v>
      </c>
      <c r="O148" s="200">
        <v>50</v>
      </c>
      <c r="P148" s="203" t="s">
        <v>2</v>
      </c>
      <c r="Q148" s="203" t="s">
        <v>2</v>
      </c>
      <c r="R148" s="200">
        <v>418</v>
      </c>
      <c r="S148" s="200">
        <v>195</v>
      </c>
      <c r="T148" s="200">
        <v>138</v>
      </c>
      <c r="U148" s="205" t="s">
        <v>2</v>
      </c>
      <c r="V148" s="205" t="s">
        <v>2</v>
      </c>
      <c r="W148" s="204" t="s">
        <v>2</v>
      </c>
      <c r="X148" s="203">
        <v>0</v>
      </c>
      <c r="Y148" s="205" t="s">
        <v>2</v>
      </c>
      <c r="Z148" s="205" t="s">
        <v>2</v>
      </c>
      <c r="AA148" s="205" t="s">
        <v>2</v>
      </c>
      <c r="AB148" s="205" t="s">
        <v>2</v>
      </c>
      <c r="AC148" s="205" t="s">
        <v>2</v>
      </c>
      <c r="AD148" s="200" t="s">
        <v>2</v>
      </c>
      <c r="AE148" s="200" t="s">
        <v>2</v>
      </c>
      <c r="AF148" s="203" t="s">
        <v>2</v>
      </c>
      <c r="AG148" s="204" t="s">
        <v>2</v>
      </c>
      <c r="AH148" s="201" t="s">
        <v>2</v>
      </c>
      <c r="AI148" s="200">
        <v>0</v>
      </c>
      <c r="AJ148" s="203" t="s">
        <v>2</v>
      </c>
      <c r="AK148" s="203" t="s">
        <v>2</v>
      </c>
      <c r="AL148" s="204" t="s">
        <v>2</v>
      </c>
      <c r="AM148" s="200">
        <v>0</v>
      </c>
      <c r="AN148" s="200">
        <v>0</v>
      </c>
      <c r="AO148" s="201">
        <v>0</v>
      </c>
      <c r="AP148" s="223" t="s">
        <v>2</v>
      </c>
      <c r="AQ148" s="224" t="s">
        <v>2</v>
      </c>
      <c r="AR148" s="224" t="s">
        <v>2</v>
      </c>
      <c r="AS148" s="224" t="s">
        <v>2</v>
      </c>
      <c r="AT148" s="224" t="s">
        <v>2</v>
      </c>
      <c r="AU148" s="224" t="s">
        <v>2</v>
      </c>
      <c r="AV148" s="236" t="s">
        <v>2</v>
      </c>
      <c r="AW148" s="223" t="s">
        <v>2</v>
      </c>
      <c r="AX148" s="224" t="s">
        <v>2</v>
      </c>
      <c r="AY148" s="224" t="s">
        <v>2</v>
      </c>
      <c r="AZ148" s="236" t="s">
        <v>2</v>
      </c>
      <c r="BA148" s="223" t="s">
        <v>2</v>
      </c>
      <c r="BB148" s="224" t="s">
        <v>2</v>
      </c>
      <c r="BC148" s="224" t="s">
        <v>2</v>
      </c>
      <c r="BD148" s="224" t="s">
        <v>2</v>
      </c>
      <c r="BE148" s="224" t="s">
        <v>2</v>
      </c>
      <c r="BF148" s="236" t="s">
        <v>2</v>
      </c>
      <c r="BG148" s="230" t="s">
        <v>2</v>
      </c>
      <c r="BH148" s="230" t="s">
        <v>2</v>
      </c>
      <c r="BI148" s="234" t="s">
        <v>2</v>
      </c>
      <c r="BJ148" s="234" t="s">
        <v>2</v>
      </c>
      <c r="BK148" s="234" t="s">
        <v>2</v>
      </c>
      <c r="BL148" s="234" t="s">
        <v>2</v>
      </c>
      <c r="BM148" s="234" t="s">
        <v>2</v>
      </c>
      <c r="BN148" s="234" t="s">
        <v>2</v>
      </c>
      <c r="BO148" s="234" t="s">
        <v>2</v>
      </c>
      <c r="BP148" s="234" t="s">
        <v>2</v>
      </c>
      <c r="BQ148" s="234" t="s">
        <v>2</v>
      </c>
      <c r="BR148" s="234" t="s">
        <v>2</v>
      </c>
      <c r="BS148" s="234" t="s">
        <v>2</v>
      </c>
      <c r="BT148" s="234" t="s">
        <v>2</v>
      </c>
      <c r="BU148" s="234" t="s">
        <v>2</v>
      </c>
      <c r="BV148" s="234" t="s">
        <v>2</v>
      </c>
      <c r="BW148" s="234" t="s">
        <v>2</v>
      </c>
      <c r="BX148" s="234" t="s">
        <v>2</v>
      </c>
      <c r="BY148" s="234" t="s">
        <v>2</v>
      </c>
      <c r="BZ148" s="237" t="s">
        <v>2</v>
      </c>
      <c r="CA148" s="203" t="s">
        <v>2</v>
      </c>
      <c r="CB148" s="203" t="s">
        <v>2</v>
      </c>
      <c r="CC148" s="203" t="s">
        <v>2</v>
      </c>
      <c r="CD148" s="203" t="s">
        <v>2</v>
      </c>
      <c r="CE148" s="203" t="s">
        <v>2</v>
      </c>
      <c r="CF148" s="203" t="s">
        <v>2</v>
      </c>
      <c r="CG148" s="233" t="s">
        <v>2</v>
      </c>
      <c r="CH148" s="200">
        <v>0</v>
      </c>
      <c r="CI148" s="201">
        <v>0</v>
      </c>
      <c r="CJ148" s="200">
        <v>0</v>
      </c>
      <c r="CK148" s="200">
        <v>0</v>
      </c>
      <c r="CL148" s="200">
        <v>0</v>
      </c>
      <c r="CM148" s="201">
        <v>0</v>
      </c>
      <c r="CN148" s="235">
        <v>0</v>
      </c>
      <c r="CO148" s="235" t="s">
        <v>2</v>
      </c>
    </row>
    <row r="149" spans="1:93" s="207" customFormat="1" ht="15" x14ac:dyDescent="0.25">
      <c r="A149" s="239" t="s">
        <v>1665</v>
      </c>
      <c r="B149" s="240" t="s">
        <v>554</v>
      </c>
      <c r="C149" s="241" t="s">
        <v>1666</v>
      </c>
      <c r="D149" s="289">
        <v>8</v>
      </c>
      <c r="E149" s="199">
        <v>0</v>
      </c>
      <c r="F149" s="201">
        <v>323</v>
      </c>
      <c r="G149" s="231">
        <v>1351</v>
      </c>
      <c r="H149" s="202">
        <v>11.6</v>
      </c>
      <c r="I149" s="203">
        <v>71.2</v>
      </c>
      <c r="J149" s="203">
        <v>2.9</v>
      </c>
      <c r="K149" s="203">
        <v>3</v>
      </c>
      <c r="L149" s="203">
        <v>0</v>
      </c>
      <c r="M149" s="204">
        <v>11.3</v>
      </c>
      <c r="N149" s="200">
        <v>505</v>
      </c>
      <c r="O149" s="200">
        <v>207</v>
      </c>
      <c r="P149" s="203">
        <v>50</v>
      </c>
      <c r="Q149" s="203" t="s">
        <v>2</v>
      </c>
      <c r="R149" s="200" t="s">
        <v>2</v>
      </c>
      <c r="S149" s="200" t="s">
        <v>2</v>
      </c>
      <c r="T149" s="234" t="s">
        <v>2</v>
      </c>
      <c r="U149" s="224" t="s">
        <v>2</v>
      </c>
      <c r="V149" s="205" t="s">
        <v>2</v>
      </c>
      <c r="W149" s="204" t="s">
        <v>2</v>
      </c>
      <c r="X149" s="203">
        <v>0</v>
      </c>
      <c r="Y149" s="205">
        <v>0.03</v>
      </c>
      <c r="Z149" s="205">
        <v>0.38</v>
      </c>
      <c r="AA149" s="224" t="s">
        <v>2</v>
      </c>
      <c r="AB149" s="224" t="s">
        <v>2</v>
      </c>
      <c r="AC149" s="224" t="s">
        <v>2</v>
      </c>
      <c r="AD149" s="234" t="s">
        <v>2</v>
      </c>
      <c r="AE149" s="234" t="s">
        <v>2</v>
      </c>
      <c r="AF149" s="223" t="s">
        <v>2</v>
      </c>
      <c r="AG149" s="204" t="s">
        <v>2</v>
      </c>
      <c r="AH149" s="201" t="s">
        <v>2</v>
      </c>
      <c r="AI149" s="200">
        <v>0</v>
      </c>
      <c r="AJ149" s="203" t="s">
        <v>2</v>
      </c>
      <c r="AK149" s="203" t="s">
        <v>2</v>
      </c>
      <c r="AL149" s="204" t="s">
        <v>2</v>
      </c>
      <c r="AM149" s="200">
        <v>0</v>
      </c>
      <c r="AN149" s="200">
        <v>0</v>
      </c>
      <c r="AO149" s="201">
        <v>0</v>
      </c>
      <c r="AP149" s="223" t="s">
        <v>2</v>
      </c>
      <c r="AQ149" s="224" t="s">
        <v>2</v>
      </c>
      <c r="AR149" s="224" t="s">
        <v>2</v>
      </c>
      <c r="AS149" s="224" t="s">
        <v>2</v>
      </c>
      <c r="AT149" s="224" t="s">
        <v>2</v>
      </c>
      <c r="AU149" s="224" t="s">
        <v>2</v>
      </c>
      <c r="AV149" s="236" t="s">
        <v>2</v>
      </c>
      <c r="AW149" s="223" t="s">
        <v>2</v>
      </c>
      <c r="AX149" s="224" t="s">
        <v>2</v>
      </c>
      <c r="AY149" s="224" t="s">
        <v>2</v>
      </c>
      <c r="AZ149" s="236" t="s">
        <v>2</v>
      </c>
      <c r="BA149" s="223" t="s">
        <v>2</v>
      </c>
      <c r="BB149" s="224" t="s">
        <v>2</v>
      </c>
      <c r="BC149" s="224" t="s">
        <v>2</v>
      </c>
      <c r="BD149" s="224" t="s">
        <v>2</v>
      </c>
      <c r="BE149" s="224" t="s">
        <v>2</v>
      </c>
      <c r="BF149" s="236" t="s">
        <v>2</v>
      </c>
      <c r="BG149" s="230" t="s">
        <v>2</v>
      </c>
      <c r="BH149" s="230" t="s">
        <v>2</v>
      </c>
      <c r="BI149" s="234" t="s">
        <v>2</v>
      </c>
      <c r="BJ149" s="234" t="s">
        <v>2</v>
      </c>
      <c r="BK149" s="234" t="s">
        <v>2</v>
      </c>
      <c r="BL149" s="234" t="s">
        <v>2</v>
      </c>
      <c r="BM149" s="234" t="s">
        <v>2</v>
      </c>
      <c r="BN149" s="234" t="s">
        <v>2</v>
      </c>
      <c r="BO149" s="234" t="s">
        <v>2</v>
      </c>
      <c r="BP149" s="234" t="s">
        <v>2</v>
      </c>
      <c r="BQ149" s="234" t="s">
        <v>2</v>
      </c>
      <c r="BR149" s="234" t="s">
        <v>2</v>
      </c>
      <c r="BS149" s="234" t="s">
        <v>2</v>
      </c>
      <c r="BT149" s="234" t="s">
        <v>2</v>
      </c>
      <c r="BU149" s="234" t="s">
        <v>2</v>
      </c>
      <c r="BV149" s="234" t="s">
        <v>2</v>
      </c>
      <c r="BW149" s="234" t="s">
        <v>2</v>
      </c>
      <c r="BX149" s="234" t="s">
        <v>2</v>
      </c>
      <c r="BY149" s="234" t="s">
        <v>2</v>
      </c>
      <c r="BZ149" s="237" t="s">
        <v>2</v>
      </c>
      <c r="CA149" s="203" t="s">
        <v>2</v>
      </c>
      <c r="CB149" s="203" t="s">
        <v>2</v>
      </c>
      <c r="CC149" s="203" t="s">
        <v>2</v>
      </c>
      <c r="CD149" s="203" t="s">
        <v>2</v>
      </c>
      <c r="CE149" s="203" t="s">
        <v>2</v>
      </c>
      <c r="CF149" s="203" t="s">
        <v>2</v>
      </c>
      <c r="CG149" s="233" t="s">
        <v>2</v>
      </c>
      <c r="CH149" s="200">
        <v>0</v>
      </c>
      <c r="CI149" s="201">
        <v>0</v>
      </c>
      <c r="CJ149" s="200">
        <v>0</v>
      </c>
      <c r="CK149" s="200">
        <v>0</v>
      </c>
      <c r="CL149" s="200">
        <v>0</v>
      </c>
      <c r="CM149" s="201">
        <v>0</v>
      </c>
      <c r="CN149" s="235">
        <v>0</v>
      </c>
      <c r="CO149" s="235" t="s">
        <v>2</v>
      </c>
    </row>
    <row r="150" spans="1:93" s="207" customFormat="1" ht="15" x14ac:dyDescent="0.25">
      <c r="A150" s="239" t="s">
        <v>1667</v>
      </c>
      <c r="B150" s="240" t="s">
        <v>555</v>
      </c>
      <c r="C150" s="241" t="s">
        <v>1668</v>
      </c>
      <c r="D150" s="289">
        <v>8</v>
      </c>
      <c r="E150" s="199">
        <v>0</v>
      </c>
      <c r="F150" s="201">
        <v>312</v>
      </c>
      <c r="G150" s="231">
        <v>1304</v>
      </c>
      <c r="H150" s="202">
        <v>14</v>
      </c>
      <c r="I150" s="203">
        <v>65.7</v>
      </c>
      <c r="J150" s="203">
        <v>4.0999999999999996</v>
      </c>
      <c r="K150" s="203">
        <v>3</v>
      </c>
      <c r="L150" s="203">
        <v>0</v>
      </c>
      <c r="M150" s="204">
        <v>13.2</v>
      </c>
      <c r="N150" s="200">
        <v>26</v>
      </c>
      <c r="O150" s="200">
        <v>654</v>
      </c>
      <c r="P150" s="203" t="s">
        <v>2</v>
      </c>
      <c r="Q150" s="203" t="s">
        <v>2</v>
      </c>
      <c r="R150" s="200" t="s">
        <v>2</v>
      </c>
      <c r="S150" s="200" t="s">
        <v>2</v>
      </c>
      <c r="T150" s="200" t="s">
        <v>2</v>
      </c>
      <c r="U150" s="205" t="s">
        <v>2</v>
      </c>
      <c r="V150" s="205" t="s">
        <v>2</v>
      </c>
      <c r="W150" s="204" t="s">
        <v>2</v>
      </c>
      <c r="X150" s="203">
        <v>0</v>
      </c>
      <c r="Y150" s="205" t="s">
        <v>2</v>
      </c>
      <c r="Z150" s="205" t="s">
        <v>2</v>
      </c>
      <c r="AA150" s="205" t="s">
        <v>2</v>
      </c>
      <c r="AB150" s="205" t="s">
        <v>2</v>
      </c>
      <c r="AC150" s="205" t="s">
        <v>2</v>
      </c>
      <c r="AD150" s="200" t="s">
        <v>2</v>
      </c>
      <c r="AE150" s="200" t="s">
        <v>2</v>
      </c>
      <c r="AF150" s="203" t="s">
        <v>2</v>
      </c>
      <c r="AG150" s="204" t="s">
        <v>2</v>
      </c>
      <c r="AH150" s="201" t="s">
        <v>2</v>
      </c>
      <c r="AI150" s="200">
        <v>0</v>
      </c>
      <c r="AJ150" s="203" t="s">
        <v>2</v>
      </c>
      <c r="AK150" s="203" t="s">
        <v>2</v>
      </c>
      <c r="AL150" s="204" t="s">
        <v>2</v>
      </c>
      <c r="AM150" s="200">
        <v>0</v>
      </c>
      <c r="AN150" s="200">
        <v>0</v>
      </c>
      <c r="AO150" s="201">
        <v>0</v>
      </c>
      <c r="AP150" s="223" t="s">
        <v>2</v>
      </c>
      <c r="AQ150" s="224" t="s">
        <v>2</v>
      </c>
      <c r="AR150" s="224" t="s">
        <v>2</v>
      </c>
      <c r="AS150" s="224" t="s">
        <v>2</v>
      </c>
      <c r="AT150" s="224" t="s">
        <v>2</v>
      </c>
      <c r="AU150" s="224" t="s">
        <v>2</v>
      </c>
      <c r="AV150" s="236" t="s">
        <v>2</v>
      </c>
      <c r="AW150" s="223" t="s">
        <v>2</v>
      </c>
      <c r="AX150" s="224" t="s">
        <v>2</v>
      </c>
      <c r="AY150" s="224" t="s">
        <v>2</v>
      </c>
      <c r="AZ150" s="236" t="s">
        <v>2</v>
      </c>
      <c r="BA150" s="223" t="s">
        <v>2</v>
      </c>
      <c r="BB150" s="224" t="s">
        <v>2</v>
      </c>
      <c r="BC150" s="224" t="s">
        <v>2</v>
      </c>
      <c r="BD150" s="224" t="s">
        <v>2</v>
      </c>
      <c r="BE150" s="224" t="s">
        <v>2</v>
      </c>
      <c r="BF150" s="236" t="s">
        <v>2</v>
      </c>
      <c r="BG150" s="230" t="s">
        <v>2</v>
      </c>
      <c r="BH150" s="230" t="s">
        <v>2</v>
      </c>
      <c r="BI150" s="234" t="s">
        <v>2</v>
      </c>
      <c r="BJ150" s="234" t="s">
        <v>2</v>
      </c>
      <c r="BK150" s="234" t="s">
        <v>2</v>
      </c>
      <c r="BL150" s="234" t="s">
        <v>2</v>
      </c>
      <c r="BM150" s="234" t="s">
        <v>2</v>
      </c>
      <c r="BN150" s="234" t="s">
        <v>2</v>
      </c>
      <c r="BO150" s="234" t="s">
        <v>2</v>
      </c>
      <c r="BP150" s="234" t="s">
        <v>2</v>
      </c>
      <c r="BQ150" s="234" t="s">
        <v>2</v>
      </c>
      <c r="BR150" s="234" t="s">
        <v>2</v>
      </c>
      <c r="BS150" s="234" t="s">
        <v>2</v>
      </c>
      <c r="BT150" s="234" t="s">
        <v>2</v>
      </c>
      <c r="BU150" s="234" t="s">
        <v>2</v>
      </c>
      <c r="BV150" s="234" t="s">
        <v>2</v>
      </c>
      <c r="BW150" s="234" t="s">
        <v>2</v>
      </c>
      <c r="BX150" s="234" t="s">
        <v>2</v>
      </c>
      <c r="BY150" s="234" t="s">
        <v>2</v>
      </c>
      <c r="BZ150" s="237" t="s">
        <v>2</v>
      </c>
      <c r="CA150" s="203" t="s">
        <v>2</v>
      </c>
      <c r="CB150" s="203" t="s">
        <v>2</v>
      </c>
      <c r="CC150" s="203" t="s">
        <v>2</v>
      </c>
      <c r="CD150" s="203" t="s">
        <v>2</v>
      </c>
      <c r="CE150" s="203" t="s">
        <v>2</v>
      </c>
      <c r="CF150" s="203" t="s">
        <v>2</v>
      </c>
      <c r="CG150" s="233" t="s">
        <v>2</v>
      </c>
      <c r="CH150" s="200">
        <v>0</v>
      </c>
      <c r="CI150" s="201">
        <v>0</v>
      </c>
      <c r="CJ150" s="200">
        <v>0</v>
      </c>
      <c r="CK150" s="200">
        <v>0</v>
      </c>
      <c r="CL150" s="200">
        <v>0</v>
      </c>
      <c r="CM150" s="201">
        <v>0</v>
      </c>
      <c r="CN150" s="235">
        <v>0</v>
      </c>
      <c r="CO150" s="235" t="s">
        <v>2</v>
      </c>
    </row>
    <row r="151" spans="1:93" s="207" customFormat="1" ht="15" x14ac:dyDescent="0.25">
      <c r="A151" s="239" t="s">
        <v>1669</v>
      </c>
      <c r="B151" s="240" t="s">
        <v>556</v>
      </c>
      <c r="C151" s="243" t="s">
        <v>1670</v>
      </c>
      <c r="D151" s="289">
        <v>8</v>
      </c>
      <c r="E151" s="199">
        <v>0</v>
      </c>
      <c r="F151" s="231">
        <v>305</v>
      </c>
      <c r="G151" s="231">
        <v>1275</v>
      </c>
      <c r="H151" s="242">
        <v>13.1</v>
      </c>
      <c r="I151" s="225">
        <v>65.5</v>
      </c>
      <c r="J151" s="225">
        <v>3.1</v>
      </c>
      <c r="K151" s="225">
        <v>3.7</v>
      </c>
      <c r="L151" s="225">
        <v>0</v>
      </c>
      <c r="M151" s="204">
        <v>14.6</v>
      </c>
      <c r="N151" s="244" t="s">
        <v>2</v>
      </c>
      <c r="O151" s="244" t="s">
        <v>2</v>
      </c>
      <c r="P151" s="225" t="s">
        <v>2</v>
      </c>
      <c r="Q151" s="225" t="s">
        <v>2</v>
      </c>
      <c r="R151" s="244" t="s">
        <v>2</v>
      </c>
      <c r="S151" s="244" t="s">
        <v>2</v>
      </c>
      <c r="T151" s="244" t="s">
        <v>2</v>
      </c>
      <c r="U151" s="245" t="s">
        <v>2</v>
      </c>
      <c r="V151" s="245" t="s">
        <v>2</v>
      </c>
      <c r="W151" s="204" t="s">
        <v>2</v>
      </c>
      <c r="X151" s="225">
        <v>0</v>
      </c>
      <c r="Y151" s="245" t="s">
        <v>2</v>
      </c>
      <c r="Z151" s="245" t="s">
        <v>2</v>
      </c>
      <c r="AA151" s="245" t="s">
        <v>2</v>
      </c>
      <c r="AB151" s="245" t="s">
        <v>2</v>
      </c>
      <c r="AC151" s="245" t="s">
        <v>2</v>
      </c>
      <c r="AD151" s="244" t="s">
        <v>2</v>
      </c>
      <c r="AE151" s="244" t="s">
        <v>2</v>
      </c>
      <c r="AF151" s="225" t="s">
        <v>2</v>
      </c>
      <c r="AG151" s="204" t="s">
        <v>2</v>
      </c>
      <c r="AH151" s="201" t="s">
        <v>2</v>
      </c>
      <c r="AI151" s="244">
        <v>0</v>
      </c>
      <c r="AJ151" s="225" t="s">
        <v>2</v>
      </c>
      <c r="AK151" s="225" t="s">
        <v>2</v>
      </c>
      <c r="AL151" s="204" t="s">
        <v>2</v>
      </c>
      <c r="AM151" s="244" t="s">
        <v>2</v>
      </c>
      <c r="AN151" s="246" t="s">
        <v>2</v>
      </c>
      <c r="AO151" s="237" t="s">
        <v>2</v>
      </c>
      <c r="AP151" s="247" t="s">
        <v>2</v>
      </c>
      <c r="AQ151" s="248" t="s">
        <v>2</v>
      </c>
      <c r="AR151" s="248" t="s">
        <v>2</v>
      </c>
      <c r="AS151" s="248" t="s">
        <v>2</v>
      </c>
      <c r="AT151" s="248" t="s">
        <v>2</v>
      </c>
      <c r="AU151" s="248" t="s">
        <v>2</v>
      </c>
      <c r="AV151" s="236" t="s">
        <v>2</v>
      </c>
      <c r="AW151" s="247" t="s">
        <v>2</v>
      </c>
      <c r="AX151" s="248" t="s">
        <v>2</v>
      </c>
      <c r="AY151" s="248" t="s">
        <v>2</v>
      </c>
      <c r="AZ151" s="236" t="s">
        <v>2</v>
      </c>
      <c r="BA151" s="247" t="s">
        <v>2</v>
      </c>
      <c r="BB151" s="248" t="s">
        <v>2</v>
      </c>
      <c r="BC151" s="248" t="s">
        <v>2</v>
      </c>
      <c r="BD151" s="248" t="s">
        <v>2</v>
      </c>
      <c r="BE151" s="248" t="s">
        <v>2</v>
      </c>
      <c r="BF151" s="236" t="s">
        <v>2</v>
      </c>
      <c r="BG151" s="230" t="s">
        <v>2</v>
      </c>
      <c r="BH151" s="230" t="s">
        <v>2</v>
      </c>
      <c r="BI151" s="246" t="s">
        <v>2</v>
      </c>
      <c r="BJ151" s="246" t="s">
        <v>2</v>
      </c>
      <c r="BK151" s="246" t="s">
        <v>2</v>
      </c>
      <c r="BL151" s="246" t="s">
        <v>2</v>
      </c>
      <c r="BM151" s="246" t="s">
        <v>2</v>
      </c>
      <c r="BN151" s="246" t="s">
        <v>2</v>
      </c>
      <c r="BO151" s="246" t="s">
        <v>2</v>
      </c>
      <c r="BP151" s="246" t="s">
        <v>2</v>
      </c>
      <c r="BQ151" s="246" t="s">
        <v>2</v>
      </c>
      <c r="BR151" s="246" t="s">
        <v>2</v>
      </c>
      <c r="BS151" s="246" t="s">
        <v>2</v>
      </c>
      <c r="BT151" s="246" t="s">
        <v>2</v>
      </c>
      <c r="BU151" s="246" t="s">
        <v>2</v>
      </c>
      <c r="BV151" s="246" t="s">
        <v>2</v>
      </c>
      <c r="BW151" s="246" t="s">
        <v>2</v>
      </c>
      <c r="BX151" s="246" t="s">
        <v>2</v>
      </c>
      <c r="BY151" s="246" t="s">
        <v>2</v>
      </c>
      <c r="BZ151" s="237" t="s">
        <v>2</v>
      </c>
      <c r="CA151" s="225" t="s">
        <v>2</v>
      </c>
      <c r="CB151" s="225" t="s">
        <v>2</v>
      </c>
      <c r="CC151" s="225" t="s">
        <v>2</v>
      </c>
      <c r="CD151" s="225" t="s">
        <v>2</v>
      </c>
      <c r="CE151" s="225" t="s">
        <v>2</v>
      </c>
      <c r="CF151" s="225" t="s">
        <v>2</v>
      </c>
      <c r="CG151" s="233" t="s">
        <v>2</v>
      </c>
      <c r="CH151" s="200">
        <v>0</v>
      </c>
      <c r="CI151" s="201">
        <v>0</v>
      </c>
      <c r="CJ151" s="249">
        <v>0</v>
      </c>
      <c r="CK151" s="244">
        <v>0</v>
      </c>
      <c r="CL151" s="244">
        <v>0</v>
      </c>
      <c r="CM151" s="201">
        <v>0</v>
      </c>
      <c r="CN151" s="235">
        <v>0</v>
      </c>
      <c r="CO151" s="235" t="s">
        <v>2</v>
      </c>
    </row>
    <row r="152" spans="1:93" s="261" customFormat="1" ht="15" x14ac:dyDescent="0.25">
      <c r="A152" s="239" t="s">
        <v>1671</v>
      </c>
      <c r="B152" s="250" t="s">
        <v>1672</v>
      </c>
      <c r="C152" s="251" t="s">
        <v>1673</v>
      </c>
      <c r="D152" s="289">
        <v>8</v>
      </c>
      <c r="E152" s="252">
        <v>0</v>
      </c>
      <c r="F152" s="253">
        <v>143</v>
      </c>
      <c r="G152" s="254">
        <v>597</v>
      </c>
      <c r="H152" s="255">
        <v>71.2</v>
      </c>
      <c r="I152" s="256">
        <v>17.7</v>
      </c>
      <c r="J152" s="256">
        <v>6.4</v>
      </c>
      <c r="K152" s="256">
        <v>3.6</v>
      </c>
      <c r="L152" s="256">
        <v>0</v>
      </c>
      <c r="M152" s="257">
        <v>1.1000000000000001</v>
      </c>
      <c r="N152" s="258">
        <v>75</v>
      </c>
      <c r="O152" s="258">
        <v>469</v>
      </c>
      <c r="P152" s="256">
        <v>1</v>
      </c>
      <c r="Q152" s="256">
        <v>0.8</v>
      </c>
      <c r="R152" s="244" t="s">
        <v>2</v>
      </c>
      <c r="S152" s="244" t="s">
        <v>2</v>
      </c>
      <c r="T152" s="244" t="s">
        <v>2</v>
      </c>
      <c r="U152" s="244" t="s">
        <v>2</v>
      </c>
      <c r="V152" s="244" t="s">
        <v>2</v>
      </c>
      <c r="W152" s="201" t="s">
        <v>2</v>
      </c>
      <c r="X152" s="225" t="s">
        <v>2</v>
      </c>
      <c r="Y152" s="225" t="s">
        <v>2</v>
      </c>
      <c r="Z152" s="259">
        <v>0.01</v>
      </c>
      <c r="AA152" s="245" t="s">
        <v>2</v>
      </c>
      <c r="AB152" s="245" t="s">
        <v>2</v>
      </c>
      <c r="AC152" s="245" t="s">
        <v>2</v>
      </c>
      <c r="AD152" s="244" t="s">
        <v>2</v>
      </c>
      <c r="AE152" s="244" t="s">
        <v>2</v>
      </c>
      <c r="AF152" s="225" t="s">
        <v>2</v>
      </c>
      <c r="AG152" s="204" t="s">
        <v>2</v>
      </c>
      <c r="AH152" s="201">
        <v>2.2999999999999998</v>
      </c>
      <c r="AI152" s="258">
        <v>2</v>
      </c>
      <c r="AJ152" s="225" t="s">
        <v>2</v>
      </c>
      <c r="AK152" s="256">
        <v>35.58</v>
      </c>
      <c r="AL152" s="204" t="s">
        <v>2</v>
      </c>
      <c r="AM152" s="225" t="s">
        <v>2</v>
      </c>
      <c r="AN152" s="225" t="s">
        <v>2</v>
      </c>
      <c r="AO152" s="204" t="s">
        <v>2</v>
      </c>
      <c r="AP152" s="247" t="s">
        <v>2</v>
      </c>
      <c r="AQ152" s="248" t="s">
        <v>2</v>
      </c>
      <c r="AR152" s="248" t="s">
        <v>2</v>
      </c>
      <c r="AS152" s="248" t="s">
        <v>2</v>
      </c>
      <c r="AT152" s="248" t="s">
        <v>2</v>
      </c>
      <c r="AU152" s="248" t="s">
        <v>2</v>
      </c>
      <c r="AV152" s="236" t="s">
        <v>2</v>
      </c>
      <c r="AW152" s="247" t="s">
        <v>2</v>
      </c>
      <c r="AX152" s="248" t="s">
        <v>2</v>
      </c>
      <c r="AY152" s="248" t="s">
        <v>2</v>
      </c>
      <c r="AZ152" s="236" t="s">
        <v>2</v>
      </c>
      <c r="BA152" s="247" t="s">
        <v>2</v>
      </c>
      <c r="BB152" s="248" t="s">
        <v>2</v>
      </c>
      <c r="BC152" s="248" t="s">
        <v>2</v>
      </c>
      <c r="BD152" s="248" t="s">
        <v>2</v>
      </c>
      <c r="BE152" s="248" t="s">
        <v>2</v>
      </c>
      <c r="BF152" s="236" t="s">
        <v>2</v>
      </c>
      <c r="BG152" s="230" t="s">
        <v>2</v>
      </c>
      <c r="BH152" s="230" t="s">
        <v>2</v>
      </c>
      <c r="BI152" s="258">
        <v>1003</v>
      </c>
      <c r="BJ152" s="258">
        <v>450</v>
      </c>
      <c r="BK152" s="258" t="s">
        <v>2</v>
      </c>
      <c r="BL152" s="258">
        <v>591</v>
      </c>
      <c r="BM152" s="258">
        <v>1051</v>
      </c>
      <c r="BN152" s="258">
        <v>505</v>
      </c>
      <c r="BO152" s="258">
        <v>907</v>
      </c>
      <c r="BP152" s="258">
        <v>484</v>
      </c>
      <c r="BQ152" s="258">
        <v>697</v>
      </c>
      <c r="BR152" s="258">
        <v>1801</v>
      </c>
      <c r="BS152" s="258">
        <v>1095</v>
      </c>
      <c r="BT152" s="258">
        <v>369</v>
      </c>
      <c r="BU152" s="258">
        <v>487</v>
      </c>
      <c r="BV152" s="258">
        <v>1113</v>
      </c>
      <c r="BW152" s="258">
        <v>713</v>
      </c>
      <c r="BX152" s="258">
        <v>149</v>
      </c>
      <c r="BY152" s="258" t="s">
        <v>2</v>
      </c>
      <c r="BZ152" s="260">
        <v>1057</v>
      </c>
      <c r="CA152" s="225">
        <v>0</v>
      </c>
      <c r="CB152" s="225">
        <v>0</v>
      </c>
      <c r="CC152" s="225">
        <v>0</v>
      </c>
      <c r="CD152" s="225">
        <v>0</v>
      </c>
      <c r="CE152" s="225">
        <v>0</v>
      </c>
      <c r="CF152" s="225">
        <v>0</v>
      </c>
      <c r="CG152" s="204">
        <v>0</v>
      </c>
      <c r="CH152" s="200">
        <v>0</v>
      </c>
      <c r="CI152" s="201">
        <v>0</v>
      </c>
      <c r="CJ152" s="249">
        <v>0</v>
      </c>
      <c r="CK152" s="244">
        <v>0</v>
      </c>
      <c r="CL152" s="244">
        <v>0</v>
      </c>
      <c r="CM152" s="201">
        <v>0</v>
      </c>
      <c r="CN152" s="235">
        <v>0</v>
      </c>
      <c r="CO152" s="235" t="s">
        <v>2</v>
      </c>
    </row>
    <row r="153" spans="1:93" s="261" customFormat="1" ht="15" x14ac:dyDescent="0.25">
      <c r="A153" s="239" t="s">
        <v>1674</v>
      </c>
      <c r="B153" s="250" t="s">
        <v>1675</v>
      </c>
      <c r="C153" s="251" t="s">
        <v>1676</v>
      </c>
      <c r="D153" s="289">
        <v>8</v>
      </c>
      <c r="E153" s="252">
        <v>0</v>
      </c>
      <c r="F153" s="253">
        <v>247</v>
      </c>
      <c r="G153" s="254">
        <v>1032</v>
      </c>
      <c r="H153" s="255">
        <v>61.5</v>
      </c>
      <c r="I153" s="256">
        <v>15.1</v>
      </c>
      <c r="J153" s="256">
        <v>19.2</v>
      </c>
      <c r="K153" s="256">
        <v>3.42</v>
      </c>
      <c r="L153" s="256">
        <v>0</v>
      </c>
      <c r="M153" s="257">
        <v>0.78</v>
      </c>
      <c r="N153" s="258">
        <v>91</v>
      </c>
      <c r="O153" s="258">
        <v>363</v>
      </c>
      <c r="P153" s="256">
        <v>1.05</v>
      </c>
      <c r="Q153" s="256">
        <v>1.05</v>
      </c>
      <c r="R153" s="244" t="s">
        <v>2</v>
      </c>
      <c r="S153" s="244" t="s">
        <v>2</v>
      </c>
      <c r="T153" s="244" t="s">
        <v>2</v>
      </c>
      <c r="U153" s="244" t="s">
        <v>2</v>
      </c>
      <c r="V153" s="244" t="s">
        <v>2</v>
      </c>
      <c r="W153" s="201" t="s">
        <v>2</v>
      </c>
      <c r="X153" s="225" t="s">
        <v>2</v>
      </c>
      <c r="Y153" s="259">
        <v>1.79</v>
      </c>
      <c r="Z153" s="259">
        <v>0.23499999999999999</v>
      </c>
      <c r="AA153" s="245" t="s">
        <v>2</v>
      </c>
      <c r="AB153" s="245" t="s">
        <v>2</v>
      </c>
      <c r="AC153" s="245" t="s">
        <v>2</v>
      </c>
      <c r="AD153" s="244" t="s">
        <v>2</v>
      </c>
      <c r="AE153" s="244" t="s">
        <v>2</v>
      </c>
      <c r="AF153" s="225" t="s">
        <v>2</v>
      </c>
      <c r="AG153" s="204" t="s">
        <v>2</v>
      </c>
      <c r="AH153" s="201">
        <v>19.8</v>
      </c>
      <c r="AI153" s="258">
        <v>20</v>
      </c>
      <c r="AJ153" s="225" t="s">
        <v>2</v>
      </c>
      <c r="AK153" s="256">
        <v>23.47</v>
      </c>
      <c r="AL153" s="204" t="s">
        <v>2</v>
      </c>
      <c r="AM153" s="225" t="s">
        <v>2</v>
      </c>
      <c r="AN153" s="225" t="s">
        <v>2</v>
      </c>
      <c r="AO153" s="204" t="s">
        <v>2</v>
      </c>
      <c r="AP153" s="247" t="s">
        <v>2</v>
      </c>
      <c r="AQ153" s="248" t="s">
        <v>2</v>
      </c>
      <c r="AR153" s="248" t="s">
        <v>2</v>
      </c>
      <c r="AS153" s="248" t="s">
        <v>2</v>
      </c>
      <c r="AT153" s="248" t="s">
        <v>2</v>
      </c>
      <c r="AU153" s="248" t="s">
        <v>2</v>
      </c>
      <c r="AV153" s="236" t="s">
        <v>2</v>
      </c>
      <c r="AW153" s="247" t="s">
        <v>2</v>
      </c>
      <c r="AX153" s="248" t="s">
        <v>2</v>
      </c>
      <c r="AY153" s="248" t="s">
        <v>2</v>
      </c>
      <c r="AZ153" s="236" t="s">
        <v>2</v>
      </c>
      <c r="BA153" s="247" t="s">
        <v>2</v>
      </c>
      <c r="BB153" s="248" t="s">
        <v>2</v>
      </c>
      <c r="BC153" s="248" t="s">
        <v>2</v>
      </c>
      <c r="BD153" s="248" t="s">
        <v>2</v>
      </c>
      <c r="BE153" s="248" t="s">
        <v>2</v>
      </c>
      <c r="BF153" s="236" t="s">
        <v>2</v>
      </c>
      <c r="BG153" s="230" t="s">
        <v>2</v>
      </c>
      <c r="BH153" s="230" t="s">
        <v>2</v>
      </c>
      <c r="BI153" s="258">
        <v>1162</v>
      </c>
      <c r="BJ153" s="258">
        <v>499</v>
      </c>
      <c r="BK153" s="258" t="s">
        <v>2</v>
      </c>
      <c r="BL153" s="258">
        <v>629</v>
      </c>
      <c r="BM153" s="258">
        <v>1337</v>
      </c>
      <c r="BN153" s="258">
        <v>586</v>
      </c>
      <c r="BO153" s="258">
        <v>1029</v>
      </c>
      <c r="BP153" s="258">
        <v>553</v>
      </c>
      <c r="BQ153" s="258">
        <v>918</v>
      </c>
      <c r="BR153" s="258">
        <v>1946</v>
      </c>
      <c r="BS153" s="258">
        <v>137</v>
      </c>
      <c r="BT153" s="258">
        <v>526</v>
      </c>
      <c r="BU153" s="258">
        <v>293</v>
      </c>
      <c r="BV153" s="258">
        <v>1320</v>
      </c>
      <c r="BW153" s="258">
        <v>823</v>
      </c>
      <c r="BX153" s="258">
        <v>176</v>
      </c>
      <c r="BY153" s="258" t="s">
        <v>2</v>
      </c>
      <c r="BZ153" s="260">
        <v>1307</v>
      </c>
      <c r="CA153" s="225">
        <v>0</v>
      </c>
      <c r="CB153" s="225">
        <v>0</v>
      </c>
      <c r="CC153" s="225">
        <v>0</v>
      </c>
      <c r="CD153" s="225">
        <v>0</v>
      </c>
      <c r="CE153" s="225">
        <v>0</v>
      </c>
      <c r="CF153" s="225">
        <v>0</v>
      </c>
      <c r="CG153" s="204">
        <v>0</v>
      </c>
      <c r="CH153" s="200">
        <v>0</v>
      </c>
      <c r="CI153" s="201">
        <v>0</v>
      </c>
      <c r="CJ153" s="249">
        <v>0</v>
      </c>
      <c r="CK153" s="244">
        <v>0</v>
      </c>
      <c r="CL153" s="244">
        <v>0</v>
      </c>
      <c r="CM153" s="201">
        <v>0</v>
      </c>
      <c r="CN153" s="235">
        <v>0</v>
      </c>
      <c r="CO153" s="235" t="s">
        <v>2</v>
      </c>
    </row>
    <row r="154" spans="1:93" s="261" customFormat="1" ht="15" x14ac:dyDescent="0.25">
      <c r="A154" s="239" t="s">
        <v>1677</v>
      </c>
      <c r="B154" s="250" t="s">
        <v>1678</v>
      </c>
      <c r="C154" s="251" t="s">
        <v>1679</v>
      </c>
      <c r="D154" s="289">
        <v>8</v>
      </c>
      <c r="E154" s="252">
        <v>0</v>
      </c>
      <c r="F154" s="253">
        <v>111</v>
      </c>
      <c r="G154" s="254">
        <v>463</v>
      </c>
      <c r="H154" s="255">
        <v>75.2</v>
      </c>
      <c r="I154" s="256">
        <v>17.100000000000001</v>
      </c>
      <c r="J154" s="256">
        <v>3.3</v>
      </c>
      <c r="K154" s="256">
        <v>3.11</v>
      </c>
      <c r="L154" s="256">
        <v>0</v>
      </c>
      <c r="M154" s="257">
        <v>1.29</v>
      </c>
      <c r="N154" s="258">
        <v>101</v>
      </c>
      <c r="O154" s="258">
        <v>368</v>
      </c>
      <c r="P154" s="256">
        <v>0.96</v>
      </c>
      <c r="Q154" s="256">
        <v>0.7</v>
      </c>
      <c r="R154" s="244" t="s">
        <v>2</v>
      </c>
      <c r="S154" s="244" t="s">
        <v>2</v>
      </c>
      <c r="T154" s="244" t="s">
        <v>2</v>
      </c>
      <c r="U154" s="244" t="s">
        <v>2</v>
      </c>
      <c r="V154" s="244" t="s">
        <v>2</v>
      </c>
      <c r="W154" s="201" t="s">
        <v>2</v>
      </c>
      <c r="X154" s="225" t="s">
        <v>2</v>
      </c>
      <c r="Y154" s="259">
        <v>0.06</v>
      </c>
      <c r="Z154" s="259">
        <v>1.2E-2</v>
      </c>
      <c r="AA154" s="245" t="s">
        <v>2</v>
      </c>
      <c r="AB154" s="245" t="s">
        <v>2</v>
      </c>
      <c r="AC154" s="245" t="s">
        <v>2</v>
      </c>
      <c r="AD154" s="244" t="s">
        <v>2</v>
      </c>
      <c r="AE154" s="244" t="s">
        <v>2</v>
      </c>
      <c r="AF154" s="225" t="s">
        <v>2</v>
      </c>
      <c r="AG154" s="204" t="s">
        <v>2</v>
      </c>
      <c r="AH154" s="201">
        <v>3.3</v>
      </c>
      <c r="AI154" s="258">
        <v>3</v>
      </c>
      <c r="AJ154" s="225" t="s">
        <v>2</v>
      </c>
      <c r="AK154" s="256">
        <v>15.84</v>
      </c>
      <c r="AL154" s="204" t="s">
        <v>2</v>
      </c>
      <c r="AM154" s="225" t="s">
        <v>2</v>
      </c>
      <c r="AN154" s="225" t="s">
        <v>2</v>
      </c>
      <c r="AO154" s="204" t="s">
        <v>2</v>
      </c>
      <c r="AP154" s="247" t="s">
        <v>2</v>
      </c>
      <c r="AQ154" s="248" t="s">
        <v>2</v>
      </c>
      <c r="AR154" s="248" t="s">
        <v>2</v>
      </c>
      <c r="AS154" s="248" t="s">
        <v>2</v>
      </c>
      <c r="AT154" s="248" t="s">
        <v>2</v>
      </c>
      <c r="AU154" s="248" t="s">
        <v>2</v>
      </c>
      <c r="AV154" s="236" t="s">
        <v>2</v>
      </c>
      <c r="AW154" s="247" t="s">
        <v>2</v>
      </c>
      <c r="AX154" s="248" t="s">
        <v>2</v>
      </c>
      <c r="AY154" s="248" t="s">
        <v>2</v>
      </c>
      <c r="AZ154" s="236" t="s">
        <v>2</v>
      </c>
      <c r="BA154" s="247" t="s">
        <v>2</v>
      </c>
      <c r="BB154" s="248" t="s">
        <v>2</v>
      </c>
      <c r="BC154" s="248" t="s">
        <v>2</v>
      </c>
      <c r="BD154" s="248" t="s">
        <v>2</v>
      </c>
      <c r="BE154" s="248" t="s">
        <v>2</v>
      </c>
      <c r="BF154" s="236" t="s">
        <v>2</v>
      </c>
      <c r="BG154" s="230" t="s">
        <v>2</v>
      </c>
      <c r="BH154" s="230" t="s">
        <v>2</v>
      </c>
      <c r="BI154" s="258">
        <v>941</v>
      </c>
      <c r="BJ154" s="258">
        <v>351</v>
      </c>
      <c r="BK154" s="258" t="s">
        <v>2</v>
      </c>
      <c r="BL154" s="258">
        <v>505</v>
      </c>
      <c r="BM154" s="258">
        <v>1375</v>
      </c>
      <c r="BN154" s="258">
        <v>462</v>
      </c>
      <c r="BO154" s="258">
        <v>866</v>
      </c>
      <c r="BP154" s="258">
        <v>375</v>
      </c>
      <c r="BQ154" s="258">
        <v>736</v>
      </c>
      <c r="BR154" s="258">
        <v>3068</v>
      </c>
      <c r="BS154" s="258">
        <v>841</v>
      </c>
      <c r="BT154" s="258">
        <v>351</v>
      </c>
      <c r="BU154" s="258">
        <v>90</v>
      </c>
      <c r="BV154" s="258">
        <v>1287</v>
      </c>
      <c r="BW154" s="258">
        <v>780</v>
      </c>
      <c r="BX154" s="258">
        <v>127</v>
      </c>
      <c r="BY154" s="258" t="s">
        <v>2</v>
      </c>
      <c r="BZ154" s="260">
        <v>1324</v>
      </c>
      <c r="CA154" s="225">
        <v>0</v>
      </c>
      <c r="CB154" s="225">
        <v>0</v>
      </c>
      <c r="CC154" s="225">
        <v>0</v>
      </c>
      <c r="CD154" s="225">
        <v>0</v>
      </c>
      <c r="CE154" s="225">
        <v>0</v>
      </c>
      <c r="CF154" s="225">
        <v>0</v>
      </c>
      <c r="CG154" s="204">
        <v>0</v>
      </c>
      <c r="CH154" s="200">
        <v>0</v>
      </c>
      <c r="CI154" s="201">
        <v>0</v>
      </c>
      <c r="CJ154" s="249">
        <v>0</v>
      </c>
      <c r="CK154" s="244">
        <v>0</v>
      </c>
      <c r="CL154" s="244">
        <v>0</v>
      </c>
      <c r="CM154" s="201">
        <v>0</v>
      </c>
      <c r="CN154" s="235">
        <v>0</v>
      </c>
      <c r="CO154" s="235" t="s">
        <v>2</v>
      </c>
    </row>
    <row r="155" spans="1:93" s="261" customFormat="1" ht="15" x14ac:dyDescent="0.25">
      <c r="A155" s="239" t="s">
        <v>1680</v>
      </c>
      <c r="B155" s="250" t="s">
        <v>1681</v>
      </c>
      <c r="C155" s="251" t="s">
        <v>1682</v>
      </c>
      <c r="D155" s="289">
        <v>8</v>
      </c>
      <c r="E155" s="252">
        <v>0</v>
      </c>
      <c r="F155" s="253">
        <v>67</v>
      </c>
      <c r="G155" s="254">
        <v>280</v>
      </c>
      <c r="H155" s="255">
        <v>82.9</v>
      </c>
      <c r="I155" s="256">
        <v>9.6999999999999993</v>
      </c>
      <c r="J155" s="256">
        <v>0.8</v>
      </c>
      <c r="K155" s="256">
        <v>5.32</v>
      </c>
      <c r="L155" s="256">
        <v>0</v>
      </c>
      <c r="M155" s="257">
        <v>1.28</v>
      </c>
      <c r="N155" s="258">
        <v>34</v>
      </c>
      <c r="O155" s="258">
        <v>372</v>
      </c>
      <c r="P155" s="256">
        <v>0.2</v>
      </c>
      <c r="Q155" s="256">
        <v>0.26</v>
      </c>
      <c r="R155" s="244" t="s">
        <v>2</v>
      </c>
      <c r="S155" s="244" t="s">
        <v>2</v>
      </c>
      <c r="T155" s="244" t="s">
        <v>2</v>
      </c>
      <c r="U155" s="244" t="s">
        <v>2</v>
      </c>
      <c r="V155" s="244" t="s">
        <v>2</v>
      </c>
      <c r="W155" s="201" t="s">
        <v>2</v>
      </c>
      <c r="X155" s="225" t="s">
        <v>2</v>
      </c>
      <c r="Y155" s="259">
        <v>0.19</v>
      </c>
      <c r="Z155" s="259">
        <v>3.0000000000000001E-3</v>
      </c>
      <c r="AA155" s="245" t="s">
        <v>2</v>
      </c>
      <c r="AB155" s="245" t="s">
        <v>2</v>
      </c>
      <c r="AC155" s="245" t="s">
        <v>2</v>
      </c>
      <c r="AD155" s="244" t="s">
        <v>2</v>
      </c>
      <c r="AE155" s="244" t="s">
        <v>2</v>
      </c>
      <c r="AF155" s="225" t="s">
        <v>2</v>
      </c>
      <c r="AG155" s="204" t="s">
        <v>2</v>
      </c>
      <c r="AH155" s="201">
        <v>1.7</v>
      </c>
      <c r="AI155" s="258">
        <v>2</v>
      </c>
      <c r="AJ155" s="225" t="s">
        <v>2</v>
      </c>
      <c r="AK155" s="256">
        <v>32.799999999999997</v>
      </c>
      <c r="AL155" s="204" t="s">
        <v>2</v>
      </c>
      <c r="AM155" s="225" t="s">
        <v>2</v>
      </c>
      <c r="AN155" s="225" t="s">
        <v>2</v>
      </c>
      <c r="AO155" s="204" t="s">
        <v>2</v>
      </c>
      <c r="AP155" s="247" t="s">
        <v>2</v>
      </c>
      <c r="AQ155" s="248" t="s">
        <v>2</v>
      </c>
      <c r="AR155" s="248" t="s">
        <v>2</v>
      </c>
      <c r="AS155" s="248" t="s">
        <v>2</v>
      </c>
      <c r="AT155" s="248" t="s">
        <v>2</v>
      </c>
      <c r="AU155" s="248" t="s">
        <v>2</v>
      </c>
      <c r="AV155" s="236" t="s">
        <v>2</v>
      </c>
      <c r="AW155" s="247" t="s">
        <v>2</v>
      </c>
      <c r="AX155" s="248" t="s">
        <v>2</v>
      </c>
      <c r="AY155" s="248" t="s">
        <v>2</v>
      </c>
      <c r="AZ155" s="236" t="s">
        <v>2</v>
      </c>
      <c r="BA155" s="247" t="s">
        <v>2</v>
      </c>
      <c r="BB155" s="248" t="s">
        <v>2</v>
      </c>
      <c r="BC155" s="248" t="s">
        <v>2</v>
      </c>
      <c r="BD155" s="248" t="s">
        <v>2</v>
      </c>
      <c r="BE155" s="248" t="s">
        <v>2</v>
      </c>
      <c r="BF155" s="236" t="s">
        <v>2</v>
      </c>
      <c r="BG155" s="230" t="s">
        <v>2</v>
      </c>
      <c r="BH155" s="230" t="s">
        <v>2</v>
      </c>
      <c r="BI155" s="258">
        <v>601</v>
      </c>
      <c r="BJ155" s="258">
        <v>267</v>
      </c>
      <c r="BK155" s="258" t="s">
        <v>2</v>
      </c>
      <c r="BL155" s="258">
        <v>403</v>
      </c>
      <c r="BM155" s="258">
        <v>604</v>
      </c>
      <c r="BN155" s="258">
        <v>306</v>
      </c>
      <c r="BO155" s="258">
        <v>634</v>
      </c>
      <c r="BP155" s="258">
        <v>304</v>
      </c>
      <c r="BQ155" s="258">
        <v>478</v>
      </c>
      <c r="BR155" s="258">
        <v>828</v>
      </c>
      <c r="BS155" s="258">
        <v>217</v>
      </c>
      <c r="BT155" s="258">
        <v>337</v>
      </c>
      <c r="BU155" s="258">
        <v>114</v>
      </c>
      <c r="BV155" s="258">
        <v>770</v>
      </c>
      <c r="BW155" s="258">
        <v>541</v>
      </c>
      <c r="BX155" s="258">
        <v>91</v>
      </c>
      <c r="BY155" s="258" t="s">
        <v>2</v>
      </c>
      <c r="BZ155" s="260">
        <v>822</v>
      </c>
      <c r="CA155" s="225">
        <v>0</v>
      </c>
      <c r="CB155" s="225">
        <v>0</v>
      </c>
      <c r="CC155" s="225">
        <v>0</v>
      </c>
      <c r="CD155" s="225">
        <v>0</v>
      </c>
      <c r="CE155" s="225">
        <v>0</v>
      </c>
      <c r="CF155" s="225">
        <v>0</v>
      </c>
      <c r="CG155" s="204">
        <v>0</v>
      </c>
      <c r="CH155" s="200">
        <v>0</v>
      </c>
      <c r="CI155" s="201">
        <v>0</v>
      </c>
      <c r="CJ155" s="249">
        <v>0</v>
      </c>
      <c r="CK155" s="244">
        <v>0</v>
      </c>
      <c r="CL155" s="244">
        <v>0</v>
      </c>
      <c r="CM155" s="201">
        <v>0</v>
      </c>
      <c r="CN155" s="235">
        <v>0</v>
      </c>
      <c r="CO155" s="235" t="s">
        <v>2</v>
      </c>
    </row>
    <row r="156" spans="1:93" s="261" customFormat="1" ht="15" x14ac:dyDescent="0.25">
      <c r="A156" s="239" t="s">
        <v>1683</v>
      </c>
      <c r="B156" s="250" t="s">
        <v>1684</v>
      </c>
      <c r="C156" s="251" t="s">
        <v>1685</v>
      </c>
      <c r="D156" s="289">
        <v>8</v>
      </c>
      <c r="E156" s="252">
        <v>0</v>
      </c>
      <c r="F156" s="253">
        <v>186</v>
      </c>
      <c r="G156" s="254">
        <v>777</v>
      </c>
      <c r="H156" s="255">
        <v>67.8</v>
      </c>
      <c r="I156" s="256">
        <v>11.1</v>
      </c>
      <c r="J156" s="256">
        <v>13</v>
      </c>
      <c r="K156" s="256">
        <v>6.12</v>
      </c>
      <c r="L156" s="256">
        <v>0</v>
      </c>
      <c r="M156" s="257">
        <v>1.98</v>
      </c>
      <c r="N156" s="258">
        <v>76</v>
      </c>
      <c r="O156" s="258">
        <v>507</v>
      </c>
      <c r="P156" s="256">
        <v>0.6</v>
      </c>
      <c r="Q156" s="256">
        <v>0.44</v>
      </c>
      <c r="R156" s="244" t="s">
        <v>2</v>
      </c>
      <c r="S156" s="244" t="s">
        <v>2</v>
      </c>
      <c r="T156" s="244" t="s">
        <v>2</v>
      </c>
      <c r="U156" s="244" t="s">
        <v>2</v>
      </c>
      <c r="V156" s="244" t="s">
        <v>2</v>
      </c>
      <c r="W156" s="201" t="s">
        <v>2</v>
      </c>
      <c r="X156" s="225" t="s">
        <v>2</v>
      </c>
      <c r="Y156" s="259">
        <v>0.08</v>
      </c>
      <c r="Z156" s="259">
        <v>1E-3</v>
      </c>
      <c r="AA156" s="245" t="s">
        <v>2</v>
      </c>
      <c r="AB156" s="245" t="s">
        <v>2</v>
      </c>
      <c r="AC156" s="245" t="s">
        <v>2</v>
      </c>
      <c r="AD156" s="244" t="s">
        <v>2</v>
      </c>
      <c r="AE156" s="244" t="s">
        <v>2</v>
      </c>
      <c r="AF156" s="225" t="s">
        <v>2</v>
      </c>
      <c r="AG156" s="204" t="s">
        <v>2</v>
      </c>
      <c r="AH156" s="201">
        <v>0.3</v>
      </c>
      <c r="AI156" s="258">
        <v>0</v>
      </c>
      <c r="AJ156" s="225" t="s">
        <v>2</v>
      </c>
      <c r="AK156" s="256">
        <v>28.89</v>
      </c>
      <c r="AL156" s="204" t="s">
        <v>2</v>
      </c>
      <c r="AM156" s="225" t="s">
        <v>2</v>
      </c>
      <c r="AN156" s="225" t="s">
        <v>2</v>
      </c>
      <c r="AO156" s="204" t="s">
        <v>2</v>
      </c>
      <c r="AP156" s="247" t="s">
        <v>2</v>
      </c>
      <c r="AQ156" s="248" t="s">
        <v>2</v>
      </c>
      <c r="AR156" s="248" t="s">
        <v>2</v>
      </c>
      <c r="AS156" s="248" t="s">
        <v>2</v>
      </c>
      <c r="AT156" s="248" t="s">
        <v>2</v>
      </c>
      <c r="AU156" s="248" t="s">
        <v>2</v>
      </c>
      <c r="AV156" s="236" t="s">
        <v>2</v>
      </c>
      <c r="AW156" s="247" t="s">
        <v>2</v>
      </c>
      <c r="AX156" s="248" t="s">
        <v>2</v>
      </c>
      <c r="AY156" s="248" t="s">
        <v>2</v>
      </c>
      <c r="AZ156" s="236" t="s">
        <v>2</v>
      </c>
      <c r="BA156" s="247" t="s">
        <v>2</v>
      </c>
      <c r="BB156" s="248" t="s">
        <v>2</v>
      </c>
      <c r="BC156" s="248" t="s">
        <v>2</v>
      </c>
      <c r="BD156" s="248" t="s">
        <v>2</v>
      </c>
      <c r="BE156" s="248" t="s">
        <v>2</v>
      </c>
      <c r="BF156" s="236" t="s">
        <v>2</v>
      </c>
      <c r="BG156" s="230" t="s">
        <v>2</v>
      </c>
      <c r="BH156" s="230" t="s">
        <v>2</v>
      </c>
      <c r="BI156" s="258">
        <v>543</v>
      </c>
      <c r="BJ156" s="258">
        <v>203</v>
      </c>
      <c r="BK156" s="258" t="s">
        <v>2</v>
      </c>
      <c r="BL156" s="258">
        <v>341</v>
      </c>
      <c r="BM156" s="258">
        <v>573</v>
      </c>
      <c r="BN156" s="258">
        <v>284</v>
      </c>
      <c r="BO156" s="258">
        <v>559</v>
      </c>
      <c r="BP156" s="258">
        <v>274</v>
      </c>
      <c r="BQ156" s="258">
        <v>459</v>
      </c>
      <c r="BR156" s="258">
        <v>893</v>
      </c>
      <c r="BS156" s="258">
        <v>169</v>
      </c>
      <c r="BT156" s="258">
        <v>275</v>
      </c>
      <c r="BU156" s="258">
        <v>153</v>
      </c>
      <c r="BV156" s="258">
        <v>701</v>
      </c>
      <c r="BW156" s="258">
        <v>488</v>
      </c>
      <c r="BX156" s="258">
        <v>76</v>
      </c>
      <c r="BY156" s="258" t="s">
        <v>2</v>
      </c>
      <c r="BZ156" s="260">
        <v>801</v>
      </c>
      <c r="CA156" s="225">
        <v>0</v>
      </c>
      <c r="CB156" s="225">
        <v>0</v>
      </c>
      <c r="CC156" s="225">
        <v>0</v>
      </c>
      <c r="CD156" s="225">
        <v>0</v>
      </c>
      <c r="CE156" s="225">
        <v>0</v>
      </c>
      <c r="CF156" s="225">
        <v>0</v>
      </c>
      <c r="CG156" s="204">
        <v>0</v>
      </c>
      <c r="CH156" s="200">
        <v>0</v>
      </c>
      <c r="CI156" s="201">
        <v>0</v>
      </c>
      <c r="CJ156" s="249">
        <v>0</v>
      </c>
      <c r="CK156" s="244">
        <v>0</v>
      </c>
      <c r="CL156" s="244">
        <v>0</v>
      </c>
      <c r="CM156" s="201">
        <v>0</v>
      </c>
      <c r="CN156" s="235">
        <v>0</v>
      </c>
      <c r="CO156" s="235" t="s">
        <v>2</v>
      </c>
    </row>
    <row r="157" spans="1:93" s="261" customFormat="1" ht="15" x14ac:dyDescent="0.25">
      <c r="A157" s="239" t="s">
        <v>1686</v>
      </c>
      <c r="B157" s="250" t="s">
        <v>1687</v>
      </c>
      <c r="C157" s="251" t="s">
        <v>1688</v>
      </c>
      <c r="D157" s="289">
        <v>8</v>
      </c>
      <c r="E157" s="252">
        <v>0</v>
      </c>
      <c r="F157" s="253">
        <v>108</v>
      </c>
      <c r="G157" s="254">
        <v>451</v>
      </c>
      <c r="H157" s="255">
        <v>72.7</v>
      </c>
      <c r="I157" s="256">
        <v>14.4</v>
      </c>
      <c r="J157" s="256">
        <v>1.3</v>
      </c>
      <c r="K157" s="256">
        <v>9.65</v>
      </c>
      <c r="L157" s="256">
        <v>0</v>
      </c>
      <c r="M157" s="257">
        <v>1.95</v>
      </c>
      <c r="N157" s="258">
        <v>749</v>
      </c>
      <c r="O157" s="258">
        <v>560</v>
      </c>
      <c r="P157" s="256">
        <v>81.569999999999993</v>
      </c>
      <c r="Q157" s="256">
        <v>7.03</v>
      </c>
      <c r="R157" s="244" t="s">
        <v>2</v>
      </c>
      <c r="S157" s="244" t="s">
        <v>2</v>
      </c>
      <c r="T157" s="244" t="s">
        <v>2</v>
      </c>
      <c r="U157" s="244" t="s">
        <v>2</v>
      </c>
      <c r="V157" s="244" t="s">
        <v>2</v>
      </c>
      <c r="W157" s="201" t="s">
        <v>2</v>
      </c>
      <c r="X157" s="225" t="s">
        <v>2</v>
      </c>
      <c r="Y157" s="259" t="s">
        <v>2</v>
      </c>
      <c r="Z157" s="259">
        <v>7.1999999999999995E-2</v>
      </c>
      <c r="AA157" s="245" t="s">
        <v>2</v>
      </c>
      <c r="AB157" s="245" t="s">
        <v>2</v>
      </c>
      <c r="AC157" s="245" t="s">
        <v>2</v>
      </c>
      <c r="AD157" s="244" t="s">
        <v>2</v>
      </c>
      <c r="AE157" s="244" t="s">
        <v>2</v>
      </c>
      <c r="AF157" s="225" t="s">
        <v>2</v>
      </c>
      <c r="AG157" s="204" t="s">
        <v>2</v>
      </c>
      <c r="AH157" s="201" t="s">
        <v>2</v>
      </c>
      <c r="AI157" s="258" t="s">
        <v>2</v>
      </c>
      <c r="AJ157" s="225" t="s">
        <v>2</v>
      </c>
      <c r="AK157" s="256" t="s">
        <v>2</v>
      </c>
      <c r="AL157" s="204" t="s">
        <v>2</v>
      </c>
      <c r="AM157" s="225" t="s">
        <v>2</v>
      </c>
      <c r="AN157" s="225" t="s">
        <v>2</v>
      </c>
      <c r="AO157" s="204" t="s">
        <v>2</v>
      </c>
      <c r="AP157" s="247" t="s">
        <v>2</v>
      </c>
      <c r="AQ157" s="248" t="s">
        <v>2</v>
      </c>
      <c r="AR157" s="248" t="s">
        <v>2</v>
      </c>
      <c r="AS157" s="248" t="s">
        <v>2</v>
      </c>
      <c r="AT157" s="248" t="s">
        <v>2</v>
      </c>
      <c r="AU157" s="248" t="s">
        <v>2</v>
      </c>
      <c r="AV157" s="236" t="s">
        <v>2</v>
      </c>
      <c r="AW157" s="247" t="s">
        <v>2</v>
      </c>
      <c r="AX157" s="248" t="s">
        <v>2</v>
      </c>
      <c r="AY157" s="248" t="s">
        <v>2</v>
      </c>
      <c r="AZ157" s="236" t="s">
        <v>2</v>
      </c>
      <c r="BA157" s="247" t="s">
        <v>2</v>
      </c>
      <c r="BB157" s="248" t="s">
        <v>2</v>
      </c>
      <c r="BC157" s="248" t="s">
        <v>2</v>
      </c>
      <c r="BD157" s="248" t="s">
        <v>2</v>
      </c>
      <c r="BE157" s="248" t="s">
        <v>2</v>
      </c>
      <c r="BF157" s="236" t="s">
        <v>2</v>
      </c>
      <c r="BG157" s="230" t="s">
        <v>2</v>
      </c>
      <c r="BH157" s="230" t="s">
        <v>2</v>
      </c>
      <c r="BI157" s="258" t="s">
        <v>2</v>
      </c>
      <c r="BJ157" s="258" t="s">
        <v>2</v>
      </c>
      <c r="BK157" s="258" t="s">
        <v>2</v>
      </c>
      <c r="BL157" s="258" t="s">
        <v>2</v>
      </c>
      <c r="BM157" s="258" t="s">
        <v>2</v>
      </c>
      <c r="BN157" s="258" t="s">
        <v>2</v>
      </c>
      <c r="BO157" s="258" t="s">
        <v>2</v>
      </c>
      <c r="BP157" s="258" t="s">
        <v>2</v>
      </c>
      <c r="BQ157" s="258" t="s">
        <v>2</v>
      </c>
      <c r="BR157" s="258" t="s">
        <v>2</v>
      </c>
      <c r="BS157" s="258" t="s">
        <v>2</v>
      </c>
      <c r="BT157" s="258" t="s">
        <v>2</v>
      </c>
      <c r="BU157" s="258" t="s">
        <v>2</v>
      </c>
      <c r="BV157" s="258" t="s">
        <v>2</v>
      </c>
      <c r="BW157" s="258" t="s">
        <v>2</v>
      </c>
      <c r="BX157" s="258" t="s">
        <v>2</v>
      </c>
      <c r="BY157" s="258" t="s">
        <v>2</v>
      </c>
      <c r="BZ157" s="260" t="s">
        <v>2</v>
      </c>
      <c r="CA157" s="225">
        <v>0</v>
      </c>
      <c r="CB157" s="225">
        <v>0</v>
      </c>
      <c r="CC157" s="225">
        <v>0</v>
      </c>
      <c r="CD157" s="225">
        <v>0</v>
      </c>
      <c r="CE157" s="225">
        <v>0</v>
      </c>
      <c r="CF157" s="225">
        <v>0</v>
      </c>
      <c r="CG157" s="204">
        <v>0</v>
      </c>
      <c r="CH157" s="200">
        <v>0</v>
      </c>
      <c r="CI157" s="201">
        <v>0</v>
      </c>
      <c r="CJ157" s="249">
        <v>0</v>
      </c>
      <c r="CK157" s="244">
        <v>0</v>
      </c>
      <c r="CL157" s="244">
        <v>0</v>
      </c>
      <c r="CM157" s="201">
        <v>0</v>
      </c>
      <c r="CN157" s="235">
        <v>0</v>
      </c>
      <c r="CO157" s="235" t="s">
        <v>2</v>
      </c>
    </row>
    <row r="158" spans="1:93" s="261" customFormat="1" thickBot="1" x14ac:dyDescent="0.3">
      <c r="A158" s="262" t="s">
        <v>1689</v>
      </c>
      <c r="B158" s="263" t="s">
        <v>1690</v>
      </c>
      <c r="C158" s="264" t="s">
        <v>1691</v>
      </c>
      <c r="D158" s="289">
        <v>8</v>
      </c>
      <c r="E158" s="265">
        <v>0</v>
      </c>
      <c r="F158" s="266">
        <v>42</v>
      </c>
      <c r="G158" s="267">
        <v>176</v>
      </c>
      <c r="H158" s="268">
        <v>87.5</v>
      </c>
      <c r="I158" s="269">
        <v>5.37</v>
      </c>
      <c r="J158" s="269">
        <v>0.44</v>
      </c>
      <c r="K158" s="269">
        <v>4.03</v>
      </c>
      <c r="L158" s="269">
        <v>0</v>
      </c>
      <c r="M158" s="270">
        <v>2.64</v>
      </c>
      <c r="N158" s="271">
        <v>117</v>
      </c>
      <c r="O158" s="271" t="s">
        <v>2</v>
      </c>
      <c r="P158" s="269" t="s">
        <v>2</v>
      </c>
      <c r="Q158" s="269" t="s">
        <v>2</v>
      </c>
      <c r="R158" s="212" t="s">
        <v>2</v>
      </c>
      <c r="S158" s="212" t="s">
        <v>2</v>
      </c>
      <c r="T158" s="212" t="s">
        <v>2</v>
      </c>
      <c r="U158" s="212" t="s">
        <v>2</v>
      </c>
      <c r="V158" s="212" t="s">
        <v>2</v>
      </c>
      <c r="W158" s="213" t="s">
        <v>2</v>
      </c>
      <c r="X158" s="215" t="s">
        <v>2</v>
      </c>
      <c r="Y158" s="272" t="s">
        <v>2</v>
      </c>
      <c r="Z158" s="272" t="s">
        <v>2</v>
      </c>
      <c r="AA158" s="217" t="s">
        <v>2</v>
      </c>
      <c r="AB158" s="217" t="s">
        <v>2</v>
      </c>
      <c r="AC158" s="217" t="s">
        <v>2</v>
      </c>
      <c r="AD158" s="271">
        <v>13</v>
      </c>
      <c r="AE158" s="212" t="s">
        <v>2</v>
      </c>
      <c r="AF158" s="215" t="s">
        <v>2</v>
      </c>
      <c r="AG158" s="216" t="s">
        <v>2</v>
      </c>
      <c r="AH158" s="213" t="s">
        <v>2</v>
      </c>
      <c r="AI158" s="271" t="s">
        <v>2</v>
      </c>
      <c r="AJ158" s="215" t="s">
        <v>2</v>
      </c>
      <c r="AK158" s="269" t="s">
        <v>2</v>
      </c>
      <c r="AL158" s="216" t="s">
        <v>2</v>
      </c>
      <c r="AM158" s="215" t="s">
        <v>2</v>
      </c>
      <c r="AN158" s="215" t="s">
        <v>2</v>
      </c>
      <c r="AO158" s="216" t="s">
        <v>2</v>
      </c>
      <c r="AP158" s="273" t="s">
        <v>2</v>
      </c>
      <c r="AQ158" s="274" t="s">
        <v>2</v>
      </c>
      <c r="AR158" s="274" t="s">
        <v>2</v>
      </c>
      <c r="AS158" s="274" t="s">
        <v>2</v>
      </c>
      <c r="AT158" s="274" t="s">
        <v>2</v>
      </c>
      <c r="AU158" s="274" t="s">
        <v>2</v>
      </c>
      <c r="AV158" s="218" t="s">
        <v>2</v>
      </c>
      <c r="AW158" s="273" t="s">
        <v>2</v>
      </c>
      <c r="AX158" s="274" t="s">
        <v>2</v>
      </c>
      <c r="AY158" s="274" t="s">
        <v>2</v>
      </c>
      <c r="AZ158" s="218" t="s">
        <v>2</v>
      </c>
      <c r="BA158" s="273" t="s">
        <v>2</v>
      </c>
      <c r="BB158" s="274" t="s">
        <v>2</v>
      </c>
      <c r="BC158" s="274" t="s">
        <v>2</v>
      </c>
      <c r="BD158" s="274" t="s">
        <v>2</v>
      </c>
      <c r="BE158" s="274" t="s">
        <v>2</v>
      </c>
      <c r="BF158" s="218" t="s">
        <v>2</v>
      </c>
      <c r="BG158" s="275" t="s">
        <v>2</v>
      </c>
      <c r="BH158" s="275" t="s">
        <v>2</v>
      </c>
      <c r="BI158" s="271" t="s">
        <v>2</v>
      </c>
      <c r="BJ158" s="271" t="s">
        <v>2</v>
      </c>
      <c r="BK158" s="271" t="s">
        <v>2</v>
      </c>
      <c r="BL158" s="271" t="s">
        <v>2</v>
      </c>
      <c r="BM158" s="271" t="s">
        <v>2</v>
      </c>
      <c r="BN158" s="271" t="s">
        <v>2</v>
      </c>
      <c r="BO158" s="271" t="s">
        <v>2</v>
      </c>
      <c r="BP158" s="271" t="s">
        <v>2</v>
      </c>
      <c r="BQ158" s="271" t="s">
        <v>2</v>
      </c>
      <c r="BR158" s="271" t="s">
        <v>2</v>
      </c>
      <c r="BS158" s="271" t="s">
        <v>2</v>
      </c>
      <c r="BT158" s="271" t="s">
        <v>2</v>
      </c>
      <c r="BU158" s="271" t="s">
        <v>2</v>
      </c>
      <c r="BV158" s="271" t="s">
        <v>2</v>
      </c>
      <c r="BW158" s="271" t="s">
        <v>2</v>
      </c>
      <c r="BX158" s="271" t="s">
        <v>2</v>
      </c>
      <c r="BY158" s="271" t="s">
        <v>2</v>
      </c>
      <c r="BZ158" s="276" t="s">
        <v>2</v>
      </c>
      <c r="CA158" s="215">
        <v>0</v>
      </c>
      <c r="CB158" s="215">
        <v>0</v>
      </c>
      <c r="CC158" s="215">
        <v>0</v>
      </c>
      <c r="CD158" s="215">
        <v>0</v>
      </c>
      <c r="CE158" s="215">
        <v>0</v>
      </c>
      <c r="CF158" s="215">
        <v>0</v>
      </c>
      <c r="CG158" s="216">
        <v>0</v>
      </c>
      <c r="CH158" s="212">
        <v>0</v>
      </c>
      <c r="CI158" s="213">
        <v>0</v>
      </c>
      <c r="CJ158" s="277">
        <v>0</v>
      </c>
      <c r="CK158" s="212">
        <v>0</v>
      </c>
      <c r="CL158" s="212">
        <v>0</v>
      </c>
      <c r="CM158" s="213">
        <v>0</v>
      </c>
      <c r="CN158" s="278">
        <v>0</v>
      </c>
      <c r="CO158" s="278" t="s">
        <v>2</v>
      </c>
    </row>
    <row r="159" spans="1:93" ht="16.5" thickTop="1" x14ac:dyDescent="0.25"/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O284"/>
  <sheetViews>
    <sheetView zoomScaleNormal="100" workbookViewId="0">
      <selection activeCell="E18" sqref="E18"/>
    </sheetView>
  </sheetViews>
  <sheetFormatPr defaultColWidth="9.140625" defaultRowHeight="15.75" x14ac:dyDescent="0.25"/>
  <cols>
    <col min="1" max="1" width="15.42578125" style="58" customWidth="1"/>
    <col min="2" max="2" width="32.42578125" style="12" customWidth="1"/>
    <col min="3" max="3" width="45.28515625" style="12" customWidth="1"/>
    <col min="4" max="4" width="16.85546875" style="293" customWidth="1"/>
    <col min="5" max="5" width="7.85546875" style="12" bestFit="1" customWidth="1"/>
    <col min="6" max="6" width="11.42578125" style="12" bestFit="1" customWidth="1"/>
    <col min="7" max="7" width="8.7109375" style="12" bestFit="1" customWidth="1"/>
    <col min="8" max="8" width="7.5703125" style="12" bestFit="1" customWidth="1"/>
    <col min="9" max="9" width="10.140625" style="12" bestFit="1" customWidth="1"/>
    <col min="10" max="10" width="9.5703125" style="12" bestFit="1" customWidth="1"/>
    <col min="11" max="11" width="15.140625" style="12" bestFit="1" customWidth="1"/>
    <col min="12" max="12" width="8.140625" style="12" bestFit="1" customWidth="1"/>
    <col min="13" max="13" width="5.5703125" style="12" bestFit="1" customWidth="1"/>
    <col min="14" max="14" width="8" style="12" customWidth="1"/>
    <col min="15" max="15" width="12.5703125" style="12" bestFit="1" customWidth="1"/>
    <col min="16" max="16" width="5.5703125" style="12" bestFit="1" customWidth="1"/>
    <col min="17" max="17" width="5.7109375" style="12" bestFit="1" customWidth="1"/>
    <col min="18" max="18" width="7.85546875" style="12" bestFit="1" customWidth="1"/>
    <col min="19" max="19" width="10" style="12" bestFit="1" customWidth="1"/>
    <col min="20" max="21" width="11.140625" style="12" bestFit="1" customWidth="1"/>
    <col min="22" max="22" width="9.85546875" style="12" bestFit="1" customWidth="1"/>
    <col min="23" max="23" width="9" style="12" bestFit="1" customWidth="1"/>
    <col min="24" max="24" width="13.42578125" style="12" bestFit="1" customWidth="1"/>
    <col min="25" max="27" width="11" style="12" bestFit="1" customWidth="1"/>
    <col min="28" max="28" width="15.5703125" style="12" bestFit="1" customWidth="1"/>
    <col min="29" max="29" width="11" style="12" bestFit="1" customWidth="1"/>
    <col min="30" max="30" width="6.7109375" style="12" bestFit="1" customWidth="1"/>
    <col min="31" max="31" width="11" style="12" bestFit="1" customWidth="1"/>
    <col min="32" max="32" width="10" style="12" bestFit="1" customWidth="1"/>
    <col min="33" max="33" width="16.85546875" style="38" bestFit="1" customWidth="1"/>
    <col min="34" max="34" width="7.28515625" style="12" bestFit="1" customWidth="1"/>
    <col min="35" max="35" width="15.28515625" style="12" bestFit="1" customWidth="1"/>
    <col min="36" max="36" width="9.85546875" style="12" bestFit="1" customWidth="1"/>
    <col min="37" max="37" width="16.7109375" style="12" bestFit="1" customWidth="1"/>
    <col min="38" max="38" width="13.42578125" style="38" bestFit="1" customWidth="1"/>
    <col min="39" max="39" width="12.85546875" style="12" bestFit="1" customWidth="1"/>
    <col min="40" max="40" width="14.140625" style="12" bestFit="1" customWidth="1"/>
    <col min="41" max="41" width="17.7109375" style="12" bestFit="1" customWidth="1"/>
    <col min="42" max="42" width="23" style="12" bestFit="1" customWidth="1"/>
    <col min="43" max="43" width="8" style="12" bestFit="1" customWidth="1"/>
    <col min="44" max="44" width="9.140625" style="12" bestFit="1" customWidth="1"/>
    <col min="45" max="45" width="7.28515625" style="12" bestFit="1" customWidth="1"/>
    <col min="46" max="46" width="9.5703125" style="12" bestFit="1" customWidth="1"/>
    <col min="47" max="47" width="8.140625" style="12" bestFit="1" customWidth="1"/>
    <col min="48" max="48" width="10.28515625" style="12" bestFit="1" customWidth="1"/>
    <col min="49" max="49" width="33.28515625" style="12" bestFit="1" customWidth="1"/>
    <col min="50" max="50" width="10.85546875" style="12" bestFit="1" customWidth="1"/>
    <col min="51" max="51" width="10.5703125" style="12" bestFit="1" customWidth="1"/>
    <col min="52" max="52" width="9.85546875" style="12" bestFit="1" customWidth="1"/>
    <col min="53" max="53" width="35.28515625" style="12" bestFit="1" customWidth="1"/>
    <col min="54" max="54" width="9.85546875" style="12" bestFit="1" customWidth="1"/>
    <col min="55" max="55" width="9.5703125" style="12" bestFit="1" customWidth="1"/>
    <col min="56" max="56" width="11.85546875" style="12" bestFit="1" customWidth="1"/>
    <col min="57" max="57" width="16.5703125" style="12" bestFit="1" customWidth="1"/>
    <col min="58" max="58" width="16.85546875" style="12" bestFit="1" customWidth="1"/>
    <col min="59" max="59" width="19.7109375" style="12" bestFit="1" customWidth="1"/>
    <col min="60" max="60" width="11.140625" style="12" bestFit="1" customWidth="1"/>
    <col min="61" max="61" width="7.5703125" style="12" bestFit="1" customWidth="1"/>
    <col min="62" max="62" width="9.85546875" style="12" bestFit="1" customWidth="1"/>
    <col min="63" max="63" width="11.28515625" style="12" bestFit="1" customWidth="1"/>
    <col min="64" max="64" width="11.85546875" style="12" bestFit="1" customWidth="1"/>
    <col min="65" max="65" width="8.85546875" style="12" bestFit="1" customWidth="1"/>
    <col min="66" max="66" width="7.5703125" style="12" bestFit="1" customWidth="1"/>
    <col min="67" max="67" width="8.7109375" style="12" bestFit="1" customWidth="1"/>
    <col min="68" max="68" width="8.85546875" style="12" bestFit="1" customWidth="1"/>
    <col min="69" max="69" width="7.5703125" style="12" bestFit="1" customWidth="1"/>
    <col min="70" max="72" width="7.7109375" style="12" bestFit="1" customWidth="1"/>
    <col min="73" max="73" width="7.5703125" style="12" bestFit="1" customWidth="1"/>
    <col min="74" max="74" width="12" style="12" bestFit="1" customWidth="1"/>
    <col min="75" max="75" width="13.7109375" style="12" bestFit="1" customWidth="1"/>
    <col min="76" max="76" width="7.5703125" style="12" bestFit="1" customWidth="1"/>
    <col min="77" max="77" width="8.7109375" style="12" bestFit="1" customWidth="1"/>
    <col min="78" max="78" width="7.5703125" style="12" bestFit="1" customWidth="1"/>
    <col min="79" max="79" width="14.28515625" style="12" bestFit="1" customWidth="1"/>
    <col min="80" max="80" width="9.85546875" style="12" bestFit="1" customWidth="1"/>
    <col min="81" max="81" width="8.28515625" style="12" bestFit="1" customWidth="1"/>
    <col min="82" max="82" width="8.140625" style="12" bestFit="1" customWidth="1"/>
    <col min="83" max="83" width="8.85546875" style="12" bestFit="1" customWidth="1"/>
    <col min="84" max="84" width="8.28515625" style="12" bestFit="1" customWidth="1"/>
    <col min="85" max="85" width="9.28515625" style="12" bestFit="1" customWidth="1"/>
    <col min="86" max="86" width="8.85546875" style="12" bestFit="1" customWidth="1"/>
    <col min="87" max="87" width="18.5703125" style="12" bestFit="1" customWidth="1"/>
    <col min="88" max="88" width="16.85546875" style="12" bestFit="1" customWidth="1"/>
    <col min="89" max="89" width="8.7109375" style="12" bestFit="1" customWidth="1"/>
    <col min="90" max="90" width="9.140625" style="12" bestFit="1" customWidth="1"/>
    <col min="91" max="91" width="8.140625" style="12" bestFit="1" customWidth="1"/>
    <col min="92" max="92" width="10.85546875" style="12" bestFit="1" customWidth="1"/>
    <col min="93" max="93" width="6.42578125" style="12" bestFit="1" customWidth="1"/>
    <col min="94" max="16384" width="9.140625" style="12"/>
  </cols>
  <sheetData>
    <row r="1" spans="1:93" ht="22.5" customHeight="1" x14ac:dyDescent="0.25">
      <c r="A1" s="379" t="s">
        <v>577</v>
      </c>
      <c r="B1" s="378" t="s">
        <v>1812</v>
      </c>
      <c r="C1" s="378" t="s">
        <v>1813</v>
      </c>
      <c r="D1" s="380" t="s">
        <v>1809</v>
      </c>
      <c r="E1" s="378" t="s">
        <v>0</v>
      </c>
      <c r="F1" s="378" t="s">
        <v>1810</v>
      </c>
      <c r="G1" s="377" t="s">
        <v>1811</v>
      </c>
      <c r="H1" s="195" t="s">
        <v>2024</v>
      </c>
      <c r="I1" s="195" t="s">
        <v>2025</v>
      </c>
      <c r="J1" s="195" t="s">
        <v>2026</v>
      </c>
      <c r="K1" s="195" t="s">
        <v>2027</v>
      </c>
      <c r="L1" s="195" t="s">
        <v>2028</v>
      </c>
      <c r="M1" s="195" t="s">
        <v>2029</v>
      </c>
      <c r="N1" s="195" t="s">
        <v>2030</v>
      </c>
      <c r="O1" s="195" t="s">
        <v>2031</v>
      </c>
      <c r="P1" s="195" t="s">
        <v>2032</v>
      </c>
      <c r="Q1" s="195" t="s">
        <v>2033</v>
      </c>
      <c r="R1" s="195" t="s">
        <v>2034</v>
      </c>
      <c r="S1" s="195" t="s">
        <v>2035</v>
      </c>
      <c r="T1" s="195" t="s">
        <v>2036</v>
      </c>
      <c r="U1" s="195" t="s">
        <v>2037</v>
      </c>
      <c r="V1" s="195" t="s">
        <v>2038</v>
      </c>
      <c r="W1" s="195" t="s">
        <v>2039</v>
      </c>
      <c r="X1" s="195" t="s">
        <v>2040</v>
      </c>
      <c r="Y1" s="195" t="s">
        <v>2041</v>
      </c>
      <c r="Z1" s="195" t="s">
        <v>2042</v>
      </c>
      <c r="AA1" s="195" t="s">
        <v>2043</v>
      </c>
      <c r="AB1" s="195" t="s">
        <v>2044</v>
      </c>
      <c r="AC1" s="195" t="s">
        <v>2045</v>
      </c>
      <c r="AD1" s="195" t="s">
        <v>2046</v>
      </c>
      <c r="AE1" s="195" t="s">
        <v>2047</v>
      </c>
      <c r="AF1" s="195" t="s">
        <v>2048</v>
      </c>
      <c r="AG1" s="195" t="s">
        <v>2049</v>
      </c>
      <c r="AH1" s="195" t="s">
        <v>2050</v>
      </c>
      <c r="AI1" s="195" t="s">
        <v>2051</v>
      </c>
      <c r="AJ1" s="195" t="s">
        <v>2052</v>
      </c>
      <c r="AK1" s="195" t="s">
        <v>2053</v>
      </c>
      <c r="AL1" s="195" t="s">
        <v>2054</v>
      </c>
      <c r="AM1" s="195" t="s">
        <v>2055</v>
      </c>
      <c r="AN1" s="195" t="s">
        <v>2056</v>
      </c>
      <c r="AO1" s="195" t="s">
        <v>2057</v>
      </c>
      <c r="AP1" s="195" t="s">
        <v>2058</v>
      </c>
      <c r="AQ1" s="195" t="s">
        <v>2059</v>
      </c>
      <c r="AR1" s="195" t="s">
        <v>2060</v>
      </c>
      <c r="AS1" s="195" t="s">
        <v>2061</v>
      </c>
      <c r="AT1" s="195" t="s">
        <v>2062</v>
      </c>
      <c r="AU1" s="195" t="s">
        <v>2063</v>
      </c>
      <c r="AV1" s="195" t="s">
        <v>2064</v>
      </c>
      <c r="AW1" s="195" t="s">
        <v>2065</v>
      </c>
      <c r="AX1" s="195" t="s">
        <v>2066</v>
      </c>
      <c r="AY1" s="195" t="s">
        <v>2067</v>
      </c>
      <c r="AZ1" s="195" t="s">
        <v>2068</v>
      </c>
      <c r="BA1" s="195" t="s">
        <v>2069</v>
      </c>
      <c r="BB1" s="195" t="s">
        <v>2070</v>
      </c>
      <c r="BC1" s="195" t="s">
        <v>2071</v>
      </c>
      <c r="BD1" s="195" t="s">
        <v>2072</v>
      </c>
      <c r="BE1" s="195" t="s">
        <v>2073</v>
      </c>
      <c r="BF1" s="195" t="s">
        <v>2074</v>
      </c>
      <c r="BG1" s="195" t="s">
        <v>2075</v>
      </c>
      <c r="BH1" s="195" t="s">
        <v>2076</v>
      </c>
      <c r="BI1" s="195" t="s">
        <v>2077</v>
      </c>
      <c r="BJ1" s="195" t="s">
        <v>2078</v>
      </c>
      <c r="BK1" s="195" t="s">
        <v>2079</v>
      </c>
      <c r="BL1" s="195" t="s">
        <v>2080</v>
      </c>
      <c r="BM1" s="195" t="s">
        <v>2081</v>
      </c>
      <c r="BN1" s="195" t="s">
        <v>2082</v>
      </c>
      <c r="BO1" s="195" t="s">
        <v>2083</v>
      </c>
      <c r="BP1" s="195" t="s">
        <v>2084</v>
      </c>
      <c r="BQ1" s="195" t="s">
        <v>2085</v>
      </c>
      <c r="BR1" s="195" t="s">
        <v>2086</v>
      </c>
      <c r="BS1" s="195" t="s">
        <v>2087</v>
      </c>
      <c r="BT1" s="195" t="s">
        <v>2088</v>
      </c>
      <c r="BU1" s="195" t="s">
        <v>2089</v>
      </c>
      <c r="BV1" s="195" t="s">
        <v>2090</v>
      </c>
      <c r="BW1" s="195" t="s">
        <v>2091</v>
      </c>
      <c r="BX1" s="195" t="s">
        <v>2092</v>
      </c>
      <c r="BY1" s="195" t="s">
        <v>2093</v>
      </c>
      <c r="BZ1" s="195" t="s">
        <v>2094</v>
      </c>
      <c r="CA1" s="195" t="s">
        <v>2095</v>
      </c>
      <c r="CB1" s="195" t="s">
        <v>2096</v>
      </c>
      <c r="CC1" s="195" t="s">
        <v>2097</v>
      </c>
      <c r="CD1" s="195" t="s">
        <v>2098</v>
      </c>
      <c r="CE1" s="195" t="s">
        <v>2099</v>
      </c>
      <c r="CF1" s="195" t="s">
        <v>2100</v>
      </c>
      <c r="CG1" s="195" t="s">
        <v>2101</v>
      </c>
      <c r="CH1" s="195" t="s">
        <v>2102</v>
      </c>
      <c r="CI1" s="195" t="s">
        <v>2103</v>
      </c>
      <c r="CJ1" s="195" t="s">
        <v>2104</v>
      </c>
      <c r="CK1" s="195" t="s">
        <v>2105</v>
      </c>
      <c r="CL1" s="195" t="s">
        <v>2106</v>
      </c>
      <c r="CM1" s="195" t="s">
        <v>2107</v>
      </c>
      <c r="CN1" s="195" t="s">
        <v>2108</v>
      </c>
      <c r="CO1" s="195" t="s">
        <v>2109</v>
      </c>
    </row>
    <row r="2" spans="1:93" s="286" customFormat="1" ht="2.25" customHeight="1" x14ac:dyDescent="0.25">
      <c r="A2" s="379"/>
      <c r="B2" s="378"/>
      <c r="C2" s="378"/>
      <c r="D2" s="380"/>
      <c r="E2" s="378"/>
      <c r="F2" s="378"/>
      <c r="G2" s="378"/>
      <c r="H2" s="372">
        <v>1</v>
      </c>
      <c r="I2" s="372">
        <v>2</v>
      </c>
      <c r="J2" s="286">
        <v>3</v>
      </c>
      <c r="K2" s="286">
        <v>4</v>
      </c>
      <c r="L2" s="286">
        <v>5</v>
      </c>
      <c r="M2" s="286">
        <v>6</v>
      </c>
      <c r="N2" s="286">
        <v>14</v>
      </c>
      <c r="O2" s="286">
        <v>18</v>
      </c>
      <c r="P2" s="286">
        <v>15</v>
      </c>
      <c r="Q2" s="286">
        <v>21</v>
      </c>
      <c r="R2" s="286">
        <v>20</v>
      </c>
      <c r="S2" s="286">
        <v>19</v>
      </c>
      <c r="T2" s="286">
        <v>16</v>
      </c>
      <c r="U2" s="286">
        <v>17</v>
      </c>
      <c r="V2" s="286">
        <v>22</v>
      </c>
      <c r="W2" s="286">
        <v>23</v>
      </c>
      <c r="X2" s="286">
        <v>24</v>
      </c>
      <c r="Y2" s="286">
        <v>25</v>
      </c>
      <c r="Z2" s="286">
        <v>26</v>
      </c>
      <c r="AA2" s="286">
        <v>27</v>
      </c>
      <c r="AB2" s="286">
        <v>28</v>
      </c>
      <c r="AC2" s="286">
        <v>29</v>
      </c>
      <c r="AD2" s="286">
        <v>30</v>
      </c>
      <c r="AE2" s="286">
        <v>31</v>
      </c>
      <c r="AF2" s="286">
        <v>32</v>
      </c>
      <c r="AG2" s="286">
        <v>33</v>
      </c>
      <c r="AH2" s="286">
        <v>86</v>
      </c>
      <c r="AI2" s="286">
        <v>34</v>
      </c>
      <c r="AJ2" s="286">
        <v>35</v>
      </c>
      <c r="AK2" s="286">
        <v>36</v>
      </c>
      <c r="AL2" s="286">
        <v>37</v>
      </c>
      <c r="AM2" s="286">
        <v>38</v>
      </c>
      <c r="AN2" s="286">
        <v>39</v>
      </c>
      <c r="AO2" s="286">
        <v>40</v>
      </c>
      <c r="AP2" s="286">
        <v>48</v>
      </c>
      <c r="AQ2" s="286">
        <v>49</v>
      </c>
      <c r="AR2" s="286">
        <v>50</v>
      </c>
      <c r="AS2" s="286">
        <v>51</v>
      </c>
      <c r="AT2" s="286">
        <v>52</v>
      </c>
      <c r="AU2" s="286">
        <v>53</v>
      </c>
      <c r="AV2" s="286">
        <v>54</v>
      </c>
      <c r="AW2" s="286">
        <v>55</v>
      </c>
      <c r="AX2" s="286">
        <v>56</v>
      </c>
      <c r="AY2" s="286">
        <v>57</v>
      </c>
      <c r="AZ2" s="286">
        <v>58</v>
      </c>
      <c r="BA2" s="286">
        <v>59</v>
      </c>
      <c r="BB2" s="286">
        <v>60</v>
      </c>
      <c r="BC2" s="286">
        <v>61</v>
      </c>
      <c r="BD2" s="286">
        <v>62</v>
      </c>
      <c r="BE2" s="286">
        <v>63</v>
      </c>
      <c r="BF2" s="286">
        <v>64</v>
      </c>
      <c r="BG2" s="286">
        <v>65</v>
      </c>
      <c r="BH2" s="286">
        <v>66</v>
      </c>
      <c r="BI2" s="286">
        <v>68</v>
      </c>
      <c r="BJ2" s="286">
        <v>69</v>
      </c>
      <c r="BK2" s="286">
        <v>70</v>
      </c>
      <c r="BL2" s="286">
        <v>71</v>
      </c>
      <c r="BM2" s="286">
        <v>72</v>
      </c>
      <c r="BN2" s="286">
        <v>73</v>
      </c>
      <c r="BO2" s="286">
        <v>74</v>
      </c>
      <c r="BP2" s="286">
        <v>75</v>
      </c>
      <c r="BQ2" s="286">
        <v>76</v>
      </c>
      <c r="BR2" s="286">
        <v>77</v>
      </c>
      <c r="BS2" s="286">
        <v>78</v>
      </c>
      <c r="BT2" s="286">
        <v>79</v>
      </c>
      <c r="BU2" s="286">
        <v>80</v>
      </c>
      <c r="BV2" s="286">
        <v>81</v>
      </c>
      <c r="BW2" s="286">
        <v>82</v>
      </c>
      <c r="BX2" s="286">
        <v>83</v>
      </c>
      <c r="BY2" s="286">
        <v>84</v>
      </c>
      <c r="BZ2" s="286">
        <v>85</v>
      </c>
      <c r="CA2" s="286">
        <v>7</v>
      </c>
      <c r="CB2" s="286">
        <v>8</v>
      </c>
      <c r="CC2" s="286">
        <v>9</v>
      </c>
      <c r="CD2" s="286">
        <v>10</v>
      </c>
      <c r="CE2" s="286">
        <v>11</v>
      </c>
      <c r="CF2" s="286">
        <v>12</v>
      </c>
      <c r="CG2" s="286">
        <v>13</v>
      </c>
      <c r="CH2" s="286">
        <v>41</v>
      </c>
      <c r="CI2" s="286">
        <v>42</v>
      </c>
      <c r="CJ2" s="286">
        <v>44</v>
      </c>
      <c r="CK2" s="286">
        <v>45</v>
      </c>
      <c r="CL2" s="286">
        <v>46</v>
      </c>
      <c r="CM2" s="286">
        <v>47</v>
      </c>
      <c r="CN2" s="286">
        <v>67</v>
      </c>
      <c r="CO2" s="286">
        <v>43</v>
      </c>
    </row>
    <row r="3" spans="1:93" s="76" customFormat="1" x14ac:dyDescent="0.25">
      <c r="A3" s="79" t="s">
        <v>581</v>
      </c>
      <c r="B3" s="80" t="s">
        <v>41</v>
      </c>
      <c r="C3" s="81" t="s">
        <v>629</v>
      </c>
      <c r="D3" s="288">
        <v>1</v>
      </c>
      <c r="E3" s="39">
        <v>0</v>
      </c>
      <c r="F3" s="73">
        <v>350</v>
      </c>
      <c r="G3" s="71">
        <v>1463</v>
      </c>
      <c r="H3" s="74">
        <v>13.9</v>
      </c>
      <c r="I3" s="6">
        <v>8.4</v>
      </c>
      <c r="J3" s="6">
        <v>1.6</v>
      </c>
      <c r="K3" s="6">
        <v>75.400000000000006</v>
      </c>
      <c r="L3" s="6">
        <v>0.5</v>
      </c>
      <c r="M3" s="22">
        <v>0.7</v>
      </c>
      <c r="N3" s="73">
        <v>16</v>
      </c>
      <c r="O3" s="73">
        <v>130</v>
      </c>
      <c r="P3" s="6">
        <v>1.2</v>
      </c>
      <c r="Q3" s="6">
        <v>2.2000000000000002</v>
      </c>
      <c r="R3" s="73">
        <v>3</v>
      </c>
      <c r="S3" s="73">
        <v>282</v>
      </c>
      <c r="T3" s="73">
        <v>17</v>
      </c>
      <c r="U3" s="75">
        <v>1.1000000000000001</v>
      </c>
      <c r="V3" s="75">
        <v>280</v>
      </c>
      <c r="W3" s="22">
        <v>15.1</v>
      </c>
      <c r="X3" s="6">
        <v>0</v>
      </c>
      <c r="Y3" s="75">
        <v>0.16</v>
      </c>
      <c r="Z3" s="75">
        <v>0.06</v>
      </c>
      <c r="AA3" s="75">
        <v>2.4</v>
      </c>
      <c r="AB3" s="75">
        <v>0.28399999999999997</v>
      </c>
      <c r="AC3" s="75">
        <v>0.107</v>
      </c>
      <c r="AD3" s="73">
        <v>7</v>
      </c>
      <c r="AE3" s="73">
        <v>0</v>
      </c>
      <c r="AF3" s="6" t="s">
        <v>2</v>
      </c>
      <c r="AG3" s="22">
        <v>0</v>
      </c>
      <c r="AH3" s="84">
        <v>0</v>
      </c>
      <c r="AI3" s="73">
        <v>0</v>
      </c>
      <c r="AJ3" s="6" t="s">
        <v>2</v>
      </c>
      <c r="AK3" s="6" t="s">
        <v>2</v>
      </c>
      <c r="AL3" s="22" t="s">
        <v>2</v>
      </c>
      <c r="AM3" s="73">
        <v>0</v>
      </c>
      <c r="AN3" s="73">
        <v>0</v>
      </c>
      <c r="AO3" s="71">
        <v>0</v>
      </c>
      <c r="AP3" s="6">
        <v>0.111</v>
      </c>
      <c r="AQ3" s="75">
        <v>9.4E-2</v>
      </c>
      <c r="AR3" s="75">
        <v>0</v>
      </c>
      <c r="AS3" s="75">
        <v>0.01</v>
      </c>
      <c r="AT3" s="75">
        <v>0</v>
      </c>
      <c r="AU3" s="75">
        <v>0</v>
      </c>
      <c r="AV3" s="77">
        <v>0</v>
      </c>
      <c r="AW3" s="6">
        <v>0.2</v>
      </c>
      <c r="AX3" s="75">
        <v>0</v>
      </c>
      <c r="AY3" s="75">
        <v>2E-3</v>
      </c>
      <c r="AZ3" s="77">
        <v>0.19800000000000001</v>
      </c>
      <c r="BA3" s="6">
        <v>0.19800000000000001</v>
      </c>
      <c r="BB3" s="75">
        <v>0.189</v>
      </c>
      <c r="BC3" s="75">
        <v>8.0000000000000002E-3</v>
      </c>
      <c r="BD3" s="75">
        <v>0</v>
      </c>
      <c r="BE3" s="75">
        <v>0</v>
      </c>
      <c r="BF3" s="77">
        <v>0</v>
      </c>
      <c r="BG3" s="21" t="s">
        <v>2</v>
      </c>
      <c r="BH3" s="21">
        <v>0</v>
      </c>
      <c r="BI3" s="73">
        <v>246</v>
      </c>
      <c r="BJ3" s="73">
        <v>160</v>
      </c>
      <c r="BK3" s="73">
        <v>79</v>
      </c>
      <c r="BL3" s="73">
        <v>364</v>
      </c>
      <c r="BM3" s="73">
        <v>244</v>
      </c>
      <c r="BN3" s="73">
        <v>416</v>
      </c>
      <c r="BO3" s="73">
        <v>563</v>
      </c>
      <c r="BP3" s="73">
        <v>294</v>
      </c>
      <c r="BQ3" s="73">
        <v>568</v>
      </c>
      <c r="BR3" s="73">
        <v>160</v>
      </c>
      <c r="BS3" s="73">
        <v>140</v>
      </c>
      <c r="BT3" s="73">
        <v>228</v>
      </c>
      <c r="BU3" s="73">
        <v>395</v>
      </c>
      <c r="BV3" s="73">
        <v>640</v>
      </c>
      <c r="BW3" s="73">
        <v>1328</v>
      </c>
      <c r="BX3" s="73">
        <v>310</v>
      </c>
      <c r="BY3" s="73">
        <v>321</v>
      </c>
      <c r="BZ3" s="71">
        <v>358</v>
      </c>
      <c r="CA3" s="6" t="s">
        <v>2</v>
      </c>
      <c r="CB3" s="6" t="s">
        <v>2</v>
      </c>
      <c r="CC3" s="6" t="s">
        <v>2</v>
      </c>
      <c r="CD3" s="6" t="s">
        <v>2</v>
      </c>
      <c r="CE3" s="6" t="s">
        <v>2</v>
      </c>
      <c r="CF3" s="6" t="s">
        <v>2</v>
      </c>
      <c r="CG3" s="22" t="s">
        <v>2</v>
      </c>
      <c r="CH3" s="73">
        <v>0</v>
      </c>
      <c r="CI3" s="71">
        <v>0</v>
      </c>
      <c r="CJ3" s="6" t="s">
        <v>2</v>
      </c>
      <c r="CK3" s="6" t="s">
        <v>2</v>
      </c>
      <c r="CL3" s="6" t="s">
        <v>2</v>
      </c>
      <c r="CM3" s="22" t="s">
        <v>2</v>
      </c>
      <c r="CN3" s="21" t="s">
        <v>2</v>
      </c>
      <c r="CO3" s="21" t="s">
        <v>2</v>
      </c>
    </row>
    <row r="4" spans="1:93" s="76" customFormat="1" ht="18" customHeight="1" x14ac:dyDescent="0.25">
      <c r="A4" s="79" t="s">
        <v>582</v>
      </c>
      <c r="B4" s="53" t="s">
        <v>42</v>
      </c>
      <c r="C4" s="82" t="s">
        <v>1073</v>
      </c>
      <c r="D4" s="287">
        <v>1</v>
      </c>
      <c r="E4" s="21">
        <v>0</v>
      </c>
      <c r="F4" s="73">
        <v>347</v>
      </c>
      <c r="G4" s="71">
        <v>1450.4599999999998</v>
      </c>
      <c r="H4" s="74">
        <v>14</v>
      </c>
      <c r="I4" s="6">
        <v>8.1</v>
      </c>
      <c r="J4" s="6">
        <v>1.3</v>
      </c>
      <c r="K4" s="6">
        <v>75.7</v>
      </c>
      <c r="L4" s="6">
        <v>0.7</v>
      </c>
      <c r="M4" s="22">
        <v>0.9</v>
      </c>
      <c r="N4" s="73">
        <v>36</v>
      </c>
      <c r="O4" s="73">
        <v>108</v>
      </c>
      <c r="P4" s="6">
        <v>0.2</v>
      </c>
      <c r="Q4" s="6">
        <v>1.9</v>
      </c>
      <c r="R4" s="73">
        <v>5</v>
      </c>
      <c r="S4" s="73">
        <v>202</v>
      </c>
      <c r="T4" s="73">
        <v>52</v>
      </c>
      <c r="U4" s="75">
        <v>1.5</v>
      </c>
      <c r="V4" s="75">
        <v>360</v>
      </c>
      <c r="W4" s="22">
        <v>38.799999999999997</v>
      </c>
      <c r="X4" s="6">
        <v>0</v>
      </c>
      <c r="Y4" s="75">
        <v>0.12</v>
      </c>
      <c r="Z4" s="75">
        <v>0.04</v>
      </c>
      <c r="AA4" s="75">
        <v>1.9</v>
      </c>
      <c r="AB4" s="75" t="s">
        <v>2</v>
      </c>
      <c r="AC4" s="75" t="s">
        <v>2</v>
      </c>
      <c r="AD4" s="73" t="s">
        <v>2</v>
      </c>
      <c r="AE4" s="73" t="s">
        <v>2</v>
      </c>
      <c r="AF4" s="6">
        <v>3</v>
      </c>
      <c r="AG4" s="22" t="s">
        <v>2</v>
      </c>
      <c r="AH4" s="84">
        <v>0</v>
      </c>
      <c r="AI4" s="73">
        <v>0</v>
      </c>
      <c r="AJ4" s="6" t="s">
        <v>2</v>
      </c>
      <c r="AK4" s="6" t="s">
        <v>2</v>
      </c>
      <c r="AL4" s="22" t="s">
        <v>2</v>
      </c>
      <c r="AM4" s="73">
        <v>0</v>
      </c>
      <c r="AN4" s="73">
        <v>0</v>
      </c>
      <c r="AO4" s="71">
        <v>0</v>
      </c>
      <c r="AP4" s="6">
        <v>0.35399999999999998</v>
      </c>
      <c r="AQ4" s="75">
        <v>0.316</v>
      </c>
      <c r="AR4" s="75" t="s">
        <v>2</v>
      </c>
      <c r="AS4" s="75">
        <v>2.5000000000000001E-2</v>
      </c>
      <c r="AT4" s="75" t="s">
        <v>2</v>
      </c>
      <c r="AU4" s="75" t="s">
        <v>2</v>
      </c>
      <c r="AV4" s="77" t="s">
        <v>2</v>
      </c>
      <c r="AW4" s="6">
        <v>0.40600000000000003</v>
      </c>
      <c r="AX4" s="75">
        <v>0</v>
      </c>
      <c r="AY4" s="75">
        <v>4.0000000000000001E-3</v>
      </c>
      <c r="AZ4" s="77">
        <v>0.40100000000000002</v>
      </c>
      <c r="BA4" s="6">
        <v>0.34699999999999998</v>
      </c>
      <c r="BB4" s="75">
        <v>0.28699999999999998</v>
      </c>
      <c r="BC4" s="75">
        <v>6.0999999999999999E-2</v>
      </c>
      <c r="BD4" s="75" t="s">
        <v>2</v>
      </c>
      <c r="BE4" s="75" t="s">
        <v>2</v>
      </c>
      <c r="BF4" s="77" t="s">
        <v>2</v>
      </c>
      <c r="BG4" s="21" t="s">
        <v>2</v>
      </c>
      <c r="BH4" s="21">
        <v>0</v>
      </c>
      <c r="BI4" s="73">
        <v>245</v>
      </c>
      <c r="BJ4" s="73">
        <v>159</v>
      </c>
      <c r="BK4" s="73">
        <v>79</v>
      </c>
      <c r="BL4" s="73">
        <v>362</v>
      </c>
      <c r="BM4" s="73">
        <v>242</v>
      </c>
      <c r="BN4" s="73">
        <v>413</v>
      </c>
      <c r="BO4" s="73">
        <v>560</v>
      </c>
      <c r="BP4" s="73">
        <v>292</v>
      </c>
      <c r="BQ4" s="73">
        <v>565</v>
      </c>
      <c r="BR4" s="73">
        <v>159</v>
      </c>
      <c r="BS4" s="73">
        <v>138</v>
      </c>
      <c r="BT4" s="73">
        <v>227</v>
      </c>
      <c r="BU4" s="73">
        <v>393</v>
      </c>
      <c r="BV4" s="73">
        <v>637</v>
      </c>
      <c r="BW4" s="73">
        <v>1321</v>
      </c>
      <c r="BX4" s="73">
        <v>309</v>
      </c>
      <c r="BY4" s="73">
        <v>319</v>
      </c>
      <c r="BZ4" s="71">
        <v>356</v>
      </c>
      <c r="CA4" s="6" t="s">
        <v>2</v>
      </c>
      <c r="CB4" s="6" t="s">
        <v>2</v>
      </c>
      <c r="CC4" s="6" t="s">
        <v>2</v>
      </c>
      <c r="CD4" s="6" t="s">
        <v>2</v>
      </c>
      <c r="CE4" s="6" t="s">
        <v>2</v>
      </c>
      <c r="CF4" s="6" t="s">
        <v>2</v>
      </c>
      <c r="CG4" s="22" t="s">
        <v>2</v>
      </c>
      <c r="CH4" s="73">
        <v>0</v>
      </c>
      <c r="CI4" s="71">
        <v>0</v>
      </c>
      <c r="CJ4" s="6" t="s">
        <v>2</v>
      </c>
      <c r="CK4" s="6" t="s">
        <v>2</v>
      </c>
      <c r="CL4" s="6" t="s">
        <v>2</v>
      </c>
      <c r="CM4" s="22" t="s">
        <v>2</v>
      </c>
      <c r="CN4" s="21" t="s">
        <v>2</v>
      </c>
      <c r="CO4" s="21" t="s">
        <v>2</v>
      </c>
    </row>
    <row r="5" spans="1:93" s="76" customFormat="1" x14ac:dyDescent="0.25">
      <c r="A5" s="79" t="s">
        <v>583</v>
      </c>
      <c r="B5" s="53" t="s">
        <v>43</v>
      </c>
      <c r="C5" s="5" t="s">
        <v>1074</v>
      </c>
      <c r="D5" s="288">
        <v>1</v>
      </c>
      <c r="E5" s="21">
        <v>0</v>
      </c>
      <c r="F5" s="73">
        <v>346</v>
      </c>
      <c r="G5" s="71">
        <v>1446.28</v>
      </c>
      <c r="H5" s="74">
        <v>14</v>
      </c>
      <c r="I5" s="6">
        <v>7.9</v>
      </c>
      <c r="J5" s="6">
        <v>1</v>
      </c>
      <c r="K5" s="6">
        <v>76.3</v>
      </c>
      <c r="L5" s="6">
        <v>0.4</v>
      </c>
      <c r="M5" s="22">
        <v>0.8</v>
      </c>
      <c r="N5" s="73">
        <v>30</v>
      </c>
      <c r="O5" s="73">
        <v>104</v>
      </c>
      <c r="P5" s="6">
        <v>1.3</v>
      </c>
      <c r="Q5" s="6">
        <v>1.5</v>
      </c>
      <c r="R5" s="73">
        <v>5</v>
      </c>
      <c r="S5" s="73">
        <v>241</v>
      </c>
      <c r="T5" s="73">
        <v>14</v>
      </c>
      <c r="U5" s="75">
        <v>0.9</v>
      </c>
      <c r="V5" s="75">
        <v>230</v>
      </c>
      <c r="W5" s="22">
        <v>31.8</v>
      </c>
      <c r="X5" s="6">
        <v>0</v>
      </c>
      <c r="Y5" s="75">
        <v>0.1</v>
      </c>
      <c r="Z5" s="75">
        <v>0.03</v>
      </c>
      <c r="AA5" s="75">
        <v>1.6</v>
      </c>
      <c r="AB5" s="75">
        <v>1.3420000000000001</v>
      </c>
      <c r="AC5" s="75">
        <v>0.14499999999999999</v>
      </c>
      <c r="AD5" s="73">
        <v>9</v>
      </c>
      <c r="AE5" s="73">
        <v>0</v>
      </c>
      <c r="AF5" s="6">
        <v>3</v>
      </c>
      <c r="AG5" s="22">
        <v>0</v>
      </c>
      <c r="AH5" s="84">
        <v>0</v>
      </c>
      <c r="AI5" s="73">
        <v>0</v>
      </c>
      <c r="AJ5" s="6" t="s">
        <v>2</v>
      </c>
      <c r="AK5" s="6" t="s">
        <v>2</v>
      </c>
      <c r="AL5" s="22" t="s">
        <v>2</v>
      </c>
      <c r="AM5" s="73">
        <v>0</v>
      </c>
      <c r="AN5" s="73">
        <v>0</v>
      </c>
      <c r="AO5" s="71">
        <v>0</v>
      </c>
      <c r="AP5" s="6">
        <v>0.158</v>
      </c>
      <c r="AQ5" s="75">
        <v>0.14099999999999999</v>
      </c>
      <c r="AR5" s="75">
        <v>0</v>
      </c>
      <c r="AS5" s="75">
        <v>1.0999999999999999E-2</v>
      </c>
      <c r="AT5" s="75">
        <v>0</v>
      </c>
      <c r="AU5" s="75">
        <v>0</v>
      </c>
      <c r="AV5" s="77">
        <v>0</v>
      </c>
      <c r="AW5" s="6">
        <v>0.18099999999999999</v>
      </c>
      <c r="AX5" s="75">
        <v>0</v>
      </c>
      <c r="AY5" s="75">
        <v>2E-3</v>
      </c>
      <c r="AZ5" s="77">
        <v>0.17899999999999999</v>
      </c>
      <c r="BA5" s="6">
        <v>0.155</v>
      </c>
      <c r="BB5" s="75">
        <v>0.128</v>
      </c>
      <c r="BC5" s="75">
        <v>2.7E-2</v>
      </c>
      <c r="BD5" s="75">
        <v>0</v>
      </c>
      <c r="BE5" s="75">
        <v>0</v>
      </c>
      <c r="BF5" s="77">
        <v>0</v>
      </c>
      <c r="BG5" s="21" t="s">
        <v>2</v>
      </c>
      <c r="BH5" s="21">
        <v>0</v>
      </c>
      <c r="BI5" s="73">
        <v>239</v>
      </c>
      <c r="BJ5" s="73">
        <v>155</v>
      </c>
      <c r="BK5" s="73">
        <v>77</v>
      </c>
      <c r="BL5" s="73">
        <v>353</v>
      </c>
      <c r="BM5" s="73">
        <v>236</v>
      </c>
      <c r="BN5" s="73">
        <v>403</v>
      </c>
      <c r="BO5" s="73">
        <v>546</v>
      </c>
      <c r="BP5" s="73">
        <v>285</v>
      </c>
      <c r="BQ5" s="73">
        <v>551</v>
      </c>
      <c r="BR5" s="73">
        <v>155</v>
      </c>
      <c r="BS5" s="73">
        <v>135</v>
      </c>
      <c r="BT5" s="73">
        <v>221</v>
      </c>
      <c r="BU5" s="73">
        <v>383</v>
      </c>
      <c r="BV5" s="73">
        <v>621</v>
      </c>
      <c r="BW5" s="73">
        <v>1288</v>
      </c>
      <c r="BX5" s="73">
        <v>301</v>
      </c>
      <c r="BY5" s="73">
        <v>311</v>
      </c>
      <c r="BZ5" s="71">
        <v>347</v>
      </c>
      <c r="CA5" s="6" t="s">
        <v>2</v>
      </c>
      <c r="CB5" s="6" t="s">
        <v>2</v>
      </c>
      <c r="CC5" s="6" t="s">
        <v>2</v>
      </c>
      <c r="CD5" s="6" t="s">
        <v>2</v>
      </c>
      <c r="CE5" s="6" t="s">
        <v>2</v>
      </c>
      <c r="CF5" s="6" t="s">
        <v>2</v>
      </c>
      <c r="CG5" s="22" t="s">
        <v>2</v>
      </c>
      <c r="CH5" s="73">
        <v>0</v>
      </c>
      <c r="CI5" s="71">
        <v>0</v>
      </c>
      <c r="CJ5" s="6" t="s">
        <v>2</v>
      </c>
      <c r="CK5" s="6" t="s">
        <v>2</v>
      </c>
      <c r="CL5" s="6" t="s">
        <v>2</v>
      </c>
      <c r="CM5" s="22" t="s">
        <v>2</v>
      </c>
      <c r="CN5" s="21" t="s">
        <v>2</v>
      </c>
      <c r="CO5" s="21" t="s">
        <v>2</v>
      </c>
    </row>
    <row r="6" spans="1:93" s="76" customFormat="1" x14ac:dyDescent="0.25">
      <c r="A6" s="79" t="s">
        <v>584</v>
      </c>
      <c r="B6" s="53" t="s">
        <v>44</v>
      </c>
      <c r="C6" s="5" t="s">
        <v>630</v>
      </c>
      <c r="D6" s="287">
        <v>1</v>
      </c>
      <c r="E6" s="21">
        <v>0</v>
      </c>
      <c r="F6" s="73">
        <v>359</v>
      </c>
      <c r="G6" s="71">
        <v>1500.62</v>
      </c>
      <c r="H6" s="74">
        <v>12.4</v>
      </c>
      <c r="I6" s="6">
        <v>7.5</v>
      </c>
      <c r="J6" s="6">
        <v>2.68</v>
      </c>
      <c r="K6" s="6">
        <v>76.180000000000007</v>
      </c>
      <c r="L6" s="6">
        <v>3.4</v>
      </c>
      <c r="M6" s="22">
        <v>1.27</v>
      </c>
      <c r="N6" s="73">
        <v>16</v>
      </c>
      <c r="O6" s="73">
        <v>246</v>
      </c>
      <c r="P6" s="6">
        <v>2.8</v>
      </c>
      <c r="Q6" s="6">
        <v>1.9</v>
      </c>
      <c r="R6" s="73">
        <v>5</v>
      </c>
      <c r="S6" s="73">
        <v>202</v>
      </c>
      <c r="T6" s="73">
        <v>52</v>
      </c>
      <c r="U6" s="75">
        <v>1.5</v>
      </c>
      <c r="V6" s="75">
        <v>360</v>
      </c>
      <c r="W6" s="22">
        <v>38.799999999999997</v>
      </c>
      <c r="X6" s="6">
        <v>0</v>
      </c>
      <c r="Y6" s="75">
        <v>0.34</v>
      </c>
      <c r="Z6" s="75">
        <v>7.0000000000000007E-2</v>
      </c>
      <c r="AA6" s="75">
        <v>5</v>
      </c>
      <c r="AB6" s="75">
        <v>1.5</v>
      </c>
      <c r="AC6" s="75">
        <v>0.62</v>
      </c>
      <c r="AD6" s="73">
        <v>20</v>
      </c>
      <c r="AE6" s="73">
        <v>0</v>
      </c>
      <c r="AF6" s="6" t="s">
        <v>2</v>
      </c>
      <c r="AG6" s="22" t="s">
        <v>2</v>
      </c>
      <c r="AH6" s="84">
        <v>0</v>
      </c>
      <c r="AI6" s="73">
        <v>0</v>
      </c>
      <c r="AJ6" s="6" t="s">
        <v>2</v>
      </c>
      <c r="AK6" s="6" t="s">
        <v>2</v>
      </c>
      <c r="AL6" s="22" t="s">
        <v>2</v>
      </c>
      <c r="AM6" s="73">
        <v>0</v>
      </c>
      <c r="AN6" s="73">
        <v>0</v>
      </c>
      <c r="AO6" s="71">
        <v>0</v>
      </c>
      <c r="AP6" s="6">
        <v>0.53600000000000003</v>
      </c>
      <c r="AQ6" s="75">
        <v>0.45700000000000002</v>
      </c>
      <c r="AR6" s="75">
        <v>0</v>
      </c>
      <c r="AS6" s="75">
        <v>4.8000000000000001E-2</v>
      </c>
      <c r="AT6" s="75">
        <v>0</v>
      </c>
      <c r="AU6" s="75">
        <v>0</v>
      </c>
      <c r="AV6" s="77">
        <v>0</v>
      </c>
      <c r="AW6" s="6">
        <v>0.97099999999999997</v>
      </c>
      <c r="AX6" s="75">
        <v>0</v>
      </c>
      <c r="AY6" s="75">
        <v>0.01</v>
      </c>
      <c r="AZ6" s="77">
        <v>0.96099999999999997</v>
      </c>
      <c r="BA6" s="6">
        <v>0.95899999999999996</v>
      </c>
      <c r="BB6" s="75">
        <v>0.91800000000000004</v>
      </c>
      <c r="BC6" s="75">
        <v>4.1000000000000002E-2</v>
      </c>
      <c r="BD6" s="75">
        <v>0</v>
      </c>
      <c r="BE6" s="75">
        <v>0</v>
      </c>
      <c r="BF6" s="77">
        <v>0</v>
      </c>
      <c r="BG6" s="21" t="s">
        <v>2</v>
      </c>
      <c r="BH6" s="21">
        <v>0</v>
      </c>
      <c r="BI6" s="73">
        <v>286</v>
      </c>
      <c r="BJ6" s="73">
        <v>169</v>
      </c>
      <c r="BK6" s="73">
        <v>96</v>
      </c>
      <c r="BL6" s="73">
        <v>387</v>
      </c>
      <c r="BM6" s="73">
        <v>275</v>
      </c>
      <c r="BN6" s="73">
        <v>440</v>
      </c>
      <c r="BO6" s="73">
        <v>620</v>
      </c>
      <c r="BP6" s="73">
        <v>318</v>
      </c>
      <c r="BQ6" s="73">
        <v>569</v>
      </c>
      <c r="BR6" s="73">
        <v>190</v>
      </c>
      <c r="BS6" s="73">
        <v>91</v>
      </c>
      <c r="BT6" s="73">
        <v>281</v>
      </c>
      <c r="BU6" s="73">
        <v>437</v>
      </c>
      <c r="BV6" s="73">
        <v>702</v>
      </c>
      <c r="BW6" s="73">
        <v>1528</v>
      </c>
      <c r="BX6" s="73">
        <v>369</v>
      </c>
      <c r="BY6" s="73">
        <v>352</v>
      </c>
      <c r="BZ6" s="71">
        <v>388</v>
      </c>
      <c r="CA6" s="6" t="s">
        <v>2</v>
      </c>
      <c r="CB6" s="6" t="s">
        <v>2</v>
      </c>
      <c r="CC6" s="6" t="s">
        <v>2</v>
      </c>
      <c r="CD6" s="6" t="s">
        <v>2</v>
      </c>
      <c r="CE6" s="6" t="s">
        <v>2</v>
      </c>
      <c r="CF6" s="6" t="s">
        <v>2</v>
      </c>
      <c r="CG6" s="22" t="s">
        <v>2</v>
      </c>
      <c r="CH6" s="73">
        <v>0</v>
      </c>
      <c r="CI6" s="71">
        <v>0</v>
      </c>
      <c r="CJ6" s="6" t="s">
        <v>2</v>
      </c>
      <c r="CK6" s="6" t="s">
        <v>2</v>
      </c>
      <c r="CL6" s="6" t="s">
        <v>2</v>
      </c>
      <c r="CM6" s="22" t="s">
        <v>2</v>
      </c>
      <c r="CN6" s="21" t="s">
        <v>2</v>
      </c>
      <c r="CO6" s="21" t="s">
        <v>2</v>
      </c>
    </row>
    <row r="7" spans="1:93" s="76" customFormat="1" x14ac:dyDescent="0.25">
      <c r="A7" s="72" t="s">
        <v>585</v>
      </c>
      <c r="B7" s="53" t="s">
        <v>45</v>
      </c>
      <c r="C7" s="76" t="s">
        <v>631</v>
      </c>
      <c r="D7" s="288">
        <v>1</v>
      </c>
      <c r="E7" s="21">
        <v>2</v>
      </c>
      <c r="F7" s="73">
        <v>345</v>
      </c>
      <c r="G7" s="71">
        <v>1442.1</v>
      </c>
      <c r="H7" s="74">
        <v>14</v>
      </c>
      <c r="I7" s="6">
        <v>7</v>
      </c>
      <c r="J7" s="6">
        <v>3</v>
      </c>
      <c r="K7" s="6">
        <v>72.400000000000006</v>
      </c>
      <c r="L7" s="6">
        <v>3.4</v>
      </c>
      <c r="M7" s="22">
        <v>3.6</v>
      </c>
      <c r="N7" s="73">
        <v>22</v>
      </c>
      <c r="O7" s="73">
        <v>290</v>
      </c>
      <c r="P7" s="6">
        <v>2.7</v>
      </c>
      <c r="Q7" s="6">
        <v>1.5</v>
      </c>
      <c r="R7" s="73">
        <v>7</v>
      </c>
      <c r="S7" s="73">
        <v>249</v>
      </c>
      <c r="T7" s="73">
        <v>430</v>
      </c>
      <c r="U7" s="75">
        <v>1.7</v>
      </c>
      <c r="V7" s="75">
        <v>440</v>
      </c>
      <c r="W7" s="22">
        <v>2.7</v>
      </c>
      <c r="X7" s="6">
        <v>0</v>
      </c>
      <c r="Y7" s="75">
        <v>0.4</v>
      </c>
      <c r="Z7" s="75">
        <v>0.09</v>
      </c>
      <c r="AA7" s="75">
        <v>1.6</v>
      </c>
      <c r="AB7" s="75">
        <v>0.84799999999999998</v>
      </c>
      <c r="AC7" s="75">
        <v>0.38400000000000001</v>
      </c>
      <c r="AD7" s="73">
        <v>85</v>
      </c>
      <c r="AE7" s="73">
        <v>0</v>
      </c>
      <c r="AF7" s="6" t="s">
        <v>2</v>
      </c>
      <c r="AG7" s="22">
        <v>0</v>
      </c>
      <c r="AH7" s="84">
        <v>0</v>
      </c>
      <c r="AI7" s="73">
        <v>5</v>
      </c>
      <c r="AJ7" s="6" t="s">
        <v>2</v>
      </c>
      <c r="AK7" s="6">
        <v>0.05</v>
      </c>
      <c r="AL7" s="22">
        <v>0.9</v>
      </c>
      <c r="AM7" s="73">
        <v>60</v>
      </c>
      <c r="AN7" s="73" t="s">
        <v>2</v>
      </c>
      <c r="AO7" s="71" t="s">
        <v>2</v>
      </c>
      <c r="AP7" s="6">
        <v>0.72299999999999998</v>
      </c>
      <c r="AQ7" s="75">
        <v>0.52800000000000002</v>
      </c>
      <c r="AR7" s="75">
        <v>0</v>
      </c>
      <c r="AS7" s="75">
        <v>0.154</v>
      </c>
      <c r="AT7" s="75">
        <v>0</v>
      </c>
      <c r="AU7" s="75">
        <v>0</v>
      </c>
      <c r="AV7" s="77">
        <v>0</v>
      </c>
      <c r="AW7" s="6">
        <v>0.77300000000000002</v>
      </c>
      <c r="AX7" s="75">
        <v>0</v>
      </c>
      <c r="AY7" s="75">
        <v>1.4E-2</v>
      </c>
      <c r="AZ7" s="77">
        <v>0.73899999999999999</v>
      </c>
      <c r="BA7" s="6">
        <v>2.1339999999999999</v>
      </c>
      <c r="BB7" s="75">
        <v>2.0150000000000001</v>
      </c>
      <c r="BC7" s="75">
        <v>0.11799999999999999</v>
      </c>
      <c r="BD7" s="75">
        <v>0</v>
      </c>
      <c r="BE7" s="75">
        <v>0</v>
      </c>
      <c r="BF7" s="77">
        <v>0</v>
      </c>
      <c r="BG7" s="21" t="s">
        <v>2</v>
      </c>
      <c r="BH7" s="21">
        <v>0</v>
      </c>
      <c r="BI7" s="73">
        <v>212</v>
      </c>
      <c r="BJ7" s="73">
        <v>221</v>
      </c>
      <c r="BK7" s="73">
        <v>119</v>
      </c>
      <c r="BL7" s="73">
        <v>580</v>
      </c>
      <c r="BM7" s="73">
        <v>353</v>
      </c>
      <c r="BN7" s="73">
        <v>578</v>
      </c>
      <c r="BO7" s="73">
        <v>1400</v>
      </c>
      <c r="BP7" s="73">
        <v>465</v>
      </c>
      <c r="BQ7" s="73">
        <v>382</v>
      </c>
      <c r="BR7" s="73">
        <v>236</v>
      </c>
      <c r="BS7" s="73">
        <v>212</v>
      </c>
      <c r="BT7" s="73">
        <v>340</v>
      </c>
      <c r="BU7" s="73">
        <v>986</v>
      </c>
      <c r="BV7" s="73">
        <v>726</v>
      </c>
      <c r="BW7" s="73">
        <v>2396</v>
      </c>
      <c r="BX7" s="73">
        <v>287</v>
      </c>
      <c r="BY7" s="73">
        <v>877</v>
      </c>
      <c r="BZ7" s="71">
        <v>644</v>
      </c>
      <c r="CA7" s="6" t="s">
        <v>2</v>
      </c>
      <c r="CB7" s="6" t="s">
        <v>2</v>
      </c>
      <c r="CC7" s="6" t="s">
        <v>2</v>
      </c>
      <c r="CD7" s="6" t="s">
        <v>2</v>
      </c>
      <c r="CE7" s="6" t="s">
        <v>2</v>
      </c>
      <c r="CF7" s="6" t="s">
        <v>2</v>
      </c>
      <c r="CG7" s="22" t="s">
        <v>2</v>
      </c>
      <c r="CH7" s="73" t="s">
        <v>2</v>
      </c>
      <c r="CI7" s="71" t="s">
        <v>2</v>
      </c>
      <c r="CJ7" s="6" t="s">
        <v>2</v>
      </c>
      <c r="CK7" s="6" t="s">
        <v>2</v>
      </c>
      <c r="CL7" s="6" t="s">
        <v>2</v>
      </c>
      <c r="CM7" s="22" t="s">
        <v>2</v>
      </c>
      <c r="CN7" s="21" t="s">
        <v>2</v>
      </c>
      <c r="CO7" s="21">
        <v>62</v>
      </c>
    </row>
    <row r="8" spans="1:93" s="76" customFormat="1" ht="18" customHeight="1" x14ac:dyDescent="0.25">
      <c r="A8" s="72" t="s">
        <v>586</v>
      </c>
      <c r="B8" s="53" t="s">
        <v>46</v>
      </c>
      <c r="C8" s="82" t="s">
        <v>578</v>
      </c>
      <c r="D8" s="287">
        <v>1</v>
      </c>
      <c r="E8" s="21">
        <v>45</v>
      </c>
      <c r="F8" s="73">
        <v>200</v>
      </c>
      <c r="G8" s="71">
        <v>836</v>
      </c>
      <c r="H8" s="74">
        <v>52</v>
      </c>
      <c r="I8" s="6">
        <v>4.0999999999999996</v>
      </c>
      <c r="J8" s="6">
        <v>2.2999999999999998</v>
      </c>
      <c r="K8" s="6">
        <v>40.799999999999997</v>
      </c>
      <c r="L8" s="6">
        <v>1.2</v>
      </c>
      <c r="M8" s="22">
        <v>0.8</v>
      </c>
      <c r="N8" s="73">
        <v>20</v>
      </c>
      <c r="O8" s="73">
        <v>187</v>
      </c>
      <c r="P8" s="6">
        <v>1.5</v>
      </c>
      <c r="Q8" s="6">
        <v>1.4</v>
      </c>
      <c r="R8" s="73">
        <v>3</v>
      </c>
      <c r="S8" s="73">
        <v>306</v>
      </c>
      <c r="T8" s="73">
        <v>39</v>
      </c>
      <c r="U8" s="75">
        <v>0.35</v>
      </c>
      <c r="V8" s="75">
        <v>240</v>
      </c>
      <c r="W8" s="22">
        <v>4</v>
      </c>
      <c r="X8" s="6">
        <v>12</v>
      </c>
      <c r="Y8" s="75">
        <v>0.15</v>
      </c>
      <c r="Z8" s="75">
        <v>0.08</v>
      </c>
      <c r="AA8" s="75">
        <v>1.8</v>
      </c>
      <c r="AB8" s="75">
        <v>0.54</v>
      </c>
      <c r="AC8" s="75">
        <v>0.16</v>
      </c>
      <c r="AD8" s="73">
        <v>33</v>
      </c>
      <c r="AE8" s="73">
        <v>0</v>
      </c>
      <c r="AF8" s="6">
        <v>0.5</v>
      </c>
      <c r="AG8" s="22">
        <v>0</v>
      </c>
      <c r="AH8" s="84">
        <v>0</v>
      </c>
      <c r="AI8" s="73">
        <v>20</v>
      </c>
      <c r="AJ8" s="6" t="s">
        <v>2</v>
      </c>
      <c r="AK8" s="6">
        <v>0.8</v>
      </c>
      <c r="AL8" s="22">
        <v>0</v>
      </c>
      <c r="AM8" s="73">
        <v>240</v>
      </c>
      <c r="AN8" s="73" t="s">
        <v>2</v>
      </c>
      <c r="AO8" s="71" t="s">
        <v>2</v>
      </c>
      <c r="AP8" s="6">
        <v>0.28000000000000003</v>
      </c>
      <c r="AQ8" s="75">
        <v>0.24</v>
      </c>
      <c r="AR8" s="75">
        <v>0</v>
      </c>
      <c r="AS8" s="75">
        <v>3.6999999999999998E-2</v>
      </c>
      <c r="AT8" s="75">
        <v>0</v>
      </c>
      <c r="AU8" s="75">
        <v>0</v>
      </c>
      <c r="AV8" s="77">
        <v>0</v>
      </c>
      <c r="AW8" s="6">
        <v>0.52</v>
      </c>
      <c r="AX8" s="75">
        <v>0</v>
      </c>
      <c r="AY8" s="75">
        <v>0</v>
      </c>
      <c r="AZ8" s="77">
        <v>0.52</v>
      </c>
      <c r="BA8" s="6">
        <v>0.89</v>
      </c>
      <c r="BB8" s="75">
        <v>0.86</v>
      </c>
      <c r="BC8" s="75">
        <v>0.03</v>
      </c>
      <c r="BD8" s="75">
        <v>0</v>
      </c>
      <c r="BE8" s="75">
        <v>0</v>
      </c>
      <c r="BF8" s="77">
        <v>0</v>
      </c>
      <c r="BG8" s="21" t="s">
        <v>2</v>
      </c>
      <c r="BH8" s="21">
        <v>0</v>
      </c>
      <c r="BI8" s="73">
        <v>100</v>
      </c>
      <c r="BJ8" s="73">
        <v>71</v>
      </c>
      <c r="BK8" s="73">
        <v>24</v>
      </c>
      <c r="BL8" s="73">
        <v>190</v>
      </c>
      <c r="BM8" s="73">
        <v>140</v>
      </c>
      <c r="BN8" s="73">
        <v>180</v>
      </c>
      <c r="BO8" s="73">
        <v>470</v>
      </c>
      <c r="BP8" s="73">
        <v>140</v>
      </c>
      <c r="BQ8" s="73">
        <v>150</v>
      </c>
      <c r="BR8" s="73">
        <v>100</v>
      </c>
      <c r="BS8" s="73">
        <v>59</v>
      </c>
      <c r="BT8" s="73">
        <v>140</v>
      </c>
      <c r="BU8" s="73">
        <v>280</v>
      </c>
      <c r="BV8" s="73">
        <v>240</v>
      </c>
      <c r="BW8" s="73">
        <v>760</v>
      </c>
      <c r="BX8" s="73">
        <v>140</v>
      </c>
      <c r="BY8" s="73">
        <v>330</v>
      </c>
      <c r="BZ8" s="71">
        <v>190</v>
      </c>
      <c r="CA8" s="6">
        <v>1.7</v>
      </c>
      <c r="CB8" s="6" t="s">
        <v>2</v>
      </c>
      <c r="CC8" s="6">
        <v>0.1</v>
      </c>
      <c r="CD8" s="6">
        <v>0</v>
      </c>
      <c r="CE8" s="6">
        <v>0.2</v>
      </c>
      <c r="CF8" s="6">
        <v>0.6</v>
      </c>
      <c r="CG8" s="22" t="s">
        <v>2</v>
      </c>
      <c r="CH8" s="73" t="s">
        <v>2</v>
      </c>
      <c r="CI8" s="71" t="s">
        <v>2</v>
      </c>
      <c r="CJ8" s="6" t="s">
        <v>2</v>
      </c>
      <c r="CK8" s="6" t="s">
        <v>2</v>
      </c>
      <c r="CL8" s="6" t="s">
        <v>2</v>
      </c>
      <c r="CM8" s="22" t="s">
        <v>2</v>
      </c>
      <c r="CN8" s="21" t="s">
        <v>2</v>
      </c>
      <c r="CO8" s="21">
        <v>52</v>
      </c>
    </row>
    <row r="9" spans="1:93" s="76" customFormat="1" x14ac:dyDescent="0.25">
      <c r="A9" s="72" t="s">
        <v>587</v>
      </c>
      <c r="B9" s="53" t="s">
        <v>47</v>
      </c>
      <c r="C9" s="5" t="s">
        <v>579</v>
      </c>
      <c r="D9" s="288">
        <v>1</v>
      </c>
      <c r="E9" s="21">
        <v>2</v>
      </c>
      <c r="F9" s="73">
        <v>362</v>
      </c>
      <c r="G9" s="71">
        <v>1513.1599999999999</v>
      </c>
      <c r="H9" s="74">
        <v>14</v>
      </c>
      <c r="I9" s="6">
        <v>8.6</v>
      </c>
      <c r="J9" s="6">
        <v>4.7</v>
      </c>
      <c r="K9" s="6">
        <v>71.400000000000006</v>
      </c>
      <c r="L9" s="6">
        <v>2</v>
      </c>
      <c r="M9" s="22">
        <v>1.3</v>
      </c>
      <c r="N9" s="73">
        <v>30</v>
      </c>
      <c r="O9" s="73">
        <v>190</v>
      </c>
      <c r="P9" s="6">
        <v>2.2999999999999998</v>
      </c>
      <c r="Q9" s="6">
        <v>2.21</v>
      </c>
      <c r="R9" s="73">
        <v>35</v>
      </c>
      <c r="S9" s="73">
        <v>287</v>
      </c>
      <c r="T9" s="73">
        <v>127</v>
      </c>
      <c r="U9" s="75">
        <v>0.48499999999999999</v>
      </c>
      <c r="V9" s="75">
        <v>314</v>
      </c>
      <c r="W9" s="22">
        <v>15.5</v>
      </c>
      <c r="X9" s="6">
        <v>0</v>
      </c>
      <c r="Y9" s="75">
        <v>0.28000000000000003</v>
      </c>
      <c r="Z9" s="75">
        <v>0.11</v>
      </c>
      <c r="AA9" s="75">
        <v>2</v>
      </c>
      <c r="AB9" s="75">
        <v>0.42399999999999999</v>
      </c>
      <c r="AC9" s="75">
        <v>0.622</v>
      </c>
      <c r="AD9" s="73">
        <v>19</v>
      </c>
      <c r="AE9" s="73">
        <v>0</v>
      </c>
      <c r="AF9" s="6" t="s">
        <v>2</v>
      </c>
      <c r="AG9" s="22">
        <v>0</v>
      </c>
      <c r="AH9" s="84">
        <v>0</v>
      </c>
      <c r="AI9" s="73">
        <v>11</v>
      </c>
      <c r="AJ9" s="6" t="s">
        <v>2</v>
      </c>
      <c r="AK9" s="6">
        <v>0.49</v>
      </c>
      <c r="AL9" s="22">
        <v>0.3</v>
      </c>
      <c r="AM9" s="73">
        <v>97</v>
      </c>
      <c r="AN9" s="73">
        <v>63</v>
      </c>
      <c r="AO9" s="71">
        <v>0</v>
      </c>
      <c r="AP9" s="6">
        <v>0.66700000000000004</v>
      </c>
      <c r="AQ9" s="75">
        <v>0.56899999999999995</v>
      </c>
      <c r="AR9" s="75">
        <v>0</v>
      </c>
      <c r="AS9" s="75">
        <v>7.4999999999999997E-2</v>
      </c>
      <c r="AT9" s="75">
        <v>0</v>
      </c>
      <c r="AU9" s="75">
        <v>0</v>
      </c>
      <c r="AV9" s="77">
        <v>0</v>
      </c>
      <c r="AW9" s="6">
        <v>1.2509999999999999</v>
      </c>
      <c r="AX9" s="75">
        <v>0</v>
      </c>
      <c r="AY9" s="75">
        <v>4.0000000000000001E-3</v>
      </c>
      <c r="AZ9" s="77">
        <v>1.2470000000000001</v>
      </c>
      <c r="BA9" s="6">
        <v>2.1629999999999998</v>
      </c>
      <c r="BB9" s="75">
        <v>2.097</v>
      </c>
      <c r="BC9" s="75">
        <v>6.5000000000000002E-2</v>
      </c>
      <c r="BD9" s="75">
        <v>0</v>
      </c>
      <c r="BE9" s="75">
        <v>0</v>
      </c>
      <c r="BF9" s="77">
        <v>0</v>
      </c>
      <c r="BG9" s="21" t="s">
        <v>2</v>
      </c>
      <c r="BH9" s="21">
        <v>0</v>
      </c>
      <c r="BI9" s="73">
        <v>265</v>
      </c>
      <c r="BJ9" s="73">
        <v>197</v>
      </c>
      <c r="BK9" s="73">
        <v>67</v>
      </c>
      <c r="BL9" s="73">
        <v>463</v>
      </c>
      <c r="BM9" s="73">
        <v>354</v>
      </c>
      <c r="BN9" s="73">
        <v>477</v>
      </c>
      <c r="BO9" s="73">
        <v>1155</v>
      </c>
      <c r="BP9" s="73">
        <v>337</v>
      </c>
      <c r="BQ9" s="73">
        <v>470</v>
      </c>
      <c r="BR9" s="73">
        <v>287</v>
      </c>
      <c r="BS9" s="73">
        <v>170</v>
      </c>
      <c r="BT9" s="73">
        <v>383</v>
      </c>
      <c r="BU9" s="73">
        <v>705</v>
      </c>
      <c r="BV9" s="73">
        <v>655</v>
      </c>
      <c r="BW9" s="73">
        <v>1768</v>
      </c>
      <c r="BX9" s="73">
        <v>352</v>
      </c>
      <c r="BY9" s="73">
        <v>822</v>
      </c>
      <c r="BZ9" s="71">
        <v>447</v>
      </c>
      <c r="CA9" s="6">
        <v>0.64</v>
      </c>
      <c r="CB9" s="6" t="s">
        <v>2</v>
      </c>
      <c r="CC9" s="6" t="s">
        <v>2</v>
      </c>
      <c r="CD9" s="6" t="s">
        <v>2</v>
      </c>
      <c r="CE9" s="6" t="s">
        <v>2</v>
      </c>
      <c r="CF9" s="6" t="s">
        <v>2</v>
      </c>
      <c r="CG9" s="22" t="s">
        <v>2</v>
      </c>
      <c r="CH9" s="73">
        <v>0</v>
      </c>
      <c r="CI9" s="71">
        <v>1355</v>
      </c>
      <c r="CJ9" s="6" t="s">
        <v>2</v>
      </c>
      <c r="CK9" s="6" t="s">
        <v>2</v>
      </c>
      <c r="CL9" s="6" t="s">
        <v>2</v>
      </c>
      <c r="CM9" s="22" t="s">
        <v>2</v>
      </c>
      <c r="CN9" s="21" t="s">
        <v>2</v>
      </c>
      <c r="CO9" s="21" t="s">
        <v>2</v>
      </c>
    </row>
    <row r="10" spans="1:93" s="76" customFormat="1" x14ac:dyDescent="0.25">
      <c r="A10" s="72" t="s">
        <v>588</v>
      </c>
      <c r="B10" s="53" t="s">
        <v>48</v>
      </c>
      <c r="C10" s="5" t="s">
        <v>632</v>
      </c>
      <c r="D10" s="287">
        <v>1</v>
      </c>
      <c r="E10" s="21">
        <v>0</v>
      </c>
      <c r="F10" s="73">
        <v>276</v>
      </c>
      <c r="G10" s="71">
        <v>1153.6799999999998</v>
      </c>
      <c r="H10" s="74">
        <v>43.2</v>
      </c>
      <c r="I10" s="6">
        <v>10.4</v>
      </c>
      <c r="J10" s="6">
        <v>10.8</v>
      </c>
      <c r="K10" s="6">
        <v>34.299999999999997</v>
      </c>
      <c r="L10" s="6">
        <v>0.9</v>
      </c>
      <c r="M10" s="22">
        <v>1.3</v>
      </c>
      <c r="N10" s="73">
        <v>72</v>
      </c>
      <c r="O10" s="73">
        <v>67</v>
      </c>
      <c r="P10" s="6">
        <v>0.76</v>
      </c>
      <c r="Q10" s="6">
        <v>1.33</v>
      </c>
      <c r="R10" s="73" t="s">
        <v>2</v>
      </c>
      <c r="S10" s="73" t="s">
        <v>2</v>
      </c>
      <c r="T10" s="73" t="s">
        <v>2</v>
      </c>
      <c r="U10" s="75" t="s">
        <v>2</v>
      </c>
      <c r="V10" s="75" t="s">
        <v>2</v>
      </c>
      <c r="W10" s="22" t="s">
        <v>2</v>
      </c>
      <c r="X10" s="6" t="s">
        <v>2</v>
      </c>
      <c r="Y10" s="75">
        <v>0.1</v>
      </c>
      <c r="Z10" s="75">
        <v>0.04</v>
      </c>
      <c r="AA10" s="75">
        <v>1</v>
      </c>
      <c r="AB10" s="75" t="s">
        <v>2</v>
      </c>
      <c r="AC10" s="75" t="s">
        <v>2</v>
      </c>
      <c r="AD10" s="73" t="s">
        <v>2</v>
      </c>
      <c r="AE10" s="73" t="s">
        <v>2</v>
      </c>
      <c r="AF10" s="6" t="s">
        <v>2</v>
      </c>
      <c r="AG10" s="22" t="s">
        <v>2</v>
      </c>
      <c r="AH10" s="84">
        <v>0</v>
      </c>
      <c r="AI10" s="73">
        <v>0</v>
      </c>
      <c r="AJ10" s="6" t="s">
        <v>2</v>
      </c>
      <c r="AK10" s="6" t="s">
        <v>2</v>
      </c>
      <c r="AL10" s="22" t="s">
        <v>2</v>
      </c>
      <c r="AM10" s="73">
        <v>0</v>
      </c>
      <c r="AN10" s="73">
        <v>0</v>
      </c>
      <c r="AO10" s="71">
        <v>0</v>
      </c>
      <c r="AP10" s="6" t="s">
        <v>2</v>
      </c>
      <c r="AQ10" s="75" t="s">
        <v>2</v>
      </c>
      <c r="AR10" s="75" t="s">
        <v>2</v>
      </c>
      <c r="AS10" s="75" t="s">
        <v>2</v>
      </c>
      <c r="AT10" s="75" t="s">
        <v>2</v>
      </c>
      <c r="AU10" s="75" t="s">
        <v>2</v>
      </c>
      <c r="AV10" s="77" t="s">
        <v>2</v>
      </c>
      <c r="AW10" s="6" t="s">
        <v>2</v>
      </c>
      <c r="AX10" s="75" t="s">
        <v>2</v>
      </c>
      <c r="AY10" s="75" t="s">
        <v>2</v>
      </c>
      <c r="AZ10" s="77" t="s">
        <v>2</v>
      </c>
      <c r="BA10" s="6" t="s">
        <v>2</v>
      </c>
      <c r="BB10" s="75" t="s">
        <v>2</v>
      </c>
      <c r="BC10" s="75" t="s">
        <v>2</v>
      </c>
      <c r="BD10" s="75" t="s">
        <v>2</v>
      </c>
      <c r="BE10" s="75" t="s">
        <v>2</v>
      </c>
      <c r="BF10" s="77" t="s">
        <v>2</v>
      </c>
      <c r="BG10" s="21" t="s">
        <v>2</v>
      </c>
      <c r="BH10" s="21">
        <v>0</v>
      </c>
      <c r="BI10" s="73" t="s">
        <v>2</v>
      </c>
      <c r="BJ10" s="73" t="s">
        <v>2</v>
      </c>
      <c r="BK10" s="73" t="s">
        <v>2</v>
      </c>
      <c r="BL10" s="73" t="s">
        <v>2</v>
      </c>
      <c r="BM10" s="73" t="s">
        <v>2</v>
      </c>
      <c r="BN10" s="73" t="s">
        <v>2</v>
      </c>
      <c r="BO10" s="73" t="s">
        <v>2</v>
      </c>
      <c r="BP10" s="73" t="s">
        <v>2</v>
      </c>
      <c r="BQ10" s="73" t="s">
        <v>2</v>
      </c>
      <c r="BR10" s="73" t="s">
        <v>2</v>
      </c>
      <c r="BS10" s="73" t="s">
        <v>2</v>
      </c>
      <c r="BT10" s="73" t="s">
        <v>2</v>
      </c>
      <c r="BU10" s="73" t="s">
        <v>2</v>
      </c>
      <c r="BV10" s="73" t="s">
        <v>2</v>
      </c>
      <c r="BW10" s="73" t="s">
        <v>2</v>
      </c>
      <c r="BX10" s="73" t="s">
        <v>2</v>
      </c>
      <c r="BY10" s="73" t="s">
        <v>2</v>
      </c>
      <c r="BZ10" s="71" t="s">
        <v>2</v>
      </c>
      <c r="CA10" s="6" t="s">
        <v>2</v>
      </c>
      <c r="CB10" s="6" t="s">
        <v>2</v>
      </c>
      <c r="CC10" s="6" t="s">
        <v>2</v>
      </c>
      <c r="CD10" s="6" t="s">
        <v>2</v>
      </c>
      <c r="CE10" s="6" t="s">
        <v>2</v>
      </c>
      <c r="CF10" s="6" t="s">
        <v>2</v>
      </c>
      <c r="CG10" s="22" t="s">
        <v>2</v>
      </c>
      <c r="CH10" s="73">
        <v>0</v>
      </c>
      <c r="CI10" s="71">
        <v>0</v>
      </c>
      <c r="CJ10" s="6" t="s">
        <v>2</v>
      </c>
      <c r="CK10" s="6" t="s">
        <v>2</v>
      </c>
      <c r="CL10" s="6" t="s">
        <v>2</v>
      </c>
      <c r="CM10" s="22" t="s">
        <v>2</v>
      </c>
      <c r="CN10" s="21" t="s">
        <v>2</v>
      </c>
      <c r="CO10" s="21" t="s">
        <v>2</v>
      </c>
    </row>
    <row r="11" spans="1:93" s="76" customFormat="1" x14ac:dyDescent="0.25">
      <c r="A11" s="72" t="s">
        <v>589</v>
      </c>
      <c r="B11" s="53" t="s">
        <v>49</v>
      </c>
      <c r="C11" s="5" t="s">
        <v>633</v>
      </c>
      <c r="D11" s="288">
        <v>1</v>
      </c>
      <c r="E11" s="21">
        <v>0</v>
      </c>
      <c r="F11" s="73">
        <v>335</v>
      </c>
      <c r="G11" s="71">
        <v>1400.3</v>
      </c>
      <c r="H11" s="74">
        <v>15</v>
      </c>
      <c r="I11" s="6">
        <v>4</v>
      </c>
      <c r="J11" s="6">
        <v>0.2</v>
      </c>
      <c r="K11" s="6">
        <v>79.400000000000006</v>
      </c>
      <c r="L11" s="6">
        <v>0.5</v>
      </c>
      <c r="M11" s="22">
        <v>1.4</v>
      </c>
      <c r="N11" s="73">
        <v>20</v>
      </c>
      <c r="O11" s="73">
        <v>65</v>
      </c>
      <c r="P11" s="6">
        <v>0.3</v>
      </c>
      <c r="Q11" s="6" t="s">
        <v>2</v>
      </c>
      <c r="R11" s="73" t="s">
        <v>2</v>
      </c>
      <c r="S11" s="73" t="s">
        <v>2</v>
      </c>
      <c r="T11" s="73" t="s">
        <v>2</v>
      </c>
      <c r="U11" s="75" t="s">
        <v>2</v>
      </c>
      <c r="V11" s="75" t="s">
        <v>2</v>
      </c>
      <c r="W11" s="22" t="s">
        <v>2</v>
      </c>
      <c r="X11" s="6">
        <v>0</v>
      </c>
      <c r="Y11" s="75" t="s">
        <v>2</v>
      </c>
      <c r="Z11" s="75" t="s">
        <v>2</v>
      </c>
      <c r="AA11" s="75" t="s">
        <v>2</v>
      </c>
      <c r="AB11" s="75" t="s">
        <v>2</v>
      </c>
      <c r="AC11" s="75" t="s">
        <v>2</v>
      </c>
      <c r="AD11" s="73" t="s">
        <v>2</v>
      </c>
      <c r="AE11" s="73" t="s">
        <v>2</v>
      </c>
      <c r="AF11" s="6" t="s">
        <v>2</v>
      </c>
      <c r="AG11" s="22" t="s">
        <v>2</v>
      </c>
      <c r="AH11" s="84">
        <v>0</v>
      </c>
      <c r="AI11" s="73">
        <v>0</v>
      </c>
      <c r="AJ11" s="6">
        <v>0</v>
      </c>
      <c r="AK11" s="6">
        <v>0</v>
      </c>
      <c r="AL11" s="22">
        <v>0</v>
      </c>
      <c r="AM11" s="73">
        <v>0</v>
      </c>
      <c r="AN11" s="73">
        <v>0</v>
      </c>
      <c r="AO11" s="71">
        <v>0</v>
      </c>
      <c r="AP11" s="6" t="s">
        <v>2</v>
      </c>
      <c r="AQ11" s="75" t="s">
        <v>2</v>
      </c>
      <c r="AR11" s="75" t="s">
        <v>2</v>
      </c>
      <c r="AS11" s="75" t="s">
        <v>2</v>
      </c>
      <c r="AT11" s="75" t="s">
        <v>2</v>
      </c>
      <c r="AU11" s="75" t="s">
        <v>2</v>
      </c>
      <c r="AV11" s="77" t="s">
        <v>2</v>
      </c>
      <c r="AW11" s="6" t="s">
        <v>2</v>
      </c>
      <c r="AX11" s="75" t="s">
        <v>2</v>
      </c>
      <c r="AY11" s="75" t="s">
        <v>2</v>
      </c>
      <c r="AZ11" s="77" t="s">
        <v>2</v>
      </c>
      <c r="BA11" s="6" t="s">
        <v>2</v>
      </c>
      <c r="BB11" s="75" t="s">
        <v>2</v>
      </c>
      <c r="BC11" s="75" t="s">
        <v>2</v>
      </c>
      <c r="BD11" s="75" t="s">
        <v>2</v>
      </c>
      <c r="BE11" s="75" t="s">
        <v>2</v>
      </c>
      <c r="BF11" s="77" t="s">
        <v>2</v>
      </c>
      <c r="BG11" s="21" t="s">
        <v>2</v>
      </c>
      <c r="BH11" s="21">
        <v>0</v>
      </c>
      <c r="BI11" s="73" t="s">
        <v>2</v>
      </c>
      <c r="BJ11" s="73" t="s">
        <v>2</v>
      </c>
      <c r="BK11" s="73" t="s">
        <v>2</v>
      </c>
      <c r="BL11" s="73" t="s">
        <v>2</v>
      </c>
      <c r="BM11" s="73" t="s">
        <v>2</v>
      </c>
      <c r="BN11" s="73" t="s">
        <v>2</v>
      </c>
      <c r="BO11" s="73" t="s">
        <v>2</v>
      </c>
      <c r="BP11" s="73" t="s">
        <v>2</v>
      </c>
      <c r="BQ11" s="73" t="s">
        <v>2</v>
      </c>
      <c r="BR11" s="73" t="s">
        <v>2</v>
      </c>
      <c r="BS11" s="73" t="s">
        <v>2</v>
      </c>
      <c r="BT11" s="73" t="s">
        <v>2</v>
      </c>
      <c r="BU11" s="73" t="s">
        <v>2</v>
      </c>
      <c r="BV11" s="73" t="s">
        <v>2</v>
      </c>
      <c r="BW11" s="73" t="s">
        <v>2</v>
      </c>
      <c r="BX11" s="73" t="s">
        <v>2</v>
      </c>
      <c r="BY11" s="73" t="s">
        <v>2</v>
      </c>
      <c r="BZ11" s="71" t="s">
        <v>2</v>
      </c>
      <c r="CA11" s="6" t="s">
        <v>2</v>
      </c>
      <c r="CB11" s="6" t="s">
        <v>2</v>
      </c>
      <c r="CC11" s="6" t="s">
        <v>2</v>
      </c>
      <c r="CD11" s="6" t="s">
        <v>2</v>
      </c>
      <c r="CE11" s="6" t="s">
        <v>2</v>
      </c>
      <c r="CF11" s="6" t="s">
        <v>2</v>
      </c>
      <c r="CG11" s="22" t="s">
        <v>2</v>
      </c>
      <c r="CH11" s="73">
        <v>0</v>
      </c>
      <c r="CI11" s="71">
        <v>0</v>
      </c>
      <c r="CJ11" s="6" t="s">
        <v>2</v>
      </c>
      <c r="CK11" s="6" t="s">
        <v>2</v>
      </c>
      <c r="CL11" s="6" t="s">
        <v>2</v>
      </c>
      <c r="CM11" s="22" t="s">
        <v>2</v>
      </c>
      <c r="CN11" s="21" t="s">
        <v>2</v>
      </c>
      <c r="CO11" s="21">
        <v>0</v>
      </c>
    </row>
    <row r="12" spans="1:93" s="76" customFormat="1" x14ac:dyDescent="0.25">
      <c r="A12" s="72" t="s">
        <v>590</v>
      </c>
      <c r="B12" s="53" t="s">
        <v>50</v>
      </c>
      <c r="C12" s="5" t="s">
        <v>634</v>
      </c>
      <c r="D12" s="287">
        <v>1</v>
      </c>
      <c r="E12" s="21">
        <v>0</v>
      </c>
      <c r="F12" s="73">
        <v>52</v>
      </c>
      <c r="G12" s="71">
        <v>217.35999999999999</v>
      </c>
      <c r="H12" s="74">
        <v>86.8</v>
      </c>
      <c r="I12" s="6">
        <v>0.9</v>
      </c>
      <c r="J12" s="6">
        <v>0.3</v>
      </c>
      <c r="K12" s="6">
        <v>11.4</v>
      </c>
      <c r="L12" s="6">
        <v>0.1</v>
      </c>
      <c r="M12" s="22">
        <v>0.6</v>
      </c>
      <c r="N12" s="73">
        <v>50</v>
      </c>
      <c r="O12" s="73">
        <v>19</v>
      </c>
      <c r="P12" s="6">
        <v>0.4</v>
      </c>
      <c r="Q12" s="6" t="s">
        <v>2</v>
      </c>
      <c r="R12" s="73" t="s">
        <v>2</v>
      </c>
      <c r="S12" s="73" t="s">
        <v>2</v>
      </c>
      <c r="T12" s="73" t="s">
        <v>2</v>
      </c>
      <c r="U12" s="75" t="s">
        <v>2</v>
      </c>
      <c r="V12" s="75" t="s">
        <v>2</v>
      </c>
      <c r="W12" s="22" t="s">
        <v>2</v>
      </c>
      <c r="X12" s="6">
        <v>0</v>
      </c>
      <c r="Y12" s="75" t="s">
        <v>2</v>
      </c>
      <c r="Z12" s="75" t="s">
        <v>2</v>
      </c>
      <c r="AA12" s="75" t="s">
        <v>2</v>
      </c>
      <c r="AB12" s="75" t="s">
        <v>2</v>
      </c>
      <c r="AC12" s="75" t="s">
        <v>2</v>
      </c>
      <c r="AD12" s="73" t="s">
        <v>2</v>
      </c>
      <c r="AE12" s="73" t="s">
        <v>2</v>
      </c>
      <c r="AF12" s="6" t="s">
        <v>2</v>
      </c>
      <c r="AG12" s="22" t="s">
        <v>2</v>
      </c>
      <c r="AH12" s="84">
        <v>0</v>
      </c>
      <c r="AI12" s="73">
        <v>0</v>
      </c>
      <c r="AJ12" s="6" t="s">
        <v>2</v>
      </c>
      <c r="AK12" s="6" t="s">
        <v>2</v>
      </c>
      <c r="AL12" s="22" t="s">
        <v>2</v>
      </c>
      <c r="AM12" s="73">
        <v>0</v>
      </c>
      <c r="AN12" s="73">
        <v>0</v>
      </c>
      <c r="AO12" s="71">
        <v>0</v>
      </c>
      <c r="AP12" s="6" t="s">
        <v>2</v>
      </c>
      <c r="AQ12" s="75" t="s">
        <v>2</v>
      </c>
      <c r="AR12" s="75" t="s">
        <v>2</v>
      </c>
      <c r="AS12" s="75" t="s">
        <v>2</v>
      </c>
      <c r="AT12" s="75" t="s">
        <v>2</v>
      </c>
      <c r="AU12" s="75" t="s">
        <v>2</v>
      </c>
      <c r="AV12" s="77" t="s">
        <v>2</v>
      </c>
      <c r="AW12" s="6" t="s">
        <v>2</v>
      </c>
      <c r="AX12" s="75" t="s">
        <v>2</v>
      </c>
      <c r="AY12" s="75" t="s">
        <v>2</v>
      </c>
      <c r="AZ12" s="77" t="s">
        <v>2</v>
      </c>
      <c r="BA12" s="6" t="s">
        <v>2</v>
      </c>
      <c r="BB12" s="75" t="s">
        <v>2</v>
      </c>
      <c r="BC12" s="75" t="s">
        <v>2</v>
      </c>
      <c r="BD12" s="75" t="s">
        <v>2</v>
      </c>
      <c r="BE12" s="75" t="s">
        <v>2</v>
      </c>
      <c r="BF12" s="77" t="s">
        <v>2</v>
      </c>
      <c r="BG12" s="21" t="s">
        <v>2</v>
      </c>
      <c r="BH12" s="21">
        <v>0</v>
      </c>
      <c r="BI12" s="73" t="s">
        <v>2</v>
      </c>
      <c r="BJ12" s="73" t="s">
        <v>2</v>
      </c>
      <c r="BK12" s="73" t="s">
        <v>2</v>
      </c>
      <c r="BL12" s="73" t="s">
        <v>2</v>
      </c>
      <c r="BM12" s="73" t="s">
        <v>2</v>
      </c>
      <c r="BN12" s="73" t="s">
        <v>2</v>
      </c>
      <c r="BO12" s="73" t="s">
        <v>2</v>
      </c>
      <c r="BP12" s="73" t="s">
        <v>2</v>
      </c>
      <c r="BQ12" s="73" t="s">
        <v>2</v>
      </c>
      <c r="BR12" s="73" t="s">
        <v>2</v>
      </c>
      <c r="BS12" s="73" t="s">
        <v>2</v>
      </c>
      <c r="BT12" s="73" t="s">
        <v>2</v>
      </c>
      <c r="BU12" s="73" t="s">
        <v>2</v>
      </c>
      <c r="BV12" s="73" t="s">
        <v>2</v>
      </c>
      <c r="BW12" s="73" t="s">
        <v>2</v>
      </c>
      <c r="BX12" s="73" t="s">
        <v>2</v>
      </c>
      <c r="BY12" s="73" t="s">
        <v>2</v>
      </c>
      <c r="BZ12" s="71" t="s">
        <v>2</v>
      </c>
      <c r="CA12" s="6" t="s">
        <v>2</v>
      </c>
      <c r="CB12" s="6" t="s">
        <v>2</v>
      </c>
      <c r="CC12" s="6" t="s">
        <v>2</v>
      </c>
      <c r="CD12" s="6" t="s">
        <v>2</v>
      </c>
      <c r="CE12" s="6" t="s">
        <v>2</v>
      </c>
      <c r="CF12" s="6" t="s">
        <v>2</v>
      </c>
      <c r="CG12" s="22" t="s">
        <v>2</v>
      </c>
      <c r="CH12" s="73">
        <v>0</v>
      </c>
      <c r="CI12" s="71">
        <v>0</v>
      </c>
      <c r="CJ12" s="6" t="s">
        <v>2</v>
      </c>
      <c r="CK12" s="6" t="s">
        <v>2</v>
      </c>
      <c r="CL12" s="6" t="s">
        <v>2</v>
      </c>
      <c r="CM12" s="22" t="s">
        <v>2</v>
      </c>
      <c r="CN12" s="21" t="s">
        <v>2</v>
      </c>
      <c r="CO12" s="21" t="s">
        <v>2</v>
      </c>
    </row>
    <row r="13" spans="1:93" s="76" customFormat="1" x14ac:dyDescent="0.25">
      <c r="A13" s="72" t="s">
        <v>591</v>
      </c>
      <c r="B13" s="54" t="s">
        <v>51</v>
      </c>
      <c r="C13" s="5" t="s">
        <v>635</v>
      </c>
      <c r="D13" s="288">
        <v>1</v>
      </c>
      <c r="E13" s="21">
        <v>0</v>
      </c>
      <c r="F13" s="73">
        <v>250</v>
      </c>
      <c r="G13" s="71">
        <v>1045</v>
      </c>
      <c r="H13" s="74">
        <v>37.200000000000003</v>
      </c>
      <c r="I13" s="6">
        <v>7.9</v>
      </c>
      <c r="J13" s="6">
        <v>0.8</v>
      </c>
      <c r="K13" s="6">
        <v>52.8</v>
      </c>
      <c r="L13" s="6">
        <v>0.2</v>
      </c>
      <c r="M13" s="22">
        <v>1.3</v>
      </c>
      <c r="N13" s="73">
        <v>28</v>
      </c>
      <c r="O13" s="73">
        <v>164</v>
      </c>
      <c r="P13" s="6">
        <v>2</v>
      </c>
      <c r="Q13" s="6" t="s">
        <v>2</v>
      </c>
      <c r="R13" s="73" t="s">
        <v>2</v>
      </c>
      <c r="S13" s="73" t="s">
        <v>2</v>
      </c>
      <c r="T13" s="73" t="s">
        <v>2</v>
      </c>
      <c r="U13" s="75" t="s">
        <v>2</v>
      </c>
      <c r="V13" s="75" t="s">
        <v>2</v>
      </c>
      <c r="W13" s="22" t="s">
        <v>2</v>
      </c>
      <c r="X13" s="6">
        <v>0</v>
      </c>
      <c r="Y13" s="75">
        <v>0.1</v>
      </c>
      <c r="Z13" s="75">
        <v>7.0000000000000007E-2</v>
      </c>
      <c r="AA13" s="75">
        <v>0.7</v>
      </c>
      <c r="AB13" s="75" t="s">
        <v>2</v>
      </c>
      <c r="AC13" s="75" t="s">
        <v>2</v>
      </c>
      <c r="AD13" s="73" t="s">
        <v>2</v>
      </c>
      <c r="AE13" s="73" t="s">
        <v>2</v>
      </c>
      <c r="AF13" s="6" t="s">
        <v>2</v>
      </c>
      <c r="AG13" s="22" t="s">
        <v>2</v>
      </c>
      <c r="AH13" s="84">
        <v>0</v>
      </c>
      <c r="AI13" s="73">
        <v>0</v>
      </c>
      <c r="AJ13" s="6" t="s">
        <v>2</v>
      </c>
      <c r="AK13" s="6" t="s">
        <v>2</v>
      </c>
      <c r="AL13" s="22" t="s">
        <v>2</v>
      </c>
      <c r="AM13" s="73">
        <v>0</v>
      </c>
      <c r="AN13" s="73">
        <v>0</v>
      </c>
      <c r="AO13" s="71">
        <v>0</v>
      </c>
      <c r="AP13" s="6" t="s">
        <v>2</v>
      </c>
      <c r="AQ13" s="75" t="s">
        <v>2</v>
      </c>
      <c r="AR13" s="75" t="s">
        <v>2</v>
      </c>
      <c r="AS13" s="75" t="s">
        <v>2</v>
      </c>
      <c r="AT13" s="75" t="s">
        <v>2</v>
      </c>
      <c r="AU13" s="75" t="s">
        <v>2</v>
      </c>
      <c r="AV13" s="77" t="s">
        <v>2</v>
      </c>
      <c r="AW13" s="6" t="s">
        <v>2</v>
      </c>
      <c r="AX13" s="75" t="s">
        <v>2</v>
      </c>
      <c r="AY13" s="75" t="s">
        <v>2</v>
      </c>
      <c r="AZ13" s="77" t="s">
        <v>2</v>
      </c>
      <c r="BA13" s="6" t="s">
        <v>2</v>
      </c>
      <c r="BB13" s="75" t="s">
        <v>2</v>
      </c>
      <c r="BC13" s="75" t="s">
        <v>2</v>
      </c>
      <c r="BD13" s="75" t="s">
        <v>2</v>
      </c>
      <c r="BE13" s="75" t="s">
        <v>2</v>
      </c>
      <c r="BF13" s="77" t="s">
        <v>2</v>
      </c>
      <c r="BG13" s="21" t="s">
        <v>2</v>
      </c>
      <c r="BH13" s="21">
        <v>0</v>
      </c>
      <c r="BI13" s="73">
        <v>163</v>
      </c>
      <c r="BJ13" s="73">
        <v>133</v>
      </c>
      <c r="BK13" s="73">
        <v>66</v>
      </c>
      <c r="BL13" s="73">
        <v>314</v>
      </c>
      <c r="BM13" s="73">
        <v>216</v>
      </c>
      <c r="BN13" s="73">
        <v>366</v>
      </c>
      <c r="BO13" s="73">
        <v>460</v>
      </c>
      <c r="BP13" s="73">
        <v>294</v>
      </c>
      <c r="BQ13" s="73">
        <v>294</v>
      </c>
      <c r="BR13" s="73">
        <v>133</v>
      </c>
      <c r="BS13" s="73">
        <v>188</v>
      </c>
      <c r="BT13" s="73">
        <v>208</v>
      </c>
      <c r="BU13" s="73">
        <v>280</v>
      </c>
      <c r="BV13" s="73">
        <v>392</v>
      </c>
      <c r="BW13" s="73">
        <v>1924</v>
      </c>
      <c r="BX13" s="73">
        <v>386</v>
      </c>
      <c r="BY13" s="73">
        <v>732</v>
      </c>
      <c r="BZ13" s="71">
        <v>345</v>
      </c>
      <c r="CA13" s="6" t="s">
        <v>2</v>
      </c>
      <c r="CB13" s="6" t="s">
        <v>2</v>
      </c>
      <c r="CC13" s="6" t="s">
        <v>2</v>
      </c>
      <c r="CD13" s="6" t="s">
        <v>2</v>
      </c>
      <c r="CE13" s="6" t="s">
        <v>2</v>
      </c>
      <c r="CF13" s="6" t="s">
        <v>2</v>
      </c>
      <c r="CG13" s="22" t="s">
        <v>2</v>
      </c>
      <c r="CH13" s="73">
        <v>0</v>
      </c>
      <c r="CI13" s="71">
        <v>0</v>
      </c>
      <c r="CJ13" s="6" t="s">
        <v>2</v>
      </c>
      <c r="CK13" s="6" t="s">
        <v>2</v>
      </c>
      <c r="CL13" s="6" t="s">
        <v>2</v>
      </c>
      <c r="CM13" s="22" t="s">
        <v>2</v>
      </c>
      <c r="CN13" s="21" t="s">
        <v>2</v>
      </c>
      <c r="CO13" s="21" t="s">
        <v>2</v>
      </c>
    </row>
    <row r="14" spans="1:93" s="76" customFormat="1" x14ac:dyDescent="0.25">
      <c r="A14" s="72" t="s">
        <v>592</v>
      </c>
      <c r="B14" s="54" t="s">
        <v>52</v>
      </c>
      <c r="C14" s="5" t="s">
        <v>636</v>
      </c>
      <c r="D14" s="287">
        <v>1</v>
      </c>
      <c r="E14" s="21">
        <v>0</v>
      </c>
      <c r="F14" s="73">
        <v>143</v>
      </c>
      <c r="G14" s="71">
        <v>597.74</v>
      </c>
      <c r="H14" s="74">
        <v>64.3</v>
      </c>
      <c r="I14" s="6">
        <v>3.2</v>
      </c>
      <c r="J14" s="6">
        <v>0.4</v>
      </c>
      <c r="K14" s="6">
        <v>32.1</v>
      </c>
      <c r="L14" s="6">
        <v>0</v>
      </c>
      <c r="M14" s="22">
        <v>0.4</v>
      </c>
      <c r="N14" s="73">
        <v>16</v>
      </c>
      <c r="O14" s="73">
        <v>64</v>
      </c>
      <c r="P14" s="6">
        <v>0.3</v>
      </c>
      <c r="Q14" s="6" t="s">
        <v>2</v>
      </c>
      <c r="R14" s="73">
        <v>3</v>
      </c>
      <c r="S14" s="73">
        <v>15</v>
      </c>
      <c r="T14" s="73" t="s">
        <v>2</v>
      </c>
      <c r="U14" s="75" t="s">
        <v>2</v>
      </c>
      <c r="V14" s="75" t="s">
        <v>2</v>
      </c>
      <c r="W14" s="22" t="s">
        <v>2</v>
      </c>
      <c r="X14" s="6">
        <v>0</v>
      </c>
      <c r="Y14" s="75">
        <v>0.01</v>
      </c>
      <c r="Z14" s="75">
        <v>0.01</v>
      </c>
      <c r="AA14" s="75">
        <v>0.2</v>
      </c>
      <c r="AB14" s="75" t="s">
        <v>2</v>
      </c>
      <c r="AC14" s="75" t="s">
        <v>2</v>
      </c>
      <c r="AD14" s="73" t="s">
        <v>2</v>
      </c>
      <c r="AE14" s="73" t="s">
        <v>2</v>
      </c>
      <c r="AF14" s="6" t="s">
        <v>2</v>
      </c>
      <c r="AG14" s="22" t="s">
        <v>2</v>
      </c>
      <c r="AH14" s="84">
        <v>0</v>
      </c>
      <c r="AI14" s="73">
        <v>0</v>
      </c>
      <c r="AJ14" s="6">
        <v>0</v>
      </c>
      <c r="AK14" s="6">
        <v>0</v>
      </c>
      <c r="AL14" s="22">
        <v>0</v>
      </c>
      <c r="AM14" s="73">
        <v>0</v>
      </c>
      <c r="AN14" s="73">
        <v>0</v>
      </c>
      <c r="AO14" s="71">
        <v>0</v>
      </c>
      <c r="AP14" s="6" t="s">
        <v>2</v>
      </c>
      <c r="AQ14" s="75" t="s">
        <v>2</v>
      </c>
      <c r="AR14" s="75" t="s">
        <v>2</v>
      </c>
      <c r="AS14" s="75" t="s">
        <v>2</v>
      </c>
      <c r="AT14" s="75" t="s">
        <v>2</v>
      </c>
      <c r="AU14" s="75" t="s">
        <v>2</v>
      </c>
      <c r="AV14" s="77" t="s">
        <v>2</v>
      </c>
      <c r="AW14" s="6" t="s">
        <v>2</v>
      </c>
      <c r="AX14" s="75" t="s">
        <v>2</v>
      </c>
      <c r="AY14" s="75" t="s">
        <v>2</v>
      </c>
      <c r="AZ14" s="77" t="s">
        <v>2</v>
      </c>
      <c r="BA14" s="6" t="s">
        <v>2</v>
      </c>
      <c r="BB14" s="75" t="s">
        <v>2</v>
      </c>
      <c r="BC14" s="75" t="s">
        <v>2</v>
      </c>
      <c r="BD14" s="75" t="s">
        <v>2</v>
      </c>
      <c r="BE14" s="75" t="s">
        <v>2</v>
      </c>
      <c r="BF14" s="77" t="s">
        <v>2</v>
      </c>
      <c r="BG14" s="21" t="s">
        <v>2</v>
      </c>
      <c r="BH14" s="21">
        <v>0</v>
      </c>
      <c r="BI14" s="73" t="s">
        <v>2</v>
      </c>
      <c r="BJ14" s="73" t="s">
        <v>2</v>
      </c>
      <c r="BK14" s="73" t="s">
        <v>2</v>
      </c>
      <c r="BL14" s="73" t="s">
        <v>2</v>
      </c>
      <c r="BM14" s="73" t="s">
        <v>2</v>
      </c>
      <c r="BN14" s="73" t="s">
        <v>2</v>
      </c>
      <c r="BO14" s="73" t="s">
        <v>2</v>
      </c>
      <c r="BP14" s="73" t="s">
        <v>2</v>
      </c>
      <c r="BQ14" s="73" t="s">
        <v>2</v>
      </c>
      <c r="BR14" s="73" t="s">
        <v>2</v>
      </c>
      <c r="BS14" s="73" t="s">
        <v>2</v>
      </c>
      <c r="BT14" s="73" t="s">
        <v>2</v>
      </c>
      <c r="BU14" s="73" t="s">
        <v>2</v>
      </c>
      <c r="BV14" s="73" t="s">
        <v>2</v>
      </c>
      <c r="BW14" s="73" t="s">
        <v>2</v>
      </c>
      <c r="BX14" s="73" t="s">
        <v>2</v>
      </c>
      <c r="BY14" s="73" t="s">
        <v>2</v>
      </c>
      <c r="BZ14" s="71" t="s">
        <v>2</v>
      </c>
      <c r="CA14" s="6" t="s">
        <v>2</v>
      </c>
      <c r="CB14" s="6" t="s">
        <v>2</v>
      </c>
      <c r="CC14" s="6" t="s">
        <v>2</v>
      </c>
      <c r="CD14" s="6" t="s">
        <v>2</v>
      </c>
      <c r="CE14" s="6" t="s">
        <v>2</v>
      </c>
      <c r="CF14" s="6" t="s">
        <v>2</v>
      </c>
      <c r="CG14" s="22" t="s">
        <v>2</v>
      </c>
      <c r="CH14" s="73">
        <v>0</v>
      </c>
      <c r="CI14" s="71">
        <v>0</v>
      </c>
      <c r="CJ14" s="6" t="s">
        <v>2</v>
      </c>
      <c r="CK14" s="6" t="s">
        <v>2</v>
      </c>
      <c r="CL14" s="6" t="s">
        <v>2</v>
      </c>
      <c r="CM14" s="22" t="s">
        <v>2</v>
      </c>
      <c r="CN14" s="21" t="s">
        <v>2</v>
      </c>
      <c r="CO14" s="21">
        <v>0</v>
      </c>
    </row>
    <row r="15" spans="1:93" s="76" customFormat="1" x14ac:dyDescent="0.25">
      <c r="A15" s="72" t="s">
        <v>593</v>
      </c>
      <c r="B15" s="54" t="s">
        <v>53</v>
      </c>
      <c r="C15" s="5" t="s">
        <v>637</v>
      </c>
      <c r="D15" s="288">
        <v>1</v>
      </c>
      <c r="E15" s="21">
        <v>0</v>
      </c>
      <c r="F15" s="73">
        <v>200</v>
      </c>
      <c r="G15" s="71">
        <v>836</v>
      </c>
      <c r="H15" s="74">
        <v>38.700000000000003</v>
      </c>
      <c r="I15" s="6">
        <v>3.7</v>
      </c>
      <c r="J15" s="6">
        <v>6.8</v>
      </c>
      <c r="K15" s="6">
        <v>31.1</v>
      </c>
      <c r="L15" s="6">
        <v>0.2</v>
      </c>
      <c r="M15" s="22">
        <v>0.8</v>
      </c>
      <c r="N15" s="73">
        <v>48</v>
      </c>
      <c r="O15" s="73">
        <v>19</v>
      </c>
      <c r="P15" s="6">
        <v>0.94</v>
      </c>
      <c r="Q15" s="6">
        <v>0.27</v>
      </c>
      <c r="R15" s="73" t="s">
        <v>2</v>
      </c>
      <c r="S15" s="73" t="s">
        <v>2</v>
      </c>
      <c r="T15" s="73" t="s">
        <v>2</v>
      </c>
      <c r="U15" s="75" t="s">
        <v>2</v>
      </c>
      <c r="V15" s="75" t="s">
        <v>2</v>
      </c>
      <c r="W15" s="22" t="s">
        <v>2</v>
      </c>
      <c r="X15" s="6">
        <v>0</v>
      </c>
      <c r="Y15" s="75" t="s">
        <v>2</v>
      </c>
      <c r="Z15" s="75" t="s">
        <v>2</v>
      </c>
      <c r="AA15" s="75" t="s">
        <v>2</v>
      </c>
      <c r="AB15" s="75" t="s">
        <v>2</v>
      </c>
      <c r="AC15" s="75" t="s">
        <v>2</v>
      </c>
      <c r="AD15" s="73" t="s">
        <v>2</v>
      </c>
      <c r="AE15" s="73" t="s">
        <v>2</v>
      </c>
      <c r="AF15" s="6" t="s">
        <v>2</v>
      </c>
      <c r="AG15" s="22" t="s">
        <v>2</v>
      </c>
      <c r="AH15" s="84">
        <v>0</v>
      </c>
      <c r="AI15" s="73">
        <v>0</v>
      </c>
      <c r="AJ15" s="6">
        <v>0</v>
      </c>
      <c r="AK15" s="6" t="s">
        <v>2</v>
      </c>
      <c r="AL15" s="22">
        <v>0</v>
      </c>
      <c r="AM15" s="73">
        <v>0</v>
      </c>
      <c r="AN15" s="73">
        <v>0</v>
      </c>
      <c r="AO15" s="71">
        <v>0</v>
      </c>
      <c r="AP15" s="6" t="s">
        <v>2</v>
      </c>
      <c r="AQ15" s="75" t="s">
        <v>2</v>
      </c>
      <c r="AR15" s="75" t="s">
        <v>2</v>
      </c>
      <c r="AS15" s="75" t="s">
        <v>2</v>
      </c>
      <c r="AT15" s="75" t="s">
        <v>2</v>
      </c>
      <c r="AU15" s="75" t="s">
        <v>2</v>
      </c>
      <c r="AV15" s="77" t="s">
        <v>2</v>
      </c>
      <c r="AW15" s="6" t="s">
        <v>2</v>
      </c>
      <c r="AX15" s="75" t="s">
        <v>2</v>
      </c>
      <c r="AY15" s="75" t="s">
        <v>2</v>
      </c>
      <c r="AZ15" s="77" t="s">
        <v>2</v>
      </c>
      <c r="BA15" s="6" t="s">
        <v>2</v>
      </c>
      <c r="BB15" s="75" t="s">
        <v>2</v>
      </c>
      <c r="BC15" s="75" t="s">
        <v>2</v>
      </c>
      <c r="BD15" s="75" t="s">
        <v>2</v>
      </c>
      <c r="BE15" s="75" t="s">
        <v>2</v>
      </c>
      <c r="BF15" s="77" t="s">
        <v>2</v>
      </c>
      <c r="BG15" s="21" t="s">
        <v>2</v>
      </c>
      <c r="BH15" s="21">
        <v>0</v>
      </c>
      <c r="BI15" s="73" t="s">
        <v>2</v>
      </c>
      <c r="BJ15" s="73" t="s">
        <v>2</v>
      </c>
      <c r="BK15" s="73" t="s">
        <v>2</v>
      </c>
      <c r="BL15" s="73" t="s">
        <v>2</v>
      </c>
      <c r="BM15" s="73" t="s">
        <v>2</v>
      </c>
      <c r="BN15" s="73" t="s">
        <v>2</v>
      </c>
      <c r="BO15" s="73" t="s">
        <v>2</v>
      </c>
      <c r="BP15" s="73" t="s">
        <v>2</v>
      </c>
      <c r="BQ15" s="73" t="s">
        <v>2</v>
      </c>
      <c r="BR15" s="73" t="s">
        <v>2</v>
      </c>
      <c r="BS15" s="73" t="s">
        <v>2</v>
      </c>
      <c r="BT15" s="73" t="s">
        <v>2</v>
      </c>
      <c r="BU15" s="73" t="s">
        <v>2</v>
      </c>
      <c r="BV15" s="73" t="s">
        <v>2</v>
      </c>
      <c r="BW15" s="73" t="s">
        <v>2</v>
      </c>
      <c r="BX15" s="73" t="s">
        <v>2</v>
      </c>
      <c r="BY15" s="73" t="s">
        <v>2</v>
      </c>
      <c r="BZ15" s="71" t="s">
        <v>2</v>
      </c>
      <c r="CA15" s="6" t="s">
        <v>2</v>
      </c>
      <c r="CB15" s="6" t="s">
        <v>2</v>
      </c>
      <c r="CC15" s="6" t="s">
        <v>2</v>
      </c>
      <c r="CD15" s="6" t="s">
        <v>2</v>
      </c>
      <c r="CE15" s="6" t="s">
        <v>2</v>
      </c>
      <c r="CF15" s="6" t="s">
        <v>2</v>
      </c>
      <c r="CG15" s="22" t="s">
        <v>2</v>
      </c>
      <c r="CH15" s="73">
        <v>0</v>
      </c>
      <c r="CI15" s="71">
        <v>0</v>
      </c>
      <c r="CJ15" s="6" t="s">
        <v>2</v>
      </c>
      <c r="CK15" s="6" t="s">
        <v>2</v>
      </c>
      <c r="CL15" s="6" t="s">
        <v>2</v>
      </c>
      <c r="CM15" s="22" t="s">
        <v>2</v>
      </c>
      <c r="CN15" s="21" t="s">
        <v>2</v>
      </c>
      <c r="CO15" s="21">
        <v>0</v>
      </c>
    </row>
    <row r="16" spans="1:93" x14ac:dyDescent="0.25">
      <c r="A16" s="60" t="s">
        <v>594</v>
      </c>
      <c r="B16" s="51" t="s">
        <v>54</v>
      </c>
      <c r="C16" s="1" t="s">
        <v>1075</v>
      </c>
      <c r="D16" s="287">
        <v>1</v>
      </c>
      <c r="E16" s="11">
        <v>0</v>
      </c>
      <c r="F16" s="65">
        <v>386</v>
      </c>
      <c r="G16" s="71">
        <v>1613.4799999999998</v>
      </c>
      <c r="H16" s="68">
        <v>3</v>
      </c>
      <c r="I16" s="3">
        <v>8.6</v>
      </c>
      <c r="J16" s="3">
        <v>1.6</v>
      </c>
      <c r="K16" s="3">
        <v>84.2</v>
      </c>
      <c r="L16" s="3">
        <v>3.4</v>
      </c>
      <c r="M16" s="7">
        <v>2.6</v>
      </c>
      <c r="N16" s="65">
        <v>3</v>
      </c>
      <c r="O16" s="65">
        <v>47</v>
      </c>
      <c r="P16" s="3">
        <v>0.6</v>
      </c>
      <c r="Q16" s="3" t="s">
        <v>2</v>
      </c>
      <c r="R16" s="65">
        <v>346</v>
      </c>
      <c r="S16" s="65">
        <v>609</v>
      </c>
      <c r="T16" s="65">
        <v>334</v>
      </c>
      <c r="U16" s="61" t="s">
        <v>2</v>
      </c>
      <c r="V16" s="61" t="s">
        <v>2</v>
      </c>
      <c r="W16" s="7" t="s">
        <v>2</v>
      </c>
      <c r="X16" s="3">
        <v>0</v>
      </c>
      <c r="Y16" s="61">
        <v>0.02</v>
      </c>
      <c r="Z16" s="61">
        <v>0.03</v>
      </c>
      <c r="AA16" s="61">
        <v>0.6</v>
      </c>
      <c r="AB16" s="61" t="s">
        <v>2</v>
      </c>
      <c r="AC16" s="61" t="s">
        <v>2</v>
      </c>
      <c r="AD16" s="65" t="s">
        <v>2</v>
      </c>
      <c r="AE16" s="65" t="s">
        <v>2</v>
      </c>
      <c r="AF16" s="3" t="s">
        <v>2</v>
      </c>
      <c r="AG16" s="7" t="s">
        <v>2</v>
      </c>
      <c r="AH16" s="84">
        <v>0</v>
      </c>
      <c r="AI16" s="65">
        <v>0</v>
      </c>
      <c r="AJ16" s="3" t="s">
        <v>2</v>
      </c>
      <c r="AK16" s="3" t="s">
        <v>2</v>
      </c>
      <c r="AL16" s="7" t="s">
        <v>2</v>
      </c>
      <c r="AM16" s="65">
        <v>0</v>
      </c>
      <c r="AN16" s="65">
        <v>0</v>
      </c>
      <c r="AO16" s="59">
        <v>0</v>
      </c>
      <c r="AP16" s="3" t="s">
        <v>2</v>
      </c>
      <c r="AQ16" s="61" t="s">
        <v>2</v>
      </c>
      <c r="AR16" s="61" t="s">
        <v>2</v>
      </c>
      <c r="AS16" s="61" t="s">
        <v>2</v>
      </c>
      <c r="AT16" s="61" t="s">
        <v>2</v>
      </c>
      <c r="AU16" s="61" t="s">
        <v>2</v>
      </c>
      <c r="AV16" s="62" t="s">
        <v>2</v>
      </c>
      <c r="AW16" s="3" t="s">
        <v>2</v>
      </c>
      <c r="AX16" s="61" t="s">
        <v>2</v>
      </c>
      <c r="AY16" s="61" t="s">
        <v>2</v>
      </c>
      <c r="AZ16" s="62" t="s">
        <v>2</v>
      </c>
      <c r="BA16" s="3" t="s">
        <v>2</v>
      </c>
      <c r="BB16" s="61" t="s">
        <v>2</v>
      </c>
      <c r="BC16" s="61" t="s">
        <v>2</v>
      </c>
      <c r="BD16" s="61" t="s">
        <v>2</v>
      </c>
      <c r="BE16" s="61" t="s">
        <v>2</v>
      </c>
      <c r="BF16" s="62" t="s">
        <v>2</v>
      </c>
      <c r="BG16" s="11" t="s">
        <v>2</v>
      </c>
      <c r="BH16" s="11">
        <v>0</v>
      </c>
      <c r="BI16" s="65">
        <v>230</v>
      </c>
      <c r="BJ16" s="65">
        <v>166</v>
      </c>
      <c r="BK16" s="65">
        <v>61</v>
      </c>
      <c r="BL16" s="65">
        <v>421</v>
      </c>
      <c r="BM16" s="65">
        <v>310</v>
      </c>
      <c r="BN16" s="65">
        <v>418</v>
      </c>
      <c r="BO16" s="65">
        <v>1081</v>
      </c>
      <c r="BP16" s="65">
        <v>316</v>
      </c>
      <c r="BQ16" s="65">
        <v>362</v>
      </c>
      <c r="BR16" s="65">
        <v>235</v>
      </c>
      <c r="BS16" s="65">
        <v>134</v>
      </c>
      <c r="BT16" s="65">
        <v>330</v>
      </c>
      <c r="BU16" s="65">
        <v>650</v>
      </c>
      <c r="BV16" s="65">
        <v>541</v>
      </c>
      <c r="BW16" s="65">
        <v>1634</v>
      </c>
      <c r="BX16" s="65">
        <v>319</v>
      </c>
      <c r="BY16" s="65">
        <v>771</v>
      </c>
      <c r="BZ16" s="59">
        <v>429</v>
      </c>
      <c r="CA16" s="3" t="s">
        <v>2</v>
      </c>
      <c r="CB16" s="3" t="s">
        <v>2</v>
      </c>
      <c r="CC16" s="3" t="s">
        <v>2</v>
      </c>
      <c r="CD16" s="3" t="s">
        <v>2</v>
      </c>
      <c r="CE16" s="3" t="s">
        <v>2</v>
      </c>
      <c r="CF16" s="3" t="s">
        <v>2</v>
      </c>
      <c r="CG16" s="7" t="s">
        <v>2</v>
      </c>
      <c r="CH16" s="65">
        <v>0</v>
      </c>
      <c r="CI16" s="59">
        <v>0</v>
      </c>
      <c r="CJ16" s="3" t="s">
        <v>2</v>
      </c>
      <c r="CK16" s="3" t="s">
        <v>2</v>
      </c>
      <c r="CL16" s="3" t="s">
        <v>2</v>
      </c>
      <c r="CM16" s="7" t="s">
        <v>2</v>
      </c>
      <c r="CN16" s="11" t="s">
        <v>2</v>
      </c>
      <c r="CO16" s="11" t="s">
        <v>2</v>
      </c>
    </row>
    <row r="17" spans="1:93" x14ac:dyDescent="0.25">
      <c r="A17" s="60" t="s">
        <v>595</v>
      </c>
      <c r="B17" s="51" t="s">
        <v>55</v>
      </c>
      <c r="C17" s="1" t="s">
        <v>1076</v>
      </c>
      <c r="D17" s="288">
        <v>1</v>
      </c>
      <c r="E17" s="11">
        <v>0</v>
      </c>
      <c r="F17" s="65">
        <v>365</v>
      </c>
      <c r="G17" s="71">
        <v>1525.6999999999998</v>
      </c>
      <c r="H17" s="68">
        <v>10</v>
      </c>
      <c r="I17" s="3">
        <v>8.1999999999999993</v>
      </c>
      <c r="J17" s="3">
        <v>1.6</v>
      </c>
      <c r="K17" s="3">
        <v>79.400000000000006</v>
      </c>
      <c r="L17" s="3">
        <v>0.6</v>
      </c>
      <c r="M17" s="7">
        <v>0.8</v>
      </c>
      <c r="N17" s="65">
        <v>12</v>
      </c>
      <c r="O17" s="65">
        <v>148</v>
      </c>
      <c r="P17" s="3">
        <v>0.8</v>
      </c>
      <c r="Q17" s="3">
        <v>2.29</v>
      </c>
      <c r="R17" s="65">
        <v>3</v>
      </c>
      <c r="S17" s="65">
        <v>293</v>
      </c>
      <c r="T17" s="65">
        <v>18</v>
      </c>
      <c r="U17" s="61">
        <v>1.143</v>
      </c>
      <c r="V17" s="61">
        <v>291</v>
      </c>
      <c r="W17" s="7">
        <v>15.7</v>
      </c>
      <c r="X17" s="3">
        <v>0</v>
      </c>
      <c r="Y17" s="61">
        <v>0.1</v>
      </c>
      <c r="Z17" s="61">
        <v>0.02</v>
      </c>
      <c r="AA17" s="61">
        <v>1.7</v>
      </c>
      <c r="AB17" s="61">
        <v>0.29499999999999998</v>
      </c>
      <c r="AC17" s="61">
        <v>0.111</v>
      </c>
      <c r="AD17" s="65">
        <v>7</v>
      </c>
      <c r="AE17" s="65">
        <v>0</v>
      </c>
      <c r="AF17" s="3" t="s">
        <v>2</v>
      </c>
      <c r="AG17" s="7">
        <v>0</v>
      </c>
      <c r="AH17" s="84">
        <v>0</v>
      </c>
      <c r="AI17" s="65">
        <v>0</v>
      </c>
      <c r="AJ17" s="3" t="s">
        <v>2</v>
      </c>
      <c r="AK17" s="3" t="s">
        <v>2</v>
      </c>
      <c r="AL17" s="7" t="s">
        <v>2</v>
      </c>
      <c r="AM17" s="65">
        <v>0</v>
      </c>
      <c r="AN17" s="65">
        <v>0</v>
      </c>
      <c r="AO17" s="59">
        <v>0</v>
      </c>
      <c r="AP17" s="3">
        <v>0.108</v>
      </c>
      <c r="AQ17" s="61">
        <v>9.1999999999999998E-2</v>
      </c>
      <c r="AR17" s="61">
        <v>0</v>
      </c>
      <c r="AS17" s="61">
        <v>0.01</v>
      </c>
      <c r="AT17" s="61">
        <v>0</v>
      </c>
      <c r="AU17" s="61">
        <v>0</v>
      </c>
      <c r="AV17" s="62">
        <v>0</v>
      </c>
      <c r="AW17" s="3">
        <v>0.19500000000000001</v>
      </c>
      <c r="AX17" s="61">
        <v>0</v>
      </c>
      <c r="AY17" s="61">
        <v>2E-3</v>
      </c>
      <c r="AZ17" s="62">
        <v>0.193</v>
      </c>
      <c r="BA17" s="3">
        <v>0.193</v>
      </c>
      <c r="BB17" s="61">
        <v>0.185</v>
      </c>
      <c r="BC17" s="61">
        <v>8.0000000000000002E-3</v>
      </c>
      <c r="BD17" s="61">
        <v>0</v>
      </c>
      <c r="BE17" s="61">
        <v>0</v>
      </c>
      <c r="BF17" s="62">
        <v>0</v>
      </c>
      <c r="BG17" s="11" t="s">
        <v>2</v>
      </c>
      <c r="BH17" s="11">
        <v>0</v>
      </c>
      <c r="BI17" s="65">
        <v>240</v>
      </c>
      <c r="BJ17" s="65">
        <v>156</v>
      </c>
      <c r="BK17" s="65">
        <v>77</v>
      </c>
      <c r="BL17" s="65">
        <v>355</v>
      </c>
      <c r="BM17" s="65">
        <v>238</v>
      </c>
      <c r="BN17" s="65">
        <v>406</v>
      </c>
      <c r="BO17" s="65">
        <v>550</v>
      </c>
      <c r="BP17" s="65">
        <v>287</v>
      </c>
      <c r="BQ17" s="65">
        <v>554</v>
      </c>
      <c r="BR17" s="65">
        <v>156</v>
      </c>
      <c r="BS17" s="65">
        <v>137</v>
      </c>
      <c r="BT17" s="65">
        <v>223</v>
      </c>
      <c r="BU17" s="65">
        <v>386</v>
      </c>
      <c r="BV17" s="65">
        <v>625</v>
      </c>
      <c r="BW17" s="65">
        <v>1296</v>
      </c>
      <c r="BX17" s="65">
        <v>303</v>
      </c>
      <c r="BY17" s="65">
        <v>313</v>
      </c>
      <c r="BZ17" s="59">
        <v>349</v>
      </c>
      <c r="CA17" s="3" t="s">
        <v>2</v>
      </c>
      <c r="CB17" s="3" t="s">
        <v>2</v>
      </c>
      <c r="CC17" s="3" t="s">
        <v>2</v>
      </c>
      <c r="CD17" s="3" t="s">
        <v>2</v>
      </c>
      <c r="CE17" s="3" t="s">
        <v>2</v>
      </c>
      <c r="CF17" s="3" t="s">
        <v>2</v>
      </c>
      <c r="CG17" s="7" t="s">
        <v>2</v>
      </c>
      <c r="CH17" s="65">
        <v>0</v>
      </c>
      <c r="CI17" s="59">
        <v>0</v>
      </c>
      <c r="CJ17" s="3" t="s">
        <v>2</v>
      </c>
      <c r="CK17" s="3" t="s">
        <v>2</v>
      </c>
      <c r="CL17" s="3" t="s">
        <v>2</v>
      </c>
      <c r="CM17" s="7" t="s">
        <v>2</v>
      </c>
      <c r="CN17" s="11" t="s">
        <v>2</v>
      </c>
      <c r="CO17" s="11" t="s">
        <v>2</v>
      </c>
    </row>
    <row r="18" spans="1:93" x14ac:dyDescent="0.25">
      <c r="A18" s="60" t="s">
        <v>596</v>
      </c>
      <c r="B18" s="51" t="s">
        <v>56</v>
      </c>
      <c r="C18" s="1" t="s">
        <v>1077</v>
      </c>
      <c r="D18" s="287">
        <v>1</v>
      </c>
      <c r="E18" s="11">
        <v>0</v>
      </c>
      <c r="F18" s="65">
        <v>360</v>
      </c>
      <c r="G18" s="71">
        <v>1504.8</v>
      </c>
      <c r="H18" s="68">
        <v>10</v>
      </c>
      <c r="I18" s="3">
        <v>6.6</v>
      </c>
      <c r="J18" s="3">
        <v>0.4</v>
      </c>
      <c r="K18" s="3">
        <v>82.6</v>
      </c>
      <c r="L18" s="3">
        <v>0.4</v>
      </c>
      <c r="M18" s="7">
        <v>0.4</v>
      </c>
      <c r="N18" s="65">
        <v>24</v>
      </c>
      <c r="O18" s="65">
        <v>135</v>
      </c>
      <c r="P18" s="3">
        <v>1.9</v>
      </c>
      <c r="Q18" s="3">
        <v>0.8</v>
      </c>
      <c r="R18" s="65">
        <v>0</v>
      </c>
      <c r="S18" s="65">
        <v>76</v>
      </c>
      <c r="T18" s="65">
        <v>35</v>
      </c>
      <c r="U18" s="61">
        <v>1.2</v>
      </c>
      <c r="V18" s="61">
        <v>130</v>
      </c>
      <c r="W18" s="7">
        <v>15.1</v>
      </c>
      <c r="X18" s="3">
        <v>0</v>
      </c>
      <c r="Y18" s="61">
        <v>0.08</v>
      </c>
      <c r="Z18" s="61">
        <v>0.05</v>
      </c>
      <c r="AA18" s="61">
        <v>2.1</v>
      </c>
      <c r="AB18" s="61">
        <v>0.81899999999999995</v>
      </c>
      <c r="AC18" s="61">
        <v>0.436</v>
      </c>
      <c r="AD18" s="65">
        <v>4</v>
      </c>
      <c r="AE18" s="65">
        <v>0</v>
      </c>
      <c r="AF18" s="3">
        <v>1</v>
      </c>
      <c r="AG18" s="7">
        <v>0</v>
      </c>
      <c r="AH18" s="84">
        <v>0</v>
      </c>
      <c r="AI18" s="65">
        <v>0</v>
      </c>
      <c r="AJ18" s="3" t="s">
        <v>2</v>
      </c>
      <c r="AK18" s="3">
        <v>0.11</v>
      </c>
      <c r="AL18" s="7">
        <v>0</v>
      </c>
      <c r="AM18" s="65">
        <v>0</v>
      </c>
      <c r="AN18" s="65">
        <v>0</v>
      </c>
      <c r="AO18" s="59">
        <v>0</v>
      </c>
      <c r="AP18" s="3">
        <v>0.38600000000000001</v>
      </c>
      <c r="AQ18" s="61">
        <v>0.34499999999999997</v>
      </c>
      <c r="AR18" s="61">
        <v>0</v>
      </c>
      <c r="AS18" s="61">
        <v>2.5999999999999999E-2</v>
      </c>
      <c r="AT18" s="61">
        <v>0</v>
      </c>
      <c r="AU18" s="61">
        <v>0</v>
      </c>
      <c r="AV18" s="62">
        <v>0</v>
      </c>
      <c r="AW18" s="3">
        <v>0.442</v>
      </c>
      <c r="AX18" s="61">
        <v>0</v>
      </c>
      <c r="AY18" s="61">
        <v>5.0000000000000001E-3</v>
      </c>
      <c r="AZ18" s="62">
        <v>0.436</v>
      </c>
      <c r="BA18" s="3">
        <v>0.379</v>
      </c>
      <c r="BB18" s="61">
        <v>0.313</v>
      </c>
      <c r="BC18" s="61">
        <v>6.7000000000000004E-2</v>
      </c>
      <c r="BD18" s="61">
        <v>0</v>
      </c>
      <c r="BE18" s="61">
        <v>0</v>
      </c>
      <c r="BF18" s="62">
        <v>0</v>
      </c>
      <c r="BG18" s="11" t="s">
        <v>2</v>
      </c>
      <c r="BH18" s="11">
        <v>0</v>
      </c>
      <c r="BI18" s="65">
        <v>207</v>
      </c>
      <c r="BJ18" s="65">
        <v>144</v>
      </c>
      <c r="BK18" s="65">
        <v>72</v>
      </c>
      <c r="BL18" s="65">
        <v>317</v>
      </c>
      <c r="BM18" s="65">
        <v>210</v>
      </c>
      <c r="BN18" s="65">
        <v>348</v>
      </c>
      <c r="BO18" s="65">
        <v>488</v>
      </c>
      <c r="BP18" s="65">
        <v>244</v>
      </c>
      <c r="BQ18" s="65">
        <v>516</v>
      </c>
      <c r="BR18" s="65">
        <v>149</v>
      </c>
      <c r="BS18" s="65">
        <v>107</v>
      </c>
      <c r="BT18" s="65">
        <v>314</v>
      </c>
      <c r="BU18" s="65">
        <v>332</v>
      </c>
      <c r="BV18" s="65">
        <v>549</v>
      </c>
      <c r="BW18" s="65">
        <v>1097</v>
      </c>
      <c r="BX18" s="65">
        <v>267</v>
      </c>
      <c r="BY18" s="65">
        <v>278</v>
      </c>
      <c r="BZ18" s="59">
        <v>310</v>
      </c>
      <c r="CA18" s="3" t="s">
        <v>2</v>
      </c>
      <c r="CB18" s="3" t="s">
        <v>2</v>
      </c>
      <c r="CC18" s="3" t="s">
        <v>2</v>
      </c>
      <c r="CD18" s="3" t="s">
        <v>2</v>
      </c>
      <c r="CE18" s="3" t="s">
        <v>2</v>
      </c>
      <c r="CF18" s="3" t="s">
        <v>2</v>
      </c>
      <c r="CG18" s="7" t="s">
        <v>2</v>
      </c>
      <c r="CH18" s="65">
        <v>0</v>
      </c>
      <c r="CI18" s="59">
        <v>0</v>
      </c>
      <c r="CJ18" s="3" t="s">
        <v>2</v>
      </c>
      <c r="CK18" s="3" t="s">
        <v>2</v>
      </c>
      <c r="CL18" s="3" t="s">
        <v>2</v>
      </c>
      <c r="CM18" s="7" t="s">
        <v>2</v>
      </c>
      <c r="CN18" s="11" t="s">
        <v>2</v>
      </c>
      <c r="CO18" s="11" t="s">
        <v>2</v>
      </c>
    </row>
    <row r="19" spans="1:93" x14ac:dyDescent="0.25">
      <c r="A19" s="60" t="s">
        <v>597</v>
      </c>
      <c r="B19" s="51" t="s">
        <v>57</v>
      </c>
      <c r="C19" s="1" t="s">
        <v>580</v>
      </c>
      <c r="D19" s="288">
        <v>1</v>
      </c>
      <c r="E19" s="11">
        <v>0</v>
      </c>
      <c r="F19" s="65">
        <v>347</v>
      </c>
      <c r="G19" s="71">
        <v>1450.4599999999998</v>
      </c>
      <c r="H19" s="68">
        <v>14</v>
      </c>
      <c r="I19" s="3">
        <v>11</v>
      </c>
      <c r="J19" s="3">
        <v>1.1000000000000001</v>
      </c>
      <c r="K19" s="3">
        <v>73.2</v>
      </c>
      <c r="L19" s="3">
        <v>0.3</v>
      </c>
      <c r="M19" s="7">
        <v>0.7</v>
      </c>
      <c r="N19" s="65">
        <v>29</v>
      </c>
      <c r="O19" s="65">
        <v>132</v>
      </c>
      <c r="P19" s="3">
        <v>2</v>
      </c>
      <c r="Q19" s="3">
        <v>2.5</v>
      </c>
      <c r="R19" s="65">
        <v>4</v>
      </c>
      <c r="S19" s="65">
        <v>186</v>
      </c>
      <c r="T19" s="65">
        <v>173</v>
      </c>
      <c r="U19" s="61">
        <v>2</v>
      </c>
      <c r="V19" s="61">
        <v>21</v>
      </c>
      <c r="W19" s="7">
        <v>28</v>
      </c>
      <c r="X19" s="3">
        <v>0</v>
      </c>
      <c r="Y19" s="61">
        <v>0.18</v>
      </c>
      <c r="Z19" s="61">
        <v>0.13</v>
      </c>
      <c r="AA19" s="61">
        <v>1</v>
      </c>
      <c r="AB19" s="61">
        <v>1.008</v>
      </c>
      <c r="AC19" s="61">
        <v>0.34100000000000003</v>
      </c>
      <c r="AD19" s="65">
        <v>44</v>
      </c>
      <c r="AE19" s="65">
        <v>0</v>
      </c>
      <c r="AF19" s="3">
        <v>1.9</v>
      </c>
      <c r="AG19" s="7">
        <v>0</v>
      </c>
      <c r="AH19" s="84">
        <v>0</v>
      </c>
      <c r="AI19" s="65">
        <v>0</v>
      </c>
      <c r="AJ19" s="3" t="s">
        <v>2</v>
      </c>
      <c r="AK19" s="3">
        <v>0.82</v>
      </c>
      <c r="AL19" s="7">
        <v>1.9</v>
      </c>
      <c r="AM19" s="65">
        <v>0</v>
      </c>
      <c r="AN19" s="65">
        <v>0</v>
      </c>
      <c r="AO19" s="59">
        <v>0</v>
      </c>
      <c r="AP19" s="3">
        <v>0.32200000000000001</v>
      </c>
      <c r="AQ19" s="61">
        <v>0.27100000000000002</v>
      </c>
      <c r="AR19" s="61">
        <v>0</v>
      </c>
      <c r="AS19" s="61">
        <v>1.4999999999999999E-2</v>
      </c>
      <c r="AT19" s="61">
        <v>0</v>
      </c>
      <c r="AU19" s="61">
        <v>0</v>
      </c>
      <c r="AV19" s="62">
        <v>0</v>
      </c>
      <c r="AW19" s="3">
        <v>0.23200000000000001</v>
      </c>
      <c r="AX19" s="61">
        <v>0</v>
      </c>
      <c r="AY19" s="61">
        <v>1.2999999999999999E-2</v>
      </c>
      <c r="AZ19" s="62">
        <v>0.219</v>
      </c>
      <c r="BA19" s="3">
        <v>0.77900000000000003</v>
      </c>
      <c r="BB19" s="61">
        <v>0.73799999999999999</v>
      </c>
      <c r="BC19" s="61">
        <v>3.7999999999999999E-2</v>
      </c>
      <c r="BD19" s="61">
        <v>0</v>
      </c>
      <c r="BE19" s="61">
        <v>0</v>
      </c>
      <c r="BF19" s="62">
        <v>0</v>
      </c>
      <c r="BG19" s="11" t="s">
        <v>2</v>
      </c>
      <c r="BH19" s="11">
        <v>0</v>
      </c>
      <c r="BI19" s="65">
        <v>340</v>
      </c>
      <c r="BJ19" s="65">
        <v>140</v>
      </c>
      <c r="BK19" s="65">
        <v>110</v>
      </c>
      <c r="BL19" s="65">
        <v>630</v>
      </c>
      <c r="BM19" s="65">
        <v>380</v>
      </c>
      <c r="BN19" s="65">
        <v>520</v>
      </c>
      <c r="BO19" s="65">
        <v>780</v>
      </c>
      <c r="BP19" s="65">
        <v>380</v>
      </c>
      <c r="BQ19" s="65">
        <v>320</v>
      </c>
      <c r="BR19" s="65">
        <v>170</v>
      </c>
      <c r="BS19" s="65">
        <v>265</v>
      </c>
      <c r="BT19" s="65">
        <v>142</v>
      </c>
      <c r="BU19" s="65">
        <v>278</v>
      </c>
      <c r="BV19" s="65">
        <v>329</v>
      </c>
      <c r="BW19" s="65">
        <v>3480</v>
      </c>
      <c r="BX19" s="65">
        <v>341</v>
      </c>
      <c r="BY19" s="65">
        <v>1254</v>
      </c>
      <c r="BZ19" s="59">
        <v>449</v>
      </c>
      <c r="CA19" s="3">
        <v>0.27</v>
      </c>
      <c r="CB19" s="3" t="s">
        <v>2</v>
      </c>
      <c r="CC19" s="3" t="s">
        <v>2</v>
      </c>
      <c r="CD19" s="3" t="s">
        <v>2</v>
      </c>
      <c r="CE19" s="3" t="s">
        <v>2</v>
      </c>
      <c r="CF19" s="3" t="s">
        <v>2</v>
      </c>
      <c r="CG19" s="7" t="s">
        <v>2</v>
      </c>
      <c r="CH19" s="65">
        <v>0</v>
      </c>
      <c r="CI19" s="59">
        <v>0</v>
      </c>
      <c r="CJ19" s="3" t="s">
        <v>2</v>
      </c>
      <c r="CK19" s="3" t="s">
        <v>2</v>
      </c>
      <c r="CL19" s="3" t="s">
        <v>2</v>
      </c>
      <c r="CM19" s="7" t="s">
        <v>2</v>
      </c>
      <c r="CN19" s="11" t="s">
        <v>2</v>
      </c>
      <c r="CO19" s="11">
        <v>14</v>
      </c>
    </row>
    <row r="20" spans="1:93" x14ac:dyDescent="0.25">
      <c r="A20" s="60" t="s">
        <v>598</v>
      </c>
      <c r="B20" s="51" t="s">
        <v>58</v>
      </c>
      <c r="C20" s="1" t="s">
        <v>1078</v>
      </c>
      <c r="D20" s="287">
        <v>1</v>
      </c>
      <c r="E20" s="11">
        <v>0</v>
      </c>
      <c r="F20" s="65">
        <v>367</v>
      </c>
      <c r="G20" s="71">
        <v>1534.06</v>
      </c>
      <c r="H20" s="68">
        <v>12</v>
      </c>
      <c r="I20" s="3">
        <v>8.3000000000000007</v>
      </c>
      <c r="J20" s="3">
        <v>4</v>
      </c>
      <c r="K20" s="3">
        <v>74.5</v>
      </c>
      <c r="L20" s="3">
        <v>1.5</v>
      </c>
      <c r="M20" s="7">
        <v>1.2</v>
      </c>
      <c r="N20" s="65">
        <v>15</v>
      </c>
      <c r="O20" s="65">
        <v>170</v>
      </c>
      <c r="P20" s="3">
        <v>2.1</v>
      </c>
      <c r="Q20" s="3">
        <v>1.73</v>
      </c>
      <c r="R20" s="65">
        <v>5</v>
      </c>
      <c r="S20" s="65">
        <v>315</v>
      </c>
      <c r="T20" s="65">
        <v>93</v>
      </c>
      <c r="U20" s="61">
        <v>0.46</v>
      </c>
      <c r="V20" s="61">
        <v>230</v>
      </c>
      <c r="W20" s="7">
        <v>15.4</v>
      </c>
      <c r="X20" s="3">
        <v>0</v>
      </c>
      <c r="Y20" s="61">
        <v>0.17</v>
      </c>
      <c r="Z20" s="61">
        <v>0.08</v>
      </c>
      <c r="AA20" s="61">
        <v>1.9</v>
      </c>
      <c r="AB20" s="61">
        <v>0.65800000000000003</v>
      </c>
      <c r="AC20" s="61">
        <v>0.37</v>
      </c>
      <c r="AD20" s="65">
        <v>25</v>
      </c>
      <c r="AE20" s="65">
        <v>0</v>
      </c>
      <c r="AF20" s="3" t="s">
        <v>2</v>
      </c>
      <c r="AG20" s="7">
        <v>0</v>
      </c>
      <c r="AH20" s="84">
        <v>0</v>
      </c>
      <c r="AI20" s="65">
        <v>11</v>
      </c>
      <c r="AJ20" s="3" t="s">
        <v>2</v>
      </c>
      <c r="AK20" s="3">
        <v>0.42</v>
      </c>
      <c r="AL20" s="7">
        <v>0.3</v>
      </c>
      <c r="AM20" s="65">
        <v>97</v>
      </c>
      <c r="AN20" s="65">
        <v>63</v>
      </c>
      <c r="AO20" s="59">
        <v>0</v>
      </c>
      <c r="AP20" s="3">
        <v>0.54300000000000004</v>
      </c>
      <c r="AQ20" s="61">
        <v>0.46300000000000002</v>
      </c>
      <c r="AR20" s="61">
        <v>0</v>
      </c>
      <c r="AS20" s="61">
        <v>6.0999999999999999E-2</v>
      </c>
      <c r="AT20" s="61">
        <v>0</v>
      </c>
      <c r="AU20" s="61">
        <v>0</v>
      </c>
      <c r="AV20" s="62">
        <v>0</v>
      </c>
      <c r="AW20" s="3">
        <v>1.018</v>
      </c>
      <c r="AX20" s="61">
        <v>0</v>
      </c>
      <c r="AY20" s="61">
        <v>3.0000000000000001E-3</v>
      </c>
      <c r="AZ20" s="62">
        <v>1.0149999999999999</v>
      </c>
      <c r="BA20" s="3">
        <v>1.7589999999999999</v>
      </c>
      <c r="BB20" s="61">
        <v>1.706</v>
      </c>
      <c r="BC20" s="61">
        <v>5.2999999999999999E-2</v>
      </c>
      <c r="BD20" s="61">
        <v>0</v>
      </c>
      <c r="BE20" s="61">
        <v>0</v>
      </c>
      <c r="BF20" s="62">
        <v>0</v>
      </c>
      <c r="BG20" s="11" t="s">
        <v>2</v>
      </c>
      <c r="BH20" s="11">
        <v>0</v>
      </c>
      <c r="BI20" s="65">
        <v>195</v>
      </c>
      <c r="BJ20" s="65">
        <v>145</v>
      </c>
      <c r="BK20" s="65">
        <v>49</v>
      </c>
      <c r="BL20" s="65">
        <v>340</v>
      </c>
      <c r="BM20" s="65">
        <v>261</v>
      </c>
      <c r="BN20" s="65">
        <v>351</v>
      </c>
      <c r="BO20" s="65">
        <v>850</v>
      </c>
      <c r="BP20" s="65">
        <v>248</v>
      </c>
      <c r="BQ20" s="65">
        <v>345</v>
      </c>
      <c r="BR20" s="65">
        <v>211</v>
      </c>
      <c r="BS20" s="65">
        <v>125</v>
      </c>
      <c r="BT20" s="65">
        <v>282</v>
      </c>
      <c r="BU20" s="65">
        <v>518</v>
      </c>
      <c r="BV20" s="65">
        <v>482</v>
      </c>
      <c r="BW20" s="65">
        <v>1300</v>
      </c>
      <c r="BX20" s="65">
        <v>284</v>
      </c>
      <c r="BY20" s="65">
        <v>605</v>
      </c>
      <c r="BZ20" s="59">
        <v>329</v>
      </c>
      <c r="CA20" s="3">
        <v>0.64</v>
      </c>
      <c r="CB20" s="3" t="s">
        <v>2</v>
      </c>
      <c r="CC20" s="3" t="s">
        <v>2</v>
      </c>
      <c r="CD20" s="3" t="s">
        <v>2</v>
      </c>
      <c r="CE20" s="3" t="s">
        <v>2</v>
      </c>
      <c r="CF20" s="3" t="s">
        <v>2</v>
      </c>
      <c r="CG20" s="7" t="s">
        <v>2</v>
      </c>
      <c r="CH20" s="65">
        <v>0</v>
      </c>
      <c r="CI20" s="59">
        <v>1355</v>
      </c>
      <c r="CJ20" s="3" t="s">
        <v>2</v>
      </c>
      <c r="CK20" s="3" t="s">
        <v>2</v>
      </c>
      <c r="CL20" s="3" t="s">
        <v>2</v>
      </c>
      <c r="CM20" s="7" t="s">
        <v>2</v>
      </c>
      <c r="CN20" s="11" t="s">
        <v>2</v>
      </c>
      <c r="CO20" s="11" t="s">
        <v>2</v>
      </c>
    </row>
    <row r="21" spans="1:93" x14ac:dyDescent="0.25">
      <c r="A21" s="60" t="s">
        <v>599</v>
      </c>
      <c r="B21" s="51" t="s">
        <v>59</v>
      </c>
      <c r="C21" s="1" t="s">
        <v>1079</v>
      </c>
      <c r="D21" s="288">
        <v>1</v>
      </c>
      <c r="E21" s="11">
        <v>0</v>
      </c>
      <c r="F21" s="65">
        <v>112</v>
      </c>
      <c r="G21" s="71">
        <v>468.15999999999997</v>
      </c>
      <c r="H21" s="68">
        <v>72</v>
      </c>
      <c r="I21" s="3">
        <v>1.7</v>
      </c>
      <c r="J21" s="3" t="s">
        <v>2</v>
      </c>
      <c r="K21" s="3">
        <v>26.2</v>
      </c>
      <c r="L21" s="3">
        <v>0.5</v>
      </c>
      <c r="M21" s="7">
        <v>0.1</v>
      </c>
      <c r="N21" s="65">
        <v>12</v>
      </c>
      <c r="O21" s="65">
        <v>32</v>
      </c>
      <c r="P21" s="3">
        <v>0.2</v>
      </c>
      <c r="Q21" s="3" t="s">
        <v>2</v>
      </c>
      <c r="R21" s="65" t="s">
        <v>2</v>
      </c>
      <c r="S21" s="65" t="s">
        <v>2</v>
      </c>
      <c r="T21" s="65" t="s">
        <v>2</v>
      </c>
      <c r="U21" s="61" t="s">
        <v>2</v>
      </c>
      <c r="V21" s="61" t="s">
        <v>2</v>
      </c>
      <c r="W21" s="7" t="s">
        <v>2</v>
      </c>
      <c r="X21" s="3">
        <v>0</v>
      </c>
      <c r="Y21" s="61">
        <v>0.04</v>
      </c>
      <c r="Z21" s="61">
        <v>0.01</v>
      </c>
      <c r="AA21" s="61">
        <v>1.3</v>
      </c>
      <c r="AB21" s="61" t="s">
        <v>2</v>
      </c>
      <c r="AC21" s="61" t="s">
        <v>2</v>
      </c>
      <c r="AD21" s="65" t="s">
        <v>2</v>
      </c>
      <c r="AE21" s="65" t="s">
        <v>2</v>
      </c>
      <c r="AF21" s="3" t="s">
        <v>2</v>
      </c>
      <c r="AG21" s="7" t="s">
        <v>2</v>
      </c>
      <c r="AH21" s="84">
        <v>0</v>
      </c>
      <c r="AI21" s="65">
        <v>0</v>
      </c>
      <c r="AJ21" s="3" t="s">
        <v>2</v>
      </c>
      <c r="AK21" s="3" t="s">
        <v>2</v>
      </c>
      <c r="AL21" s="7" t="s">
        <v>2</v>
      </c>
      <c r="AM21" s="65">
        <v>0</v>
      </c>
      <c r="AN21" s="65">
        <v>0</v>
      </c>
      <c r="AO21" s="59">
        <v>0</v>
      </c>
      <c r="AP21" s="3" t="s">
        <v>2</v>
      </c>
      <c r="AQ21" s="61" t="s">
        <v>2</v>
      </c>
      <c r="AR21" s="61" t="s">
        <v>2</v>
      </c>
      <c r="AS21" s="61" t="s">
        <v>2</v>
      </c>
      <c r="AT21" s="61" t="s">
        <v>2</v>
      </c>
      <c r="AU21" s="61" t="s">
        <v>2</v>
      </c>
      <c r="AV21" s="62" t="s">
        <v>2</v>
      </c>
      <c r="AW21" s="3" t="s">
        <v>2</v>
      </c>
      <c r="AX21" s="61" t="s">
        <v>2</v>
      </c>
      <c r="AY21" s="61" t="s">
        <v>2</v>
      </c>
      <c r="AZ21" s="62" t="s">
        <v>2</v>
      </c>
      <c r="BA21" s="3" t="s">
        <v>2</v>
      </c>
      <c r="BB21" s="61" t="s">
        <v>2</v>
      </c>
      <c r="BC21" s="61" t="s">
        <v>2</v>
      </c>
      <c r="BD21" s="61" t="s">
        <v>2</v>
      </c>
      <c r="BE21" s="61" t="s">
        <v>2</v>
      </c>
      <c r="BF21" s="62" t="s">
        <v>2</v>
      </c>
      <c r="BG21" s="11" t="s">
        <v>2</v>
      </c>
      <c r="BH21" s="11">
        <v>0</v>
      </c>
      <c r="BI21" s="65" t="s">
        <v>2</v>
      </c>
      <c r="BJ21" s="65" t="s">
        <v>2</v>
      </c>
      <c r="BK21" s="65" t="s">
        <v>2</v>
      </c>
      <c r="BL21" s="65" t="s">
        <v>2</v>
      </c>
      <c r="BM21" s="65" t="s">
        <v>2</v>
      </c>
      <c r="BN21" s="65" t="s">
        <v>2</v>
      </c>
      <c r="BO21" s="65" t="s">
        <v>2</v>
      </c>
      <c r="BP21" s="65" t="s">
        <v>2</v>
      </c>
      <c r="BQ21" s="65" t="s">
        <v>2</v>
      </c>
      <c r="BR21" s="65" t="s">
        <v>2</v>
      </c>
      <c r="BS21" s="65" t="s">
        <v>2</v>
      </c>
      <c r="BT21" s="65" t="s">
        <v>2</v>
      </c>
      <c r="BU21" s="65" t="s">
        <v>2</v>
      </c>
      <c r="BV21" s="65" t="s">
        <v>2</v>
      </c>
      <c r="BW21" s="65" t="s">
        <v>2</v>
      </c>
      <c r="BX21" s="65" t="s">
        <v>2</v>
      </c>
      <c r="BY21" s="65" t="s">
        <v>2</v>
      </c>
      <c r="BZ21" s="59" t="s">
        <v>2</v>
      </c>
      <c r="CA21" s="3" t="s">
        <v>2</v>
      </c>
      <c r="CB21" s="3" t="s">
        <v>2</v>
      </c>
      <c r="CC21" s="3" t="s">
        <v>2</v>
      </c>
      <c r="CD21" s="3" t="s">
        <v>2</v>
      </c>
      <c r="CE21" s="3" t="s">
        <v>2</v>
      </c>
      <c r="CF21" s="3" t="s">
        <v>2</v>
      </c>
      <c r="CG21" s="7" t="s">
        <v>2</v>
      </c>
      <c r="CH21" s="65">
        <v>0</v>
      </c>
      <c r="CI21" s="59">
        <v>0</v>
      </c>
      <c r="CJ21" s="3" t="s">
        <v>2</v>
      </c>
      <c r="CK21" s="3" t="s">
        <v>2</v>
      </c>
      <c r="CL21" s="3" t="s">
        <v>2</v>
      </c>
      <c r="CM21" s="7" t="s">
        <v>2</v>
      </c>
      <c r="CN21" s="11" t="s">
        <v>2</v>
      </c>
      <c r="CO21" s="11" t="s">
        <v>2</v>
      </c>
    </row>
    <row r="22" spans="1:93" x14ac:dyDescent="0.25">
      <c r="A22" s="60" t="s">
        <v>600</v>
      </c>
      <c r="B22" s="51" t="s">
        <v>60</v>
      </c>
      <c r="C22" s="1" t="s">
        <v>1080</v>
      </c>
      <c r="D22" s="287">
        <v>1</v>
      </c>
      <c r="E22" s="11">
        <v>0</v>
      </c>
      <c r="F22" s="65">
        <v>307</v>
      </c>
      <c r="G22" s="71">
        <v>1283.26</v>
      </c>
      <c r="H22" s="68">
        <v>25</v>
      </c>
      <c r="I22" s="3">
        <v>4.4000000000000004</v>
      </c>
      <c r="J22" s="3">
        <v>1.7</v>
      </c>
      <c r="K22" s="3">
        <v>68.5</v>
      </c>
      <c r="L22" s="3">
        <v>0.6</v>
      </c>
      <c r="M22" s="7">
        <v>1</v>
      </c>
      <c r="N22" s="65">
        <v>20</v>
      </c>
      <c r="O22" s="65">
        <v>423</v>
      </c>
      <c r="P22" s="3">
        <v>2</v>
      </c>
      <c r="Q22" s="3">
        <v>1.83</v>
      </c>
      <c r="R22" s="65" t="s">
        <v>2</v>
      </c>
      <c r="S22" s="65" t="s">
        <v>2</v>
      </c>
      <c r="T22" s="65" t="s">
        <v>2</v>
      </c>
      <c r="U22" s="61" t="s">
        <v>2</v>
      </c>
      <c r="V22" s="61" t="s">
        <v>2</v>
      </c>
      <c r="W22" s="7" t="s">
        <v>2</v>
      </c>
      <c r="X22" s="3">
        <v>0</v>
      </c>
      <c r="Y22" s="61" t="s">
        <v>2</v>
      </c>
      <c r="Z22" s="61" t="s">
        <v>2</v>
      </c>
      <c r="AA22" s="61" t="s">
        <v>2</v>
      </c>
      <c r="AB22" s="61" t="s">
        <v>2</v>
      </c>
      <c r="AC22" s="61" t="s">
        <v>2</v>
      </c>
      <c r="AD22" s="65" t="s">
        <v>2</v>
      </c>
      <c r="AE22" s="65" t="s">
        <v>2</v>
      </c>
      <c r="AF22" s="3" t="s">
        <v>2</v>
      </c>
      <c r="AG22" s="7" t="s">
        <v>2</v>
      </c>
      <c r="AH22" s="84">
        <v>0</v>
      </c>
      <c r="AI22" s="65">
        <v>0</v>
      </c>
      <c r="AJ22" s="3" t="s">
        <v>2</v>
      </c>
      <c r="AK22" s="3" t="s">
        <v>2</v>
      </c>
      <c r="AL22" s="7" t="s">
        <v>2</v>
      </c>
      <c r="AM22" s="65">
        <v>0</v>
      </c>
      <c r="AN22" s="65">
        <v>0</v>
      </c>
      <c r="AO22" s="59">
        <v>0</v>
      </c>
      <c r="AP22" s="3" t="s">
        <v>2</v>
      </c>
      <c r="AQ22" s="61" t="s">
        <v>2</v>
      </c>
      <c r="AR22" s="61" t="s">
        <v>2</v>
      </c>
      <c r="AS22" s="61" t="s">
        <v>2</v>
      </c>
      <c r="AT22" s="61" t="s">
        <v>2</v>
      </c>
      <c r="AU22" s="61" t="s">
        <v>2</v>
      </c>
      <c r="AV22" s="62" t="s">
        <v>2</v>
      </c>
      <c r="AW22" s="3" t="s">
        <v>2</v>
      </c>
      <c r="AX22" s="61" t="s">
        <v>2</v>
      </c>
      <c r="AY22" s="61" t="s">
        <v>2</v>
      </c>
      <c r="AZ22" s="62" t="s">
        <v>2</v>
      </c>
      <c r="BA22" s="3" t="s">
        <v>2</v>
      </c>
      <c r="BB22" s="61" t="s">
        <v>2</v>
      </c>
      <c r="BC22" s="61" t="s">
        <v>2</v>
      </c>
      <c r="BD22" s="61" t="s">
        <v>2</v>
      </c>
      <c r="BE22" s="61" t="s">
        <v>2</v>
      </c>
      <c r="BF22" s="62" t="s">
        <v>2</v>
      </c>
      <c r="BG22" s="11" t="s">
        <v>2</v>
      </c>
      <c r="BH22" s="11">
        <v>0</v>
      </c>
      <c r="BI22" s="65" t="s">
        <v>2</v>
      </c>
      <c r="BJ22" s="65" t="s">
        <v>2</v>
      </c>
      <c r="BK22" s="65" t="s">
        <v>2</v>
      </c>
      <c r="BL22" s="65" t="s">
        <v>2</v>
      </c>
      <c r="BM22" s="65" t="s">
        <v>2</v>
      </c>
      <c r="BN22" s="65" t="s">
        <v>2</v>
      </c>
      <c r="BO22" s="65" t="s">
        <v>2</v>
      </c>
      <c r="BP22" s="65" t="s">
        <v>2</v>
      </c>
      <c r="BQ22" s="65" t="s">
        <v>2</v>
      </c>
      <c r="BR22" s="65" t="s">
        <v>2</v>
      </c>
      <c r="BS22" s="65" t="s">
        <v>2</v>
      </c>
      <c r="BT22" s="65" t="s">
        <v>2</v>
      </c>
      <c r="BU22" s="65" t="s">
        <v>2</v>
      </c>
      <c r="BV22" s="65" t="s">
        <v>2</v>
      </c>
      <c r="BW22" s="65" t="s">
        <v>2</v>
      </c>
      <c r="BX22" s="65" t="s">
        <v>2</v>
      </c>
      <c r="BY22" s="65" t="s">
        <v>2</v>
      </c>
      <c r="BZ22" s="59" t="s">
        <v>2</v>
      </c>
      <c r="CA22" s="3" t="s">
        <v>2</v>
      </c>
      <c r="CB22" s="3" t="s">
        <v>2</v>
      </c>
      <c r="CC22" s="3" t="s">
        <v>2</v>
      </c>
      <c r="CD22" s="3" t="s">
        <v>2</v>
      </c>
      <c r="CE22" s="3" t="s">
        <v>2</v>
      </c>
      <c r="CF22" s="3" t="s">
        <v>2</v>
      </c>
      <c r="CG22" s="7" t="s">
        <v>2</v>
      </c>
      <c r="CH22" s="65">
        <v>0</v>
      </c>
      <c r="CI22" s="59">
        <v>0</v>
      </c>
      <c r="CJ22" s="3" t="s">
        <v>2</v>
      </c>
      <c r="CK22" s="3" t="s">
        <v>2</v>
      </c>
      <c r="CL22" s="3" t="s">
        <v>2</v>
      </c>
      <c r="CM22" s="7" t="s">
        <v>2</v>
      </c>
      <c r="CN22" s="11" t="s">
        <v>2</v>
      </c>
      <c r="CO22" s="11" t="s">
        <v>2</v>
      </c>
    </row>
    <row r="23" spans="1:93" x14ac:dyDescent="0.25">
      <c r="A23" s="60" t="s">
        <v>601</v>
      </c>
      <c r="B23" s="51" t="s">
        <v>61</v>
      </c>
      <c r="C23" s="1" t="s">
        <v>1081</v>
      </c>
      <c r="D23" s="288">
        <v>1</v>
      </c>
      <c r="E23" s="11">
        <v>0</v>
      </c>
      <c r="F23" s="65">
        <v>350</v>
      </c>
      <c r="G23" s="71">
        <v>1463</v>
      </c>
      <c r="H23" s="68">
        <v>13</v>
      </c>
      <c r="I23" s="3">
        <v>11</v>
      </c>
      <c r="J23" s="3">
        <v>0.9</v>
      </c>
      <c r="K23" s="3">
        <v>74.5</v>
      </c>
      <c r="L23" s="3">
        <v>0.3</v>
      </c>
      <c r="M23" s="7">
        <v>0.6</v>
      </c>
      <c r="N23" s="65">
        <v>34</v>
      </c>
      <c r="O23" s="65">
        <v>97</v>
      </c>
      <c r="P23" s="3">
        <v>1.5</v>
      </c>
      <c r="Q23" s="3" t="s">
        <v>2</v>
      </c>
      <c r="R23" s="65" t="s">
        <v>2</v>
      </c>
      <c r="S23" s="65" t="s">
        <v>2</v>
      </c>
      <c r="T23" s="65" t="s">
        <v>2</v>
      </c>
      <c r="U23" s="61" t="s">
        <v>2</v>
      </c>
      <c r="V23" s="61" t="s">
        <v>2</v>
      </c>
      <c r="W23" s="7" t="s">
        <v>2</v>
      </c>
      <c r="X23" s="3">
        <v>0</v>
      </c>
      <c r="Y23" s="61">
        <v>0.1</v>
      </c>
      <c r="Z23" s="61">
        <v>0.04</v>
      </c>
      <c r="AA23" s="61">
        <v>1.1000000000000001</v>
      </c>
      <c r="AB23" s="61" t="s">
        <v>2</v>
      </c>
      <c r="AC23" s="61" t="s">
        <v>2</v>
      </c>
      <c r="AD23" s="65" t="s">
        <v>2</v>
      </c>
      <c r="AE23" s="65" t="s">
        <v>2</v>
      </c>
      <c r="AF23" s="3" t="s">
        <v>2</v>
      </c>
      <c r="AG23" s="7" t="s">
        <v>2</v>
      </c>
      <c r="AH23" s="84">
        <v>0</v>
      </c>
      <c r="AI23" s="65">
        <v>0</v>
      </c>
      <c r="AJ23" s="3" t="s">
        <v>2</v>
      </c>
      <c r="AK23" s="3" t="s">
        <v>2</v>
      </c>
      <c r="AL23" s="7" t="s">
        <v>2</v>
      </c>
      <c r="AM23" s="65">
        <v>0</v>
      </c>
      <c r="AN23" s="65">
        <v>0</v>
      </c>
      <c r="AO23" s="59">
        <v>0</v>
      </c>
      <c r="AP23" s="3" t="s">
        <v>2</v>
      </c>
      <c r="AQ23" s="61" t="s">
        <v>2</v>
      </c>
      <c r="AR23" s="61" t="s">
        <v>2</v>
      </c>
      <c r="AS23" s="61" t="s">
        <v>2</v>
      </c>
      <c r="AT23" s="61" t="s">
        <v>2</v>
      </c>
      <c r="AU23" s="61" t="s">
        <v>2</v>
      </c>
      <c r="AV23" s="62" t="s">
        <v>2</v>
      </c>
      <c r="AW23" s="3" t="s">
        <v>2</v>
      </c>
      <c r="AX23" s="61" t="s">
        <v>2</v>
      </c>
      <c r="AY23" s="61" t="s">
        <v>2</v>
      </c>
      <c r="AZ23" s="62" t="s">
        <v>2</v>
      </c>
      <c r="BA23" s="3" t="s">
        <v>2</v>
      </c>
      <c r="BB23" s="61" t="s">
        <v>2</v>
      </c>
      <c r="BC23" s="61" t="s">
        <v>2</v>
      </c>
      <c r="BD23" s="61" t="s">
        <v>2</v>
      </c>
      <c r="BE23" s="61" t="s">
        <v>2</v>
      </c>
      <c r="BF23" s="62" t="s">
        <v>2</v>
      </c>
      <c r="BG23" s="11" t="s">
        <v>2</v>
      </c>
      <c r="BH23" s="11">
        <v>0</v>
      </c>
      <c r="BI23" s="65">
        <v>432</v>
      </c>
      <c r="BJ23" s="65">
        <v>320</v>
      </c>
      <c r="BK23" s="65">
        <v>150</v>
      </c>
      <c r="BL23" s="65">
        <v>702</v>
      </c>
      <c r="BM23" s="65">
        <v>490</v>
      </c>
      <c r="BN23" s="65">
        <v>808</v>
      </c>
      <c r="BO23" s="65">
        <v>1036</v>
      </c>
      <c r="BP23" s="65">
        <v>667</v>
      </c>
      <c r="BQ23" s="65">
        <v>679</v>
      </c>
      <c r="BR23" s="65">
        <v>300</v>
      </c>
      <c r="BS23" s="65" t="s">
        <v>2</v>
      </c>
      <c r="BT23" s="65" t="s">
        <v>2</v>
      </c>
      <c r="BU23" s="65" t="s">
        <v>2</v>
      </c>
      <c r="BV23" s="65" t="s">
        <v>2</v>
      </c>
      <c r="BW23" s="65" t="s">
        <v>2</v>
      </c>
      <c r="BX23" s="65" t="s">
        <v>2</v>
      </c>
      <c r="BY23" s="65" t="s">
        <v>2</v>
      </c>
      <c r="BZ23" s="59" t="s">
        <v>2</v>
      </c>
      <c r="CA23" s="3" t="s">
        <v>2</v>
      </c>
      <c r="CB23" s="3" t="s">
        <v>2</v>
      </c>
      <c r="CC23" s="3" t="s">
        <v>2</v>
      </c>
      <c r="CD23" s="3" t="s">
        <v>2</v>
      </c>
      <c r="CE23" s="3" t="s">
        <v>2</v>
      </c>
      <c r="CF23" s="3" t="s">
        <v>2</v>
      </c>
      <c r="CG23" s="7" t="s">
        <v>2</v>
      </c>
      <c r="CH23" s="65">
        <v>0</v>
      </c>
      <c r="CI23" s="59">
        <v>0</v>
      </c>
      <c r="CJ23" s="3" t="s">
        <v>2</v>
      </c>
      <c r="CK23" s="3" t="s">
        <v>2</v>
      </c>
      <c r="CL23" s="3" t="s">
        <v>2</v>
      </c>
      <c r="CM23" s="7" t="s">
        <v>2</v>
      </c>
      <c r="CN23" s="11" t="s">
        <v>2</v>
      </c>
      <c r="CO23" s="11" t="s">
        <v>2</v>
      </c>
    </row>
    <row r="24" spans="1:93" ht="16.5" thickBot="1" x14ac:dyDescent="0.3">
      <c r="A24" s="60" t="s">
        <v>602</v>
      </c>
      <c r="B24" s="52" t="s">
        <v>62</v>
      </c>
      <c r="C24" s="14" t="s">
        <v>1082</v>
      </c>
      <c r="D24" s="287">
        <v>1</v>
      </c>
      <c r="E24" s="18">
        <v>50</v>
      </c>
      <c r="F24" s="66">
        <v>172</v>
      </c>
      <c r="G24" s="71">
        <v>718.95999999999992</v>
      </c>
      <c r="H24" s="69">
        <v>59</v>
      </c>
      <c r="I24" s="15">
        <v>3.9</v>
      </c>
      <c r="J24" s="15">
        <v>2.2000000000000002</v>
      </c>
      <c r="K24" s="15">
        <v>34.1</v>
      </c>
      <c r="L24" s="15">
        <v>1.2</v>
      </c>
      <c r="M24" s="19">
        <v>0.8</v>
      </c>
      <c r="N24" s="66">
        <v>18</v>
      </c>
      <c r="O24" s="66">
        <v>146</v>
      </c>
      <c r="P24" s="15">
        <v>0.8</v>
      </c>
      <c r="Q24" s="15" t="s">
        <v>2</v>
      </c>
      <c r="R24" s="66" t="s">
        <v>2</v>
      </c>
      <c r="S24" s="66" t="s">
        <v>2</v>
      </c>
      <c r="T24" s="66" t="s">
        <v>2</v>
      </c>
      <c r="U24" s="70" t="s">
        <v>2</v>
      </c>
      <c r="V24" s="70" t="s">
        <v>2</v>
      </c>
      <c r="W24" s="19" t="s">
        <v>2</v>
      </c>
      <c r="X24" s="15">
        <v>0</v>
      </c>
      <c r="Y24" s="70" t="s">
        <v>2</v>
      </c>
      <c r="Z24" s="70" t="s">
        <v>2</v>
      </c>
      <c r="AA24" s="70" t="s">
        <v>2</v>
      </c>
      <c r="AB24" s="70" t="s">
        <v>2</v>
      </c>
      <c r="AC24" s="70" t="s">
        <v>2</v>
      </c>
      <c r="AD24" s="66" t="s">
        <v>2</v>
      </c>
      <c r="AE24" s="66" t="s">
        <v>2</v>
      </c>
      <c r="AF24" s="15" t="s">
        <v>2</v>
      </c>
      <c r="AG24" s="19" t="s">
        <v>2</v>
      </c>
      <c r="AH24" s="84">
        <v>0</v>
      </c>
      <c r="AI24" s="66">
        <v>0</v>
      </c>
      <c r="AJ24" s="15" t="s">
        <v>2</v>
      </c>
      <c r="AK24" s="15" t="s">
        <v>2</v>
      </c>
      <c r="AL24" s="19" t="s">
        <v>2</v>
      </c>
      <c r="AM24" s="66">
        <v>0</v>
      </c>
      <c r="AN24" s="66">
        <v>0</v>
      </c>
      <c r="AO24" s="67">
        <v>0</v>
      </c>
      <c r="AP24" s="15" t="s">
        <v>2</v>
      </c>
      <c r="AQ24" s="70" t="s">
        <v>2</v>
      </c>
      <c r="AR24" s="70" t="s">
        <v>2</v>
      </c>
      <c r="AS24" s="70" t="s">
        <v>2</v>
      </c>
      <c r="AT24" s="70" t="s">
        <v>2</v>
      </c>
      <c r="AU24" s="70" t="s">
        <v>2</v>
      </c>
      <c r="AV24" s="78" t="s">
        <v>2</v>
      </c>
      <c r="AW24" s="15" t="s">
        <v>2</v>
      </c>
      <c r="AX24" s="70" t="s">
        <v>2</v>
      </c>
      <c r="AY24" s="70" t="s">
        <v>2</v>
      </c>
      <c r="AZ24" s="78" t="s">
        <v>2</v>
      </c>
      <c r="BA24" s="15" t="s">
        <v>2</v>
      </c>
      <c r="BB24" s="70" t="s">
        <v>2</v>
      </c>
      <c r="BC24" s="70" t="s">
        <v>2</v>
      </c>
      <c r="BD24" s="70" t="s">
        <v>2</v>
      </c>
      <c r="BE24" s="70" t="s">
        <v>2</v>
      </c>
      <c r="BF24" s="78" t="s">
        <v>2</v>
      </c>
      <c r="BG24" s="18" t="s">
        <v>2</v>
      </c>
      <c r="BH24" s="18">
        <v>0</v>
      </c>
      <c r="BI24" s="66" t="s">
        <v>2</v>
      </c>
      <c r="BJ24" s="66" t="s">
        <v>2</v>
      </c>
      <c r="BK24" s="66" t="s">
        <v>2</v>
      </c>
      <c r="BL24" s="66" t="s">
        <v>2</v>
      </c>
      <c r="BM24" s="66" t="s">
        <v>2</v>
      </c>
      <c r="BN24" s="66" t="s">
        <v>2</v>
      </c>
      <c r="BO24" s="66" t="s">
        <v>2</v>
      </c>
      <c r="BP24" s="66" t="s">
        <v>2</v>
      </c>
      <c r="BQ24" s="66" t="s">
        <v>2</v>
      </c>
      <c r="BR24" s="66" t="s">
        <v>2</v>
      </c>
      <c r="BS24" s="66" t="s">
        <v>2</v>
      </c>
      <c r="BT24" s="66" t="s">
        <v>2</v>
      </c>
      <c r="BU24" s="66" t="s">
        <v>2</v>
      </c>
      <c r="BV24" s="66" t="s">
        <v>2</v>
      </c>
      <c r="BW24" s="66" t="s">
        <v>2</v>
      </c>
      <c r="BX24" s="66" t="s">
        <v>2</v>
      </c>
      <c r="BY24" s="66" t="s">
        <v>2</v>
      </c>
      <c r="BZ24" s="67" t="s">
        <v>2</v>
      </c>
      <c r="CA24" s="15" t="s">
        <v>2</v>
      </c>
      <c r="CB24" s="15" t="s">
        <v>2</v>
      </c>
      <c r="CC24" s="15" t="s">
        <v>2</v>
      </c>
      <c r="CD24" s="15" t="s">
        <v>2</v>
      </c>
      <c r="CE24" s="15" t="s">
        <v>2</v>
      </c>
      <c r="CF24" s="15" t="s">
        <v>2</v>
      </c>
      <c r="CG24" s="19" t="s">
        <v>2</v>
      </c>
      <c r="CH24" s="66">
        <v>0</v>
      </c>
      <c r="CI24" s="67">
        <v>0</v>
      </c>
      <c r="CJ24" s="15" t="s">
        <v>2</v>
      </c>
      <c r="CK24" s="15" t="s">
        <v>2</v>
      </c>
      <c r="CL24" s="15" t="s">
        <v>2</v>
      </c>
      <c r="CM24" s="19" t="s">
        <v>2</v>
      </c>
      <c r="CN24" s="18" t="s">
        <v>2</v>
      </c>
      <c r="CO24" s="18" t="s">
        <v>2</v>
      </c>
    </row>
    <row r="25" spans="1:93" s="207" customFormat="1" thickTop="1" x14ac:dyDescent="0.25">
      <c r="A25" s="196" t="s">
        <v>603</v>
      </c>
      <c r="B25" s="197" t="s">
        <v>274</v>
      </c>
      <c r="C25" s="198" t="s">
        <v>1083</v>
      </c>
      <c r="D25" s="289">
        <v>2</v>
      </c>
      <c r="E25" s="199">
        <v>50</v>
      </c>
      <c r="F25" s="200">
        <v>119</v>
      </c>
      <c r="G25" s="201">
        <v>497.41999999999996</v>
      </c>
      <c r="H25" s="202">
        <v>69.2</v>
      </c>
      <c r="I25" s="203">
        <v>3.6</v>
      </c>
      <c r="J25" s="203">
        <v>0.5</v>
      </c>
      <c r="K25" s="203">
        <v>25</v>
      </c>
      <c r="L25" s="203">
        <v>1</v>
      </c>
      <c r="M25" s="204">
        <v>1.7</v>
      </c>
      <c r="N25" s="200">
        <v>9</v>
      </c>
      <c r="O25" s="200">
        <v>49</v>
      </c>
      <c r="P25" s="203">
        <v>0.7</v>
      </c>
      <c r="Q25" s="203" t="s">
        <v>2</v>
      </c>
      <c r="R25" s="200" t="s">
        <v>2</v>
      </c>
      <c r="S25" s="200" t="s">
        <v>2</v>
      </c>
      <c r="T25" s="200" t="s">
        <v>2</v>
      </c>
      <c r="U25" s="205" t="s">
        <v>2</v>
      </c>
      <c r="V25" s="205" t="s">
        <v>2</v>
      </c>
      <c r="W25" s="204" t="s">
        <v>2</v>
      </c>
      <c r="X25" s="203">
        <v>5</v>
      </c>
      <c r="Y25" s="205">
        <v>0.23</v>
      </c>
      <c r="Z25" s="205">
        <v>0.05</v>
      </c>
      <c r="AA25" s="205">
        <v>1.9</v>
      </c>
      <c r="AB25" s="205" t="s">
        <v>2</v>
      </c>
      <c r="AC25" s="205" t="s">
        <v>2</v>
      </c>
      <c r="AD25" s="200" t="s">
        <v>2</v>
      </c>
      <c r="AE25" s="203" t="s">
        <v>2</v>
      </c>
      <c r="AF25" s="203" t="s">
        <v>2</v>
      </c>
      <c r="AG25" s="204" t="s">
        <v>2</v>
      </c>
      <c r="AH25" s="200">
        <v>0</v>
      </c>
      <c r="AI25" s="200">
        <v>0</v>
      </c>
      <c r="AJ25" s="203" t="s">
        <v>2</v>
      </c>
      <c r="AK25" s="203" t="s">
        <v>2</v>
      </c>
      <c r="AL25" s="204" t="s">
        <v>2</v>
      </c>
      <c r="AM25" s="200">
        <v>5</v>
      </c>
      <c r="AN25" s="200" t="s">
        <v>2</v>
      </c>
      <c r="AO25" s="201" t="s">
        <v>2</v>
      </c>
      <c r="AP25" s="203" t="s">
        <v>2</v>
      </c>
      <c r="AQ25" s="205" t="s">
        <v>2</v>
      </c>
      <c r="AR25" s="205" t="s">
        <v>2</v>
      </c>
      <c r="AS25" s="205" t="s">
        <v>2</v>
      </c>
      <c r="AT25" s="205" t="s">
        <v>2</v>
      </c>
      <c r="AU25" s="205" t="s">
        <v>2</v>
      </c>
      <c r="AV25" s="206" t="s">
        <v>2</v>
      </c>
      <c r="AW25" s="203" t="s">
        <v>2</v>
      </c>
      <c r="AX25" s="205" t="s">
        <v>2</v>
      </c>
      <c r="AY25" s="205" t="s">
        <v>2</v>
      </c>
      <c r="AZ25" s="206" t="s">
        <v>2</v>
      </c>
      <c r="BA25" s="203" t="s">
        <v>2</v>
      </c>
      <c r="BB25" s="205" t="s">
        <v>2</v>
      </c>
      <c r="BC25" s="205" t="s">
        <v>2</v>
      </c>
      <c r="BD25" s="205" t="s">
        <v>2</v>
      </c>
      <c r="BE25" s="205" t="s">
        <v>2</v>
      </c>
      <c r="BF25" s="206" t="s">
        <v>2</v>
      </c>
      <c r="BG25" s="199" t="s">
        <v>2</v>
      </c>
      <c r="BH25" s="199">
        <v>0</v>
      </c>
      <c r="BI25" s="200" t="s">
        <v>2</v>
      </c>
      <c r="BJ25" s="200" t="s">
        <v>2</v>
      </c>
      <c r="BK25" s="200" t="s">
        <v>2</v>
      </c>
      <c r="BL25" s="200" t="s">
        <v>2</v>
      </c>
      <c r="BM25" s="200" t="s">
        <v>2</v>
      </c>
      <c r="BN25" s="200" t="s">
        <v>2</v>
      </c>
      <c r="BO25" s="200" t="s">
        <v>2</v>
      </c>
      <c r="BP25" s="200" t="s">
        <v>2</v>
      </c>
      <c r="BQ25" s="200" t="s">
        <v>2</v>
      </c>
      <c r="BR25" s="200" t="s">
        <v>2</v>
      </c>
      <c r="BS25" s="200" t="s">
        <v>2</v>
      </c>
      <c r="BT25" s="200" t="s">
        <v>2</v>
      </c>
      <c r="BU25" s="200" t="s">
        <v>2</v>
      </c>
      <c r="BV25" s="200" t="s">
        <v>2</v>
      </c>
      <c r="BW25" s="200" t="s">
        <v>2</v>
      </c>
      <c r="BX25" s="200" t="s">
        <v>2</v>
      </c>
      <c r="BY25" s="200" t="s">
        <v>2</v>
      </c>
      <c r="BZ25" s="201" t="s">
        <v>2</v>
      </c>
      <c r="CA25" s="203" t="s">
        <v>2</v>
      </c>
      <c r="CB25" s="203" t="s">
        <v>2</v>
      </c>
      <c r="CC25" s="203" t="s">
        <v>2</v>
      </c>
      <c r="CD25" s="203" t="s">
        <v>2</v>
      </c>
      <c r="CE25" s="203" t="s">
        <v>2</v>
      </c>
      <c r="CF25" s="203" t="s">
        <v>2</v>
      </c>
      <c r="CG25" s="204" t="s">
        <v>2</v>
      </c>
      <c r="CH25" s="200">
        <v>0</v>
      </c>
      <c r="CI25" s="201">
        <v>0</v>
      </c>
      <c r="CJ25" s="203">
        <v>0</v>
      </c>
      <c r="CK25" s="203">
        <v>0</v>
      </c>
      <c r="CL25" s="203">
        <v>0</v>
      </c>
      <c r="CM25" s="204">
        <v>0</v>
      </c>
      <c r="CN25" s="199" t="s">
        <v>2</v>
      </c>
      <c r="CO25" s="199" t="s">
        <v>2</v>
      </c>
    </row>
    <row r="26" spans="1:93" s="207" customFormat="1" ht="15" x14ac:dyDescent="0.25">
      <c r="A26" s="196" t="s">
        <v>604</v>
      </c>
      <c r="B26" s="197" t="s">
        <v>275</v>
      </c>
      <c r="C26" s="198" t="s">
        <v>638</v>
      </c>
      <c r="D26" s="289">
        <v>2</v>
      </c>
      <c r="E26" s="199">
        <v>15</v>
      </c>
      <c r="F26" s="200">
        <v>134</v>
      </c>
      <c r="G26" s="201">
        <v>560.12</v>
      </c>
      <c r="H26" s="202">
        <v>65.5</v>
      </c>
      <c r="I26" s="203">
        <v>3.1</v>
      </c>
      <c r="J26" s="203">
        <v>0.12</v>
      </c>
      <c r="K26" s="203">
        <v>30.18</v>
      </c>
      <c r="L26" s="203">
        <v>1.8</v>
      </c>
      <c r="M26" s="204">
        <v>1.1000000000000001</v>
      </c>
      <c r="N26" s="200">
        <v>20</v>
      </c>
      <c r="O26" s="200">
        <v>32</v>
      </c>
      <c r="P26" s="203">
        <v>2.9</v>
      </c>
      <c r="Q26" s="203">
        <v>11</v>
      </c>
      <c r="R26" s="200">
        <v>12</v>
      </c>
      <c r="S26" s="200">
        <v>397</v>
      </c>
      <c r="T26" s="200">
        <v>20</v>
      </c>
      <c r="U26" s="205" t="s">
        <v>2</v>
      </c>
      <c r="V26" s="205" t="s">
        <v>2</v>
      </c>
      <c r="W26" s="204" t="s">
        <v>2</v>
      </c>
      <c r="X26" s="203">
        <v>1</v>
      </c>
      <c r="Y26" s="205" t="s">
        <v>2</v>
      </c>
      <c r="Z26" s="205" t="s">
        <v>2</v>
      </c>
      <c r="AA26" s="205" t="s">
        <v>2</v>
      </c>
      <c r="AB26" s="205">
        <v>0.314</v>
      </c>
      <c r="AC26" s="205">
        <v>0.29299999999999998</v>
      </c>
      <c r="AD26" s="200">
        <v>23</v>
      </c>
      <c r="AE26" s="203">
        <v>0</v>
      </c>
      <c r="AF26" s="203" t="s">
        <v>2</v>
      </c>
      <c r="AG26" s="204">
        <v>0</v>
      </c>
      <c r="AH26" s="200">
        <v>0</v>
      </c>
      <c r="AI26" s="200">
        <v>7</v>
      </c>
      <c r="AJ26" s="203" t="s">
        <v>2</v>
      </c>
      <c r="AK26" s="203">
        <v>0.39</v>
      </c>
      <c r="AL26" s="204">
        <v>2.6</v>
      </c>
      <c r="AM26" s="200">
        <v>83</v>
      </c>
      <c r="AN26" s="200" t="s">
        <v>2</v>
      </c>
      <c r="AO26" s="201" t="s">
        <v>2</v>
      </c>
      <c r="AP26" s="203">
        <v>0.04</v>
      </c>
      <c r="AQ26" s="205">
        <v>3.4000000000000002E-2</v>
      </c>
      <c r="AR26" s="205">
        <v>0</v>
      </c>
      <c r="AS26" s="205">
        <v>4.0000000000000001E-3</v>
      </c>
      <c r="AT26" s="205">
        <v>0</v>
      </c>
      <c r="AU26" s="205">
        <v>0</v>
      </c>
      <c r="AV26" s="206">
        <v>0</v>
      </c>
      <c r="AW26" s="203">
        <v>0.01</v>
      </c>
      <c r="AX26" s="205">
        <v>0</v>
      </c>
      <c r="AY26" s="205">
        <v>0</v>
      </c>
      <c r="AZ26" s="206">
        <v>6.0000000000000001E-3</v>
      </c>
      <c r="BA26" s="203">
        <v>0.08</v>
      </c>
      <c r="BB26" s="205">
        <v>6.4000000000000001E-2</v>
      </c>
      <c r="BC26" s="205">
        <v>1.2E-2</v>
      </c>
      <c r="BD26" s="205">
        <v>0</v>
      </c>
      <c r="BE26" s="205">
        <v>0</v>
      </c>
      <c r="BF26" s="206">
        <v>0</v>
      </c>
      <c r="BG26" s="199" t="s">
        <v>2</v>
      </c>
      <c r="BH26" s="199">
        <v>0</v>
      </c>
      <c r="BI26" s="200">
        <v>59</v>
      </c>
      <c r="BJ26" s="200">
        <v>21</v>
      </c>
      <c r="BK26" s="200">
        <v>12</v>
      </c>
      <c r="BL26" s="200">
        <v>71</v>
      </c>
      <c r="BM26" s="200">
        <v>54</v>
      </c>
      <c r="BN26" s="200">
        <v>62</v>
      </c>
      <c r="BO26" s="200">
        <v>96</v>
      </c>
      <c r="BP26" s="200">
        <v>52</v>
      </c>
      <c r="BQ26" s="200">
        <v>127</v>
      </c>
      <c r="BR26" s="200">
        <v>34</v>
      </c>
      <c r="BS26" s="200">
        <v>19</v>
      </c>
      <c r="BT26" s="200">
        <v>40</v>
      </c>
      <c r="BU26" s="200">
        <v>63</v>
      </c>
      <c r="BV26" s="200">
        <v>155</v>
      </c>
      <c r="BW26" s="200">
        <v>181</v>
      </c>
      <c r="BX26" s="200">
        <v>53</v>
      </c>
      <c r="BY26" s="200">
        <v>54</v>
      </c>
      <c r="BZ26" s="201">
        <v>81</v>
      </c>
      <c r="CA26" s="203" t="s">
        <v>2</v>
      </c>
      <c r="CB26" s="203" t="s">
        <v>2</v>
      </c>
      <c r="CC26" s="203" t="s">
        <v>2</v>
      </c>
      <c r="CD26" s="203" t="s">
        <v>2</v>
      </c>
      <c r="CE26" s="203" t="s">
        <v>2</v>
      </c>
      <c r="CF26" s="203" t="s">
        <v>2</v>
      </c>
      <c r="CG26" s="204" t="s">
        <v>2</v>
      </c>
      <c r="CH26" s="200">
        <v>0</v>
      </c>
      <c r="CI26" s="201">
        <v>0</v>
      </c>
      <c r="CJ26" s="203">
        <v>0</v>
      </c>
      <c r="CK26" s="203">
        <v>0</v>
      </c>
      <c r="CL26" s="203">
        <v>0</v>
      </c>
      <c r="CM26" s="204">
        <v>0</v>
      </c>
      <c r="CN26" s="199" t="s">
        <v>2</v>
      </c>
      <c r="CO26" s="199" t="s">
        <v>2</v>
      </c>
    </row>
    <row r="27" spans="1:93" s="207" customFormat="1" ht="15" x14ac:dyDescent="0.25">
      <c r="A27" s="196" t="s">
        <v>605</v>
      </c>
      <c r="B27" s="197" t="s">
        <v>276</v>
      </c>
      <c r="C27" s="198" t="s">
        <v>639</v>
      </c>
      <c r="D27" s="289">
        <v>2</v>
      </c>
      <c r="E27" s="199">
        <v>4</v>
      </c>
      <c r="F27" s="200">
        <v>129</v>
      </c>
      <c r="G27" s="201">
        <v>539.21999999999991</v>
      </c>
      <c r="H27" s="202">
        <v>66.5</v>
      </c>
      <c r="I27" s="203">
        <v>1.4</v>
      </c>
      <c r="J27" s="203" t="s">
        <v>2</v>
      </c>
      <c r="K27" s="203">
        <v>30.8</v>
      </c>
      <c r="L27" s="203">
        <v>2.4</v>
      </c>
      <c r="M27" s="204">
        <v>1.3</v>
      </c>
      <c r="N27" s="200">
        <v>42</v>
      </c>
      <c r="O27" s="200">
        <v>21</v>
      </c>
      <c r="P27" s="203" t="s">
        <v>2</v>
      </c>
      <c r="Q27" s="203" t="s">
        <v>2</v>
      </c>
      <c r="R27" s="200">
        <v>73</v>
      </c>
      <c r="S27" s="200">
        <v>299</v>
      </c>
      <c r="T27" s="200">
        <v>46</v>
      </c>
      <c r="U27" s="205" t="s">
        <v>2</v>
      </c>
      <c r="V27" s="205" t="s">
        <v>2</v>
      </c>
      <c r="W27" s="204" t="s">
        <v>2</v>
      </c>
      <c r="X27" s="203" t="s">
        <v>2</v>
      </c>
      <c r="Y27" s="205" t="s">
        <v>2</v>
      </c>
      <c r="Z27" s="205" t="s">
        <v>2</v>
      </c>
      <c r="AA27" s="205" t="s">
        <v>2</v>
      </c>
      <c r="AB27" s="205" t="s">
        <v>2</v>
      </c>
      <c r="AC27" s="205" t="s">
        <v>2</v>
      </c>
      <c r="AD27" s="200" t="s">
        <v>2</v>
      </c>
      <c r="AE27" s="203" t="s">
        <v>2</v>
      </c>
      <c r="AF27" s="203" t="s">
        <v>2</v>
      </c>
      <c r="AG27" s="204" t="s">
        <v>2</v>
      </c>
      <c r="AH27" s="200">
        <v>0</v>
      </c>
      <c r="AI27" s="200">
        <v>0</v>
      </c>
      <c r="AJ27" s="203" t="s">
        <v>2</v>
      </c>
      <c r="AK27" s="203" t="s">
        <v>2</v>
      </c>
      <c r="AL27" s="204" t="s">
        <v>2</v>
      </c>
      <c r="AM27" s="200">
        <v>0</v>
      </c>
      <c r="AN27" s="200">
        <v>0</v>
      </c>
      <c r="AO27" s="201">
        <v>0</v>
      </c>
      <c r="AP27" s="203" t="s">
        <v>2</v>
      </c>
      <c r="AQ27" s="205" t="s">
        <v>2</v>
      </c>
      <c r="AR27" s="205" t="s">
        <v>2</v>
      </c>
      <c r="AS27" s="205" t="s">
        <v>2</v>
      </c>
      <c r="AT27" s="205" t="s">
        <v>2</v>
      </c>
      <c r="AU27" s="205" t="s">
        <v>2</v>
      </c>
      <c r="AV27" s="206" t="s">
        <v>2</v>
      </c>
      <c r="AW27" s="203" t="s">
        <v>2</v>
      </c>
      <c r="AX27" s="205" t="s">
        <v>2</v>
      </c>
      <c r="AY27" s="205" t="s">
        <v>2</v>
      </c>
      <c r="AZ27" s="206" t="s">
        <v>2</v>
      </c>
      <c r="BA27" s="203" t="s">
        <v>2</v>
      </c>
      <c r="BB27" s="205" t="s">
        <v>2</v>
      </c>
      <c r="BC27" s="205" t="s">
        <v>2</v>
      </c>
      <c r="BD27" s="205" t="s">
        <v>2</v>
      </c>
      <c r="BE27" s="205" t="s">
        <v>2</v>
      </c>
      <c r="BF27" s="206" t="s">
        <v>2</v>
      </c>
      <c r="BG27" s="199" t="s">
        <v>2</v>
      </c>
      <c r="BH27" s="199">
        <v>0</v>
      </c>
      <c r="BI27" s="200" t="s">
        <v>2</v>
      </c>
      <c r="BJ27" s="200" t="s">
        <v>2</v>
      </c>
      <c r="BK27" s="200" t="s">
        <v>2</v>
      </c>
      <c r="BL27" s="200" t="s">
        <v>2</v>
      </c>
      <c r="BM27" s="200" t="s">
        <v>2</v>
      </c>
      <c r="BN27" s="200" t="s">
        <v>2</v>
      </c>
      <c r="BO27" s="200" t="s">
        <v>2</v>
      </c>
      <c r="BP27" s="200" t="s">
        <v>2</v>
      </c>
      <c r="BQ27" s="200" t="s">
        <v>2</v>
      </c>
      <c r="BR27" s="200" t="s">
        <v>2</v>
      </c>
      <c r="BS27" s="200" t="s">
        <v>2</v>
      </c>
      <c r="BT27" s="200" t="s">
        <v>2</v>
      </c>
      <c r="BU27" s="200" t="s">
        <v>2</v>
      </c>
      <c r="BV27" s="200" t="s">
        <v>2</v>
      </c>
      <c r="BW27" s="200" t="s">
        <v>2</v>
      </c>
      <c r="BX27" s="200" t="s">
        <v>2</v>
      </c>
      <c r="BY27" s="200" t="s">
        <v>2</v>
      </c>
      <c r="BZ27" s="201" t="s">
        <v>2</v>
      </c>
      <c r="CA27" s="203" t="s">
        <v>2</v>
      </c>
      <c r="CB27" s="203" t="s">
        <v>2</v>
      </c>
      <c r="CC27" s="203" t="s">
        <v>2</v>
      </c>
      <c r="CD27" s="203" t="s">
        <v>2</v>
      </c>
      <c r="CE27" s="203" t="s">
        <v>2</v>
      </c>
      <c r="CF27" s="203" t="s">
        <v>2</v>
      </c>
      <c r="CG27" s="204" t="s">
        <v>2</v>
      </c>
      <c r="CH27" s="200">
        <v>0</v>
      </c>
      <c r="CI27" s="201">
        <v>0</v>
      </c>
      <c r="CJ27" s="203">
        <v>0</v>
      </c>
      <c r="CK27" s="203">
        <v>0</v>
      </c>
      <c r="CL27" s="203">
        <v>0</v>
      </c>
      <c r="CM27" s="204">
        <v>0</v>
      </c>
      <c r="CN27" s="199" t="s">
        <v>2</v>
      </c>
      <c r="CO27" s="199" t="s">
        <v>2</v>
      </c>
    </row>
    <row r="28" spans="1:93" s="207" customFormat="1" ht="15" x14ac:dyDescent="0.25">
      <c r="A28" s="196" t="s">
        <v>606</v>
      </c>
      <c r="B28" s="197" t="s">
        <v>277</v>
      </c>
      <c r="C28" s="198" t="s">
        <v>640</v>
      </c>
      <c r="D28" s="289">
        <v>2</v>
      </c>
      <c r="E28" s="199">
        <v>25</v>
      </c>
      <c r="F28" s="200">
        <v>158</v>
      </c>
      <c r="G28" s="201">
        <v>660.43999999999994</v>
      </c>
      <c r="H28" s="202">
        <v>60</v>
      </c>
      <c r="I28" s="203">
        <v>1.1000000000000001</v>
      </c>
      <c r="J28" s="203">
        <v>0.2</v>
      </c>
      <c r="K28" s="203">
        <v>37.9</v>
      </c>
      <c r="L28" s="203">
        <v>1.5</v>
      </c>
      <c r="M28" s="204">
        <v>0.8</v>
      </c>
      <c r="N28" s="200">
        <v>25</v>
      </c>
      <c r="O28" s="200">
        <v>30</v>
      </c>
      <c r="P28" s="203">
        <v>1.2</v>
      </c>
      <c r="Q28" s="203" t="s">
        <v>2</v>
      </c>
      <c r="R28" s="200">
        <v>2</v>
      </c>
      <c r="S28" s="200">
        <v>394</v>
      </c>
      <c r="T28" s="200">
        <v>4</v>
      </c>
      <c r="U28" s="205" t="s">
        <v>2</v>
      </c>
      <c r="V28" s="205" t="s">
        <v>2</v>
      </c>
      <c r="W28" s="204" t="s">
        <v>2</v>
      </c>
      <c r="X28" s="203">
        <v>34</v>
      </c>
      <c r="Y28" s="205">
        <v>0.03</v>
      </c>
      <c r="Z28" s="205">
        <v>0.03</v>
      </c>
      <c r="AA28" s="205">
        <v>0.6</v>
      </c>
      <c r="AB28" s="205">
        <v>0.107</v>
      </c>
      <c r="AC28" s="205">
        <v>8.7999999999999995E-2</v>
      </c>
      <c r="AD28" s="200">
        <v>27</v>
      </c>
      <c r="AE28" s="203">
        <v>0</v>
      </c>
      <c r="AF28" s="203" t="s">
        <v>2</v>
      </c>
      <c r="AG28" s="204">
        <v>0</v>
      </c>
      <c r="AH28" s="200">
        <v>0</v>
      </c>
      <c r="AI28" s="200">
        <v>1</v>
      </c>
      <c r="AJ28" s="203" t="s">
        <v>2</v>
      </c>
      <c r="AK28" s="203">
        <v>0.19</v>
      </c>
      <c r="AL28" s="204">
        <v>1.9</v>
      </c>
      <c r="AM28" s="200">
        <v>8</v>
      </c>
      <c r="AN28" s="200">
        <v>0</v>
      </c>
      <c r="AO28" s="201">
        <v>0</v>
      </c>
      <c r="AP28" s="203">
        <v>7.0000000000000007E-2</v>
      </c>
      <c r="AQ28" s="205">
        <v>6.9000000000000006E-2</v>
      </c>
      <c r="AR28" s="205">
        <v>0</v>
      </c>
      <c r="AS28" s="205">
        <v>5.0000000000000001E-3</v>
      </c>
      <c r="AT28" s="205">
        <v>0</v>
      </c>
      <c r="AU28" s="205">
        <v>0</v>
      </c>
      <c r="AV28" s="206">
        <v>0</v>
      </c>
      <c r="AW28" s="203">
        <v>0.08</v>
      </c>
      <c r="AX28" s="205">
        <v>0</v>
      </c>
      <c r="AY28" s="205">
        <v>0</v>
      </c>
      <c r="AZ28" s="206">
        <v>7.4999999999999997E-2</v>
      </c>
      <c r="BA28" s="203">
        <v>0.05</v>
      </c>
      <c r="BB28" s="205">
        <v>3.2000000000000001E-2</v>
      </c>
      <c r="BC28" s="205">
        <v>1.7000000000000001E-2</v>
      </c>
      <c r="BD28" s="205">
        <v>0</v>
      </c>
      <c r="BE28" s="205">
        <v>0</v>
      </c>
      <c r="BF28" s="206">
        <v>0</v>
      </c>
      <c r="BG28" s="199" t="s">
        <v>2</v>
      </c>
      <c r="BH28" s="199">
        <v>0</v>
      </c>
      <c r="BI28" s="200">
        <v>44</v>
      </c>
      <c r="BJ28" s="200">
        <v>11</v>
      </c>
      <c r="BK28" s="200">
        <v>19</v>
      </c>
      <c r="BL28" s="200">
        <v>26</v>
      </c>
      <c r="BM28" s="200">
        <v>28</v>
      </c>
      <c r="BN28" s="200">
        <v>35</v>
      </c>
      <c r="BO28" s="200">
        <v>39</v>
      </c>
      <c r="BP28" s="200">
        <v>27</v>
      </c>
      <c r="BQ28" s="200">
        <v>137</v>
      </c>
      <c r="BR28" s="200">
        <v>20</v>
      </c>
      <c r="BS28" s="200">
        <v>28</v>
      </c>
      <c r="BT28" s="200">
        <v>17</v>
      </c>
      <c r="BU28" s="200">
        <v>38</v>
      </c>
      <c r="BV28" s="200">
        <v>79</v>
      </c>
      <c r="BW28" s="200">
        <v>206</v>
      </c>
      <c r="BX28" s="200">
        <v>28</v>
      </c>
      <c r="BY28" s="200">
        <v>33</v>
      </c>
      <c r="BZ28" s="201">
        <v>33</v>
      </c>
      <c r="CA28" s="203" t="s">
        <v>2</v>
      </c>
      <c r="CB28" s="203" t="s">
        <v>2</v>
      </c>
      <c r="CC28" s="203" t="s">
        <v>2</v>
      </c>
      <c r="CD28" s="203" t="s">
        <v>2</v>
      </c>
      <c r="CE28" s="203" t="s">
        <v>2</v>
      </c>
      <c r="CF28" s="203" t="s">
        <v>2</v>
      </c>
      <c r="CG28" s="204" t="s">
        <v>2</v>
      </c>
      <c r="CH28" s="200">
        <v>0</v>
      </c>
      <c r="CI28" s="201">
        <v>0</v>
      </c>
      <c r="CJ28" s="203">
        <v>0</v>
      </c>
      <c r="CK28" s="203">
        <v>0</v>
      </c>
      <c r="CL28" s="203">
        <v>0</v>
      </c>
      <c r="CM28" s="204">
        <v>0</v>
      </c>
      <c r="CN28" s="199" t="s">
        <v>2</v>
      </c>
      <c r="CO28" s="199" t="s">
        <v>2</v>
      </c>
    </row>
    <row r="29" spans="1:93" s="207" customFormat="1" ht="15" x14ac:dyDescent="0.25">
      <c r="A29" s="196" t="s">
        <v>607</v>
      </c>
      <c r="B29" s="197" t="s">
        <v>278</v>
      </c>
      <c r="C29" s="198" t="s">
        <v>641</v>
      </c>
      <c r="D29" s="289">
        <v>2</v>
      </c>
      <c r="E29" s="199">
        <v>10</v>
      </c>
      <c r="F29" s="200">
        <v>156</v>
      </c>
      <c r="G29" s="201">
        <v>652.07999999999993</v>
      </c>
      <c r="H29" s="202">
        <v>60.3</v>
      </c>
      <c r="I29" s="203">
        <v>1.6</v>
      </c>
      <c r="J29" s="203">
        <v>0.1</v>
      </c>
      <c r="K29" s="203">
        <v>37.200000000000003</v>
      </c>
      <c r="L29" s="203">
        <v>9.1999999999999993</v>
      </c>
      <c r="M29" s="204">
        <v>0.8</v>
      </c>
      <c r="N29" s="200">
        <v>28</v>
      </c>
      <c r="O29" s="200">
        <v>45</v>
      </c>
      <c r="P29" s="203">
        <v>0.2</v>
      </c>
      <c r="Q29" s="203" t="s">
        <v>2</v>
      </c>
      <c r="R29" s="200" t="s">
        <v>2</v>
      </c>
      <c r="S29" s="200" t="s">
        <v>2</v>
      </c>
      <c r="T29" s="200" t="s">
        <v>2</v>
      </c>
      <c r="U29" s="205" t="s">
        <v>2</v>
      </c>
      <c r="V29" s="205" t="s">
        <v>2</v>
      </c>
      <c r="W29" s="204" t="s">
        <v>2</v>
      </c>
      <c r="X29" s="203" t="s">
        <v>2</v>
      </c>
      <c r="Y29" s="205" t="s">
        <v>2</v>
      </c>
      <c r="Z29" s="205" t="s">
        <v>2</v>
      </c>
      <c r="AA29" s="205" t="s">
        <v>2</v>
      </c>
      <c r="AB29" s="205" t="s">
        <v>2</v>
      </c>
      <c r="AC29" s="205" t="s">
        <v>2</v>
      </c>
      <c r="AD29" s="200" t="s">
        <v>2</v>
      </c>
      <c r="AE29" s="203" t="s">
        <v>2</v>
      </c>
      <c r="AF29" s="203" t="s">
        <v>2</v>
      </c>
      <c r="AG29" s="204" t="s">
        <v>2</v>
      </c>
      <c r="AH29" s="200">
        <v>0</v>
      </c>
      <c r="AI29" s="200">
        <v>0</v>
      </c>
      <c r="AJ29" s="203" t="s">
        <v>2</v>
      </c>
      <c r="AK29" s="203" t="s">
        <v>2</v>
      </c>
      <c r="AL29" s="204" t="s">
        <v>2</v>
      </c>
      <c r="AM29" s="200">
        <v>0</v>
      </c>
      <c r="AN29" s="200">
        <v>0</v>
      </c>
      <c r="AO29" s="201">
        <v>0</v>
      </c>
      <c r="AP29" s="203" t="s">
        <v>2</v>
      </c>
      <c r="AQ29" s="205" t="s">
        <v>2</v>
      </c>
      <c r="AR29" s="205" t="s">
        <v>2</v>
      </c>
      <c r="AS29" s="205" t="s">
        <v>2</v>
      </c>
      <c r="AT29" s="205" t="s">
        <v>2</v>
      </c>
      <c r="AU29" s="205" t="s">
        <v>2</v>
      </c>
      <c r="AV29" s="206" t="s">
        <v>2</v>
      </c>
      <c r="AW29" s="203" t="s">
        <v>2</v>
      </c>
      <c r="AX29" s="205" t="s">
        <v>2</v>
      </c>
      <c r="AY29" s="205" t="s">
        <v>2</v>
      </c>
      <c r="AZ29" s="206" t="s">
        <v>2</v>
      </c>
      <c r="BA29" s="203" t="s">
        <v>2</v>
      </c>
      <c r="BB29" s="205" t="s">
        <v>2</v>
      </c>
      <c r="BC29" s="205" t="s">
        <v>2</v>
      </c>
      <c r="BD29" s="205" t="s">
        <v>2</v>
      </c>
      <c r="BE29" s="205" t="s">
        <v>2</v>
      </c>
      <c r="BF29" s="206" t="s">
        <v>2</v>
      </c>
      <c r="BG29" s="199" t="s">
        <v>2</v>
      </c>
      <c r="BH29" s="199">
        <v>0</v>
      </c>
      <c r="BI29" s="200" t="s">
        <v>2</v>
      </c>
      <c r="BJ29" s="200" t="s">
        <v>2</v>
      </c>
      <c r="BK29" s="200" t="s">
        <v>2</v>
      </c>
      <c r="BL29" s="200" t="s">
        <v>2</v>
      </c>
      <c r="BM29" s="200" t="s">
        <v>2</v>
      </c>
      <c r="BN29" s="200" t="s">
        <v>2</v>
      </c>
      <c r="BO29" s="200" t="s">
        <v>2</v>
      </c>
      <c r="BP29" s="200" t="s">
        <v>2</v>
      </c>
      <c r="BQ29" s="200" t="s">
        <v>2</v>
      </c>
      <c r="BR29" s="200" t="s">
        <v>2</v>
      </c>
      <c r="BS29" s="200" t="s">
        <v>2</v>
      </c>
      <c r="BT29" s="200" t="s">
        <v>2</v>
      </c>
      <c r="BU29" s="200" t="s">
        <v>2</v>
      </c>
      <c r="BV29" s="200" t="s">
        <v>2</v>
      </c>
      <c r="BW29" s="200" t="s">
        <v>2</v>
      </c>
      <c r="BX29" s="200" t="s">
        <v>2</v>
      </c>
      <c r="BY29" s="200" t="s">
        <v>2</v>
      </c>
      <c r="BZ29" s="201" t="s">
        <v>2</v>
      </c>
      <c r="CA29" s="203" t="s">
        <v>2</v>
      </c>
      <c r="CB29" s="203" t="s">
        <v>2</v>
      </c>
      <c r="CC29" s="203" t="s">
        <v>2</v>
      </c>
      <c r="CD29" s="203" t="s">
        <v>2</v>
      </c>
      <c r="CE29" s="203" t="s">
        <v>2</v>
      </c>
      <c r="CF29" s="203" t="s">
        <v>2</v>
      </c>
      <c r="CG29" s="204" t="s">
        <v>2</v>
      </c>
      <c r="CH29" s="200">
        <v>0</v>
      </c>
      <c r="CI29" s="201">
        <v>0</v>
      </c>
      <c r="CJ29" s="203">
        <v>0</v>
      </c>
      <c r="CK29" s="203">
        <v>0</v>
      </c>
      <c r="CL29" s="203">
        <v>0</v>
      </c>
      <c r="CM29" s="204">
        <v>0</v>
      </c>
      <c r="CN29" s="199" t="s">
        <v>2</v>
      </c>
      <c r="CO29" s="199" t="s">
        <v>2</v>
      </c>
    </row>
    <row r="30" spans="1:93" s="207" customFormat="1" ht="15" x14ac:dyDescent="0.25">
      <c r="A30" s="196" t="s">
        <v>608</v>
      </c>
      <c r="B30" s="197" t="s">
        <v>279</v>
      </c>
      <c r="C30" s="198" t="s">
        <v>642</v>
      </c>
      <c r="D30" s="289">
        <v>2</v>
      </c>
      <c r="E30" s="199">
        <v>0</v>
      </c>
      <c r="F30" s="200">
        <v>359</v>
      </c>
      <c r="G30" s="201">
        <v>1500.62</v>
      </c>
      <c r="H30" s="202">
        <v>8.6</v>
      </c>
      <c r="I30" s="203">
        <v>16.100000000000001</v>
      </c>
      <c r="J30" s="203">
        <v>0.5</v>
      </c>
      <c r="K30" s="203">
        <v>72.599999999999994</v>
      </c>
      <c r="L30" s="203">
        <v>2.2999999999999998</v>
      </c>
      <c r="M30" s="204">
        <v>2.2000000000000002</v>
      </c>
      <c r="N30" s="200">
        <v>100</v>
      </c>
      <c r="O30" s="200">
        <v>720</v>
      </c>
      <c r="P30" s="203">
        <v>0.2</v>
      </c>
      <c r="Q30" s="203" t="s">
        <v>2</v>
      </c>
      <c r="R30" s="200" t="s">
        <v>2</v>
      </c>
      <c r="S30" s="200" t="s">
        <v>2</v>
      </c>
      <c r="T30" s="200" t="s">
        <v>2</v>
      </c>
      <c r="U30" s="205" t="s">
        <v>2</v>
      </c>
      <c r="V30" s="205" t="s">
        <v>2</v>
      </c>
      <c r="W30" s="204" t="s">
        <v>2</v>
      </c>
      <c r="X30" s="203" t="s">
        <v>2</v>
      </c>
      <c r="Y30" s="205" t="s">
        <v>2</v>
      </c>
      <c r="Z30" s="205" t="s">
        <v>2</v>
      </c>
      <c r="AA30" s="205" t="s">
        <v>2</v>
      </c>
      <c r="AB30" s="205" t="s">
        <v>2</v>
      </c>
      <c r="AC30" s="205" t="s">
        <v>2</v>
      </c>
      <c r="AD30" s="200" t="s">
        <v>2</v>
      </c>
      <c r="AE30" s="203" t="s">
        <v>2</v>
      </c>
      <c r="AF30" s="203" t="s">
        <v>2</v>
      </c>
      <c r="AG30" s="204" t="s">
        <v>2</v>
      </c>
      <c r="AH30" s="200">
        <v>0</v>
      </c>
      <c r="AI30" s="200">
        <v>0</v>
      </c>
      <c r="AJ30" s="203" t="s">
        <v>2</v>
      </c>
      <c r="AK30" s="203" t="s">
        <v>2</v>
      </c>
      <c r="AL30" s="204" t="s">
        <v>2</v>
      </c>
      <c r="AM30" s="200">
        <v>0</v>
      </c>
      <c r="AN30" s="200">
        <v>0</v>
      </c>
      <c r="AO30" s="201">
        <v>0</v>
      </c>
      <c r="AP30" s="203" t="s">
        <v>2</v>
      </c>
      <c r="AQ30" s="205" t="s">
        <v>2</v>
      </c>
      <c r="AR30" s="205" t="s">
        <v>2</v>
      </c>
      <c r="AS30" s="205" t="s">
        <v>2</v>
      </c>
      <c r="AT30" s="205" t="s">
        <v>2</v>
      </c>
      <c r="AU30" s="205" t="s">
        <v>2</v>
      </c>
      <c r="AV30" s="206" t="s">
        <v>2</v>
      </c>
      <c r="AW30" s="203" t="s">
        <v>2</v>
      </c>
      <c r="AX30" s="205" t="s">
        <v>2</v>
      </c>
      <c r="AY30" s="205" t="s">
        <v>2</v>
      </c>
      <c r="AZ30" s="206" t="s">
        <v>2</v>
      </c>
      <c r="BA30" s="203" t="s">
        <v>2</v>
      </c>
      <c r="BB30" s="205" t="s">
        <v>2</v>
      </c>
      <c r="BC30" s="205" t="s">
        <v>2</v>
      </c>
      <c r="BD30" s="205" t="s">
        <v>2</v>
      </c>
      <c r="BE30" s="205" t="s">
        <v>2</v>
      </c>
      <c r="BF30" s="206" t="s">
        <v>2</v>
      </c>
      <c r="BG30" s="199" t="s">
        <v>2</v>
      </c>
      <c r="BH30" s="199">
        <v>0</v>
      </c>
      <c r="BI30" s="200" t="s">
        <v>2</v>
      </c>
      <c r="BJ30" s="200" t="s">
        <v>2</v>
      </c>
      <c r="BK30" s="200" t="s">
        <v>2</v>
      </c>
      <c r="BL30" s="200" t="s">
        <v>2</v>
      </c>
      <c r="BM30" s="200" t="s">
        <v>2</v>
      </c>
      <c r="BN30" s="200" t="s">
        <v>2</v>
      </c>
      <c r="BO30" s="200" t="s">
        <v>2</v>
      </c>
      <c r="BP30" s="200" t="s">
        <v>2</v>
      </c>
      <c r="BQ30" s="200" t="s">
        <v>2</v>
      </c>
      <c r="BR30" s="200" t="s">
        <v>2</v>
      </c>
      <c r="BS30" s="200" t="s">
        <v>2</v>
      </c>
      <c r="BT30" s="200" t="s">
        <v>2</v>
      </c>
      <c r="BU30" s="200" t="s">
        <v>2</v>
      </c>
      <c r="BV30" s="200" t="s">
        <v>2</v>
      </c>
      <c r="BW30" s="200" t="s">
        <v>2</v>
      </c>
      <c r="BX30" s="200" t="s">
        <v>2</v>
      </c>
      <c r="BY30" s="200" t="s">
        <v>2</v>
      </c>
      <c r="BZ30" s="201" t="s">
        <v>2</v>
      </c>
      <c r="CA30" s="203" t="s">
        <v>2</v>
      </c>
      <c r="CB30" s="203" t="s">
        <v>2</v>
      </c>
      <c r="CC30" s="203" t="s">
        <v>2</v>
      </c>
      <c r="CD30" s="203" t="s">
        <v>2</v>
      </c>
      <c r="CE30" s="203" t="s">
        <v>2</v>
      </c>
      <c r="CF30" s="203" t="s">
        <v>2</v>
      </c>
      <c r="CG30" s="204" t="s">
        <v>2</v>
      </c>
      <c r="CH30" s="200">
        <v>0</v>
      </c>
      <c r="CI30" s="201">
        <v>0</v>
      </c>
      <c r="CJ30" s="203">
        <v>0</v>
      </c>
      <c r="CK30" s="203">
        <v>0</v>
      </c>
      <c r="CL30" s="203">
        <v>0</v>
      </c>
      <c r="CM30" s="204">
        <v>0</v>
      </c>
      <c r="CN30" s="199" t="s">
        <v>2</v>
      </c>
      <c r="CO30" s="199" t="s">
        <v>2</v>
      </c>
    </row>
    <row r="31" spans="1:93" s="207" customFormat="1" ht="15" x14ac:dyDescent="0.25">
      <c r="A31" s="196" t="s">
        <v>609</v>
      </c>
      <c r="B31" s="197" t="s">
        <v>280</v>
      </c>
      <c r="C31" s="198" t="s">
        <v>1084</v>
      </c>
      <c r="D31" s="289">
        <v>2</v>
      </c>
      <c r="E31" s="199">
        <v>6</v>
      </c>
      <c r="F31" s="200">
        <v>97</v>
      </c>
      <c r="G31" s="201">
        <v>405.46</v>
      </c>
      <c r="H31" s="202">
        <v>75</v>
      </c>
      <c r="I31" s="203">
        <v>1.5</v>
      </c>
      <c r="J31" s="203" t="s">
        <v>2</v>
      </c>
      <c r="K31" s="203">
        <v>22.7</v>
      </c>
      <c r="L31" s="203">
        <v>1.2</v>
      </c>
      <c r="M31" s="204">
        <v>0.8</v>
      </c>
      <c r="N31" s="200">
        <v>28</v>
      </c>
      <c r="O31" s="200">
        <v>30</v>
      </c>
      <c r="P31" s="203">
        <v>0.2</v>
      </c>
      <c r="Q31" s="203" t="s">
        <v>2</v>
      </c>
      <c r="R31" s="200">
        <v>71</v>
      </c>
      <c r="S31" s="200">
        <v>264</v>
      </c>
      <c r="T31" s="200">
        <v>28</v>
      </c>
      <c r="U31" s="205" t="s">
        <v>2</v>
      </c>
      <c r="V31" s="205" t="s">
        <v>2</v>
      </c>
      <c r="W31" s="204" t="s">
        <v>2</v>
      </c>
      <c r="X31" s="203">
        <v>2</v>
      </c>
      <c r="Y31" s="205" t="s">
        <v>2</v>
      </c>
      <c r="Z31" s="205" t="s">
        <v>2</v>
      </c>
      <c r="AA31" s="205" t="s">
        <v>2</v>
      </c>
      <c r="AB31" s="205" t="s">
        <v>2</v>
      </c>
      <c r="AC31" s="205" t="s">
        <v>2</v>
      </c>
      <c r="AD31" s="200" t="s">
        <v>2</v>
      </c>
      <c r="AE31" s="203" t="s">
        <v>2</v>
      </c>
      <c r="AF31" s="203" t="s">
        <v>2</v>
      </c>
      <c r="AG31" s="204" t="s">
        <v>2</v>
      </c>
      <c r="AH31" s="200">
        <v>0</v>
      </c>
      <c r="AI31" s="200">
        <v>0</v>
      </c>
      <c r="AJ31" s="203" t="s">
        <v>2</v>
      </c>
      <c r="AK31" s="203" t="s">
        <v>2</v>
      </c>
      <c r="AL31" s="204" t="s">
        <v>2</v>
      </c>
      <c r="AM31" s="200">
        <v>0</v>
      </c>
      <c r="AN31" s="200">
        <v>0</v>
      </c>
      <c r="AO31" s="201">
        <v>0</v>
      </c>
      <c r="AP31" s="203" t="s">
        <v>2</v>
      </c>
      <c r="AQ31" s="205" t="s">
        <v>2</v>
      </c>
      <c r="AR31" s="205" t="s">
        <v>2</v>
      </c>
      <c r="AS31" s="205" t="s">
        <v>2</v>
      </c>
      <c r="AT31" s="205" t="s">
        <v>2</v>
      </c>
      <c r="AU31" s="205" t="s">
        <v>2</v>
      </c>
      <c r="AV31" s="206" t="s">
        <v>2</v>
      </c>
      <c r="AW31" s="203" t="s">
        <v>2</v>
      </c>
      <c r="AX31" s="205" t="s">
        <v>2</v>
      </c>
      <c r="AY31" s="205" t="s">
        <v>2</v>
      </c>
      <c r="AZ31" s="206" t="s">
        <v>2</v>
      </c>
      <c r="BA31" s="203" t="s">
        <v>2</v>
      </c>
      <c r="BB31" s="205" t="s">
        <v>2</v>
      </c>
      <c r="BC31" s="205" t="s">
        <v>2</v>
      </c>
      <c r="BD31" s="205" t="s">
        <v>2</v>
      </c>
      <c r="BE31" s="205" t="s">
        <v>2</v>
      </c>
      <c r="BF31" s="206" t="s">
        <v>2</v>
      </c>
      <c r="BG31" s="199" t="s">
        <v>2</v>
      </c>
      <c r="BH31" s="199">
        <v>0</v>
      </c>
      <c r="BI31" s="200" t="s">
        <v>2</v>
      </c>
      <c r="BJ31" s="200" t="s">
        <v>2</v>
      </c>
      <c r="BK31" s="200" t="s">
        <v>2</v>
      </c>
      <c r="BL31" s="200" t="s">
        <v>2</v>
      </c>
      <c r="BM31" s="200" t="s">
        <v>2</v>
      </c>
      <c r="BN31" s="200" t="s">
        <v>2</v>
      </c>
      <c r="BO31" s="200" t="s">
        <v>2</v>
      </c>
      <c r="BP31" s="200" t="s">
        <v>2</v>
      </c>
      <c r="BQ31" s="200" t="s">
        <v>2</v>
      </c>
      <c r="BR31" s="200" t="s">
        <v>2</v>
      </c>
      <c r="BS31" s="200" t="s">
        <v>2</v>
      </c>
      <c r="BT31" s="200" t="s">
        <v>2</v>
      </c>
      <c r="BU31" s="200" t="s">
        <v>2</v>
      </c>
      <c r="BV31" s="200" t="s">
        <v>2</v>
      </c>
      <c r="BW31" s="200" t="s">
        <v>2</v>
      </c>
      <c r="BX31" s="200" t="s">
        <v>2</v>
      </c>
      <c r="BY31" s="200" t="s">
        <v>2</v>
      </c>
      <c r="BZ31" s="201" t="s">
        <v>2</v>
      </c>
      <c r="CA31" s="203" t="s">
        <v>2</v>
      </c>
      <c r="CB31" s="203" t="s">
        <v>2</v>
      </c>
      <c r="CC31" s="203" t="s">
        <v>2</v>
      </c>
      <c r="CD31" s="203" t="s">
        <v>2</v>
      </c>
      <c r="CE31" s="203" t="s">
        <v>2</v>
      </c>
      <c r="CF31" s="203" t="s">
        <v>2</v>
      </c>
      <c r="CG31" s="204" t="s">
        <v>2</v>
      </c>
      <c r="CH31" s="200">
        <v>0</v>
      </c>
      <c r="CI31" s="201">
        <v>0</v>
      </c>
      <c r="CJ31" s="203">
        <v>0</v>
      </c>
      <c r="CK31" s="203">
        <v>0</v>
      </c>
      <c r="CL31" s="203">
        <v>0</v>
      </c>
      <c r="CM31" s="204">
        <v>0</v>
      </c>
      <c r="CN31" s="199" t="s">
        <v>2</v>
      </c>
      <c r="CO31" s="199" t="s">
        <v>2</v>
      </c>
    </row>
    <row r="32" spans="1:93" s="207" customFormat="1" ht="15" x14ac:dyDescent="0.25">
      <c r="A32" s="196" t="s">
        <v>610</v>
      </c>
      <c r="B32" s="197" t="s">
        <v>281</v>
      </c>
      <c r="C32" s="198" t="s">
        <v>1085</v>
      </c>
      <c r="D32" s="289">
        <v>2</v>
      </c>
      <c r="E32" s="199">
        <v>17</v>
      </c>
      <c r="F32" s="200">
        <v>124</v>
      </c>
      <c r="G32" s="201">
        <v>518.31999999999994</v>
      </c>
      <c r="H32" s="202">
        <v>68</v>
      </c>
      <c r="I32" s="203">
        <v>0.8</v>
      </c>
      <c r="J32" s="203">
        <v>0.2</v>
      </c>
      <c r="K32" s="203">
        <v>29.8</v>
      </c>
      <c r="L32" s="203">
        <v>1.3</v>
      </c>
      <c r="M32" s="204">
        <v>1.2</v>
      </c>
      <c r="N32" s="200">
        <v>34</v>
      </c>
      <c r="O32" s="200">
        <v>49</v>
      </c>
      <c r="P32" s="203">
        <v>1</v>
      </c>
      <c r="Q32" s="203">
        <v>0.2</v>
      </c>
      <c r="R32" s="200">
        <v>31</v>
      </c>
      <c r="S32" s="200">
        <v>210</v>
      </c>
      <c r="T32" s="200">
        <v>201</v>
      </c>
      <c r="U32" s="205">
        <v>0.38700000000000001</v>
      </c>
      <c r="V32" s="205">
        <v>260</v>
      </c>
      <c r="W32" s="204">
        <v>7.1</v>
      </c>
      <c r="X32" s="203">
        <v>23</v>
      </c>
      <c r="Y32" s="205">
        <v>0.05</v>
      </c>
      <c r="Z32" s="205">
        <v>0.05</v>
      </c>
      <c r="AA32" s="205">
        <v>0.6</v>
      </c>
      <c r="AB32" s="205">
        <v>0.8</v>
      </c>
      <c r="AC32" s="205">
        <v>0.20899999999999999</v>
      </c>
      <c r="AD32" s="200">
        <v>11</v>
      </c>
      <c r="AE32" s="203">
        <v>0</v>
      </c>
      <c r="AF32" s="203" t="s">
        <v>2</v>
      </c>
      <c r="AG32" s="204">
        <v>0</v>
      </c>
      <c r="AH32" s="200">
        <v>0</v>
      </c>
      <c r="AI32" s="200">
        <v>13</v>
      </c>
      <c r="AJ32" s="203" t="s">
        <v>2</v>
      </c>
      <c r="AK32" s="203">
        <v>0.26</v>
      </c>
      <c r="AL32" s="204">
        <v>1.8</v>
      </c>
      <c r="AM32" s="200">
        <v>150</v>
      </c>
      <c r="AN32" s="200" t="s">
        <v>2</v>
      </c>
      <c r="AO32" s="201" t="s">
        <v>2</v>
      </c>
      <c r="AP32" s="203">
        <v>0.02</v>
      </c>
      <c r="AQ32" s="205">
        <v>1.7999999999999999E-2</v>
      </c>
      <c r="AR32" s="205">
        <v>0</v>
      </c>
      <c r="AS32" s="205">
        <v>1E-3</v>
      </c>
      <c r="AT32" s="205">
        <v>0</v>
      </c>
      <c r="AU32" s="205">
        <v>0</v>
      </c>
      <c r="AV32" s="206">
        <v>0</v>
      </c>
      <c r="AW32" s="203">
        <v>1E-3</v>
      </c>
      <c r="AX32" s="205">
        <v>0</v>
      </c>
      <c r="AY32" s="205">
        <v>0</v>
      </c>
      <c r="AZ32" s="206">
        <v>1E-3</v>
      </c>
      <c r="BA32" s="203">
        <v>0.01</v>
      </c>
      <c r="BB32" s="205">
        <v>1.2999999999999999E-2</v>
      </c>
      <c r="BC32" s="205">
        <v>1E-3</v>
      </c>
      <c r="BD32" s="205">
        <v>0</v>
      </c>
      <c r="BE32" s="205">
        <v>0</v>
      </c>
      <c r="BF32" s="206">
        <v>0</v>
      </c>
      <c r="BG32" s="199" t="s">
        <v>2</v>
      </c>
      <c r="BH32" s="199">
        <v>0</v>
      </c>
      <c r="BI32" s="200">
        <v>30</v>
      </c>
      <c r="BJ32" s="200">
        <v>10</v>
      </c>
      <c r="BK32" s="200">
        <v>2</v>
      </c>
      <c r="BL32" s="200">
        <v>40</v>
      </c>
      <c r="BM32" s="200">
        <v>40</v>
      </c>
      <c r="BN32" s="200">
        <v>30</v>
      </c>
      <c r="BO32" s="200">
        <v>40</v>
      </c>
      <c r="BP32" s="200">
        <v>30</v>
      </c>
      <c r="BQ32" s="200">
        <v>30</v>
      </c>
      <c r="BR32" s="200">
        <v>10</v>
      </c>
      <c r="BS32" s="200">
        <v>12</v>
      </c>
      <c r="BT32" s="200">
        <v>48</v>
      </c>
      <c r="BU32" s="200">
        <v>58</v>
      </c>
      <c r="BV32" s="200">
        <v>176</v>
      </c>
      <c r="BW32" s="200">
        <v>139</v>
      </c>
      <c r="BX32" s="200">
        <v>42</v>
      </c>
      <c r="BY32" s="200">
        <v>34</v>
      </c>
      <c r="BZ32" s="201">
        <v>50</v>
      </c>
      <c r="CA32" s="203">
        <v>4.18</v>
      </c>
      <c r="CB32" s="203">
        <v>0</v>
      </c>
      <c r="CC32" s="203">
        <v>0</v>
      </c>
      <c r="CD32" s="203">
        <v>0</v>
      </c>
      <c r="CE32" s="203">
        <v>0.7</v>
      </c>
      <c r="CF32" s="203">
        <v>0.96</v>
      </c>
      <c r="CG32" s="204">
        <v>2.52</v>
      </c>
      <c r="CH32" s="200">
        <v>0</v>
      </c>
      <c r="CI32" s="201">
        <v>0</v>
      </c>
      <c r="CJ32" s="203">
        <v>0</v>
      </c>
      <c r="CK32" s="203">
        <v>0</v>
      </c>
      <c r="CL32" s="203">
        <v>0</v>
      </c>
      <c r="CM32" s="204">
        <v>0</v>
      </c>
      <c r="CN32" s="199" t="s">
        <v>2</v>
      </c>
      <c r="CO32" s="199" t="s">
        <v>2</v>
      </c>
    </row>
    <row r="33" spans="1:93" s="207" customFormat="1" ht="15" x14ac:dyDescent="0.25">
      <c r="A33" s="196" t="s">
        <v>611</v>
      </c>
      <c r="B33" s="197" t="s">
        <v>282</v>
      </c>
      <c r="C33" s="198" t="s">
        <v>1086</v>
      </c>
      <c r="D33" s="289">
        <v>2</v>
      </c>
      <c r="E33" s="199">
        <v>13</v>
      </c>
      <c r="F33" s="200">
        <v>119</v>
      </c>
      <c r="G33" s="201">
        <v>497.41999999999996</v>
      </c>
      <c r="H33" s="202">
        <v>69.900000000000006</v>
      </c>
      <c r="I33" s="203">
        <v>1.2</v>
      </c>
      <c r="J33" s="203">
        <v>0.3</v>
      </c>
      <c r="K33" s="203">
        <v>27.9</v>
      </c>
      <c r="L33" s="203">
        <v>0.8</v>
      </c>
      <c r="M33" s="204">
        <v>0.7</v>
      </c>
      <c r="N33" s="200">
        <v>36</v>
      </c>
      <c r="O33" s="200">
        <v>56</v>
      </c>
      <c r="P33" s="203">
        <v>0.9</v>
      </c>
      <c r="Q33" s="203" t="s">
        <v>2</v>
      </c>
      <c r="R33" s="200">
        <v>350</v>
      </c>
      <c r="S33" s="200">
        <v>107</v>
      </c>
      <c r="T33" s="200">
        <v>68</v>
      </c>
      <c r="U33" s="205" t="s">
        <v>2</v>
      </c>
      <c r="V33" s="205" t="s">
        <v>2</v>
      </c>
      <c r="W33" s="204" t="s">
        <v>2</v>
      </c>
      <c r="X33" s="203">
        <v>30</v>
      </c>
      <c r="Y33" s="205">
        <v>0.12</v>
      </c>
      <c r="Z33" s="205">
        <v>0.05</v>
      </c>
      <c r="AA33" s="205">
        <v>0.6</v>
      </c>
      <c r="AB33" s="205" t="s">
        <v>2</v>
      </c>
      <c r="AC33" s="205" t="s">
        <v>2</v>
      </c>
      <c r="AD33" s="200" t="s">
        <v>2</v>
      </c>
      <c r="AE33" s="203" t="s">
        <v>2</v>
      </c>
      <c r="AF33" s="203" t="s">
        <v>2</v>
      </c>
      <c r="AG33" s="204" t="s">
        <v>2</v>
      </c>
      <c r="AH33" s="200">
        <v>0</v>
      </c>
      <c r="AI33" s="200">
        <v>123</v>
      </c>
      <c r="AJ33" s="203" t="s">
        <v>2</v>
      </c>
      <c r="AK33" s="203" t="s">
        <v>2</v>
      </c>
      <c r="AL33" s="204" t="s">
        <v>2</v>
      </c>
      <c r="AM33" s="200">
        <v>1470</v>
      </c>
      <c r="AN33" s="200" t="s">
        <v>2</v>
      </c>
      <c r="AO33" s="201" t="s">
        <v>2</v>
      </c>
      <c r="AP33" s="203" t="s">
        <v>2</v>
      </c>
      <c r="AQ33" s="205" t="s">
        <v>2</v>
      </c>
      <c r="AR33" s="205" t="s">
        <v>2</v>
      </c>
      <c r="AS33" s="205" t="s">
        <v>2</v>
      </c>
      <c r="AT33" s="205" t="s">
        <v>2</v>
      </c>
      <c r="AU33" s="205" t="s">
        <v>2</v>
      </c>
      <c r="AV33" s="206" t="s">
        <v>2</v>
      </c>
      <c r="AW33" s="203" t="s">
        <v>2</v>
      </c>
      <c r="AX33" s="205" t="s">
        <v>2</v>
      </c>
      <c r="AY33" s="205" t="s">
        <v>2</v>
      </c>
      <c r="AZ33" s="206" t="s">
        <v>2</v>
      </c>
      <c r="BA33" s="203" t="s">
        <v>2</v>
      </c>
      <c r="BB33" s="205" t="s">
        <v>2</v>
      </c>
      <c r="BC33" s="205" t="s">
        <v>2</v>
      </c>
      <c r="BD33" s="205" t="s">
        <v>2</v>
      </c>
      <c r="BE33" s="205" t="s">
        <v>2</v>
      </c>
      <c r="BF33" s="206" t="s">
        <v>2</v>
      </c>
      <c r="BG33" s="199" t="s">
        <v>2</v>
      </c>
      <c r="BH33" s="199">
        <v>0</v>
      </c>
      <c r="BI33" s="200">
        <v>42</v>
      </c>
      <c r="BJ33" s="200">
        <v>11</v>
      </c>
      <c r="BK33" s="200">
        <v>12</v>
      </c>
      <c r="BL33" s="200">
        <v>42</v>
      </c>
      <c r="BM33" s="200">
        <v>50</v>
      </c>
      <c r="BN33" s="200">
        <v>61</v>
      </c>
      <c r="BO33" s="200">
        <v>64</v>
      </c>
      <c r="BP33" s="200">
        <v>40</v>
      </c>
      <c r="BQ33" s="200">
        <v>35</v>
      </c>
      <c r="BR33" s="200">
        <v>19</v>
      </c>
      <c r="BS33" s="200">
        <v>12</v>
      </c>
      <c r="BT33" s="200">
        <v>48</v>
      </c>
      <c r="BU33" s="200">
        <v>58</v>
      </c>
      <c r="BV33" s="200">
        <v>176</v>
      </c>
      <c r="BW33" s="200">
        <v>130</v>
      </c>
      <c r="BX33" s="200">
        <v>12</v>
      </c>
      <c r="BY33" s="200">
        <v>34</v>
      </c>
      <c r="BZ33" s="201">
        <v>50</v>
      </c>
      <c r="CA33" s="203">
        <v>4.18</v>
      </c>
      <c r="CB33" s="203">
        <v>0</v>
      </c>
      <c r="CC33" s="203">
        <v>0</v>
      </c>
      <c r="CD33" s="203">
        <v>0</v>
      </c>
      <c r="CE33" s="203">
        <v>0.7</v>
      </c>
      <c r="CF33" s="203">
        <v>0.96</v>
      </c>
      <c r="CG33" s="204">
        <v>2.52</v>
      </c>
      <c r="CH33" s="200">
        <v>0</v>
      </c>
      <c r="CI33" s="201">
        <v>0</v>
      </c>
      <c r="CJ33" s="203">
        <v>0</v>
      </c>
      <c r="CK33" s="203">
        <v>0</v>
      </c>
      <c r="CL33" s="203">
        <v>0</v>
      </c>
      <c r="CM33" s="204">
        <v>0</v>
      </c>
      <c r="CN33" s="199" t="s">
        <v>2</v>
      </c>
      <c r="CO33" s="199" t="s">
        <v>2</v>
      </c>
    </row>
    <row r="34" spans="1:93" s="207" customFormat="1" ht="15" x14ac:dyDescent="0.25">
      <c r="A34" s="196" t="s">
        <v>612</v>
      </c>
      <c r="B34" s="197" t="s">
        <v>283</v>
      </c>
      <c r="C34" s="198" t="s">
        <v>643</v>
      </c>
      <c r="D34" s="289">
        <v>2</v>
      </c>
      <c r="E34" s="199">
        <v>14</v>
      </c>
      <c r="F34" s="200">
        <v>113</v>
      </c>
      <c r="G34" s="201">
        <v>472.34</v>
      </c>
      <c r="H34" s="202">
        <v>70.8</v>
      </c>
      <c r="I34" s="203">
        <v>1.5</v>
      </c>
      <c r="J34" s="203">
        <v>0.2</v>
      </c>
      <c r="K34" s="203">
        <v>26.4</v>
      </c>
      <c r="L34" s="203">
        <v>1.2</v>
      </c>
      <c r="M34" s="204">
        <v>1.1000000000000001</v>
      </c>
      <c r="N34" s="200">
        <v>44</v>
      </c>
      <c r="O34" s="200">
        <v>44</v>
      </c>
      <c r="P34" s="203">
        <v>0.8</v>
      </c>
      <c r="Q34" s="203" t="s">
        <v>2</v>
      </c>
      <c r="R34" s="200" t="s">
        <v>2</v>
      </c>
      <c r="S34" s="200" t="s">
        <v>2</v>
      </c>
      <c r="T34" s="200" t="s">
        <v>2</v>
      </c>
      <c r="U34" s="205" t="s">
        <v>2</v>
      </c>
      <c r="V34" s="205" t="s">
        <v>2</v>
      </c>
      <c r="W34" s="204" t="s">
        <v>2</v>
      </c>
      <c r="X34" s="203">
        <v>4</v>
      </c>
      <c r="Y34" s="205">
        <v>0.09</v>
      </c>
      <c r="Z34" s="205">
        <v>0.03</v>
      </c>
      <c r="AA34" s="205">
        <v>0.1</v>
      </c>
      <c r="AB34" s="205" t="s">
        <v>2</v>
      </c>
      <c r="AC34" s="205" t="s">
        <v>2</v>
      </c>
      <c r="AD34" s="200" t="s">
        <v>2</v>
      </c>
      <c r="AE34" s="203" t="s">
        <v>2</v>
      </c>
      <c r="AF34" s="203" t="s">
        <v>2</v>
      </c>
      <c r="AG34" s="204" t="s">
        <v>2</v>
      </c>
      <c r="AH34" s="200">
        <v>0</v>
      </c>
      <c r="AI34" s="200">
        <v>0</v>
      </c>
      <c r="AJ34" s="203" t="s">
        <v>2</v>
      </c>
      <c r="AK34" s="203" t="s">
        <v>2</v>
      </c>
      <c r="AL34" s="204" t="s">
        <v>2</v>
      </c>
      <c r="AM34" s="200" t="s">
        <v>2</v>
      </c>
      <c r="AN34" s="200" t="s">
        <v>2</v>
      </c>
      <c r="AO34" s="201" t="s">
        <v>2</v>
      </c>
      <c r="AP34" s="203" t="s">
        <v>2</v>
      </c>
      <c r="AQ34" s="205" t="s">
        <v>2</v>
      </c>
      <c r="AR34" s="205" t="s">
        <v>2</v>
      </c>
      <c r="AS34" s="205" t="s">
        <v>2</v>
      </c>
      <c r="AT34" s="205" t="s">
        <v>2</v>
      </c>
      <c r="AU34" s="205" t="s">
        <v>2</v>
      </c>
      <c r="AV34" s="206" t="s">
        <v>2</v>
      </c>
      <c r="AW34" s="203" t="s">
        <v>2</v>
      </c>
      <c r="AX34" s="205" t="s">
        <v>2</v>
      </c>
      <c r="AY34" s="205" t="s">
        <v>2</v>
      </c>
      <c r="AZ34" s="206" t="s">
        <v>2</v>
      </c>
      <c r="BA34" s="203" t="s">
        <v>2</v>
      </c>
      <c r="BB34" s="205" t="s">
        <v>2</v>
      </c>
      <c r="BC34" s="205" t="s">
        <v>2</v>
      </c>
      <c r="BD34" s="205" t="s">
        <v>2</v>
      </c>
      <c r="BE34" s="205" t="s">
        <v>2</v>
      </c>
      <c r="BF34" s="206" t="s">
        <v>2</v>
      </c>
      <c r="BG34" s="199" t="s">
        <v>2</v>
      </c>
      <c r="BH34" s="199">
        <v>0</v>
      </c>
      <c r="BI34" s="200" t="s">
        <v>2</v>
      </c>
      <c r="BJ34" s="200" t="s">
        <v>2</v>
      </c>
      <c r="BK34" s="200" t="s">
        <v>2</v>
      </c>
      <c r="BL34" s="200" t="s">
        <v>2</v>
      </c>
      <c r="BM34" s="200" t="s">
        <v>2</v>
      </c>
      <c r="BN34" s="200" t="s">
        <v>2</v>
      </c>
      <c r="BO34" s="200" t="s">
        <v>2</v>
      </c>
      <c r="BP34" s="200" t="s">
        <v>2</v>
      </c>
      <c r="BQ34" s="200" t="s">
        <v>2</v>
      </c>
      <c r="BR34" s="200" t="s">
        <v>2</v>
      </c>
      <c r="BS34" s="200" t="s">
        <v>2</v>
      </c>
      <c r="BT34" s="200" t="s">
        <v>2</v>
      </c>
      <c r="BU34" s="200" t="s">
        <v>2</v>
      </c>
      <c r="BV34" s="200" t="s">
        <v>2</v>
      </c>
      <c r="BW34" s="200" t="s">
        <v>2</v>
      </c>
      <c r="BX34" s="200" t="s">
        <v>2</v>
      </c>
      <c r="BY34" s="200" t="s">
        <v>2</v>
      </c>
      <c r="BZ34" s="201" t="s">
        <v>2</v>
      </c>
      <c r="CA34" s="203" t="s">
        <v>2</v>
      </c>
      <c r="CB34" s="203" t="s">
        <v>2</v>
      </c>
      <c r="CC34" s="203" t="s">
        <v>2</v>
      </c>
      <c r="CD34" s="203" t="s">
        <v>2</v>
      </c>
      <c r="CE34" s="203" t="s">
        <v>2</v>
      </c>
      <c r="CF34" s="203" t="s">
        <v>2</v>
      </c>
      <c r="CG34" s="204" t="s">
        <v>2</v>
      </c>
      <c r="CH34" s="200">
        <v>0</v>
      </c>
      <c r="CI34" s="201">
        <v>0</v>
      </c>
      <c r="CJ34" s="203">
        <v>0</v>
      </c>
      <c r="CK34" s="203">
        <v>0</v>
      </c>
      <c r="CL34" s="203">
        <v>0</v>
      </c>
      <c r="CM34" s="204">
        <v>0</v>
      </c>
      <c r="CN34" s="199" t="s">
        <v>2</v>
      </c>
      <c r="CO34" s="199" t="s">
        <v>2</v>
      </c>
    </row>
    <row r="35" spans="1:93" s="207" customFormat="1" ht="15" x14ac:dyDescent="0.25">
      <c r="A35" s="196" t="s">
        <v>613</v>
      </c>
      <c r="B35" s="197" t="s">
        <v>284</v>
      </c>
      <c r="C35" s="198" t="s">
        <v>644</v>
      </c>
      <c r="D35" s="289">
        <v>2</v>
      </c>
      <c r="E35" s="199">
        <v>14</v>
      </c>
      <c r="F35" s="200">
        <v>106</v>
      </c>
      <c r="G35" s="201">
        <v>443.08</v>
      </c>
      <c r="H35" s="202">
        <v>72.5</v>
      </c>
      <c r="I35" s="203">
        <v>1</v>
      </c>
      <c r="J35" s="203">
        <v>0.1</v>
      </c>
      <c r="K35" s="203">
        <v>25.3</v>
      </c>
      <c r="L35" s="203">
        <v>2</v>
      </c>
      <c r="M35" s="204">
        <v>1.1000000000000001</v>
      </c>
      <c r="N35" s="200">
        <v>52</v>
      </c>
      <c r="O35" s="200">
        <v>35</v>
      </c>
      <c r="P35" s="203">
        <v>0.2</v>
      </c>
      <c r="Q35" s="203" t="s">
        <v>2</v>
      </c>
      <c r="R35" s="200" t="s">
        <v>2</v>
      </c>
      <c r="S35" s="200" t="s">
        <v>2</v>
      </c>
      <c r="T35" s="200" t="s">
        <v>2</v>
      </c>
      <c r="U35" s="205" t="s">
        <v>2</v>
      </c>
      <c r="V35" s="205" t="s">
        <v>2</v>
      </c>
      <c r="W35" s="204" t="s">
        <v>2</v>
      </c>
      <c r="X35" s="203">
        <v>3</v>
      </c>
      <c r="Y35" s="205" t="s">
        <v>2</v>
      </c>
      <c r="Z35" s="205" t="s">
        <v>2</v>
      </c>
      <c r="AA35" s="205" t="s">
        <v>2</v>
      </c>
      <c r="AB35" s="205" t="s">
        <v>2</v>
      </c>
      <c r="AC35" s="205" t="s">
        <v>2</v>
      </c>
      <c r="AD35" s="200" t="s">
        <v>2</v>
      </c>
      <c r="AE35" s="203" t="s">
        <v>2</v>
      </c>
      <c r="AF35" s="203" t="s">
        <v>2</v>
      </c>
      <c r="AG35" s="204" t="s">
        <v>2</v>
      </c>
      <c r="AH35" s="200">
        <v>0</v>
      </c>
      <c r="AI35" s="200">
        <v>0</v>
      </c>
      <c r="AJ35" s="203" t="s">
        <v>2</v>
      </c>
      <c r="AK35" s="203" t="s">
        <v>2</v>
      </c>
      <c r="AL35" s="204" t="s">
        <v>2</v>
      </c>
      <c r="AM35" s="200" t="s">
        <v>2</v>
      </c>
      <c r="AN35" s="200" t="s">
        <v>2</v>
      </c>
      <c r="AO35" s="201" t="s">
        <v>2</v>
      </c>
      <c r="AP35" s="203" t="s">
        <v>2</v>
      </c>
      <c r="AQ35" s="205" t="s">
        <v>2</v>
      </c>
      <c r="AR35" s="205" t="s">
        <v>2</v>
      </c>
      <c r="AS35" s="205" t="s">
        <v>2</v>
      </c>
      <c r="AT35" s="205" t="s">
        <v>2</v>
      </c>
      <c r="AU35" s="205" t="s">
        <v>2</v>
      </c>
      <c r="AV35" s="206" t="s">
        <v>2</v>
      </c>
      <c r="AW35" s="203" t="s">
        <v>2</v>
      </c>
      <c r="AX35" s="205" t="s">
        <v>2</v>
      </c>
      <c r="AY35" s="205" t="s">
        <v>2</v>
      </c>
      <c r="AZ35" s="206" t="s">
        <v>2</v>
      </c>
      <c r="BA35" s="203" t="s">
        <v>2</v>
      </c>
      <c r="BB35" s="205" t="s">
        <v>2</v>
      </c>
      <c r="BC35" s="205" t="s">
        <v>2</v>
      </c>
      <c r="BD35" s="205" t="s">
        <v>2</v>
      </c>
      <c r="BE35" s="205" t="s">
        <v>2</v>
      </c>
      <c r="BF35" s="206" t="s">
        <v>2</v>
      </c>
      <c r="BG35" s="199" t="s">
        <v>2</v>
      </c>
      <c r="BH35" s="199">
        <v>0</v>
      </c>
      <c r="BI35" s="200" t="s">
        <v>2</v>
      </c>
      <c r="BJ35" s="200" t="s">
        <v>2</v>
      </c>
      <c r="BK35" s="200" t="s">
        <v>2</v>
      </c>
      <c r="BL35" s="200" t="s">
        <v>2</v>
      </c>
      <c r="BM35" s="200" t="s">
        <v>2</v>
      </c>
      <c r="BN35" s="200" t="s">
        <v>2</v>
      </c>
      <c r="BO35" s="200" t="s">
        <v>2</v>
      </c>
      <c r="BP35" s="200" t="s">
        <v>2</v>
      </c>
      <c r="BQ35" s="200" t="s">
        <v>2</v>
      </c>
      <c r="BR35" s="200" t="s">
        <v>2</v>
      </c>
      <c r="BS35" s="200" t="s">
        <v>2</v>
      </c>
      <c r="BT35" s="200" t="s">
        <v>2</v>
      </c>
      <c r="BU35" s="200" t="s">
        <v>2</v>
      </c>
      <c r="BV35" s="200" t="s">
        <v>2</v>
      </c>
      <c r="BW35" s="200" t="s">
        <v>2</v>
      </c>
      <c r="BX35" s="200" t="s">
        <v>2</v>
      </c>
      <c r="BY35" s="200" t="s">
        <v>2</v>
      </c>
      <c r="BZ35" s="201" t="s">
        <v>2</v>
      </c>
      <c r="CA35" s="203" t="s">
        <v>2</v>
      </c>
      <c r="CB35" s="203" t="s">
        <v>2</v>
      </c>
      <c r="CC35" s="203" t="s">
        <v>2</v>
      </c>
      <c r="CD35" s="203" t="s">
        <v>2</v>
      </c>
      <c r="CE35" s="203" t="s">
        <v>2</v>
      </c>
      <c r="CF35" s="203" t="s">
        <v>2</v>
      </c>
      <c r="CG35" s="204" t="s">
        <v>2</v>
      </c>
      <c r="CH35" s="200">
        <v>0</v>
      </c>
      <c r="CI35" s="201">
        <v>0</v>
      </c>
      <c r="CJ35" s="203">
        <v>0</v>
      </c>
      <c r="CK35" s="203">
        <v>0</v>
      </c>
      <c r="CL35" s="203">
        <v>0</v>
      </c>
      <c r="CM35" s="204">
        <v>0</v>
      </c>
      <c r="CN35" s="199" t="s">
        <v>2</v>
      </c>
      <c r="CO35" s="199" t="s">
        <v>2</v>
      </c>
    </row>
    <row r="36" spans="1:93" s="207" customFormat="1" ht="15" x14ac:dyDescent="0.25">
      <c r="A36" s="196" t="s">
        <v>614</v>
      </c>
      <c r="B36" s="197" t="s">
        <v>285</v>
      </c>
      <c r="C36" s="198" t="s">
        <v>645</v>
      </c>
      <c r="D36" s="289">
        <v>2</v>
      </c>
      <c r="E36" s="199">
        <v>19</v>
      </c>
      <c r="F36" s="200">
        <v>114</v>
      </c>
      <c r="G36" s="201">
        <v>476.52</v>
      </c>
      <c r="H36" s="202">
        <v>70</v>
      </c>
      <c r="I36" s="203">
        <v>0.8</v>
      </c>
      <c r="J36" s="203" t="s">
        <v>2</v>
      </c>
      <c r="K36" s="203">
        <v>27.6</v>
      </c>
      <c r="L36" s="203">
        <v>2.5</v>
      </c>
      <c r="M36" s="204">
        <v>1.6</v>
      </c>
      <c r="N36" s="200">
        <v>64</v>
      </c>
      <c r="O36" s="200">
        <v>107</v>
      </c>
      <c r="P36" s="203">
        <v>1.7</v>
      </c>
      <c r="Q36" s="203" t="s">
        <v>2</v>
      </c>
      <c r="R36" s="200" t="s">
        <v>2</v>
      </c>
      <c r="S36" s="200" t="s">
        <v>2</v>
      </c>
      <c r="T36" s="200" t="s">
        <v>2</v>
      </c>
      <c r="U36" s="205" t="s">
        <v>2</v>
      </c>
      <c r="V36" s="205" t="s">
        <v>2</v>
      </c>
      <c r="W36" s="204" t="s">
        <v>2</v>
      </c>
      <c r="X36" s="203" t="s">
        <v>2</v>
      </c>
      <c r="Y36" s="205" t="s">
        <v>2</v>
      </c>
      <c r="Z36" s="205" t="s">
        <v>2</v>
      </c>
      <c r="AA36" s="205" t="s">
        <v>2</v>
      </c>
      <c r="AB36" s="205" t="s">
        <v>2</v>
      </c>
      <c r="AC36" s="205" t="s">
        <v>2</v>
      </c>
      <c r="AD36" s="200" t="s">
        <v>2</v>
      </c>
      <c r="AE36" s="203" t="s">
        <v>2</v>
      </c>
      <c r="AF36" s="203" t="s">
        <v>2</v>
      </c>
      <c r="AG36" s="204" t="s">
        <v>2</v>
      </c>
      <c r="AH36" s="200">
        <v>0</v>
      </c>
      <c r="AI36" s="200">
        <v>0</v>
      </c>
      <c r="AJ36" s="203" t="s">
        <v>2</v>
      </c>
      <c r="AK36" s="203" t="s">
        <v>2</v>
      </c>
      <c r="AL36" s="204" t="s">
        <v>2</v>
      </c>
      <c r="AM36" s="200" t="s">
        <v>2</v>
      </c>
      <c r="AN36" s="200" t="s">
        <v>2</v>
      </c>
      <c r="AO36" s="201" t="s">
        <v>2</v>
      </c>
      <c r="AP36" s="203" t="s">
        <v>2</v>
      </c>
      <c r="AQ36" s="205" t="s">
        <v>2</v>
      </c>
      <c r="AR36" s="205" t="s">
        <v>2</v>
      </c>
      <c r="AS36" s="205" t="s">
        <v>2</v>
      </c>
      <c r="AT36" s="205" t="s">
        <v>2</v>
      </c>
      <c r="AU36" s="205" t="s">
        <v>2</v>
      </c>
      <c r="AV36" s="206" t="s">
        <v>2</v>
      </c>
      <c r="AW36" s="203" t="s">
        <v>2</v>
      </c>
      <c r="AX36" s="205" t="s">
        <v>2</v>
      </c>
      <c r="AY36" s="205" t="s">
        <v>2</v>
      </c>
      <c r="AZ36" s="206" t="s">
        <v>2</v>
      </c>
      <c r="BA36" s="203" t="s">
        <v>2</v>
      </c>
      <c r="BB36" s="205" t="s">
        <v>2</v>
      </c>
      <c r="BC36" s="205" t="s">
        <v>2</v>
      </c>
      <c r="BD36" s="205" t="s">
        <v>2</v>
      </c>
      <c r="BE36" s="205" t="s">
        <v>2</v>
      </c>
      <c r="BF36" s="206" t="s">
        <v>2</v>
      </c>
      <c r="BG36" s="199" t="s">
        <v>2</v>
      </c>
      <c r="BH36" s="199">
        <v>0</v>
      </c>
      <c r="BI36" s="200" t="s">
        <v>2</v>
      </c>
      <c r="BJ36" s="200" t="s">
        <v>2</v>
      </c>
      <c r="BK36" s="200" t="s">
        <v>2</v>
      </c>
      <c r="BL36" s="200" t="s">
        <v>2</v>
      </c>
      <c r="BM36" s="200" t="s">
        <v>2</v>
      </c>
      <c r="BN36" s="200" t="s">
        <v>2</v>
      </c>
      <c r="BO36" s="200" t="s">
        <v>2</v>
      </c>
      <c r="BP36" s="200" t="s">
        <v>2</v>
      </c>
      <c r="BQ36" s="200" t="s">
        <v>2</v>
      </c>
      <c r="BR36" s="200" t="s">
        <v>2</v>
      </c>
      <c r="BS36" s="200" t="s">
        <v>2</v>
      </c>
      <c r="BT36" s="200" t="s">
        <v>2</v>
      </c>
      <c r="BU36" s="200" t="s">
        <v>2</v>
      </c>
      <c r="BV36" s="200" t="s">
        <v>2</v>
      </c>
      <c r="BW36" s="200" t="s">
        <v>2</v>
      </c>
      <c r="BX36" s="200" t="s">
        <v>2</v>
      </c>
      <c r="BY36" s="200" t="s">
        <v>2</v>
      </c>
      <c r="BZ36" s="201" t="s">
        <v>2</v>
      </c>
      <c r="CA36" s="203" t="s">
        <v>2</v>
      </c>
      <c r="CB36" s="203" t="s">
        <v>2</v>
      </c>
      <c r="CC36" s="203" t="s">
        <v>2</v>
      </c>
      <c r="CD36" s="203" t="s">
        <v>2</v>
      </c>
      <c r="CE36" s="203" t="s">
        <v>2</v>
      </c>
      <c r="CF36" s="203" t="s">
        <v>2</v>
      </c>
      <c r="CG36" s="204" t="s">
        <v>2</v>
      </c>
      <c r="CH36" s="200">
        <v>0</v>
      </c>
      <c r="CI36" s="201">
        <v>0</v>
      </c>
      <c r="CJ36" s="203">
        <v>0</v>
      </c>
      <c r="CK36" s="203">
        <v>0</v>
      </c>
      <c r="CL36" s="203">
        <v>0</v>
      </c>
      <c r="CM36" s="204">
        <v>0</v>
      </c>
      <c r="CN36" s="199" t="s">
        <v>2</v>
      </c>
      <c r="CO36" s="199" t="s">
        <v>2</v>
      </c>
    </row>
    <row r="37" spans="1:93" s="207" customFormat="1" ht="15" x14ac:dyDescent="0.25">
      <c r="A37" s="196" t="s">
        <v>615</v>
      </c>
      <c r="B37" s="197" t="s">
        <v>286</v>
      </c>
      <c r="C37" s="198" t="s">
        <v>646</v>
      </c>
      <c r="D37" s="289">
        <v>2</v>
      </c>
      <c r="E37" s="199">
        <v>18</v>
      </c>
      <c r="F37" s="200">
        <v>119</v>
      </c>
      <c r="G37" s="201">
        <v>497.41999999999996</v>
      </c>
      <c r="H37" s="202">
        <v>69</v>
      </c>
      <c r="I37" s="203">
        <v>1.8</v>
      </c>
      <c r="J37" s="203">
        <v>0.1</v>
      </c>
      <c r="K37" s="203">
        <v>27.7</v>
      </c>
      <c r="L37" s="203">
        <v>1.2</v>
      </c>
      <c r="M37" s="204">
        <v>1.4</v>
      </c>
      <c r="N37" s="200">
        <v>64</v>
      </c>
      <c r="O37" s="200">
        <v>75</v>
      </c>
      <c r="P37" s="203">
        <v>1.5</v>
      </c>
      <c r="Q37" s="203" t="s">
        <v>2</v>
      </c>
      <c r="R37" s="200">
        <v>10</v>
      </c>
      <c r="S37" s="200">
        <v>448</v>
      </c>
      <c r="T37" s="200">
        <v>33</v>
      </c>
      <c r="U37" s="205">
        <v>0.38300000000000001</v>
      </c>
      <c r="V37" s="205" t="s">
        <v>2</v>
      </c>
      <c r="W37" s="204" t="s">
        <v>2</v>
      </c>
      <c r="X37" s="203">
        <v>4</v>
      </c>
      <c r="Y37" s="205">
        <v>0.06</v>
      </c>
      <c r="Z37" s="205">
        <v>0.03</v>
      </c>
      <c r="AA37" s="205">
        <v>0.1</v>
      </c>
      <c r="AB37" s="205">
        <v>0.30299999999999999</v>
      </c>
      <c r="AC37" s="205">
        <v>0.28299999999999997</v>
      </c>
      <c r="AD37" s="200">
        <v>22</v>
      </c>
      <c r="AE37" s="203">
        <v>0</v>
      </c>
      <c r="AF37" s="203" t="s">
        <v>2</v>
      </c>
      <c r="AG37" s="204">
        <v>0</v>
      </c>
      <c r="AH37" s="200">
        <v>0</v>
      </c>
      <c r="AI37" s="200">
        <v>4</v>
      </c>
      <c r="AJ37" s="203" t="s">
        <v>2</v>
      </c>
      <c r="AK37" s="203">
        <v>2.38</v>
      </c>
      <c r="AL37" s="204">
        <v>1</v>
      </c>
      <c r="AM37" s="200">
        <v>35</v>
      </c>
      <c r="AN37" s="200" t="s">
        <v>2</v>
      </c>
      <c r="AO37" s="201">
        <v>20</v>
      </c>
      <c r="AP37" s="203">
        <v>0.04</v>
      </c>
      <c r="AQ37" s="205">
        <v>3.5000000000000003E-2</v>
      </c>
      <c r="AR37" s="205">
        <v>0</v>
      </c>
      <c r="AS37" s="205">
        <v>6.0000000000000001E-3</v>
      </c>
      <c r="AT37" s="205">
        <v>0</v>
      </c>
      <c r="AU37" s="205">
        <v>0</v>
      </c>
      <c r="AV37" s="206">
        <v>0</v>
      </c>
      <c r="AW37" s="203">
        <v>1.6E-2</v>
      </c>
      <c r="AX37" s="205">
        <v>0</v>
      </c>
      <c r="AY37" s="205">
        <v>1E-3</v>
      </c>
      <c r="AZ37" s="206">
        <v>1.6E-2</v>
      </c>
      <c r="BA37" s="203">
        <v>0.08</v>
      </c>
      <c r="BB37" s="205">
        <v>5.8000000000000003E-2</v>
      </c>
      <c r="BC37" s="205">
        <v>2.5000000000000001E-2</v>
      </c>
      <c r="BD37" s="205">
        <v>0</v>
      </c>
      <c r="BE37" s="205">
        <v>0</v>
      </c>
      <c r="BF37" s="206">
        <v>0</v>
      </c>
      <c r="BG37" s="199" t="s">
        <v>2</v>
      </c>
      <c r="BH37" s="199">
        <v>0</v>
      </c>
      <c r="BI37" s="200">
        <v>70</v>
      </c>
      <c r="BJ37" s="200">
        <v>10</v>
      </c>
      <c r="BK37" s="200">
        <v>20</v>
      </c>
      <c r="BL37" s="200">
        <v>90</v>
      </c>
      <c r="BM37" s="200">
        <v>80</v>
      </c>
      <c r="BN37" s="200">
        <v>90</v>
      </c>
      <c r="BO37" s="200">
        <v>150</v>
      </c>
      <c r="BP37" s="200">
        <v>70</v>
      </c>
      <c r="BQ37" s="200">
        <v>140</v>
      </c>
      <c r="BR37" s="200">
        <v>30</v>
      </c>
      <c r="BS37" s="200">
        <v>17</v>
      </c>
      <c r="BT37" s="200">
        <v>54</v>
      </c>
      <c r="BU37" s="200">
        <v>40</v>
      </c>
      <c r="BV37" s="200">
        <v>180</v>
      </c>
      <c r="BW37" s="200">
        <v>80</v>
      </c>
      <c r="BX37" s="200">
        <v>68</v>
      </c>
      <c r="BY37" s="200">
        <v>61</v>
      </c>
      <c r="BZ37" s="201">
        <v>110</v>
      </c>
      <c r="CA37" s="203" t="s">
        <v>2</v>
      </c>
      <c r="CB37" s="203" t="s">
        <v>2</v>
      </c>
      <c r="CC37" s="203" t="s">
        <v>2</v>
      </c>
      <c r="CD37" s="203" t="s">
        <v>2</v>
      </c>
      <c r="CE37" s="203" t="s">
        <v>2</v>
      </c>
      <c r="CF37" s="203" t="s">
        <v>2</v>
      </c>
      <c r="CG37" s="204" t="s">
        <v>2</v>
      </c>
      <c r="CH37" s="200">
        <v>0</v>
      </c>
      <c r="CI37" s="201">
        <v>0</v>
      </c>
      <c r="CJ37" s="203">
        <v>0</v>
      </c>
      <c r="CK37" s="203">
        <v>0</v>
      </c>
      <c r="CL37" s="203">
        <v>0</v>
      </c>
      <c r="CM37" s="204">
        <v>0</v>
      </c>
      <c r="CN37" s="199" t="s">
        <v>2</v>
      </c>
      <c r="CO37" s="199" t="s">
        <v>2</v>
      </c>
    </row>
    <row r="38" spans="1:93" s="207" customFormat="1" ht="15" x14ac:dyDescent="0.25">
      <c r="A38" s="196" t="s">
        <v>616</v>
      </c>
      <c r="B38" s="197" t="s">
        <v>287</v>
      </c>
      <c r="C38" s="198" t="s">
        <v>1087</v>
      </c>
      <c r="D38" s="289">
        <v>2</v>
      </c>
      <c r="E38" s="199">
        <v>13</v>
      </c>
      <c r="F38" s="200">
        <v>96</v>
      </c>
      <c r="G38" s="201">
        <v>401.28</v>
      </c>
      <c r="H38" s="202">
        <v>75</v>
      </c>
      <c r="I38" s="203">
        <v>2</v>
      </c>
      <c r="J38" s="203">
        <v>7.0000000000000007E-2</v>
      </c>
      <c r="K38" s="203">
        <v>21.93</v>
      </c>
      <c r="L38" s="203">
        <v>1</v>
      </c>
      <c r="M38" s="204">
        <v>1</v>
      </c>
      <c r="N38" s="200">
        <v>10</v>
      </c>
      <c r="O38" s="200">
        <v>50</v>
      </c>
      <c r="P38" s="203">
        <v>1.2</v>
      </c>
      <c r="Q38" s="203">
        <v>0.3</v>
      </c>
      <c r="R38" s="200">
        <v>7</v>
      </c>
      <c r="S38" s="200">
        <v>396</v>
      </c>
      <c r="T38" s="200">
        <v>32</v>
      </c>
      <c r="U38" s="205">
        <v>0.2</v>
      </c>
      <c r="V38" s="205">
        <v>230</v>
      </c>
      <c r="W38" s="204">
        <v>0.5</v>
      </c>
      <c r="X38" s="203">
        <v>10</v>
      </c>
      <c r="Y38" s="205">
        <v>0.1</v>
      </c>
      <c r="Z38" s="205">
        <v>0.05</v>
      </c>
      <c r="AA38" s="205">
        <v>0.9</v>
      </c>
      <c r="AB38" s="205">
        <v>0.28100000000000003</v>
      </c>
      <c r="AC38" s="205">
        <v>0.20300000000000001</v>
      </c>
      <c r="AD38" s="200">
        <v>18</v>
      </c>
      <c r="AE38" s="203">
        <v>0</v>
      </c>
      <c r="AF38" s="203">
        <v>0.47</v>
      </c>
      <c r="AG38" s="204">
        <v>0</v>
      </c>
      <c r="AH38" s="200">
        <v>0</v>
      </c>
      <c r="AI38" s="200">
        <v>0</v>
      </c>
      <c r="AJ38" s="203" t="s">
        <v>2</v>
      </c>
      <c r="AK38" s="203">
        <v>0.01</v>
      </c>
      <c r="AL38" s="204">
        <v>1.6</v>
      </c>
      <c r="AM38" s="200">
        <v>5</v>
      </c>
      <c r="AN38" s="200">
        <v>0</v>
      </c>
      <c r="AO38" s="201">
        <v>0</v>
      </c>
      <c r="AP38" s="203">
        <v>0.03</v>
      </c>
      <c r="AQ38" s="205">
        <v>1.6E-2</v>
      </c>
      <c r="AR38" s="205">
        <v>0</v>
      </c>
      <c r="AS38" s="205">
        <v>4.0000000000000001E-3</v>
      </c>
      <c r="AT38" s="205">
        <v>0</v>
      </c>
      <c r="AU38" s="205">
        <v>0</v>
      </c>
      <c r="AV38" s="206">
        <v>0</v>
      </c>
      <c r="AW38" s="203">
        <v>0</v>
      </c>
      <c r="AX38" s="205">
        <v>0</v>
      </c>
      <c r="AY38" s="205">
        <v>0</v>
      </c>
      <c r="AZ38" s="206">
        <v>1E-3</v>
      </c>
      <c r="BA38" s="203">
        <v>0.04</v>
      </c>
      <c r="BB38" s="205">
        <v>3.2000000000000001E-2</v>
      </c>
      <c r="BC38" s="205">
        <v>0.01</v>
      </c>
      <c r="BD38" s="205">
        <v>0</v>
      </c>
      <c r="BE38" s="205">
        <v>0</v>
      </c>
      <c r="BF38" s="206">
        <v>0</v>
      </c>
      <c r="BG38" s="199" t="s">
        <v>2</v>
      </c>
      <c r="BH38" s="199">
        <v>0</v>
      </c>
      <c r="BI38" s="200">
        <v>100</v>
      </c>
      <c r="BJ38" s="200">
        <v>30</v>
      </c>
      <c r="BK38" s="200">
        <v>20</v>
      </c>
      <c r="BL38" s="200">
        <v>110</v>
      </c>
      <c r="BM38" s="200">
        <v>70</v>
      </c>
      <c r="BN38" s="200">
        <v>100</v>
      </c>
      <c r="BO38" s="200">
        <v>230</v>
      </c>
      <c r="BP38" s="200">
        <v>230</v>
      </c>
      <c r="BQ38" s="200">
        <v>90</v>
      </c>
      <c r="BR38" s="200">
        <v>30</v>
      </c>
      <c r="BS38" s="200">
        <v>10</v>
      </c>
      <c r="BT38" s="200">
        <v>47</v>
      </c>
      <c r="BU38" s="200">
        <v>76</v>
      </c>
      <c r="BV38" s="200">
        <v>211</v>
      </c>
      <c r="BW38" s="200">
        <v>174</v>
      </c>
      <c r="BX38" s="200">
        <v>64</v>
      </c>
      <c r="BY38" s="200">
        <v>64</v>
      </c>
      <c r="BZ38" s="201">
        <v>70</v>
      </c>
      <c r="CA38" s="203">
        <v>1.1499999999999999</v>
      </c>
      <c r="CB38" s="203">
        <v>0</v>
      </c>
      <c r="CC38" s="203">
        <v>0</v>
      </c>
      <c r="CD38" s="203">
        <v>0</v>
      </c>
      <c r="CE38" s="203">
        <v>0.34</v>
      </c>
      <c r="CF38" s="203">
        <v>0.53</v>
      </c>
      <c r="CG38" s="204">
        <v>0.28000000000000003</v>
      </c>
      <c r="CH38" s="200">
        <v>0</v>
      </c>
      <c r="CI38" s="201">
        <v>13</v>
      </c>
      <c r="CJ38" s="203">
        <v>0</v>
      </c>
      <c r="CK38" s="203">
        <v>0</v>
      </c>
      <c r="CL38" s="203">
        <v>0</v>
      </c>
      <c r="CM38" s="204">
        <v>0</v>
      </c>
      <c r="CN38" s="199" t="s">
        <v>2</v>
      </c>
      <c r="CO38" s="199">
        <v>16</v>
      </c>
    </row>
    <row r="39" spans="1:93" s="207" customFormat="1" ht="15" x14ac:dyDescent="0.25">
      <c r="A39" s="196" t="s">
        <v>617</v>
      </c>
      <c r="B39" s="197" t="s">
        <v>288</v>
      </c>
      <c r="C39" s="198" t="s">
        <v>1088</v>
      </c>
      <c r="D39" s="289">
        <v>2</v>
      </c>
      <c r="E39" s="199">
        <v>0</v>
      </c>
      <c r="F39" s="200">
        <v>338</v>
      </c>
      <c r="G39" s="201">
        <v>1412.84</v>
      </c>
      <c r="H39" s="202">
        <v>14.5</v>
      </c>
      <c r="I39" s="203">
        <v>0.6</v>
      </c>
      <c r="J39" s="203">
        <v>0.1</v>
      </c>
      <c r="K39" s="203">
        <v>83.7</v>
      </c>
      <c r="L39" s="203">
        <v>1.5</v>
      </c>
      <c r="M39" s="204">
        <v>1.1000000000000001</v>
      </c>
      <c r="N39" s="200">
        <v>40</v>
      </c>
      <c r="O39" s="200">
        <v>120</v>
      </c>
      <c r="P39" s="203">
        <v>1</v>
      </c>
      <c r="Q39" s="203" t="s">
        <v>2</v>
      </c>
      <c r="R39" s="200" t="s">
        <v>2</v>
      </c>
      <c r="S39" s="200" t="s">
        <v>2</v>
      </c>
      <c r="T39" s="200" t="s">
        <v>2</v>
      </c>
      <c r="U39" s="205" t="s">
        <v>2</v>
      </c>
      <c r="V39" s="205" t="s">
        <v>2</v>
      </c>
      <c r="W39" s="204" t="s">
        <v>2</v>
      </c>
      <c r="X39" s="203" t="s">
        <v>2</v>
      </c>
      <c r="Y39" s="205" t="s">
        <v>2</v>
      </c>
      <c r="Z39" s="205" t="s">
        <v>2</v>
      </c>
      <c r="AA39" s="205" t="s">
        <v>2</v>
      </c>
      <c r="AB39" s="205" t="s">
        <v>2</v>
      </c>
      <c r="AC39" s="205" t="s">
        <v>2</v>
      </c>
      <c r="AD39" s="200" t="s">
        <v>2</v>
      </c>
      <c r="AE39" s="203" t="s">
        <v>2</v>
      </c>
      <c r="AF39" s="203" t="s">
        <v>2</v>
      </c>
      <c r="AG39" s="204" t="s">
        <v>2</v>
      </c>
      <c r="AH39" s="200">
        <v>0</v>
      </c>
      <c r="AI39" s="200">
        <v>0</v>
      </c>
      <c r="AJ39" s="203" t="s">
        <v>2</v>
      </c>
      <c r="AK39" s="203" t="s">
        <v>2</v>
      </c>
      <c r="AL39" s="204" t="s">
        <v>2</v>
      </c>
      <c r="AM39" s="200">
        <v>0</v>
      </c>
      <c r="AN39" s="200">
        <v>0</v>
      </c>
      <c r="AO39" s="201">
        <v>0</v>
      </c>
      <c r="AP39" s="203" t="s">
        <v>2</v>
      </c>
      <c r="AQ39" s="205" t="s">
        <v>2</v>
      </c>
      <c r="AR39" s="205" t="s">
        <v>2</v>
      </c>
      <c r="AS39" s="205" t="s">
        <v>2</v>
      </c>
      <c r="AT39" s="205" t="s">
        <v>2</v>
      </c>
      <c r="AU39" s="205" t="s">
        <v>2</v>
      </c>
      <c r="AV39" s="206" t="s">
        <v>2</v>
      </c>
      <c r="AW39" s="203" t="s">
        <v>2</v>
      </c>
      <c r="AX39" s="205" t="s">
        <v>2</v>
      </c>
      <c r="AY39" s="205" t="s">
        <v>2</v>
      </c>
      <c r="AZ39" s="206" t="s">
        <v>2</v>
      </c>
      <c r="BA39" s="203" t="s">
        <v>2</v>
      </c>
      <c r="BB39" s="205" t="s">
        <v>2</v>
      </c>
      <c r="BC39" s="205" t="s">
        <v>2</v>
      </c>
      <c r="BD39" s="205" t="s">
        <v>2</v>
      </c>
      <c r="BE39" s="205" t="s">
        <v>2</v>
      </c>
      <c r="BF39" s="206" t="s">
        <v>2</v>
      </c>
      <c r="BG39" s="199" t="s">
        <v>2</v>
      </c>
      <c r="BH39" s="199">
        <v>0</v>
      </c>
      <c r="BI39" s="200" t="s">
        <v>2</v>
      </c>
      <c r="BJ39" s="200" t="s">
        <v>2</v>
      </c>
      <c r="BK39" s="200" t="s">
        <v>2</v>
      </c>
      <c r="BL39" s="200" t="s">
        <v>2</v>
      </c>
      <c r="BM39" s="200" t="s">
        <v>2</v>
      </c>
      <c r="BN39" s="200" t="s">
        <v>2</v>
      </c>
      <c r="BO39" s="200" t="s">
        <v>2</v>
      </c>
      <c r="BP39" s="200" t="s">
        <v>2</v>
      </c>
      <c r="BQ39" s="200" t="s">
        <v>2</v>
      </c>
      <c r="BR39" s="200" t="s">
        <v>2</v>
      </c>
      <c r="BS39" s="200" t="s">
        <v>2</v>
      </c>
      <c r="BT39" s="200" t="s">
        <v>2</v>
      </c>
      <c r="BU39" s="200" t="s">
        <v>2</v>
      </c>
      <c r="BV39" s="200" t="s">
        <v>2</v>
      </c>
      <c r="BW39" s="200" t="s">
        <v>2</v>
      </c>
      <c r="BX39" s="200" t="s">
        <v>2</v>
      </c>
      <c r="BY39" s="200" t="s">
        <v>2</v>
      </c>
      <c r="BZ39" s="201" t="s">
        <v>2</v>
      </c>
      <c r="CA39" s="203" t="s">
        <v>2</v>
      </c>
      <c r="CB39" s="203" t="s">
        <v>2</v>
      </c>
      <c r="CC39" s="203" t="s">
        <v>2</v>
      </c>
      <c r="CD39" s="203" t="s">
        <v>2</v>
      </c>
      <c r="CE39" s="203" t="s">
        <v>2</v>
      </c>
      <c r="CF39" s="203" t="s">
        <v>2</v>
      </c>
      <c r="CG39" s="204" t="s">
        <v>2</v>
      </c>
      <c r="CH39" s="200">
        <v>0</v>
      </c>
      <c r="CI39" s="201">
        <v>0</v>
      </c>
      <c r="CJ39" s="203">
        <v>0</v>
      </c>
      <c r="CK39" s="203">
        <v>0</v>
      </c>
      <c r="CL39" s="203">
        <v>0</v>
      </c>
      <c r="CM39" s="204">
        <v>0</v>
      </c>
      <c r="CN39" s="199" t="s">
        <v>2</v>
      </c>
      <c r="CO39" s="199" t="s">
        <v>2</v>
      </c>
    </row>
    <row r="40" spans="1:93" s="207" customFormat="1" ht="15" x14ac:dyDescent="0.25">
      <c r="A40" s="196" t="s">
        <v>618</v>
      </c>
      <c r="B40" s="197" t="s">
        <v>289</v>
      </c>
      <c r="C40" s="198" t="s">
        <v>647</v>
      </c>
      <c r="D40" s="289">
        <v>2</v>
      </c>
      <c r="E40" s="199">
        <v>0</v>
      </c>
      <c r="F40" s="200">
        <v>343</v>
      </c>
      <c r="G40" s="201">
        <v>1433.74</v>
      </c>
      <c r="H40" s="202">
        <v>14</v>
      </c>
      <c r="I40" s="203">
        <v>0.6</v>
      </c>
      <c r="J40" s="203" t="s">
        <v>2</v>
      </c>
      <c r="K40" s="203">
        <v>85.2</v>
      </c>
      <c r="L40" s="203">
        <v>0.5</v>
      </c>
      <c r="M40" s="204">
        <v>0.2</v>
      </c>
      <c r="N40" s="200">
        <v>37</v>
      </c>
      <c r="O40" s="200">
        <v>18</v>
      </c>
      <c r="P40" s="203">
        <v>1.7</v>
      </c>
      <c r="Q40" s="203" t="s">
        <v>2</v>
      </c>
      <c r="R40" s="200" t="s">
        <v>2</v>
      </c>
      <c r="S40" s="200" t="s">
        <v>2</v>
      </c>
      <c r="T40" s="200" t="s">
        <v>2</v>
      </c>
      <c r="U40" s="205" t="s">
        <v>2</v>
      </c>
      <c r="V40" s="205" t="s">
        <v>2</v>
      </c>
      <c r="W40" s="204" t="s">
        <v>2</v>
      </c>
      <c r="X40" s="203" t="s">
        <v>2</v>
      </c>
      <c r="Y40" s="205" t="s">
        <v>2</v>
      </c>
      <c r="Z40" s="205" t="s">
        <v>2</v>
      </c>
      <c r="AA40" s="205" t="s">
        <v>2</v>
      </c>
      <c r="AB40" s="205" t="s">
        <v>2</v>
      </c>
      <c r="AC40" s="205" t="s">
        <v>2</v>
      </c>
      <c r="AD40" s="200" t="s">
        <v>2</v>
      </c>
      <c r="AE40" s="203" t="s">
        <v>2</v>
      </c>
      <c r="AF40" s="203" t="s">
        <v>2</v>
      </c>
      <c r="AG40" s="204" t="s">
        <v>2</v>
      </c>
      <c r="AH40" s="200">
        <v>0</v>
      </c>
      <c r="AI40" s="200">
        <v>0</v>
      </c>
      <c r="AJ40" s="203" t="s">
        <v>2</v>
      </c>
      <c r="AK40" s="203" t="s">
        <v>2</v>
      </c>
      <c r="AL40" s="204" t="s">
        <v>2</v>
      </c>
      <c r="AM40" s="200">
        <v>0</v>
      </c>
      <c r="AN40" s="200">
        <v>0</v>
      </c>
      <c r="AO40" s="201">
        <v>0</v>
      </c>
      <c r="AP40" s="203" t="s">
        <v>2</v>
      </c>
      <c r="AQ40" s="205" t="s">
        <v>2</v>
      </c>
      <c r="AR40" s="205" t="s">
        <v>2</v>
      </c>
      <c r="AS40" s="205" t="s">
        <v>2</v>
      </c>
      <c r="AT40" s="205" t="s">
        <v>2</v>
      </c>
      <c r="AU40" s="205" t="s">
        <v>2</v>
      </c>
      <c r="AV40" s="206" t="s">
        <v>2</v>
      </c>
      <c r="AW40" s="203" t="s">
        <v>2</v>
      </c>
      <c r="AX40" s="205" t="s">
        <v>2</v>
      </c>
      <c r="AY40" s="205" t="s">
        <v>2</v>
      </c>
      <c r="AZ40" s="206" t="s">
        <v>2</v>
      </c>
      <c r="BA40" s="203" t="s">
        <v>2</v>
      </c>
      <c r="BB40" s="205" t="s">
        <v>2</v>
      </c>
      <c r="BC40" s="205" t="s">
        <v>2</v>
      </c>
      <c r="BD40" s="205" t="s">
        <v>2</v>
      </c>
      <c r="BE40" s="205" t="s">
        <v>2</v>
      </c>
      <c r="BF40" s="206" t="s">
        <v>2</v>
      </c>
      <c r="BG40" s="199" t="s">
        <v>2</v>
      </c>
      <c r="BH40" s="199">
        <v>0</v>
      </c>
      <c r="BI40" s="200" t="s">
        <v>2</v>
      </c>
      <c r="BJ40" s="200" t="s">
        <v>2</v>
      </c>
      <c r="BK40" s="200" t="s">
        <v>2</v>
      </c>
      <c r="BL40" s="200" t="s">
        <v>2</v>
      </c>
      <c r="BM40" s="200" t="s">
        <v>2</v>
      </c>
      <c r="BN40" s="200" t="s">
        <v>2</v>
      </c>
      <c r="BO40" s="200" t="s">
        <v>2</v>
      </c>
      <c r="BP40" s="200" t="s">
        <v>2</v>
      </c>
      <c r="BQ40" s="200" t="s">
        <v>2</v>
      </c>
      <c r="BR40" s="200" t="s">
        <v>2</v>
      </c>
      <c r="BS40" s="200" t="s">
        <v>2</v>
      </c>
      <c r="BT40" s="200" t="s">
        <v>2</v>
      </c>
      <c r="BU40" s="200" t="s">
        <v>2</v>
      </c>
      <c r="BV40" s="200" t="s">
        <v>2</v>
      </c>
      <c r="BW40" s="200" t="s">
        <v>2</v>
      </c>
      <c r="BX40" s="200" t="s">
        <v>2</v>
      </c>
      <c r="BY40" s="200" t="s">
        <v>2</v>
      </c>
      <c r="BZ40" s="201" t="s">
        <v>2</v>
      </c>
      <c r="CA40" s="203" t="s">
        <v>2</v>
      </c>
      <c r="CB40" s="203" t="s">
        <v>2</v>
      </c>
      <c r="CC40" s="203" t="s">
        <v>2</v>
      </c>
      <c r="CD40" s="203" t="s">
        <v>2</v>
      </c>
      <c r="CE40" s="203" t="s">
        <v>2</v>
      </c>
      <c r="CF40" s="203" t="s">
        <v>2</v>
      </c>
      <c r="CG40" s="204" t="s">
        <v>2</v>
      </c>
      <c r="CH40" s="200">
        <v>0</v>
      </c>
      <c r="CI40" s="201">
        <v>0</v>
      </c>
      <c r="CJ40" s="203">
        <v>0</v>
      </c>
      <c r="CK40" s="203">
        <v>0</v>
      </c>
      <c r="CL40" s="203">
        <v>0</v>
      </c>
      <c r="CM40" s="204">
        <v>0</v>
      </c>
      <c r="CN40" s="199" t="s">
        <v>2</v>
      </c>
      <c r="CO40" s="199" t="s">
        <v>2</v>
      </c>
    </row>
    <row r="41" spans="1:93" s="207" customFormat="1" ht="15" x14ac:dyDescent="0.25">
      <c r="A41" s="196" t="s">
        <v>619</v>
      </c>
      <c r="B41" s="197" t="s">
        <v>290</v>
      </c>
      <c r="C41" s="198" t="s">
        <v>648</v>
      </c>
      <c r="D41" s="289">
        <v>2</v>
      </c>
      <c r="E41" s="199">
        <v>0</v>
      </c>
      <c r="F41" s="200">
        <v>341</v>
      </c>
      <c r="G41" s="201">
        <v>1425.3799999999999</v>
      </c>
      <c r="H41" s="202">
        <v>14</v>
      </c>
      <c r="I41" s="203">
        <v>2.2000000000000002</v>
      </c>
      <c r="J41" s="203">
        <v>0.5</v>
      </c>
      <c r="K41" s="203">
        <v>81.8</v>
      </c>
      <c r="L41" s="203">
        <v>1.6</v>
      </c>
      <c r="M41" s="204">
        <v>1.5</v>
      </c>
      <c r="N41" s="200">
        <v>50</v>
      </c>
      <c r="O41" s="200">
        <v>95</v>
      </c>
      <c r="P41" s="203">
        <v>2</v>
      </c>
      <c r="Q41" s="203" t="s">
        <v>2</v>
      </c>
      <c r="R41" s="200" t="s">
        <v>2</v>
      </c>
      <c r="S41" s="200" t="s">
        <v>2</v>
      </c>
      <c r="T41" s="200" t="s">
        <v>2</v>
      </c>
      <c r="U41" s="205" t="s">
        <v>2</v>
      </c>
      <c r="V41" s="205" t="s">
        <v>2</v>
      </c>
      <c r="W41" s="204" t="s">
        <v>2</v>
      </c>
      <c r="X41" s="203" t="s">
        <v>2</v>
      </c>
      <c r="Y41" s="205">
        <v>0.24</v>
      </c>
      <c r="Z41" s="205">
        <v>0.09</v>
      </c>
      <c r="AA41" s="205">
        <v>1.5</v>
      </c>
      <c r="AB41" s="205" t="s">
        <v>2</v>
      </c>
      <c r="AC41" s="205" t="s">
        <v>2</v>
      </c>
      <c r="AD41" s="200" t="s">
        <v>2</v>
      </c>
      <c r="AE41" s="203" t="s">
        <v>2</v>
      </c>
      <c r="AF41" s="203" t="s">
        <v>2</v>
      </c>
      <c r="AG41" s="204" t="s">
        <v>2</v>
      </c>
      <c r="AH41" s="200">
        <v>0</v>
      </c>
      <c r="AI41" s="200">
        <v>0</v>
      </c>
      <c r="AJ41" s="203" t="s">
        <v>2</v>
      </c>
      <c r="AK41" s="203" t="s">
        <v>2</v>
      </c>
      <c r="AL41" s="204" t="s">
        <v>2</v>
      </c>
      <c r="AM41" s="200">
        <v>0</v>
      </c>
      <c r="AN41" s="200">
        <v>0</v>
      </c>
      <c r="AO41" s="201">
        <v>0</v>
      </c>
      <c r="AP41" s="203" t="s">
        <v>2</v>
      </c>
      <c r="AQ41" s="205" t="s">
        <v>2</v>
      </c>
      <c r="AR41" s="205" t="s">
        <v>2</v>
      </c>
      <c r="AS41" s="205" t="s">
        <v>2</v>
      </c>
      <c r="AT41" s="205" t="s">
        <v>2</v>
      </c>
      <c r="AU41" s="205" t="s">
        <v>2</v>
      </c>
      <c r="AV41" s="206" t="s">
        <v>2</v>
      </c>
      <c r="AW41" s="203" t="s">
        <v>2</v>
      </c>
      <c r="AX41" s="205" t="s">
        <v>2</v>
      </c>
      <c r="AY41" s="205" t="s">
        <v>2</v>
      </c>
      <c r="AZ41" s="206" t="s">
        <v>2</v>
      </c>
      <c r="BA41" s="203" t="s">
        <v>2</v>
      </c>
      <c r="BB41" s="205" t="s">
        <v>2</v>
      </c>
      <c r="BC41" s="205" t="s">
        <v>2</v>
      </c>
      <c r="BD41" s="205" t="s">
        <v>2</v>
      </c>
      <c r="BE41" s="205" t="s">
        <v>2</v>
      </c>
      <c r="BF41" s="206" t="s">
        <v>2</v>
      </c>
      <c r="BG41" s="199" t="s">
        <v>2</v>
      </c>
      <c r="BH41" s="199">
        <v>0</v>
      </c>
      <c r="BI41" s="200" t="s">
        <v>2</v>
      </c>
      <c r="BJ41" s="200" t="s">
        <v>2</v>
      </c>
      <c r="BK41" s="200" t="s">
        <v>2</v>
      </c>
      <c r="BL41" s="200" t="s">
        <v>2</v>
      </c>
      <c r="BM41" s="200" t="s">
        <v>2</v>
      </c>
      <c r="BN41" s="200" t="s">
        <v>2</v>
      </c>
      <c r="BO41" s="200" t="s">
        <v>2</v>
      </c>
      <c r="BP41" s="200" t="s">
        <v>2</v>
      </c>
      <c r="BQ41" s="200" t="s">
        <v>2</v>
      </c>
      <c r="BR41" s="200" t="s">
        <v>2</v>
      </c>
      <c r="BS41" s="200" t="s">
        <v>2</v>
      </c>
      <c r="BT41" s="200" t="s">
        <v>2</v>
      </c>
      <c r="BU41" s="200" t="s">
        <v>2</v>
      </c>
      <c r="BV41" s="200" t="s">
        <v>2</v>
      </c>
      <c r="BW41" s="200" t="s">
        <v>2</v>
      </c>
      <c r="BX41" s="200" t="s">
        <v>2</v>
      </c>
      <c r="BY41" s="200" t="s">
        <v>2</v>
      </c>
      <c r="BZ41" s="201" t="s">
        <v>2</v>
      </c>
      <c r="CA41" s="203" t="s">
        <v>2</v>
      </c>
      <c r="CB41" s="203" t="s">
        <v>2</v>
      </c>
      <c r="CC41" s="203" t="s">
        <v>2</v>
      </c>
      <c r="CD41" s="203" t="s">
        <v>2</v>
      </c>
      <c r="CE41" s="203" t="s">
        <v>2</v>
      </c>
      <c r="CF41" s="203" t="s">
        <v>2</v>
      </c>
      <c r="CG41" s="204" t="s">
        <v>2</v>
      </c>
      <c r="CH41" s="200">
        <v>0</v>
      </c>
      <c r="CI41" s="201">
        <v>0</v>
      </c>
      <c r="CJ41" s="203">
        <v>0</v>
      </c>
      <c r="CK41" s="203">
        <v>0</v>
      </c>
      <c r="CL41" s="203">
        <v>0</v>
      </c>
      <c r="CM41" s="204">
        <v>0</v>
      </c>
      <c r="CN41" s="199" t="s">
        <v>2</v>
      </c>
      <c r="CO41" s="199" t="s">
        <v>2</v>
      </c>
    </row>
    <row r="42" spans="1:93" s="207" customFormat="1" ht="15" x14ac:dyDescent="0.25">
      <c r="A42" s="196" t="s">
        <v>620</v>
      </c>
      <c r="B42" s="197" t="s">
        <v>291</v>
      </c>
      <c r="C42" s="198" t="s">
        <v>649</v>
      </c>
      <c r="D42" s="289">
        <v>2</v>
      </c>
      <c r="E42" s="199">
        <v>0</v>
      </c>
      <c r="F42" s="200">
        <v>343</v>
      </c>
      <c r="G42" s="201">
        <v>1433.74</v>
      </c>
      <c r="H42" s="202">
        <v>14</v>
      </c>
      <c r="I42" s="203">
        <v>0.2</v>
      </c>
      <c r="J42" s="203" t="s">
        <v>2</v>
      </c>
      <c r="K42" s="203">
        <v>85.6</v>
      </c>
      <c r="L42" s="203">
        <v>1.5</v>
      </c>
      <c r="M42" s="204">
        <v>0.2</v>
      </c>
      <c r="N42" s="200">
        <v>16</v>
      </c>
      <c r="O42" s="200">
        <v>17</v>
      </c>
      <c r="P42" s="203" t="s">
        <v>2</v>
      </c>
      <c r="Q42" s="203" t="s">
        <v>2</v>
      </c>
      <c r="R42" s="200" t="s">
        <v>2</v>
      </c>
      <c r="S42" s="200" t="s">
        <v>2</v>
      </c>
      <c r="T42" s="200" t="s">
        <v>2</v>
      </c>
      <c r="U42" s="205" t="s">
        <v>2</v>
      </c>
      <c r="V42" s="205" t="s">
        <v>2</v>
      </c>
      <c r="W42" s="204" t="s">
        <v>2</v>
      </c>
      <c r="X42" s="203" t="s">
        <v>2</v>
      </c>
      <c r="Y42" s="205" t="s">
        <v>2</v>
      </c>
      <c r="Z42" s="205" t="s">
        <v>2</v>
      </c>
      <c r="AA42" s="205" t="s">
        <v>2</v>
      </c>
      <c r="AB42" s="205" t="s">
        <v>2</v>
      </c>
      <c r="AC42" s="205" t="s">
        <v>2</v>
      </c>
      <c r="AD42" s="200" t="s">
        <v>2</v>
      </c>
      <c r="AE42" s="203" t="s">
        <v>2</v>
      </c>
      <c r="AF42" s="203" t="s">
        <v>2</v>
      </c>
      <c r="AG42" s="204" t="s">
        <v>2</v>
      </c>
      <c r="AH42" s="200">
        <v>0</v>
      </c>
      <c r="AI42" s="200">
        <v>0</v>
      </c>
      <c r="AJ42" s="203" t="s">
        <v>2</v>
      </c>
      <c r="AK42" s="203" t="s">
        <v>2</v>
      </c>
      <c r="AL42" s="204" t="s">
        <v>2</v>
      </c>
      <c r="AM42" s="200">
        <v>0</v>
      </c>
      <c r="AN42" s="200">
        <v>0</v>
      </c>
      <c r="AO42" s="201">
        <v>0</v>
      </c>
      <c r="AP42" s="203" t="s">
        <v>2</v>
      </c>
      <c r="AQ42" s="205" t="s">
        <v>2</v>
      </c>
      <c r="AR42" s="205" t="s">
        <v>2</v>
      </c>
      <c r="AS42" s="205" t="s">
        <v>2</v>
      </c>
      <c r="AT42" s="205" t="s">
        <v>2</v>
      </c>
      <c r="AU42" s="205" t="s">
        <v>2</v>
      </c>
      <c r="AV42" s="206" t="s">
        <v>2</v>
      </c>
      <c r="AW42" s="203" t="s">
        <v>2</v>
      </c>
      <c r="AX42" s="205" t="s">
        <v>2</v>
      </c>
      <c r="AY42" s="205" t="s">
        <v>2</v>
      </c>
      <c r="AZ42" s="206" t="s">
        <v>2</v>
      </c>
      <c r="BA42" s="203" t="s">
        <v>2</v>
      </c>
      <c r="BB42" s="205" t="s">
        <v>2</v>
      </c>
      <c r="BC42" s="205" t="s">
        <v>2</v>
      </c>
      <c r="BD42" s="205" t="s">
        <v>2</v>
      </c>
      <c r="BE42" s="205" t="s">
        <v>2</v>
      </c>
      <c r="BF42" s="206" t="s">
        <v>2</v>
      </c>
      <c r="BG42" s="199" t="s">
        <v>2</v>
      </c>
      <c r="BH42" s="199">
        <v>0</v>
      </c>
      <c r="BI42" s="200" t="s">
        <v>2</v>
      </c>
      <c r="BJ42" s="200" t="s">
        <v>2</v>
      </c>
      <c r="BK42" s="200" t="s">
        <v>2</v>
      </c>
      <c r="BL42" s="200" t="s">
        <v>2</v>
      </c>
      <c r="BM42" s="200" t="s">
        <v>2</v>
      </c>
      <c r="BN42" s="200" t="s">
        <v>2</v>
      </c>
      <c r="BO42" s="200" t="s">
        <v>2</v>
      </c>
      <c r="BP42" s="200" t="s">
        <v>2</v>
      </c>
      <c r="BQ42" s="200" t="s">
        <v>2</v>
      </c>
      <c r="BR42" s="200" t="s">
        <v>2</v>
      </c>
      <c r="BS42" s="200" t="s">
        <v>2</v>
      </c>
      <c r="BT42" s="200" t="s">
        <v>2</v>
      </c>
      <c r="BU42" s="200" t="s">
        <v>2</v>
      </c>
      <c r="BV42" s="200" t="s">
        <v>2</v>
      </c>
      <c r="BW42" s="200" t="s">
        <v>2</v>
      </c>
      <c r="BX42" s="200" t="s">
        <v>2</v>
      </c>
      <c r="BY42" s="200" t="s">
        <v>2</v>
      </c>
      <c r="BZ42" s="201" t="s">
        <v>2</v>
      </c>
      <c r="CA42" s="203" t="s">
        <v>2</v>
      </c>
      <c r="CB42" s="203" t="s">
        <v>2</v>
      </c>
      <c r="CC42" s="203" t="s">
        <v>2</v>
      </c>
      <c r="CD42" s="203" t="s">
        <v>2</v>
      </c>
      <c r="CE42" s="203" t="s">
        <v>2</v>
      </c>
      <c r="CF42" s="203" t="s">
        <v>2</v>
      </c>
      <c r="CG42" s="204" t="s">
        <v>2</v>
      </c>
      <c r="CH42" s="200">
        <v>0</v>
      </c>
      <c r="CI42" s="201">
        <v>0</v>
      </c>
      <c r="CJ42" s="203">
        <v>0</v>
      </c>
      <c r="CK42" s="203">
        <v>0</v>
      </c>
      <c r="CL42" s="203">
        <v>0</v>
      </c>
      <c r="CM42" s="204">
        <v>0</v>
      </c>
      <c r="CN42" s="199" t="s">
        <v>2</v>
      </c>
      <c r="CO42" s="199" t="s">
        <v>2</v>
      </c>
    </row>
    <row r="43" spans="1:93" s="207" customFormat="1" ht="15" x14ac:dyDescent="0.25">
      <c r="A43" s="196" t="s">
        <v>621</v>
      </c>
      <c r="B43" s="197" t="s">
        <v>292</v>
      </c>
      <c r="C43" s="198" t="s">
        <v>650</v>
      </c>
      <c r="D43" s="289">
        <v>2</v>
      </c>
      <c r="E43" s="199">
        <v>0</v>
      </c>
      <c r="F43" s="200">
        <v>346</v>
      </c>
      <c r="G43" s="201">
        <v>1446.28</v>
      </c>
      <c r="H43" s="202">
        <v>13.6</v>
      </c>
      <c r="I43" s="203">
        <v>1</v>
      </c>
      <c r="J43" s="203">
        <v>0.25</v>
      </c>
      <c r="K43" s="203">
        <v>84.85</v>
      </c>
      <c r="L43" s="203">
        <v>0.4</v>
      </c>
      <c r="M43" s="204">
        <v>0.3</v>
      </c>
      <c r="N43" s="200">
        <v>30</v>
      </c>
      <c r="O43" s="200">
        <v>125</v>
      </c>
      <c r="P43" s="203">
        <v>3</v>
      </c>
      <c r="Q43" s="203" t="s">
        <v>2</v>
      </c>
      <c r="R43" s="200" t="s">
        <v>2</v>
      </c>
      <c r="S43" s="200" t="s">
        <v>2</v>
      </c>
      <c r="T43" s="200" t="s">
        <v>2</v>
      </c>
      <c r="U43" s="205" t="s">
        <v>2</v>
      </c>
      <c r="V43" s="205" t="s">
        <v>2</v>
      </c>
      <c r="W43" s="204" t="s">
        <v>2</v>
      </c>
      <c r="X43" s="203" t="s">
        <v>2</v>
      </c>
      <c r="Y43" s="205">
        <v>0.01</v>
      </c>
      <c r="Z43" s="205" t="s">
        <v>2</v>
      </c>
      <c r="AA43" s="205">
        <v>0.4</v>
      </c>
      <c r="AB43" s="205">
        <v>0.47399999999999998</v>
      </c>
      <c r="AC43" s="205">
        <v>0.76900000000000002</v>
      </c>
      <c r="AD43" s="200">
        <v>25</v>
      </c>
      <c r="AE43" s="203">
        <v>0</v>
      </c>
      <c r="AF43" s="203" t="s">
        <v>2</v>
      </c>
      <c r="AG43" s="204">
        <v>0</v>
      </c>
      <c r="AH43" s="200">
        <v>0</v>
      </c>
      <c r="AI43" s="200">
        <v>0</v>
      </c>
      <c r="AJ43" s="203" t="s">
        <v>2</v>
      </c>
      <c r="AK43" s="203">
        <v>0.25</v>
      </c>
      <c r="AL43" s="204">
        <v>0</v>
      </c>
      <c r="AM43" s="200">
        <v>0</v>
      </c>
      <c r="AN43" s="200">
        <v>0</v>
      </c>
      <c r="AO43" s="201">
        <v>0</v>
      </c>
      <c r="AP43" s="203">
        <v>0.09</v>
      </c>
      <c r="AQ43" s="205">
        <v>5.6000000000000001E-2</v>
      </c>
      <c r="AR43" s="205">
        <v>0</v>
      </c>
      <c r="AS43" s="205">
        <v>1.2E-2</v>
      </c>
      <c r="AT43" s="205">
        <v>0</v>
      </c>
      <c r="AU43" s="205">
        <v>0</v>
      </c>
      <c r="AV43" s="206">
        <v>0</v>
      </c>
      <c r="AW43" s="203">
        <v>0.01</v>
      </c>
      <c r="AX43" s="205">
        <v>0</v>
      </c>
      <c r="AY43" s="205">
        <v>3.0000000000000001E-3</v>
      </c>
      <c r="AZ43" s="206">
        <v>4.0000000000000001E-3</v>
      </c>
      <c r="BA43" s="203">
        <v>0.15</v>
      </c>
      <c r="BB43" s="205">
        <v>0.112</v>
      </c>
      <c r="BC43" s="205">
        <v>3.5000000000000003E-2</v>
      </c>
      <c r="BD43" s="205">
        <v>0</v>
      </c>
      <c r="BE43" s="205">
        <v>0</v>
      </c>
      <c r="BF43" s="206">
        <v>0</v>
      </c>
      <c r="BG43" s="199" t="s">
        <v>2</v>
      </c>
      <c r="BH43" s="199">
        <v>0</v>
      </c>
      <c r="BI43" s="200">
        <v>35</v>
      </c>
      <c r="BJ43" s="200">
        <v>8</v>
      </c>
      <c r="BK43" s="200">
        <v>9</v>
      </c>
      <c r="BL43" s="200">
        <v>24</v>
      </c>
      <c r="BM43" s="200">
        <v>20</v>
      </c>
      <c r="BN43" s="200">
        <v>36</v>
      </c>
      <c r="BO43" s="200">
        <v>33</v>
      </c>
      <c r="BP43" s="200">
        <v>22</v>
      </c>
      <c r="BQ43" s="200">
        <v>25</v>
      </c>
      <c r="BR43" s="200">
        <v>10</v>
      </c>
      <c r="BS43" s="200">
        <v>5</v>
      </c>
      <c r="BT43" s="200">
        <v>12</v>
      </c>
      <c r="BU43" s="200">
        <v>21</v>
      </c>
      <c r="BV43" s="200">
        <v>91</v>
      </c>
      <c r="BW43" s="200">
        <v>80</v>
      </c>
      <c r="BX43" s="200">
        <v>17</v>
      </c>
      <c r="BY43" s="200">
        <v>21</v>
      </c>
      <c r="BZ43" s="201">
        <v>21</v>
      </c>
      <c r="CA43" s="203" t="s">
        <v>2</v>
      </c>
      <c r="CB43" s="203" t="s">
        <v>2</v>
      </c>
      <c r="CC43" s="203" t="s">
        <v>2</v>
      </c>
      <c r="CD43" s="203" t="s">
        <v>2</v>
      </c>
      <c r="CE43" s="203" t="s">
        <v>2</v>
      </c>
      <c r="CF43" s="203" t="s">
        <v>2</v>
      </c>
      <c r="CG43" s="204" t="s">
        <v>2</v>
      </c>
      <c r="CH43" s="200">
        <v>0</v>
      </c>
      <c r="CI43" s="201">
        <v>0</v>
      </c>
      <c r="CJ43" s="203">
        <v>0</v>
      </c>
      <c r="CK43" s="203">
        <v>0</v>
      </c>
      <c r="CL43" s="203">
        <v>0</v>
      </c>
      <c r="CM43" s="204">
        <v>0</v>
      </c>
      <c r="CN43" s="199" t="s">
        <v>2</v>
      </c>
      <c r="CO43" s="199" t="s">
        <v>2</v>
      </c>
    </row>
    <row r="44" spans="1:93" s="207" customFormat="1" ht="15" x14ac:dyDescent="0.25">
      <c r="A44" s="196" t="s">
        <v>622</v>
      </c>
      <c r="B44" s="197" t="s">
        <v>293</v>
      </c>
      <c r="C44" s="198" t="s">
        <v>651</v>
      </c>
      <c r="D44" s="289">
        <v>2</v>
      </c>
      <c r="E44" s="199">
        <v>0</v>
      </c>
      <c r="F44" s="200">
        <v>341</v>
      </c>
      <c r="G44" s="201">
        <v>1425.3799999999999</v>
      </c>
      <c r="H44" s="202">
        <v>14</v>
      </c>
      <c r="I44" s="203">
        <v>2.4</v>
      </c>
      <c r="J44" s="203">
        <v>0.5</v>
      </c>
      <c r="K44" s="203">
        <v>81.8</v>
      </c>
      <c r="L44" s="203">
        <v>2.2000000000000002</v>
      </c>
      <c r="M44" s="204">
        <v>1.3</v>
      </c>
      <c r="N44" s="200">
        <v>84</v>
      </c>
      <c r="O44" s="200">
        <v>37</v>
      </c>
      <c r="P44" s="203" t="s">
        <v>2</v>
      </c>
      <c r="Q44" s="203" t="s">
        <v>2</v>
      </c>
      <c r="R44" s="200" t="s">
        <v>2</v>
      </c>
      <c r="S44" s="200" t="s">
        <v>2</v>
      </c>
      <c r="T44" s="200" t="s">
        <v>2</v>
      </c>
      <c r="U44" s="205" t="s">
        <v>2</v>
      </c>
      <c r="V44" s="205" t="s">
        <v>2</v>
      </c>
      <c r="W44" s="204" t="s">
        <v>2</v>
      </c>
      <c r="X44" s="203" t="s">
        <v>2</v>
      </c>
      <c r="Y44" s="205">
        <v>0.02</v>
      </c>
      <c r="Z44" s="205">
        <v>0.03</v>
      </c>
      <c r="AA44" s="205">
        <v>0.1</v>
      </c>
      <c r="AB44" s="205" t="s">
        <v>2</v>
      </c>
      <c r="AC44" s="205" t="s">
        <v>2</v>
      </c>
      <c r="AD44" s="200" t="s">
        <v>2</v>
      </c>
      <c r="AE44" s="203" t="s">
        <v>2</v>
      </c>
      <c r="AF44" s="203" t="s">
        <v>2</v>
      </c>
      <c r="AG44" s="204" t="s">
        <v>2</v>
      </c>
      <c r="AH44" s="200">
        <v>0</v>
      </c>
      <c r="AI44" s="200">
        <v>0</v>
      </c>
      <c r="AJ44" s="203" t="s">
        <v>2</v>
      </c>
      <c r="AK44" s="203" t="s">
        <v>2</v>
      </c>
      <c r="AL44" s="204" t="s">
        <v>2</v>
      </c>
      <c r="AM44" s="200">
        <v>0</v>
      </c>
      <c r="AN44" s="200">
        <v>0</v>
      </c>
      <c r="AO44" s="201">
        <v>0</v>
      </c>
      <c r="AP44" s="203" t="s">
        <v>2</v>
      </c>
      <c r="AQ44" s="205" t="s">
        <v>2</v>
      </c>
      <c r="AR44" s="205" t="s">
        <v>2</v>
      </c>
      <c r="AS44" s="205" t="s">
        <v>2</v>
      </c>
      <c r="AT44" s="205" t="s">
        <v>2</v>
      </c>
      <c r="AU44" s="205" t="s">
        <v>2</v>
      </c>
      <c r="AV44" s="206" t="s">
        <v>2</v>
      </c>
      <c r="AW44" s="203" t="s">
        <v>2</v>
      </c>
      <c r="AX44" s="205" t="s">
        <v>2</v>
      </c>
      <c r="AY44" s="205" t="s">
        <v>2</v>
      </c>
      <c r="AZ44" s="206" t="s">
        <v>2</v>
      </c>
      <c r="BA44" s="203" t="s">
        <v>2</v>
      </c>
      <c r="BB44" s="205" t="s">
        <v>2</v>
      </c>
      <c r="BC44" s="205" t="s">
        <v>2</v>
      </c>
      <c r="BD44" s="205" t="s">
        <v>2</v>
      </c>
      <c r="BE44" s="205" t="s">
        <v>2</v>
      </c>
      <c r="BF44" s="206" t="s">
        <v>2</v>
      </c>
      <c r="BG44" s="199" t="s">
        <v>2</v>
      </c>
      <c r="BH44" s="199">
        <v>0</v>
      </c>
      <c r="BI44" s="200" t="s">
        <v>2</v>
      </c>
      <c r="BJ44" s="200" t="s">
        <v>2</v>
      </c>
      <c r="BK44" s="200" t="s">
        <v>2</v>
      </c>
      <c r="BL44" s="200" t="s">
        <v>2</v>
      </c>
      <c r="BM44" s="200" t="s">
        <v>2</v>
      </c>
      <c r="BN44" s="200" t="s">
        <v>2</v>
      </c>
      <c r="BO44" s="200" t="s">
        <v>2</v>
      </c>
      <c r="BP44" s="200" t="s">
        <v>2</v>
      </c>
      <c r="BQ44" s="200" t="s">
        <v>2</v>
      </c>
      <c r="BR44" s="200" t="s">
        <v>2</v>
      </c>
      <c r="BS44" s="200" t="s">
        <v>2</v>
      </c>
      <c r="BT44" s="200" t="s">
        <v>2</v>
      </c>
      <c r="BU44" s="200" t="s">
        <v>2</v>
      </c>
      <c r="BV44" s="200" t="s">
        <v>2</v>
      </c>
      <c r="BW44" s="200" t="s">
        <v>2</v>
      </c>
      <c r="BX44" s="200" t="s">
        <v>2</v>
      </c>
      <c r="BY44" s="200" t="s">
        <v>2</v>
      </c>
      <c r="BZ44" s="201" t="s">
        <v>2</v>
      </c>
      <c r="CA44" s="203" t="s">
        <v>2</v>
      </c>
      <c r="CB44" s="203" t="s">
        <v>2</v>
      </c>
      <c r="CC44" s="203" t="s">
        <v>2</v>
      </c>
      <c r="CD44" s="203" t="s">
        <v>2</v>
      </c>
      <c r="CE44" s="203" t="s">
        <v>2</v>
      </c>
      <c r="CF44" s="203" t="s">
        <v>2</v>
      </c>
      <c r="CG44" s="204" t="s">
        <v>2</v>
      </c>
      <c r="CH44" s="200">
        <v>0</v>
      </c>
      <c r="CI44" s="201">
        <v>0</v>
      </c>
      <c r="CJ44" s="203">
        <v>0</v>
      </c>
      <c r="CK44" s="203">
        <v>0</v>
      </c>
      <c r="CL44" s="203">
        <v>0</v>
      </c>
      <c r="CM44" s="204">
        <v>0</v>
      </c>
      <c r="CN44" s="199" t="s">
        <v>2</v>
      </c>
      <c r="CO44" s="199" t="s">
        <v>2</v>
      </c>
    </row>
    <row r="45" spans="1:93" s="207" customFormat="1" ht="15" x14ac:dyDescent="0.25">
      <c r="A45" s="196" t="s">
        <v>623</v>
      </c>
      <c r="B45" s="197" t="s">
        <v>294</v>
      </c>
      <c r="C45" s="198" t="s">
        <v>652</v>
      </c>
      <c r="D45" s="289">
        <v>2</v>
      </c>
      <c r="E45" s="199">
        <v>0</v>
      </c>
      <c r="F45" s="200">
        <v>343</v>
      </c>
      <c r="G45" s="201">
        <v>1433.74</v>
      </c>
      <c r="H45" s="202">
        <v>14</v>
      </c>
      <c r="I45" s="203">
        <v>0.7</v>
      </c>
      <c r="J45" s="203" t="s">
        <v>2</v>
      </c>
      <c r="K45" s="203">
        <v>85.1</v>
      </c>
      <c r="L45" s="203">
        <v>0.8</v>
      </c>
      <c r="M45" s="204">
        <v>0.2</v>
      </c>
      <c r="N45" s="200">
        <v>18</v>
      </c>
      <c r="O45" s="200">
        <v>20</v>
      </c>
      <c r="P45" s="203">
        <v>1.5</v>
      </c>
      <c r="Q45" s="203" t="s">
        <v>2</v>
      </c>
      <c r="R45" s="200" t="s">
        <v>2</v>
      </c>
      <c r="S45" s="200" t="s">
        <v>2</v>
      </c>
      <c r="T45" s="200" t="s">
        <v>2</v>
      </c>
      <c r="U45" s="205" t="s">
        <v>2</v>
      </c>
      <c r="V45" s="205" t="s">
        <v>2</v>
      </c>
      <c r="W45" s="204" t="s">
        <v>2</v>
      </c>
      <c r="X45" s="203" t="s">
        <v>2</v>
      </c>
      <c r="Y45" s="205" t="s">
        <v>2</v>
      </c>
      <c r="Z45" s="205" t="s">
        <v>2</v>
      </c>
      <c r="AA45" s="205" t="s">
        <v>2</v>
      </c>
      <c r="AB45" s="205" t="s">
        <v>2</v>
      </c>
      <c r="AC45" s="205" t="s">
        <v>2</v>
      </c>
      <c r="AD45" s="200" t="s">
        <v>2</v>
      </c>
      <c r="AE45" s="203" t="s">
        <v>2</v>
      </c>
      <c r="AF45" s="203" t="s">
        <v>2</v>
      </c>
      <c r="AG45" s="204" t="s">
        <v>2</v>
      </c>
      <c r="AH45" s="200">
        <v>0</v>
      </c>
      <c r="AI45" s="200">
        <v>0</v>
      </c>
      <c r="AJ45" s="203" t="s">
        <v>2</v>
      </c>
      <c r="AK45" s="203" t="s">
        <v>2</v>
      </c>
      <c r="AL45" s="204" t="s">
        <v>2</v>
      </c>
      <c r="AM45" s="200">
        <v>0</v>
      </c>
      <c r="AN45" s="200">
        <v>0</v>
      </c>
      <c r="AO45" s="201">
        <v>0</v>
      </c>
      <c r="AP45" s="203" t="s">
        <v>2</v>
      </c>
      <c r="AQ45" s="205" t="s">
        <v>2</v>
      </c>
      <c r="AR45" s="205" t="s">
        <v>2</v>
      </c>
      <c r="AS45" s="205" t="s">
        <v>2</v>
      </c>
      <c r="AT45" s="205" t="s">
        <v>2</v>
      </c>
      <c r="AU45" s="205" t="s">
        <v>2</v>
      </c>
      <c r="AV45" s="206" t="s">
        <v>2</v>
      </c>
      <c r="AW45" s="203" t="s">
        <v>2</v>
      </c>
      <c r="AX45" s="205" t="s">
        <v>2</v>
      </c>
      <c r="AY45" s="205" t="s">
        <v>2</v>
      </c>
      <c r="AZ45" s="206" t="s">
        <v>2</v>
      </c>
      <c r="BA45" s="203" t="s">
        <v>2</v>
      </c>
      <c r="BB45" s="205" t="s">
        <v>2</v>
      </c>
      <c r="BC45" s="205" t="s">
        <v>2</v>
      </c>
      <c r="BD45" s="205" t="s">
        <v>2</v>
      </c>
      <c r="BE45" s="205" t="s">
        <v>2</v>
      </c>
      <c r="BF45" s="206" t="s">
        <v>2</v>
      </c>
      <c r="BG45" s="199" t="s">
        <v>2</v>
      </c>
      <c r="BH45" s="199">
        <v>0</v>
      </c>
      <c r="BI45" s="200" t="s">
        <v>2</v>
      </c>
      <c r="BJ45" s="200" t="s">
        <v>2</v>
      </c>
      <c r="BK45" s="200" t="s">
        <v>2</v>
      </c>
      <c r="BL45" s="200" t="s">
        <v>2</v>
      </c>
      <c r="BM45" s="200" t="s">
        <v>2</v>
      </c>
      <c r="BN45" s="200" t="s">
        <v>2</v>
      </c>
      <c r="BO45" s="200" t="s">
        <v>2</v>
      </c>
      <c r="BP45" s="200" t="s">
        <v>2</v>
      </c>
      <c r="BQ45" s="200" t="s">
        <v>2</v>
      </c>
      <c r="BR45" s="200" t="s">
        <v>2</v>
      </c>
      <c r="BS45" s="200" t="s">
        <v>2</v>
      </c>
      <c r="BT45" s="200" t="s">
        <v>2</v>
      </c>
      <c r="BU45" s="200" t="s">
        <v>2</v>
      </c>
      <c r="BV45" s="200" t="s">
        <v>2</v>
      </c>
      <c r="BW45" s="200" t="s">
        <v>2</v>
      </c>
      <c r="BX45" s="200" t="s">
        <v>2</v>
      </c>
      <c r="BY45" s="200" t="s">
        <v>2</v>
      </c>
      <c r="BZ45" s="201" t="s">
        <v>2</v>
      </c>
      <c r="CA45" s="203" t="s">
        <v>2</v>
      </c>
      <c r="CB45" s="203" t="s">
        <v>2</v>
      </c>
      <c r="CC45" s="203" t="s">
        <v>2</v>
      </c>
      <c r="CD45" s="203" t="s">
        <v>2</v>
      </c>
      <c r="CE45" s="203" t="s">
        <v>2</v>
      </c>
      <c r="CF45" s="203" t="s">
        <v>2</v>
      </c>
      <c r="CG45" s="204" t="s">
        <v>2</v>
      </c>
      <c r="CH45" s="200">
        <v>0</v>
      </c>
      <c r="CI45" s="201">
        <v>0</v>
      </c>
      <c r="CJ45" s="203">
        <v>0</v>
      </c>
      <c r="CK45" s="203">
        <v>0</v>
      </c>
      <c r="CL45" s="203">
        <v>0</v>
      </c>
      <c r="CM45" s="204">
        <v>0</v>
      </c>
      <c r="CN45" s="199" t="s">
        <v>2</v>
      </c>
      <c r="CO45" s="199" t="s">
        <v>2</v>
      </c>
    </row>
    <row r="46" spans="1:93" s="207" customFormat="1" ht="15" x14ac:dyDescent="0.25">
      <c r="A46" s="196" t="s">
        <v>624</v>
      </c>
      <c r="B46" s="197" t="s">
        <v>295</v>
      </c>
      <c r="C46" s="198" t="s">
        <v>653</v>
      </c>
      <c r="D46" s="289">
        <v>2</v>
      </c>
      <c r="E46" s="199">
        <v>5</v>
      </c>
      <c r="F46" s="200">
        <v>348</v>
      </c>
      <c r="G46" s="201">
        <v>1454.6399999999999</v>
      </c>
      <c r="H46" s="202">
        <v>11</v>
      </c>
      <c r="I46" s="203">
        <v>2.2000000000000002</v>
      </c>
      <c r="J46" s="203">
        <v>0.5</v>
      </c>
      <c r="K46" s="203">
        <v>83.6</v>
      </c>
      <c r="L46" s="203">
        <v>3.6</v>
      </c>
      <c r="M46" s="204">
        <v>2.7</v>
      </c>
      <c r="N46" s="200">
        <v>95</v>
      </c>
      <c r="O46" s="200">
        <v>137</v>
      </c>
      <c r="P46" s="203">
        <v>2.78</v>
      </c>
      <c r="Q46" s="203">
        <v>0.56000000000000005</v>
      </c>
      <c r="R46" s="200">
        <v>86</v>
      </c>
      <c r="S46" s="200">
        <v>584</v>
      </c>
      <c r="T46" s="200">
        <v>559</v>
      </c>
      <c r="U46" s="205">
        <v>1.0760000000000001</v>
      </c>
      <c r="V46" s="205">
        <v>723</v>
      </c>
      <c r="W46" s="204">
        <v>19.7</v>
      </c>
      <c r="X46" s="203" t="s">
        <v>2</v>
      </c>
      <c r="Y46" s="205">
        <v>0.09</v>
      </c>
      <c r="Z46" s="205">
        <v>7.0000000000000007E-2</v>
      </c>
      <c r="AA46" s="205">
        <v>1.7</v>
      </c>
      <c r="AB46" s="205">
        <v>2.2250000000000001</v>
      </c>
      <c r="AC46" s="205">
        <v>0.58099999999999996</v>
      </c>
      <c r="AD46" s="200">
        <v>31</v>
      </c>
      <c r="AE46" s="203">
        <v>0</v>
      </c>
      <c r="AF46" s="203" t="s">
        <v>2</v>
      </c>
      <c r="AG46" s="204">
        <v>0</v>
      </c>
      <c r="AH46" s="200">
        <v>0</v>
      </c>
      <c r="AI46" s="200">
        <v>35</v>
      </c>
      <c r="AJ46" s="203" t="s">
        <v>2</v>
      </c>
      <c r="AK46" s="203">
        <v>0.72</v>
      </c>
      <c r="AL46" s="204">
        <v>5</v>
      </c>
      <c r="AM46" s="200">
        <v>417</v>
      </c>
      <c r="AN46" s="200" t="s">
        <v>2</v>
      </c>
      <c r="AO46" s="201" t="s">
        <v>2</v>
      </c>
      <c r="AP46" s="203">
        <v>0.05</v>
      </c>
      <c r="AQ46" s="205">
        <v>4.4999999999999998E-2</v>
      </c>
      <c r="AR46" s="205">
        <v>0</v>
      </c>
      <c r="AS46" s="205">
        <v>3.0000000000000001E-3</v>
      </c>
      <c r="AT46" s="205">
        <v>0</v>
      </c>
      <c r="AU46" s="205">
        <v>0</v>
      </c>
      <c r="AV46" s="206">
        <v>0</v>
      </c>
      <c r="AW46" s="203">
        <v>0</v>
      </c>
      <c r="AX46" s="205">
        <v>0</v>
      </c>
      <c r="AY46" s="205">
        <v>0</v>
      </c>
      <c r="AZ46" s="206">
        <v>3.0000000000000001E-3</v>
      </c>
      <c r="BA46" s="203">
        <v>0.04</v>
      </c>
      <c r="BB46" s="205">
        <v>3.3000000000000002E-2</v>
      </c>
      <c r="BC46" s="205">
        <v>3.0000000000000001E-3</v>
      </c>
      <c r="BD46" s="205">
        <v>0</v>
      </c>
      <c r="BE46" s="205">
        <v>0</v>
      </c>
      <c r="BF46" s="206">
        <v>0</v>
      </c>
      <c r="BG46" s="199" t="s">
        <v>2</v>
      </c>
      <c r="BH46" s="199">
        <v>0</v>
      </c>
      <c r="BI46" s="200">
        <v>70</v>
      </c>
      <c r="BJ46" s="200">
        <v>30</v>
      </c>
      <c r="BK46" s="200">
        <v>4</v>
      </c>
      <c r="BL46" s="200">
        <v>100</v>
      </c>
      <c r="BM46" s="200">
        <v>110</v>
      </c>
      <c r="BN46" s="200">
        <v>90</v>
      </c>
      <c r="BO46" s="200">
        <v>120</v>
      </c>
      <c r="BP46" s="200">
        <v>90</v>
      </c>
      <c r="BQ46" s="200">
        <v>90</v>
      </c>
      <c r="BR46" s="200">
        <v>40</v>
      </c>
      <c r="BS46" s="200">
        <v>33</v>
      </c>
      <c r="BT46" s="200">
        <v>132</v>
      </c>
      <c r="BU46" s="200">
        <v>160</v>
      </c>
      <c r="BV46" s="200">
        <v>484</v>
      </c>
      <c r="BW46" s="200">
        <v>382</v>
      </c>
      <c r="BX46" s="200">
        <v>116</v>
      </c>
      <c r="BY46" s="200">
        <v>94</v>
      </c>
      <c r="BZ46" s="201">
        <v>138</v>
      </c>
      <c r="CA46" s="203" t="s">
        <v>2</v>
      </c>
      <c r="CB46" s="203" t="s">
        <v>2</v>
      </c>
      <c r="CC46" s="203" t="s">
        <v>2</v>
      </c>
      <c r="CD46" s="203" t="s">
        <v>2</v>
      </c>
      <c r="CE46" s="203" t="s">
        <v>2</v>
      </c>
      <c r="CF46" s="203" t="s">
        <v>2</v>
      </c>
      <c r="CG46" s="204" t="s">
        <v>2</v>
      </c>
      <c r="CH46" s="200" t="s">
        <v>2</v>
      </c>
      <c r="CI46" s="201" t="s">
        <v>2</v>
      </c>
      <c r="CJ46" s="203">
        <v>0</v>
      </c>
      <c r="CK46" s="203">
        <v>0</v>
      </c>
      <c r="CL46" s="203">
        <v>0</v>
      </c>
      <c r="CM46" s="204">
        <v>0</v>
      </c>
      <c r="CN46" s="199" t="s">
        <v>2</v>
      </c>
      <c r="CO46" s="199" t="s">
        <v>2</v>
      </c>
    </row>
    <row r="47" spans="1:93" s="207" customFormat="1" ht="15" x14ac:dyDescent="0.25">
      <c r="A47" s="196" t="s">
        <v>625</v>
      </c>
      <c r="B47" s="197" t="s">
        <v>296</v>
      </c>
      <c r="C47" s="198" t="s">
        <v>657</v>
      </c>
      <c r="D47" s="289">
        <v>2</v>
      </c>
      <c r="E47" s="199">
        <v>0</v>
      </c>
      <c r="F47" s="200">
        <v>343</v>
      </c>
      <c r="G47" s="201">
        <v>1433.74</v>
      </c>
      <c r="H47" s="202">
        <v>11</v>
      </c>
      <c r="I47" s="203">
        <v>6.6</v>
      </c>
      <c r="J47" s="203">
        <v>0.3</v>
      </c>
      <c r="K47" s="203">
        <v>78.5</v>
      </c>
      <c r="L47" s="203">
        <v>3.4</v>
      </c>
      <c r="M47" s="204">
        <v>3.6</v>
      </c>
      <c r="N47" s="200">
        <v>37</v>
      </c>
      <c r="O47" s="200">
        <v>180</v>
      </c>
      <c r="P47" s="203">
        <v>4.3</v>
      </c>
      <c r="Q47" s="203">
        <v>1.07</v>
      </c>
      <c r="R47" s="200">
        <v>25</v>
      </c>
      <c r="S47" s="200">
        <v>1410</v>
      </c>
      <c r="T47" s="200">
        <v>114</v>
      </c>
      <c r="U47" s="205">
        <v>0.71199999999999997</v>
      </c>
      <c r="V47" s="205">
        <v>819</v>
      </c>
      <c r="W47" s="204">
        <v>1.78</v>
      </c>
      <c r="X47" s="203" t="s">
        <v>2</v>
      </c>
      <c r="Y47" s="205">
        <v>0.36</v>
      </c>
      <c r="Z47" s="205">
        <v>0.18</v>
      </c>
      <c r="AA47" s="205">
        <v>3.2</v>
      </c>
      <c r="AB47" s="205">
        <v>1</v>
      </c>
      <c r="AC47" s="205">
        <v>0.72299999999999998</v>
      </c>
      <c r="AD47" s="200">
        <v>64</v>
      </c>
      <c r="AE47" s="203">
        <v>0</v>
      </c>
      <c r="AF47" s="203" t="s">
        <v>2</v>
      </c>
      <c r="AG47" s="204">
        <v>0</v>
      </c>
      <c r="AH47" s="200">
        <v>0</v>
      </c>
      <c r="AI47" s="200">
        <v>0</v>
      </c>
      <c r="AJ47" s="203" t="s">
        <v>2</v>
      </c>
      <c r="AK47" s="203">
        <v>0.04</v>
      </c>
      <c r="AL47" s="204">
        <v>5.7</v>
      </c>
      <c r="AM47" s="200">
        <v>18</v>
      </c>
      <c r="AN47" s="200">
        <v>0</v>
      </c>
      <c r="AO47" s="201">
        <v>0</v>
      </c>
      <c r="AP47" s="203">
        <v>0.08</v>
      </c>
      <c r="AQ47" s="205">
        <v>4.8000000000000001E-2</v>
      </c>
      <c r="AR47" s="205">
        <v>0</v>
      </c>
      <c r="AS47" s="205">
        <v>1.2E-2</v>
      </c>
      <c r="AT47" s="205">
        <v>0</v>
      </c>
      <c r="AU47" s="205">
        <v>0</v>
      </c>
      <c r="AV47" s="206">
        <v>0</v>
      </c>
      <c r="AW47" s="203">
        <v>0.01</v>
      </c>
      <c r="AX47" s="205">
        <v>0</v>
      </c>
      <c r="AY47" s="205">
        <v>3.0000000000000001E-3</v>
      </c>
      <c r="AZ47" s="206">
        <v>3.0000000000000001E-3</v>
      </c>
      <c r="BA47" s="203">
        <v>0.13</v>
      </c>
      <c r="BB47" s="205">
        <v>9.6000000000000002E-2</v>
      </c>
      <c r="BC47" s="205">
        <v>0.03</v>
      </c>
      <c r="BD47" s="205">
        <v>0</v>
      </c>
      <c r="BE47" s="205">
        <v>0</v>
      </c>
      <c r="BF47" s="206">
        <v>0</v>
      </c>
      <c r="BG47" s="199" t="s">
        <v>2</v>
      </c>
      <c r="BH47" s="199">
        <v>0</v>
      </c>
      <c r="BI47" s="200">
        <v>330</v>
      </c>
      <c r="BJ47" s="200">
        <v>110</v>
      </c>
      <c r="BK47" s="200">
        <v>50</v>
      </c>
      <c r="BL47" s="200">
        <v>360</v>
      </c>
      <c r="BM47" s="200">
        <v>240</v>
      </c>
      <c r="BN47" s="200">
        <v>320</v>
      </c>
      <c r="BO47" s="200">
        <v>750</v>
      </c>
      <c r="BP47" s="200">
        <v>750</v>
      </c>
      <c r="BQ47" s="200">
        <v>290</v>
      </c>
      <c r="BR47" s="200">
        <v>110</v>
      </c>
      <c r="BS47" s="200">
        <v>33</v>
      </c>
      <c r="BT47" s="200">
        <v>155</v>
      </c>
      <c r="BU47" s="200">
        <v>251</v>
      </c>
      <c r="BV47" s="200">
        <v>696</v>
      </c>
      <c r="BW47" s="200">
        <v>574</v>
      </c>
      <c r="BX47" s="200">
        <v>211</v>
      </c>
      <c r="BY47" s="200">
        <v>211</v>
      </c>
      <c r="BZ47" s="201">
        <v>231</v>
      </c>
      <c r="CA47" s="203" t="s">
        <v>2</v>
      </c>
      <c r="CB47" s="203" t="s">
        <v>2</v>
      </c>
      <c r="CC47" s="203" t="s">
        <v>2</v>
      </c>
      <c r="CD47" s="203" t="s">
        <v>2</v>
      </c>
      <c r="CE47" s="203" t="s">
        <v>2</v>
      </c>
      <c r="CF47" s="203" t="s">
        <v>2</v>
      </c>
      <c r="CG47" s="204" t="s">
        <v>2</v>
      </c>
      <c r="CH47" s="200">
        <v>0</v>
      </c>
      <c r="CI47" s="201">
        <v>46</v>
      </c>
      <c r="CJ47" s="203">
        <v>0</v>
      </c>
      <c r="CK47" s="203">
        <v>0</v>
      </c>
      <c r="CL47" s="203">
        <v>0</v>
      </c>
      <c r="CM47" s="204">
        <v>0</v>
      </c>
      <c r="CN47" s="199" t="s">
        <v>2</v>
      </c>
      <c r="CO47" s="199" t="s">
        <v>2</v>
      </c>
    </row>
    <row r="48" spans="1:93" s="207" customFormat="1" ht="15" x14ac:dyDescent="0.25">
      <c r="A48" s="196" t="s">
        <v>626</v>
      </c>
      <c r="B48" s="197" t="s">
        <v>297</v>
      </c>
      <c r="C48" s="198" t="s">
        <v>654</v>
      </c>
      <c r="D48" s="289">
        <v>2</v>
      </c>
      <c r="E48" s="199">
        <v>0</v>
      </c>
      <c r="F48" s="200">
        <v>550</v>
      </c>
      <c r="G48" s="201">
        <v>2299</v>
      </c>
      <c r="H48" s="202">
        <v>3</v>
      </c>
      <c r="I48" s="203">
        <v>2.2000000000000002</v>
      </c>
      <c r="J48" s="203">
        <v>35.4</v>
      </c>
      <c r="K48" s="203">
        <v>55.6</v>
      </c>
      <c r="L48" s="203">
        <v>6.3</v>
      </c>
      <c r="M48" s="204">
        <v>3.8</v>
      </c>
      <c r="N48" s="200">
        <v>37</v>
      </c>
      <c r="O48" s="200">
        <v>130</v>
      </c>
      <c r="P48" s="203">
        <v>2.1</v>
      </c>
      <c r="Q48" s="203" t="s">
        <v>2</v>
      </c>
      <c r="R48" s="200" t="s">
        <v>2</v>
      </c>
      <c r="S48" s="200" t="s">
        <v>2</v>
      </c>
      <c r="T48" s="200" t="s">
        <v>2</v>
      </c>
      <c r="U48" s="205" t="s">
        <v>2</v>
      </c>
      <c r="V48" s="205" t="s">
        <v>2</v>
      </c>
      <c r="W48" s="204" t="s">
        <v>2</v>
      </c>
      <c r="X48" s="203">
        <v>1</v>
      </c>
      <c r="Y48" s="205">
        <v>0.15</v>
      </c>
      <c r="Z48" s="205">
        <v>0.02</v>
      </c>
      <c r="AA48" s="205">
        <v>4.5999999999999996</v>
      </c>
      <c r="AB48" s="205" t="s">
        <v>2</v>
      </c>
      <c r="AC48" s="205" t="s">
        <v>2</v>
      </c>
      <c r="AD48" s="200" t="s">
        <v>2</v>
      </c>
      <c r="AE48" s="203" t="s">
        <v>2</v>
      </c>
      <c r="AF48" s="203" t="s">
        <v>2</v>
      </c>
      <c r="AG48" s="204" t="s">
        <v>2</v>
      </c>
      <c r="AH48" s="200">
        <v>0</v>
      </c>
      <c r="AI48" s="200">
        <v>1</v>
      </c>
      <c r="AJ48" s="203" t="s">
        <v>2</v>
      </c>
      <c r="AK48" s="203" t="s">
        <v>2</v>
      </c>
      <c r="AL48" s="204" t="s">
        <v>2</v>
      </c>
      <c r="AM48" s="200" t="s">
        <v>2</v>
      </c>
      <c r="AN48" s="200" t="s">
        <v>2</v>
      </c>
      <c r="AO48" s="201" t="s">
        <v>2</v>
      </c>
      <c r="AP48" s="203" t="s">
        <v>2</v>
      </c>
      <c r="AQ48" s="205" t="s">
        <v>2</v>
      </c>
      <c r="AR48" s="205" t="s">
        <v>2</v>
      </c>
      <c r="AS48" s="205" t="s">
        <v>2</v>
      </c>
      <c r="AT48" s="205" t="s">
        <v>2</v>
      </c>
      <c r="AU48" s="205" t="s">
        <v>2</v>
      </c>
      <c r="AV48" s="206" t="s">
        <v>2</v>
      </c>
      <c r="AW48" s="203" t="s">
        <v>2</v>
      </c>
      <c r="AX48" s="205" t="s">
        <v>2</v>
      </c>
      <c r="AY48" s="205" t="s">
        <v>2</v>
      </c>
      <c r="AZ48" s="206" t="s">
        <v>2</v>
      </c>
      <c r="BA48" s="203" t="s">
        <v>2</v>
      </c>
      <c r="BB48" s="205" t="s">
        <v>2</v>
      </c>
      <c r="BC48" s="205" t="s">
        <v>2</v>
      </c>
      <c r="BD48" s="205" t="s">
        <v>2</v>
      </c>
      <c r="BE48" s="205" t="s">
        <v>2</v>
      </c>
      <c r="BF48" s="206" t="s">
        <v>2</v>
      </c>
      <c r="BG48" s="199" t="s">
        <v>2</v>
      </c>
      <c r="BH48" s="199">
        <v>0</v>
      </c>
      <c r="BI48" s="200" t="s">
        <v>2</v>
      </c>
      <c r="BJ48" s="200" t="s">
        <v>2</v>
      </c>
      <c r="BK48" s="200" t="s">
        <v>2</v>
      </c>
      <c r="BL48" s="200" t="s">
        <v>2</v>
      </c>
      <c r="BM48" s="200" t="s">
        <v>2</v>
      </c>
      <c r="BN48" s="200" t="s">
        <v>2</v>
      </c>
      <c r="BO48" s="200" t="s">
        <v>2</v>
      </c>
      <c r="BP48" s="200" t="s">
        <v>2</v>
      </c>
      <c r="BQ48" s="200" t="s">
        <v>2</v>
      </c>
      <c r="BR48" s="200" t="s">
        <v>2</v>
      </c>
      <c r="BS48" s="200" t="s">
        <v>2</v>
      </c>
      <c r="BT48" s="200" t="s">
        <v>2</v>
      </c>
      <c r="BU48" s="200" t="s">
        <v>2</v>
      </c>
      <c r="BV48" s="200" t="s">
        <v>2</v>
      </c>
      <c r="BW48" s="200" t="s">
        <v>2</v>
      </c>
      <c r="BX48" s="200" t="s">
        <v>2</v>
      </c>
      <c r="BY48" s="200" t="s">
        <v>2</v>
      </c>
      <c r="BZ48" s="201" t="s">
        <v>2</v>
      </c>
      <c r="CA48" s="203" t="s">
        <v>2</v>
      </c>
      <c r="CB48" s="203" t="s">
        <v>2</v>
      </c>
      <c r="CC48" s="203" t="s">
        <v>2</v>
      </c>
      <c r="CD48" s="203" t="s">
        <v>2</v>
      </c>
      <c r="CE48" s="203" t="s">
        <v>2</v>
      </c>
      <c r="CF48" s="203" t="s">
        <v>2</v>
      </c>
      <c r="CG48" s="204" t="s">
        <v>2</v>
      </c>
      <c r="CH48" s="200" t="s">
        <v>2</v>
      </c>
      <c r="CI48" s="201" t="s">
        <v>2</v>
      </c>
      <c r="CJ48" s="203">
        <v>0</v>
      </c>
      <c r="CK48" s="203">
        <v>0</v>
      </c>
      <c r="CL48" s="203">
        <v>0</v>
      </c>
      <c r="CM48" s="204">
        <v>0</v>
      </c>
      <c r="CN48" s="199" t="s">
        <v>2</v>
      </c>
      <c r="CO48" s="199" t="s">
        <v>2</v>
      </c>
    </row>
    <row r="49" spans="1:93" s="207" customFormat="1" ht="15" x14ac:dyDescent="0.25">
      <c r="A49" s="196" t="s">
        <v>627</v>
      </c>
      <c r="B49" s="197" t="s">
        <v>298</v>
      </c>
      <c r="C49" s="198" t="s">
        <v>655</v>
      </c>
      <c r="D49" s="289">
        <v>2</v>
      </c>
      <c r="E49" s="199">
        <v>5</v>
      </c>
      <c r="F49" s="200">
        <v>352</v>
      </c>
      <c r="G49" s="201">
        <v>1471.36</v>
      </c>
      <c r="H49" s="202">
        <v>11</v>
      </c>
      <c r="I49" s="203">
        <v>3</v>
      </c>
      <c r="J49" s="203">
        <v>0.7</v>
      </c>
      <c r="K49" s="203">
        <v>83.3</v>
      </c>
      <c r="L49" s="203">
        <v>3</v>
      </c>
      <c r="M49" s="204">
        <v>2</v>
      </c>
      <c r="N49" s="200">
        <v>96</v>
      </c>
      <c r="O49" s="200">
        <v>81</v>
      </c>
      <c r="P49" s="203">
        <v>7.9</v>
      </c>
      <c r="Q49" s="203" t="s">
        <v>2</v>
      </c>
      <c r="R49" s="200" t="s">
        <v>2</v>
      </c>
      <c r="S49" s="200" t="s">
        <v>2</v>
      </c>
      <c r="T49" s="200" t="s">
        <v>2</v>
      </c>
      <c r="U49" s="205" t="s">
        <v>2</v>
      </c>
      <c r="V49" s="205" t="s">
        <v>2</v>
      </c>
      <c r="W49" s="204" t="s">
        <v>2</v>
      </c>
      <c r="X49" s="203" t="s">
        <v>2</v>
      </c>
      <c r="Y49" s="205">
        <v>0.06</v>
      </c>
      <c r="Z49" s="205">
        <v>0.05</v>
      </c>
      <c r="AA49" s="205">
        <v>0.8</v>
      </c>
      <c r="AB49" s="205" t="s">
        <v>2</v>
      </c>
      <c r="AC49" s="205" t="s">
        <v>2</v>
      </c>
      <c r="AD49" s="200" t="s">
        <v>2</v>
      </c>
      <c r="AE49" s="203" t="s">
        <v>2</v>
      </c>
      <c r="AF49" s="203" t="s">
        <v>2</v>
      </c>
      <c r="AG49" s="204" t="s">
        <v>2</v>
      </c>
      <c r="AH49" s="200">
        <v>0</v>
      </c>
      <c r="AI49" s="200">
        <v>0</v>
      </c>
      <c r="AJ49" s="203" t="s">
        <v>2</v>
      </c>
      <c r="AK49" s="203" t="s">
        <v>2</v>
      </c>
      <c r="AL49" s="204" t="s">
        <v>2</v>
      </c>
      <c r="AM49" s="200">
        <v>0</v>
      </c>
      <c r="AN49" s="200">
        <v>0</v>
      </c>
      <c r="AO49" s="201">
        <v>0</v>
      </c>
      <c r="AP49" s="203" t="s">
        <v>2</v>
      </c>
      <c r="AQ49" s="205" t="s">
        <v>2</v>
      </c>
      <c r="AR49" s="205" t="s">
        <v>2</v>
      </c>
      <c r="AS49" s="205" t="s">
        <v>2</v>
      </c>
      <c r="AT49" s="205" t="s">
        <v>2</v>
      </c>
      <c r="AU49" s="205" t="s">
        <v>2</v>
      </c>
      <c r="AV49" s="206" t="s">
        <v>2</v>
      </c>
      <c r="AW49" s="203" t="s">
        <v>2</v>
      </c>
      <c r="AX49" s="205" t="s">
        <v>2</v>
      </c>
      <c r="AY49" s="205" t="s">
        <v>2</v>
      </c>
      <c r="AZ49" s="206" t="s">
        <v>2</v>
      </c>
      <c r="BA49" s="203" t="s">
        <v>2</v>
      </c>
      <c r="BB49" s="205" t="s">
        <v>2</v>
      </c>
      <c r="BC49" s="205" t="s">
        <v>2</v>
      </c>
      <c r="BD49" s="205" t="s">
        <v>2</v>
      </c>
      <c r="BE49" s="205" t="s">
        <v>2</v>
      </c>
      <c r="BF49" s="206" t="s">
        <v>2</v>
      </c>
      <c r="BG49" s="199" t="s">
        <v>2</v>
      </c>
      <c r="BH49" s="199">
        <v>0</v>
      </c>
      <c r="BI49" s="200" t="s">
        <v>2</v>
      </c>
      <c r="BJ49" s="200" t="s">
        <v>2</v>
      </c>
      <c r="BK49" s="200" t="s">
        <v>2</v>
      </c>
      <c r="BL49" s="200" t="s">
        <v>2</v>
      </c>
      <c r="BM49" s="200" t="s">
        <v>2</v>
      </c>
      <c r="BN49" s="200" t="s">
        <v>2</v>
      </c>
      <c r="BO49" s="200" t="s">
        <v>2</v>
      </c>
      <c r="BP49" s="200" t="s">
        <v>2</v>
      </c>
      <c r="BQ49" s="200" t="s">
        <v>2</v>
      </c>
      <c r="BR49" s="200" t="s">
        <v>2</v>
      </c>
      <c r="BS49" s="200" t="s">
        <v>2</v>
      </c>
      <c r="BT49" s="200" t="s">
        <v>2</v>
      </c>
      <c r="BU49" s="200" t="s">
        <v>2</v>
      </c>
      <c r="BV49" s="200" t="s">
        <v>2</v>
      </c>
      <c r="BW49" s="200" t="s">
        <v>2</v>
      </c>
      <c r="BX49" s="200" t="s">
        <v>2</v>
      </c>
      <c r="BY49" s="200" t="s">
        <v>2</v>
      </c>
      <c r="BZ49" s="201" t="s">
        <v>2</v>
      </c>
      <c r="CA49" s="203" t="s">
        <v>2</v>
      </c>
      <c r="CB49" s="203" t="s">
        <v>2</v>
      </c>
      <c r="CC49" s="203" t="s">
        <v>2</v>
      </c>
      <c r="CD49" s="203" t="s">
        <v>2</v>
      </c>
      <c r="CE49" s="203" t="s">
        <v>2</v>
      </c>
      <c r="CF49" s="203" t="s">
        <v>2</v>
      </c>
      <c r="CG49" s="204" t="s">
        <v>2</v>
      </c>
      <c r="CH49" s="200">
        <v>0</v>
      </c>
      <c r="CI49" s="201">
        <v>0</v>
      </c>
      <c r="CJ49" s="203">
        <v>0</v>
      </c>
      <c r="CK49" s="203">
        <v>0</v>
      </c>
      <c r="CL49" s="203">
        <v>0</v>
      </c>
      <c r="CM49" s="204">
        <v>0</v>
      </c>
      <c r="CN49" s="199" t="s">
        <v>2</v>
      </c>
      <c r="CO49" s="199" t="s">
        <v>2</v>
      </c>
    </row>
    <row r="50" spans="1:93" s="207" customFormat="1" thickBot="1" x14ac:dyDescent="0.3">
      <c r="A50" s="208" t="s">
        <v>628</v>
      </c>
      <c r="B50" s="209" t="s">
        <v>299</v>
      </c>
      <c r="C50" s="210" t="s">
        <v>656</v>
      </c>
      <c r="D50" s="289">
        <v>2</v>
      </c>
      <c r="E50" s="211">
        <v>0</v>
      </c>
      <c r="F50" s="212">
        <v>344</v>
      </c>
      <c r="G50" s="213">
        <v>1437.9199999999998</v>
      </c>
      <c r="H50" s="214">
        <v>14</v>
      </c>
      <c r="I50" s="215">
        <v>1</v>
      </c>
      <c r="J50" s="215" t="s">
        <v>2</v>
      </c>
      <c r="K50" s="215">
        <v>84.9</v>
      </c>
      <c r="L50" s="215">
        <v>0.6</v>
      </c>
      <c r="M50" s="216">
        <v>0.1</v>
      </c>
      <c r="N50" s="212">
        <v>30</v>
      </c>
      <c r="O50" s="212">
        <v>50</v>
      </c>
      <c r="P50" s="215">
        <v>2</v>
      </c>
      <c r="Q50" s="215" t="s">
        <v>2</v>
      </c>
      <c r="R50" s="212" t="s">
        <v>2</v>
      </c>
      <c r="S50" s="212" t="s">
        <v>2</v>
      </c>
      <c r="T50" s="212" t="s">
        <v>2</v>
      </c>
      <c r="U50" s="217" t="s">
        <v>2</v>
      </c>
      <c r="V50" s="217" t="s">
        <v>2</v>
      </c>
      <c r="W50" s="216" t="s">
        <v>2</v>
      </c>
      <c r="X50" s="215" t="s">
        <v>2</v>
      </c>
      <c r="Y50" s="217">
        <v>0.04</v>
      </c>
      <c r="Z50" s="217" t="s">
        <v>2</v>
      </c>
      <c r="AA50" s="217" t="s">
        <v>2</v>
      </c>
      <c r="AB50" s="217" t="s">
        <v>2</v>
      </c>
      <c r="AC50" s="217" t="s">
        <v>2</v>
      </c>
      <c r="AD50" s="212" t="s">
        <v>2</v>
      </c>
      <c r="AE50" s="215" t="s">
        <v>2</v>
      </c>
      <c r="AF50" s="215" t="s">
        <v>2</v>
      </c>
      <c r="AG50" s="216" t="s">
        <v>2</v>
      </c>
      <c r="AH50" s="212">
        <v>0</v>
      </c>
      <c r="AI50" s="212">
        <v>0</v>
      </c>
      <c r="AJ50" s="215" t="s">
        <v>2</v>
      </c>
      <c r="AK50" s="215" t="s">
        <v>2</v>
      </c>
      <c r="AL50" s="216" t="s">
        <v>2</v>
      </c>
      <c r="AM50" s="212">
        <v>0</v>
      </c>
      <c r="AN50" s="212">
        <v>0</v>
      </c>
      <c r="AO50" s="213">
        <v>0</v>
      </c>
      <c r="AP50" s="215" t="s">
        <v>2</v>
      </c>
      <c r="AQ50" s="217" t="s">
        <v>2</v>
      </c>
      <c r="AR50" s="217" t="s">
        <v>2</v>
      </c>
      <c r="AS50" s="217" t="s">
        <v>2</v>
      </c>
      <c r="AT50" s="217" t="s">
        <v>2</v>
      </c>
      <c r="AU50" s="217" t="s">
        <v>2</v>
      </c>
      <c r="AV50" s="218" t="s">
        <v>2</v>
      </c>
      <c r="AW50" s="215" t="s">
        <v>2</v>
      </c>
      <c r="AX50" s="217" t="s">
        <v>2</v>
      </c>
      <c r="AY50" s="217" t="s">
        <v>2</v>
      </c>
      <c r="AZ50" s="219" t="s">
        <v>2</v>
      </c>
      <c r="BA50" s="215" t="s">
        <v>2</v>
      </c>
      <c r="BB50" s="217" t="s">
        <v>2</v>
      </c>
      <c r="BC50" s="217" t="s">
        <v>2</v>
      </c>
      <c r="BD50" s="217" t="s">
        <v>2</v>
      </c>
      <c r="BE50" s="217" t="s">
        <v>2</v>
      </c>
      <c r="BF50" s="219" t="s">
        <v>2</v>
      </c>
      <c r="BG50" s="211" t="s">
        <v>2</v>
      </c>
      <c r="BH50" s="211">
        <v>0</v>
      </c>
      <c r="BI50" s="212" t="s">
        <v>2</v>
      </c>
      <c r="BJ50" s="212" t="s">
        <v>2</v>
      </c>
      <c r="BK50" s="212" t="s">
        <v>2</v>
      </c>
      <c r="BL50" s="212" t="s">
        <v>2</v>
      </c>
      <c r="BM50" s="212" t="s">
        <v>2</v>
      </c>
      <c r="BN50" s="212" t="s">
        <v>2</v>
      </c>
      <c r="BO50" s="212" t="s">
        <v>2</v>
      </c>
      <c r="BP50" s="212" t="s">
        <v>2</v>
      </c>
      <c r="BQ50" s="212" t="s">
        <v>2</v>
      </c>
      <c r="BR50" s="212" t="s">
        <v>2</v>
      </c>
      <c r="BS50" s="212" t="s">
        <v>2</v>
      </c>
      <c r="BT50" s="212" t="s">
        <v>2</v>
      </c>
      <c r="BU50" s="212" t="s">
        <v>2</v>
      </c>
      <c r="BV50" s="212" t="s">
        <v>2</v>
      </c>
      <c r="BW50" s="212" t="s">
        <v>2</v>
      </c>
      <c r="BX50" s="212" t="s">
        <v>2</v>
      </c>
      <c r="BY50" s="212" t="s">
        <v>2</v>
      </c>
      <c r="BZ50" s="213" t="s">
        <v>2</v>
      </c>
      <c r="CA50" s="215" t="s">
        <v>2</v>
      </c>
      <c r="CB50" s="215" t="s">
        <v>2</v>
      </c>
      <c r="CC50" s="215" t="s">
        <v>2</v>
      </c>
      <c r="CD50" s="215" t="s">
        <v>2</v>
      </c>
      <c r="CE50" s="215" t="s">
        <v>2</v>
      </c>
      <c r="CF50" s="215" t="s">
        <v>2</v>
      </c>
      <c r="CG50" s="216" t="s">
        <v>2</v>
      </c>
      <c r="CH50" s="212">
        <v>0</v>
      </c>
      <c r="CI50" s="213">
        <v>0</v>
      </c>
      <c r="CJ50" s="215">
        <v>0</v>
      </c>
      <c r="CK50" s="215">
        <v>0</v>
      </c>
      <c r="CL50" s="215">
        <v>0</v>
      </c>
      <c r="CM50" s="216">
        <v>0</v>
      </c>
      <c r="CN50" s="211" t="s">
        <v>2</v>
      </c>
      <c r="CO50" s="211" t="s">
        <v>2</v>
      </c>
    </row>
    <row r="51" spans="1:93" s="13" customFormat="1" ht="16.5" thickTop="1" x14ac:dyDescent="0.25">
      <c r="A51" s="57" t="s">
        <v>658</v>
      </c>
      <c r="B51" s="53" t="s">
        <v>241</v>
      </c>
      <c r="C51" s="5" t="s">
        <v>691</v>
      </c>
      <c r="D51" s="287">
        <v>3</v>
      </c>
      <c r="E51" s="11">
        <v>20</v>
      </c>
      <c r="F51" s="65">
        <v>385</v>
      </c>
      <c r="G51" s="59">
        <v>1609.3</v>
      </c>
      <c r="H51" s="68">
        <v>47.6</v>
      </c>
      <c r="I51" s="3">
        <v>4.8</v>
      </c>
      <c r="J51" s="3">
        <v>36</v>
      </c>
      <c r="K51" s="3">
        <v>10.4</v>
      </c>
      <c r="L51" s="3">
        <v>4.2</v>
      </c>
      <c r="M51" s="7">
        <v>1.2</v>
      </c>
      <c r="N51" s="65">
        <v>30</v>
      </c>
      <c r="O51" s="65">
        <v>154</v>
      </c>
      <c r="P51" s="3">
        <v>30</v>
      </c>
      <c r="Q51" s="3">
        <v>5</v>
      </c>
      <c r="R51" s="65">
        <v>7</v>
      </c>
      <c r="S51" s="65">
        <v>555</v>
      </c>
      <c r="T51" s="65">
        <v>160</v>
      </c>
      <c r="U51" s="61">
        <v>1.3</v>
      </c>
      <c r="V51" s="61">
        <v>50</v>
      </c>
      <c r="W51" s="7" t="s">
        <v>2</v>
      </c>
      <c r="X51" s="3">
        <v>2</v>
      </c>
      <c r="Y51" s="61">
        <v>0.1</v>
      </c>
      <c r="Z51" s="61">
        <v>0.01</v>
      </c>
      <c r="AA51" s="61">
        <v>0.2</v>
      </c>
      <c r="AB51" s="61">
        <v>0.3</v>
      </c>
      <c r="AC51" s="61">
        <v>5.3999999999999999E-2</v>
      </c>
      <c r="AD51" s="65">
        <v>26</v>
      </c>
      <c r="AE51" s="65">
        <v>0</v>
      </c>
      <c r="AF51" s="3" t="s">
        <v>2</v>
      </c>
      <c r="AG51" s="7">
        <v>0</v>
      </c>
      <c r="AH51" s="65">
        <v>0</v>
      </c>
      <c r="AI51" s="65">
        <v>0</v>
      </c>
      <c r="AJ51" s="3" t="s">
        <v>2</v>
      </c>
      <c r="AK51" s="3">
        <v>0.24</v>
      </c>
      <c r="AL51" s="7">
        <v>0.2</v>
      </c>
      <c r="AM51" s="65">
        <v>0</v>
      </c>
      <c r="AN51" s="65">
        <v>0</v>
      </c>
      <c r="AO51" s="59">
        <v>0</v>
      </c>
      <c r="AP51" s="3">
        <v>29.7</v>
      </c>
      <c r="AQ51" s="61">
        <v>2.839</v>
      </c>
      <c r="AR51" s="61">
        <v>0</v>
      </c>
      <c r="AS51" s="61">
        <v>1.73</v>
      </c>
      <c r="AT51" s="61">
        <v>0</v>
      </c>
      <c r="AU51" s="61">
        <v>0</v>
      </c>
      <c r="AV51" s="61">
        <v>0</v>
      </c>
      <c r="AW51" s="25">
        <v>1.43</v>
      </c>
      <c r="AX51" s="61">
        <v>0</v>
      </c>
      <c r="AY51" s="61">
        <v>0</v>
      </c>
      <c r="AZ51" s="62">
        <v>1.425</v>
      </c>
      <c r="BA51" s="3">
        <v>0.37</v>
      </c>
      <c r="BB51" s="61">
        <v>0.36599999999999999</v>
      </c>
      <c r="BC51" s="61">
        <v>0</v>
      </c>
      <c r="BD51" s="61">
        <v>0</v>
      </c>
      <c r="BE51" s="61">
        <v>0</v>
      </c>
      <c r="BF51" s="61">
        <v>0</v>
      </c>
      <c r="BG51" s="11" t="s">
        <v>2</v>
      </c>
      <c r="BH51" s="11">
        <v>0</v>
      </c>
      <c r="BI51" s="65">
        <v>147</v>
      </c>
      <c r="BJ51" s="65">
        <v>62</v>
      </c>
      <c r="BK51" s="65">
        <v>39</v>
      </c>
      <c r="BL51" s="65">
        <v>169</v>
      </c>
      <c r="BM51" s="65">
        <v>121</v>
      </c>
      <c r="BN51" s="65">
        <v>202</v>
      </c>
      <c r="BO51" s="65">
        <v>247</v>
      </c>
      <c r="BP51" s="65">
        <v>131</v>
      </c>
      <c r="BQ51" s="65">
        <v>546</v>
      </c>
      <c r="BR51" s="65">
        <v>77</v>
      </c>
      <c r="BS51" s="65">
        <v>66</v>
      </c>
      <c r="BT51" s="65">
        <v>103</v>
      </c>
      <c r="BU51" s="65">
        <v>170</v>
      </c>
      <c r="BV51" s="65">
        <v>325</v>
      </c>
      <c r="BW51" s="65">
        <v>761</v>
      </c>
      <c r="BX51" s="65">
        <v>158</v>
      </c>
      <c r="BY51" s="65">
        <v>138</v>
      </c>
      <c r="BZ51" s="59">
        <v>172</v>
      </c>
      <c r="CA51" s="3">
        <v>6.23</v>
      </c>
      <c r="CB51" s="3" t="s">
        <v>2</v>
      </c>
      <c r="CC51" s="3" t="s">
        <v>2</v>
      </c>
      <c r="CD51" s="3" t="s">
        <v>2</v>
      </c>
      <c r="CE51" s="3" t="s">
        <v>2</v>
      </c>
      <c r="CF51" s="3" t="s">
        <v>2</v>
      </c>
      <c r="CG51" s="7" t="s">
        <v>2</v>
      </c>
      <c r="CH51" s="65">
        <v>0</v>
      </c>
      <c r="CI51" s="59">
        <v>0</v>
      </c>
      <c r="CJ51" s="3" t="s">
        <v>2</v>
      </c>
      <c r="CK51" s="3" t="s">
        <v>2</v>
      </c>
      <c r="CL51" s="3" t="s">
        <v>2</v>
      </c>
      <c r="CM51" s="7" t="s">
        <v>2</v>
      </c>
      <c r="CN51" s="11" t="s">
        <v>2</v>
      </c>
      <c r="CO51" s="11" t="s">
        <v>2</v>
      </c>
    </row>
    <row r="52" spans="1:93" s="13" customFormat="1" x14ac:dyDescent="0.25">
      <c r="A52" s="57" t="s">
        <v>659</v>
      </c>
      <c r="B52" s="53" t="s">
        <v>242</v>
      </c>
      <c r="C52" s="5" t="s">
        <v>692</v>
      </c>
      <c r="D52" s="287">
        <v>3</v>
      </c>
      <c r="E52" s="11">
        <v>0</v>
      </c>
      <c r="F52" s="65">
        <v>54</v>
      </c>
      <c r="G52" s="59">
        <v>225.71999999999997</v>
      </c>
      <c r="H52" s="68">
        <v>87.8</v>
      </c>
      <c r="I52" s="3">
        <v>3.5</v>
      </c>
      <c r="J52" s="3">
        <v>1.7</v>
      </c>
      <c r="K52" s="3">
        <v>6.1</v>
      </c>
      <c r="L52" s="3">
        <v>3.5</v>
      </c>
      <c r="M52" s="7">
        <v>0.9</v>
      </c>
      <c r="N52" s="65">
        <v>4</v>
      </c>
      <c r="O52" s="65">
        <v>53</v>
      </c>
      <c r="P52" s="3">
        <v>1</v>
      </c>
      <c r="Q52" s="3" t="s">
        <v>2</v>
      </c>
      <c r="R52" s="65">
        <v>141</v>
      </c>
      <c r="S52" s="65">
        <v>454</v>
      </c>
      <c r="T52" s="65">
        <v>74</v>
      </c>
      <c r="U52" s="61" t="s">
        <v>2</v>
      </c>
      <c r="V52" s="61" t="s">
        <v>2</v>
      </c>
      <c r="W52" s="7" t="s">
        <v>2</v>
      </c>
      <c r="X52" s="3">
        <v>6</v>
      </c>
      <c r="Y52" s="61">
        <v>0.04</v>
      </c>
      <c r="Z52" s="61">
        <v>0.03</v>
      </c>
      <c r="AA52" s="61">
        <v>0.8</v>
      </c>
      <c r="AB52" s="61" t="s">
        <v>2</v>
      </c>
      <c r="AC52" s="61" t="s">
        <v>2</v>
      </c>
      <c r="AD52" s="65" t="s">
        <v>2</v>
      </c>
      <c r="AE52" s="65" t="s">
        <v>2</v>
      </c>
      <c r="AF52" s="3" t="s">
        <v>2</v>
      </c>
      <c r="AG52" s="7" t="s">
        <v>2</v>
      </c>
      <c r="AH52" s="65">
        <v>0</v>
      </c>
      <c r="AI52" s="65">
        <v>0</v>
      </c>
      <c r="AJ52" s="3" t="s">
        <v>2</v>
      </c>
      <c r="AK52" s="3" t="s">
        <v>2</v>
      </c>
      <c r="AL52" s="7" t="s">
        <v>2</v>
      </c>
      <c r="AM52" s="65">
        <v>0</v>
      </c>
      <c r="AN52" s="65">
        <v>0</v>
      </c>
      <c r="AO52" s="59">
        <v>0</v>
      </c>
      <c r="AP52" s="3" t="s">
        <v>2</v>
      </c>
      <c r="AQ52" s="61" t="s">
        <v>2</v>
      </c>
      <c r="AR52" s="61" t="s">
        <v>2</v>
      </c>
      <c r="AS52" s="61" t="s">
        <v>2</v>
      </c>
      <c r="AT52" s="61" t="s">
        <v>2</v>
      </c>
      <c r="AU52" s="61" t="s">
        <v>2</v>
      </c>
      <c r="AV52" s="62" t="s">
        <v>2</v>
      </c>
      <c r="AW52" s="3" t="s">
        <v>2</v>
      </c>
      <c r="AX52" s="61" t="s">
        <v>2</v>
      </c>
      <c r="AY52" s="61" t="s">
        <v>2</v>
      </c>
      <c r="AZ52" s="62" t="s">
        <v>2</v>
      </c>
      <c r="BA52" s="3" t="s">
        <v>2</v>
      </c>
      <c r="BB52" s="61" t="s">
        <v>2</v>
      </c>
      <c r="BC52" s="61" t="s">
        <v>2</v>
      </c>
      <c r="BD52" s="61" t="s">
        <v>2</v>
      </c>
      <c r="BE52" s="61" t="s">
        <v>2</v>
      </c>
      <c r="BF52" s="62" t="s">
        <v>2</v>
      </c>
      <c r="BG52" s="11" t="s">
        <v>2</v>
      </c>
      <c r="BH52" s="11">
        <v>0</v>
      </c>
      <c r="BI52" s="65" t="s">
        <v>2</v>
      </c>
      <c r="BJ52" s="65" t="s">
        <v>2</v>
      </c>
      <c r="BK52" s="65" t="s">
        <v>2</v>
      </c>
      <c r="BL52" s="65" t="s">
        <v>2</v>
      </c>
      <c r="BM52" s="65" t="s">
        <v>2</v>
      </c>
      <c r="BN52" s="65" t="s">
        <v>2</v>
      </c>
      <c r="BO52" s="65" t="s">
        <v>2</v>
      </c>
      <c r="BP52" s="65" t="s">
        <v>2</v>
      </c>
      <c r="BQ52" s="65" t="s">
        <v>2</v>
      </c>
      <c r="BR52" s="65" t="s">
        <v>2</v>
      </c>
      <c r="BS52" s="65" t="s">
        <v>2</v>
      </c>
      <c r="BT52" s="65" t="s">
        <v>2</v>
      </c>
      <c r="BU52" s="65" t="s">
        <v>2</v>
      </c>
      <c r="BV52" s="65" t="s">
        <v>2</v>
      </c>
      <c r="BW52" s="65" t="s">
        <v>2</v>
      </c>
      <c r="BX52" s="65" t="s">
        <v>2</v>
      </c>
      <c r="BY52" s="65" t="s">
        <v>2</v>
      </c>
      <c r="BZ52" s="59" t="s">
        <v>2</v>
      </c>
      <c r="CA52" s="3">
        <v>6.23</v>
      </c>
      <c r="CB52" s="3" t="s">
        <v>2</v>
      </c>
      <c r="CC52" s="3" t="s">
        <v>2</v>
      </c>
      <c r="CD52" s="3" t="s">
        <v>2</v>
      </c>
      <c r="CE52" s="3" t="s">
        <v>2</v>
      </c>
      <c r="CF52" s="3" t="s">
        <v>2</v>
      </c>
      <c r="CG52" s="7" t="s">
        <v>2</v>
      </c>
      <c r="CH52" s="65">
        <v>0</v>
      </c>
      <c r="CI52" s="59">
        <v>0</v>
      </c>
      <c r="CJ52" s="3" t="s">
        <v>2</v>
      </c>
      <c r="CK52" s="3" t="s">
        <v>2</v>
      </c>
      <c r="CL52" s="3" t="s">
        <v>2</v>
      </c>
      <c r="CM52" s="7" t="s">
        <v>2</v>
      </c>
      <c r="CN52" s="11" t="s">
        <v>2</v>
      </c>
      <c r="CO52" s="11" t="s">
        <v>2</v>
      </c>
    </row>
    <row r="53" spans="1:93" s="13" customFormat="1" x14ac:dyDescent="0.25">
      <c r="A53" s="57" t="s">
        <v>660</v>
      </c>
      <c r="B53" s="53" t="s">
        <v>243</v>
      </c>
      <c r="C53" s="5" t="s">
        <v>693</v>
      </c>
      <c r="D53" s="287">
        <v>3</v>
      </c>
      <c r="E53" s="11">
        <v>10</v>
      </c>
      <c r="F53" s="65">
        <v>335</v>
      </c>
      <c r="G53" s="59">
        <v>1400.3</v>
      </c>
      <c r="H53" s="68">
        <v>14</v>
      </c>
      <c r="I53" s="3">
        <v>21.8</v>
      </c>
      <c r="J53" s="3">
        <v>1.6</v>
      </c>
      <c r="K53" s="3">
        <v>58.4</v>
      </c>
      <c r="L53" s="3">
        <v>3.5</v>
      </c>
      <c r="M53" s="7">
        <v>4.2</v>
      </c>
      <c r="N53" s="65">
        <v>96</v>
      </c>
      <c r="O53" s="65">
        <v>360</v>
      </c>
      <c r="P53" s="3" t="s">
        <v>2</v>
      </c>
      <c r="Q53" s="3" t="s">
        <v>2</v>
      </c>
      <c r="R53" s="65" t="s">
        <v>2</v>
      </c>
      <c r="S53" s="65" t="s">
        <v>2</v>
      </c>
      <c r="T53" s="65" t="s">
        <v>2</v>
      </c>
      <c r="U53" s="61" t="s">
        <v>2</v>
      </c>
      <c r="V53" s="61" t="s">
        <v>2</v>
      </c>
      <c r="W53" s="7" t="s">
        <v>2</v>
      </c>
      <c r="X53" s="3" t="s">
        <v>2</v>
      </c>
      <c r="Y53" s="61" t="s">
        <v>2</v>
      </c>
      <c r="Z53" s="61" t="s">
        <v>2</v>
      </c>
      <c r="AA53" s="61" t="s">
        <v>2</v>
      </c>
      <c r="AB53" s="61" t="s">
        <v>2</v>
      </c>
      <c r="AC53" s="61" t="s">
        <v>2</v>
      </c>
      <c r="AD53" s="65" t="s">
        <v>2</v>
      </c>
      <c r="AE53" s="65" t="s">
        <v>2</v>
      </c>
      <c r="AF53" s="3" t="s">
        <v>2</v>
      </c>
      <c r="AG53" s="7" t="s">
        <v>2</v>
      </c>
      <c r="AH53" s="65">
        <v>0</v>
      </c>
      <c r="AI53" s="65">
        <v>0</v>
      </c>
      <c r="AJ53" s="3" t="s">
        <v>2</v>
      </c>
      <c r="AK53" s="3" t="s">
        <v>2</v>
      </c>
      <c r="AL53" s="7" t="s">
        <v>2</v>
      </c>
      <c r="AM53" s="65" t="s">
        <v>2</v>
      </c>
      <c r="AN53" s="65" t="s">
        <v>2</v>
      </c>
      <c r="AO53" s="59" t="s">
        <v>2</v>
      </c>
      <c r="AP53" s="3" t="s">
        <v>2</v>
      </c>
      <c r="AQ53" s="61" t="s">
        <v>2</v>
      </c>
      <c r="AR53" s="61" t="s">
        <v>2</v>
      </c>
      <c r="AS53" s="61" t="s">
        <v>2</v>
      </c>
      <c r="AT53" s="61" t="s">
        <v>2</v>
      </c>
      <c r="AU53" s="61" t="s">
        <v>2</v>
      </c>
      <c r="AV53" s="62" t="s">
        <v>2</v>
      </c>
      <c r="AW53" s="3" t="s">
        <v>2</v>
      </c>
      <c r="AX53" s="61" t="s">
        <v>2</v>
      </c>
      <c r="AY53" s="61" t="s">
        <v>2</v>
      </c>
      <c r="AZ53" s="62" t="s">
        <v>2</v>
      </c>
      <c r="BA53" s="3" t="s">
        <v>2</v>
      </c>
      <c r="BB53" s="61" t="s">
        <v>2</v>
      </c>
      <c r="BC53" s="61" t="s">
        <v>2</v>
      </c>
      <c r="BD53" s="61" t="s">
        <v>2</v>
      </c>
      <c r="BE53" s="61" t="s">
        <v>2</v>
      </c>
      <c r="BF53" s="62" t="s">
        <v>2</v>
      </c>
      <c r="BG53" s="11" t="s">
        <v>2</v>
      </c>
      <c r="BH53" s="11">
        <v>0</v>
      </c>
      <c r="BI53" s="65" t="s">
        <v>2</v>
      </c>
      <c r="BJ53" s="65" t="s">
        <v>2</v>
      </c>
      <c r="BK53" s="65" t="s">
        <v>2</v>
      </c>
      <c r="BL53" s="65" t="s">
        <v>2</v>
      </c>
      <c r="BM53" s="65" t="s">
        <v>2</v>
      </c>
      <c r="BN53" s="65" t="s">
        <v>2</v>
      </c>
      <c r="BO53" s="65" t="s">
        <v>2</v>
      </c>
      <c r="BP53" s="65" t="s">
        <v>2</v>
      </c>
      <c r="BQ53" s="65" t="s">
        <v>2</v>
      </c>
      <c r="BR53" s="65" t="s">
        <v>2</v>
      </c>
      <c r="BS53" s="65" t="s">
        <v>2</v>
      </c>
      <c r="BT53" s="65" t="s">
        <v>2</v>
      </c>
      <c r="BU53" s="65" t="s">
        <v>2</v>
      </c>
      <c r="BV53" s="65" t="s">
        <v>2</v>
      </c>
      <c r="BW53" s="65" t="s">
        <v>2</v>
      </c>
      <c r="BX53" s="65" t="s">
        <v>2</v>
      </c>
      <c r="BY53" s="65" t="s">
        <v>2</v>
      </c>
      <c r="BZ53" s="59" t="s">
        <v>2</v>
      </c>
      <c r="CA53" s="3" t="s">
        <v>2</v>
      </c>
      <c r="CB53" s="3" t="s">
        <v>2</v>
      </c>
      <c r="CC53" s="3" t="s">
        <v>2</v>
      </c>
      <c r="CD53" s="3" t="s">
        <v>2</v>
      </c>
      <c r="CE53" s="3" t="s">
        <v>2</v>
      </c>
      <c r="CF53" s="3" t="s">
        <v>2</v>
      </c>
      <c r="CG53" s="7" t="s">
        <v>2</v>
      </c>
      <c r="CH53" s="65">
        <v>0</v>
      </c>
      <c r="CI53" s="59">
        <v>0</v>
      </c>
      <c r="CJ53" s="3" t="s">
        <v>2</v>
      </c>
      <c r="CK53" s="3" t="s">
        <v>2</v>
      </c>
      <c r="CL53" s="3" t="s">
        <v>2</v>
      </c>
      <c r="CM53" s="7" t="s">
        <v>2</v>
      </c>
      <c r="CN53" s="11" t="s">
        <v>2</v>
      </c>
      <c r="CO53" s="11">
        <v>37</v>
      </c>
    </row>
    <row r="54" spans="1:93" s="13" customFormat="1" x14ac:dyDescent="0.25">
      <c r="A54" s="57" t="s">
        <v>661</v>
      </c>
      <c r="B54" s="53" t="s">
        <v>244</v>
      </c>
      <c r="C54" s="5" t="s">
        <v>694</v>
      </c>
      <c r="D54" s="287">
        <v>3</v>
      </c>
      <c r="E54" s="11">
        <v>2</v>
      </c>
      <c r="F54" s="65">
        <v>341</v>
      </c>
      <c r="G54" s="59">
        <v>1425.3799999999999</v>
      </c>
      <c r="H54" s="68">
        <v>14</v>
      </c>
      <c r="I54" s="3">
        <v>24.2</v>
      </c>
      <c r="J54" s="3">
        <v>1.7</v>
      </c>
      <c r="K54" s="3">
        <v>57.3</v>
      </c>
      <c r="L54" s="3">
        <v>4</v>
      </c>
      <c r="M54" s="7">
        <v>2.8</v>
      </c>
      <c r="N54" s="65">
        <v>56</v>
      </c>
      <c r="O54" s="65">
        <v>354</v>
      </c>
      <c r="P54" s="3">
        <v>6.1</v>
      </c>
      <c r="Q54" s="3" t="s">
        <v>2</v>
      </c>
      <c r="R54" s="65" t="s">
        <v>2</v>
      </c>
      <c r="S54" s="65" t="s">
        <v>2</v>
      </c>
      <c r="T54" s="65" t="s">
        <v>2</v>
      </c>
      <c r="U54" s="61" t="s">
        <v>2</v>
      </c>
      <c r="V54" s="61" t="s">
        <v>2</v>
      </c>
      <c r="W54" s="7" t="s">
        <v>2</v>
      </c>
      <c r="X54" s="3">
        <v>3</v>
      </c>
      <c r="Y54" s="61">
        <v>0.5</v>
      </c>
      <c r="Z54" s="61">
        <v>0.21</v>
      </c>
      <c r="AA54" s="61">
        <v>1.8</v>
      </c>
      <c r="AB54" s="61">
        <v>0.89900000000000002</v>
      </c>
      <c r="AC54" s="61">
        <v>0.28599999999999998</v>
      </c>
      <c r="AD54" s="65">
        <v>444</v>
      </c>
      <c r="AE54" s="65">
        <v>0</v>
      </c>
      <c r="AF54" s="3" t="s">
        <v>2</v>
      </c>
      <c r="AG54" s="7" t="s">
        <v>2</v>
      </c>
      <c r="AH54" s="65">
        <v>0</v>
      </c>
      <c r="AI54" s="65">
        <v>3</v>
      </c>
      <c r="AJ54" s="3" t="s">
        <v>2</v>
      </c>
      <c r="AK54" s="3">
        <v>0.22</v>
      </c>
      <c r="AL54" s="7">
        <v>6</v>
      </c>
      <c r="AM54" s="65">
        <v>30</v>
      </c>
      <c r="AN54" s="65" t="s">
        <v>2</v>
      </c>
      <c r="AO54" s="59" t="s">
        <v>2</v>
      </c>
      <c r="AP54" s="3">
        <v>0.37</v>
      </c>
      <c r="AQ54" s="61">
        <v>0.34300000000000003</v>
      </c>
      <c r="AR54" s="61">
        <v>0</v>
      </c>
      <c r="AS54" s="61">
        <v>2.1999999999999999E-2</v>
      </c>
      <c r="AT54" s="61">
        <v>0</v>
      </c>
      <c r="AU54" s="61">
        <v>0</v>
      </c>
      <c r="AV54" s="62">
        <v>0</v>
      </c>
      <c r="AW54" s="3">
        <v>0.12</v>
      </c>
      <c r="AX54" s="61">
        <v>0</v>
      </c>
      <c r="AY54" s="61">
        <v>0</v>
      </c>
      <c r="AZ54" s="62">
        <v>0.123</v>
      </c>
      <c r="BA54" s="3">
        <v>0.61</v>
      </c>
      <c r="BB54" s="61">
        <v>0.33200000000000002</v>
      </c>
      <c r="BC54" s="61">
        <v>0.27800000000000002</v>
      </c>
      <c r="BD54" s="61">
        <v>0</v>
      </c>
      <c r="BE54" s="61">
        <v>0</v>
      </c>
      <c r="BF54" s="61">
        <v>0</v>
      </c>
      <c r="BG54" s="11" t="s">
        <v>2</v>
      </c>
      <c r="BH54" s="11">
        <v>0</v>
      </c>
      <c r="BI54" s="65">
        <v>1483</v>
      </c>
      <c r="BJ54" s="65">
        <v>325</v>
      </c>
      <c r="BK54" s="65">
        <v>256</v>
      </c>
      <c r="BL54" s="65">
        <v>1168</v>
      </c>
      <c r="BM54" s="65">
        <v>909</v>
      </c>
      <c r="BN54" s="65">
        <v>1130</v>
      </c>
      <c r="BO54" s="65">
        <v>1725</v>
      </c>
      <c r="BP54" s="65">
        <v>954</v>
      </c>
      <c r="BQ54" s="65">
        <v>1337</v>
      </c>
      <c r="BR54" s="65">
        <v>601</v>
      </c>
      <c r="BS54" s="65">
        <v>235</v>
      </c>
      <c r="BT54" s="65">
        <v>608</v>
      </c>
      <c r="BU54" s="65">
        <v>905</v>
      </c>
      <c r="BV54" s="65">
        <v>2613</v>
      </c>
      <c r="BW54" s="65">
        <v>3294</v>
      </c>
      <c r="BX54" s="65">
        <v>843</v>
      </c>
      <c r="BY54" s="65">
        <v>916</v>
      </c>
      <c r="BZ54" s="59">
        <v>1175</v>
      </c>
      <c r="CA54" s="3" t="s">
        <v>2</v>
      </c>
      <c r="CB54" s="3" t="s">
        <v>2</v>
      </c>
      <c r="CC54" s="3" t="s">
        <v>2</v>
      </c>
      <c r="CD54" s="3" t="s">
        <v>2</v>
      </c>
      <c r="CE54" s="3" t="s">
        <v>2</v>
      </c>
      <c r="CF54" s="3" t="s">
        <v>2</v>
      </c>
      <c r="CG54" s="7" t="s">
        <v>2</v>
      </c>
      <c r="CH54" s="65">
        <v>0</v>
      </c>
      <c r="CI54" s="59">
        <v>0</v>
      </c>
      <c r="CJ54" s="3">
        <v>0</v>
      </c>
      <c r="CK54" s="3">
        <v>0</v>
      </c>
      <c r="CL54" s="3">
        <v>0</v>
      </c>
      <c r="CM54" s="7">
        <v>0</v>
      </c>
      <c r="CN54" s="11" t="s">
        <v>2</v>
      </c>
      <c r="CO54" s="11">
        <v>222</v>
      </c>
    </row>
    <row r="55" spans="1:93" s="13" customFormat="1" x14ac:dyDescent="0.25">
      <c r="A55" s="57" t="s">
        <v>662</v>
      </c>
      <c r="B55" s="53" t="s">
        <v>245</v>
      </c>
      <c r="C55" s="5" t="s">
        <v>695</v>
      </c>
      <c r="D55" s="287">
        <v>3</v>
      </c>
      <c r="E55" s="11">
        <v>10</v>
      </c>
      <c r="F55" s="65">
        <v>338</v>
      </c>
      <c r="G55" s="59">
        <v>1412.84</v>
      </c>
      <c r="H55" s="68">
        <v>14</v>
      </c>
      <c r="I55" s="3">
        <v>23.7</v>
      </c>
      <c r="J55" s="3">
        <v>2</v>
      </c>
      <c r="K55" s="3">
        <v>56.2</v>
      </c>
      <c r="L55" s="3">
        <v>4.3</v>
      </c>
      <c r="M55" s="7">
        <v>4.0999999999999996</v>
      </c>
      <c r="N55" s="65">
        <v>110</v>
      </c>
      <c r="O55" s="65">
        <v>382</v>
      </c>
      <c r="P55" s="3">
        <v>6.5</v>
      </c>
      <c r="Q55" s="3" t="s">
        <v>2</v>
      </c>
      <c r="R55" s="65" t="s">
        <v>2</v>
      </c>
      <c r="S55" s="65" t="s">
        <v>2</v>
      </c>
      <c r="T55" s="65" t="s">
        <v>2</v>
      </c>
      <c r="U55" s="61" t="s">
        <v>2</v>
      </c>
      <c r="V55" s="61" t="s">
        <v>2</v>
      </c>
      <c r="W55" s="7" t="s">
        <v>2</v>
      </c>
      <c r="X55" s="3">
        <v>1</v>
      </c>
      <c r="Y55" s="61">
        <v>0.59</v>
      </c>
      <c r="Z55" s="61">
        <v>0.22</v>
      </c>
      <c r="AA55" s="61">
        <v>2.2999999999999998</v>
      </c>
      <c r="AB55" s="61">
        <v>1.496</v>
      </c>
      <c r="AC55" s="61">
        <v>0.35699999999999998</v>
      </c>
      <c r="AD55" s="65">
        <v>633</v>
      </c>
      <c r="AE55" s="65">
        <v>0</v>
      </c>
      <c r="AF55" s="3" t="s">
        <v>2</v>
      </c>
      <c r="AG55" s="7">
        <v>0</v>
      </c>
      <c r="AH55" s="65">
        <v>0</v>
      </c>
      <c r="AI55" s="65">
        <v>1</v>
      </c>
      <c r="AJ55" s="3" t="s">
        <v>2</v>
      </c>
      <c r="AK55" s="3">
        <v>0.39</v>
      </c>
      <c r="AL55" s="7">
        <v>5</v>
      </c>
      <c r="AM55" s="65">
        <v>10</v>
      </c>
      <c r="AN55" s="65" t="s">
        <v>2</v>
      </c>
      <c r="AO55" s="59" t="s">
        <v>2</v>
      </c>
      <c r="AP55" s="3">
        <v>0.33</v>
      </c>
      <c r="AQ55" s="61">
        <v>0.254</v>
      </c>
      <c r="AR55" s="61">
        <v>0</v>
      </c>
      <c r="AS55" s="61">
        <v>5.2999999999999999E-2</v>
      </c>
      <c r="AT55" s="61">
        <v>0</v>
      </c>
      <c r="AU55" s="61">
        <v>0</v>
      </c>
      <c r="AV55" s="62">
        <v>0</v>
      </c>
      <c r="AW55" s="3">
        <v>0.11</v>
      </c>
      <c r="AX55" s="61">
        <v>0</v>
      </c>
      <c r="AY55" s="61">
        <v>0</v>
      </c>
      <c r="AZ55" s="62">
        <v>8.7999999999999995E-2</v>
      </c>
      <c r="BA55" s="3">
        <v>0.54</v>
      </c>
      <c r="BB55" s="61">
        <v>0.34300000000000003</v>
      </c>
      <c r="BC55" s="61">
        <v>0.19900000000000001</v>
      </c>
      <c r="BD55" s="61">
        <v>0</v>
      </c>
      <c r="BE55" s="61">
        <v>0</v>
      </c>
      <c r="BF55" s="61">
        <v>0</v>
      </c>
      <c r="BG55" s="11" t="s">
        <v>2</v>
      </c>
      <c r="BH55" s="11">
        <v>0</v>
      </c>
      <c r="BI55" s="65">
        <v>1503</v>
      </c>
      <c r="BJ55" s="65">
        <v>312</v>
      </c>
      <c r="BK55" s="65">
        <v>323</v>
      </c>
      <c r="BL55" s="65">
        <v>1176</v>
      </c>
      <c r="BM55" s="65">
        <v>911</v>
      </c>
      <c r="BN55" s="65">
        <v>1554</v>
      </c>
      <c r="BO55" s="65">
        <v>1931</v>
      </c>
      <c r="BP55" s="65">
        <v>1514</v>
      </c>
      <c r="BQ55" s="65">
        <v>1975</v>
      </c>
      <c r="BR55" s="65">
        <v>1140</v>
      </c>
      <c r="BS55" s="65">
        <v>123</v>
      </c>
      <c r="BT55" s="65">
        <v>592</v>
      </c>
      <c r="BU55" s="65">
        <v>908</v>
      </c>
      <c r="BV55" s="65">
        <v>2904</v>
      </c>
      <c r="BW55" s="65">
        <v>3594</v>
      </c>
      <c r="BX55" s="65">
        <v>871</v>
      </c>
      <c r="BY55" s="65">
        <v>1488</v>
      </c>
      <c r="BZ55" s="59">
        <v>1198</v>
      </c>
      <c r="CA55" s="3" t="s">
        <v>2</v>
      </c>
      <c r="CB55" s="3" t="s">
        <v>2</v>
      </c>
      <c r="CC55" s="3" t="s">
        <v>2</v>
      </c>
      <c r="CD55" s="3" t="s">
        <v>2</v>
      </c>
      <c r="CE55" s="3" t="s">
        <v>2</v>
      </c>
      <c r="CF55" s="3" t="s">
        <v>2</v>
      </c>
      <c r="CG55" s="7" t="s">
        <v>2</v>
      </c>
      <c r="CH55" s="65">
        <v>0</v>
      </c>
      <c r="CI55" s="59">
        <v>0</v>
      </c>
      <c r="CJ55" s="3">
        <v>0.03</v>
      </c>
      <c r="CK55" s="3">
        <v>0.01</v>
      </c>
      <c r="CL55" s="3">
        <v>0.02</v>
      </c>
      <c r="CM55" s="7" t="s">
        <v>2</v>
      </c>
      <c r="CN55" s="11" t="s">
        <v>2</v>
      </c>
      <c r="CO55" s="11" t="s">
        <v>2</v>
      </c>
    </row>
    <row r="56" spans="1:93" s="13" customFormat="1" x14ac:dyDescent="0.25">
      <c r="A56" s="57" t="s">
        <v>663</v>
      </c>
      <c r="B56" s="53" t="s">
        <v>246</v>
      </c>
      <c r="C56" s="5" t="s">
        <v>696</v>
      </c>
      <c r="D56" s="287">
        <v>3</v>
      </c>
      <c r="E56" s="11">
        <v>0</v>
      </c>
      <c r="F56" s="65">
        <v>342</v>
      </c>
      <c r="G56" s="59">
        <v>1429.56</v>
      </c>
      <c r="H56" s="68">
        <v>13.6</v>
      </c>
      <c r="I56" s="3">
        <v>22.2</v>
      </c>
      <c r="J56" s="3">
        <v>1.4</v>
      </c>
      <c r="K56" s="3">
        <v>60.1</v>
      </c>
      <c r="L56" s="3">
        <v>6</v>
      </c>
      <c r="M56" s="7">
        <v>2.7</v>
      </c>
      <c r="N56" s="65">
        <v>57</v>
      </c>
      <c r="O56" s="65">
        <v>303</v>
      </c>
      <c r="P56" s="3">
        <v>4.4000000000000004</v>
      </c>
      <c r="Q56" s="3">
        <v>4</v>
      </c>
      <c r="R56" s="65">
        <v>9</v>
      </c>
      <c r="S56" s="65">
        <v>135</v>
      </c>
      <c r="T56" s="65">
        <v>145</v>
      </c>
      <c r="U56" s="61" t="s">
        <v>2</v>
      </c>
      <c r="V56" s="61">
        <v>930</v>
      </c>
      <c r="W56" s="7">
        <v>0.4</v>
      </c>
      <c r="X56" s="3">
        <v>0</v>
      </c>
      <c r="Y56" s="61">
        <v>0.77</v>
      </c>
      <c r="Z56" s="61">
        <v>0.18</v>
      </c>
      <c r="AA56" s="61">
        <v>3.1</v>
      </c>
      <c r="AB56" s="61">
        <v>1.758</v>
      </c>
      <c r="AC56" s="61">
        <v>0.17399999999999999</v>
      </c>
      <c r="AD56" s="65">
        <v>274</v>
      </c>
      <c r="AE56" s="65">
        <v>0</v>
      </c>
      <c r="AF56" s="3" t="s">
        <v>2</v>
      </c>
      <c r="AG56" s="7">
        <v>0</v>
      </c>
      <c r="AH56" s="65">
        <v>0</v>
      </c>
      <c r="AI56" s="65">
        <v>6</v>
      </c>
      <c r="AJ56" s="3" t="s">
        <v>2</v>
      </c>
      <c r="AK56" s="3">
        <v>0.09</v>
      </c>
      <c r="AL56" s="7">
        <v>14.5</v>
      </c>
      <c r="AM56" s="65">
        <v>70</v>
      </c>
      <c r="AN56" s="65" t="s">
        <v>2</v>
      </c>
      <c r="AO56" s="59" t="s">
        <v>2</v>
      </c>
      <c r="AP56" s="3">
        <v>0.16</v>
      </c>
      <c r="AQ56" s="61">
        <v>0.125</v>
      </c>
      <c r="AR56" s="61">
        <v>0</v>
      </c>
      <c r="AS56" s="61">
        <v>3.1E-2</v>
      </c>
      <c r="AT56" s="61">
        <v>0</v>
      </c>
      <c r="AU56" s="61">
        <v>0</v>
      </c>
      <c r="AV56" s="62">
        <v>0</v>
      </c>
      <c r="AW56" s="3">
        <v>0.24</v>
      </c>
      <c r="AX56" s="61">
        <v>0</v>
      </c>
      <c r="AY56" s="61">
        <v>0</v>
      </c>
      <c r="AZ56" s="62">
        <v>0.23200000000000001</v>
      </c>
      <c r="BA56" s="3">
        <v>0.5</v>
      </c>
      <c r="BB56" s="61">
        <v>0.41099999999999998</v>
      </c>
      <c r="BC56" s="61">
        <v>8.4000000000000005E-2</v>
      </c>
      <c r="BD56" s="61">
        <v>0</v>
      </c>
      <c r="BE56" s="61">
        <v>0</v>
      </c>
      <c r="BF56" s="61">
        <v>0</v>
      </c>
      <c r="BG56" s="11" t="s">
        <v>2</v>
      </c>
      <c r="BH56" s="11">
        <v>0</v>
      </c>
      <c r="BI56" s="65">
        <v>1772</v>
      </c>
      <c r="BJ56" s="65">
        <v>251</v>
      </c>
      <c r="BK56" s="65">
        <v>275</v>
      </c>
      <c r="BL56" s="65">
        <v>1132</v>
      </c>
      <c r="BM56" s="65">
        <v>872</v>
      </c>
      <c r="BN56" s="65">
        <v>1159</v>
      </c>
      <c r="BO56" s="65">
        <v>1760</v>
      </c>
      <c r="BP56" s="65">
        <v>1014</v>
      </c>
      <c r="BQ56" s="65">
        <v>2188</v>
      </c>
      <c r="BR56" s="65">
        <v>597</v>
      </c>
      <c r="BS56" s="65">
        <v>373</v>
      </c>
      <c r="BT56" s="65">
        <v>711</v>
      </c>
      <c r="BU56" s="65">
        <v>1080</v>
      </c>
      <c r="BV56" s="65">
        <v>2896</v>
      </c>
      <c r="BW56" s="65">
        <v>4196</v>
      </c>
      <c r="BX56" s="65">
        <v>1092</v>
      </c>
      <c r="BY56" s="65">
        <v>1014</v>
      </c>
      <c r="BZ56" s="59">
        <v>1080</v>
      </c>
      <c r="CA56" s="3" t="s">
        <v>2</v>
      </c>
      <c r="CB56" s="3" t="s">
        <v>2</v>
      </c>
      <c r="CC56" s="3" t="s">
        <v>2</v>
      </c>
      <c r="CD56" s="3" t="s">
        <v>2</v>
      </c>
      <c r="CE56" s="3" t="s">
        <v>2</v>
      </c>
      <c r="CF56" s="3" t="s">
        <v>2</v>
      </c>
      <c r="CG56" s="7" t="s">
        <v>2</v>
      </c>
      <c r="CH56" s="65">
        <v>0</v>
      </c>
      <c r="CI56" s="59">
        <v>0</v>
      </c>
      <c r="CJ56" s="3">
        <v>2.42</v>
      </c>
      <c r="CK56" s="3">
        <v>2.42</v>
      </c>
      <c r="CL56" s="3" t="s">
        <v>2</v>
      </c>
      <c r="CM56" s="7" t="s">
        <v>2</v>
      </c>
      <c r="CN56" s="11">
        <v>135</v>
      </c>
      <c r="CO56" s="11" t="s">
        <v>2</v>
      </c>
    </row>
    <row r="57" spans="1:93" s="13" customFormat="1" x14ac:dyDescent="0.25">
      <c r="A57" s="57" t="s">
        <v>664</v>
      </c>
      <c r="B57" s="46" t="s">
        <v>247</v>
      </c>
      <c r="C57" s="1" t="s">
        <v>697</v>
      </c>
      <c r="D57" s="287">
        <v>3</v>
      </c>
      <c r="E57" s="11">
        <v>2</v>
      </c>
      <c r="F57" s="65">
        <v>418</v>
      </c>
      <c r="G57" s="59">
        <v>1747.2399999999998</v>
      </c>
      <c r="H57" s="68">
        <v>14</v>
      </c>
      <c r="I57" s="3">
        <v>34</v>
      </c>
      <c r="J57" s="3">
        <v>18.399999999999999</v>
      </c>
      <c r="K57" s="3">
        <v>29.1</v>
      </c>
      <c r="L57" s="3">
        <v>4.5</v>
      </c>
      <c r="M57" s="7">
        <v>4.5</v>
      </c>
      <c r="N57" s="65">
        <v>165</v>
      </c>
      <c r="O57" s="65">
        <v>690</v>
      </c>
      <c r="P57" s="3">
        <v>11</v>
      </c>
      <c r="Q57" s="3">
        <v>3.8</v>
      </c>
      <c r="R57" s="65">
        <v>2</v>
      </c>
      <c r="S57" s="65">
        <v>1504</v>
      </c>
      <c r="T57" s="65">
        <v>236</v>
      </c>
      <c r="U57" s="61">
        <v>1.2</v>
      </c>
      <c r="V57" s="61">
        <v>300</v>
      </c>
      <c r="W57" s="7">
        <v>1.5</v>
      </c>
      <c r="X57" s="3">
        <v>4</v>
      </c>
      <c r="Y57" s="61">
        <v>0.54</v>
      </c>
      <c r="Z57" s="61">
        <v>0.28999999999999998</v>
      </c>
      <c r="AA57" s="61">
        <v>2.2999999999999998</v>
      </c>
      <c r="AB57" s="61">
        <v>0.79300000000000004</v>
      </c>
      <c r="AC57" s="61">
        <v>0.377</v>
      </c>
      <c r="AD57" s="65">
        <v>375</v>
      </c>
      <c r="AE57" s="65">
        <v>0</v>
      </c>
      <c r="AF57" s="3">
        <v>60</v>
      </c>
      <c r="AG57" s="7">
        <v>0</v>
      </c>
      <c r="AH57" s="65">
        <v>0</v>
      </c>
      <c r="AI57" s="65">
        <v>3</v>
      </c>
      <c r="AJ57" s="3" t="s">
        <v>2</v>
      </c>
      <c r="AK57" s="3">
        <v>0.85</v>
      </c>
      <c r="AL57" s="7">
        <v>47</v>
      </c>
      <c r="AM57" s="65">
        <v>30</v>
      </c>
      <c r="AN57" s="65" t="s">
        <v>2</v>
      </c>
      <c r="AO57" s="59" t="s">
        <v>2</v>
      </c>
      <c r="AP57" s="3">
        <v>2.88</v>
      </c>
      <c r="AQ57" s="61">
        <v>2.1160000000000001</v>
      </c>
      <c r="AR57" s="61">
        <v>0</v>
      </c>
      <c r="AS57" s="61">
        <v>0.71199999999999997</v>
      </c>
      <c r="AT57" s="61">
        <v>0</v>
      </c>
      <c r="AU57" s="61">
        <v>0</v>
      </c>
      <c r="AV57" s="62">
        <v>0</v>
      </c>
      <c r="AW57" s="3">
        <v>4.4000000000000004</v>
      </c>
      <c r="AX57" s="61">
        <v>0</v>
      </c>
      <c r="AY57" s="61">
        <v>0.06</v>
      </c>
      <c r="AZ57" s="62">
        <v>4.3479999999999999</v>
      </c>
      <c r="BA57" s="3">
        <v>11.26</v>
      </c>
      <c r="BB57" s="61">
        <v>9.9250000000000007</v>
      </c>
      <c r="BC57" s="61">
        <v>1.33</v>
      </c>
      <c r="BD57" s="61">
        <v>0</v>
      </c>
      <c r="BE57" s="61">
        <v>0</v>
      </c>
      <c r="BF57" s="61">
        <v>0</v>
      </c>
      <c r="BG57" s="11" t="s">
        <v>2</v>
      </c>
      <c r="BH57" s="11">
        <v>0</v>
      </c>
      <c r="BI57" s="65">
        <v>1970</v>
      </c>
      <c r="BJ57" s="65">
        <v>680</v>
      </c>
      <c r="BK57" s="65">
        <v>480</v>
      </c>
      <c r="BL57" s="65">
        <v>1800</v>
      </c>
      <c r="BM57" s="65">
        <v>1600</v>
      </c>
      <c r="BN57" s="65">
        <v>1430</v>
      </c>
      <c r="BO57" s="65">
        <v>2240</v>
      </c>
      <c r="BP57" s="65">
        <v>1670</v>
      </c>
      <c r="BQ57" s="65">
        <v>2410</v>
      </c>
      <c r="BR57" s="65">
        <v>780</v>
      </c>
      <c r="BS57" s="65">
        <v>485</v>
      </c>
      <c r="BT57" s="65">
        <v>988</v>
      </c>
      <c r="BU57" s="65">
        <v>1671</v>
      </c>
      <c r="BV57" s="65">
        <v>4361</v>
      </c>
      <c r="BW57" s="65">
        <v>7098</v>
      </c>
      <c r="BX57" s="65">
        <v>1551</v>
      </c>
      <c r="BY57" s="65">
        <v>1989</v>
      </c>
      <c r="BZ57" s="59">
        <v>1851</v>
      </c>
      <c r="CA57" s="3" t="s">
        <v>2</v>
      </c>
      <c r="CB57" s="3" t="s">
        <v>2</v>
      </c>
      <c r="CC57" s="3" t="s">
        <v>2</v>
      </c>
      <c r="CD57" s="3" t="s">
        <v>2</v>
      </c>
      <c r="CE57" s="3" t="s">
        <v>2</v>
      </c>
      <c r="CF57" s="3" t="s">
        <v>2</v>
      </c>
      <c r="CG57" s="7" t="s">
        <v>2</v>
      </c>
      <c r="CH57" s="65">
        <v>0</v>
      </c>
      <c r="CI57" s="59">
        <v>0</v>
      </c>
      <c r="CJ57" s="3">
        <v>151.16999999999999</v>
      </c>
      <c r="CK57" s="3">
        <v>67.790000000000006</v>
      </c>
      <c r="CL57" s="3">
        <v>72.510000000000005</v>
      </c>
      <c r="CM57" s="7">
        <v>10.88</v>
      </c>
      <c r="CN57" s="11">
        <v>161</v>
      </c>
      <c r="CO57" s="11" t="s">
        <v>2</v>
      </c>
    </row>
    <row r="58" spans="1:93" s="13" customFormat="1" x14ac:dyDescent="0.25">
      <c r="A58" s="57" t="s">
        <v>665</v>
      </c>
      <c r="B58" s="46" t="s">
        <v>248</v>
      </c>
      <c r="C58" s="1" t="s">
        <v>698</v>
      </c>
      <c r="D58" s="287">
        <v>3</v>
      </c>
      <c r="E58" s="11">
        <v>2</v>
      </c>
      <c r="F58" s="65">
        <v>341</v>
      </c>
      <c r="G58" s="59">
        <v>1425.3799999999999</v>
      </c>
      <c r="H58" s="68">
        <v>14</v>
      </c>
      <c r="I58" s="3">
        <v>23.2</v>
      </c>
      <c r="J58" s="3">
        <v>2.1</v>
      </c>
      <c r="K58" s="3">
        <v>57.4</v>
      </c>
      <c r="L58" s="3">
        <v>3.6</v>
      </c>
      <c r="M58" s="7">
        <v>3.3</v>
      </c>
      <c r="N58" s="65">
        <v>160</v>
      </c>
      <c r="O58" s="65">
        <v>514</v>
      </c>
      <c r="P58" s="3">
        <v>6.8</v>
      </c>
      <c r="Q58" s="3" t="s">
        <v>2</v>
      </c>
      <c r="R58" s="65" t="s">
        <v>2</v>
      </c>
      <c r="S58" s="65" t="s">
        <v>2</v>
      </c>
      <c r="T58" s="65" t="s">
        <v>2</v>
      </c>
      <c r="U58" s="61" t="s">
        <v>2</v>
      </c>
      <c r="V58" s="61" t="s">
        <v>2</v>
      </c>
      <c r="W58" s="7" t="s">
        <v>2</v>
      </c>
      <c r="X58" s="3">
        <v>3</v>
      </c>
      <c r="Y58" s="61">
        <v>0.54</v>
      </c>
      <c r="Z58" s="61">
        <v>0.18</v>
      </c>
      <c r="AA58" s="61">
        <v>2.1</v>
      </c>
      <c r="AB58" s="61">
        <v>0.78</v>
      </c>
      <c r="AC58" s="61">
        <v>0.39700000000000002</v>
      </c>
      <c r="AD58" s="65">
        <v>394</v>
      </c>
      <c r="AE58" s="65">
        <v>0</v>
      </c>
      <c r="AF58" s="3" t="s">
        <v>2</v>
      </c>
      <c r="AG58" s="7">
        <v>0</v>
      </c>
      <c r="AH58" s="65">
        <v>0</v>
      </c>
      <c r="AI58" s="65">
        <v>1</v>
      </c>
      <c r="AJ58" s="3" t="s">
        <v>2</v>
      </c>
      <c r="AK58" s="3">
        <v>0.22</v>
      </c>
      <c r="AL58" s="7">
        <v>19</v>
      </c>
      <c r="AM58" s="65">
        <v>10</v>
      </c>
      <c r="AN58" s="65" t="s">
        <v>2</v>
      </c>
      <c r="AO58" s="59" t="s">
        <v>2</v>
      </c>
      <c r="AP58" s="3">
        <v>0.12</v>
      </c>
      <c r="AQ58" s="61">
        <v>0.106</v>
      </c>
      <c r="AR58" s="61">
        <v>0</v>
      </c>
      <c r="AS58" s="61">
        <v>1.4E-2</v>
      </c>
      <c r="AT58" s="61">
        <v>0</v>
      </c>
      <c r="AU58" s="61">
        <v>0</v>
      </c>
      <c r="AV58" s="62">
        <v>0</v>
      </c>
      <c r="AW58" s="3">
        <v>0.06</v>
      </c>
      <c r="AX58" s="61">
        <v>0</v>
      </c>
      <c r="AY58" s="61">
        <v>0</v>
      </c>
      <c r="AZ58" s="62">
        <v>6.4000000000000001E-2</v>
      </c>
      <c r="BA58" s="3">
        <v>0.46</v>
      </c>
      <c r="BB58" s="61">
        <v>0.17799999999999999</v>
      </c>
      <c r="BC58" s="61">
        <v>0.27900000000000003</v>
      </c>
      <c r="BD58" s="61">
        <v>0</v>
      </c>
      <c r="BE58" s="61">
        <v>0</v>
      </c>
      <c r="BF58" s="61">
        <v>0</v>
      </c>
      <c r="BG58" s="11" t="s">
        <v>2</v>
      </c>
      <c r="BH58" s="11">
        <v>0</v>
      </c>
      <c r="BI58" s="65">
        <v>1160</v>
      </c>
      <c r="BJ58" s="65">
        <v>300</v>
      </c>
      <c r="BK58" s="65">
        <v>320</v>
      </c>
      <c r="BL58" s="65">
        <v>1280</v>
      </c>
      <c r="BM58" s="65">
        <v>740</v>
      </c>
      <c r="BN58" s="65">
        <v>930</v>
      </c>
      <c r="BO58" s="65">
        <v>1460</v>
      </c>
      <c r="BP58" s="65">
        <v>950</v>
      </c>
      <c r="BQ58" s="65">
        <v>1620</v>
      </c>
      <c r="BR58" s="65">
        <v>600</v>
      </c>
      <c r="BS58" s="65">
        <v>133</v>
      </c>
      <c r="BT58" s="65">
        <v>631</v>
      </c>
      <c r="BU58" s="65">
        <v>551</v>
      </c>
      <c r="BV58" s="65">
        <v>1976</v>
      </c>
      <c r="BW58" s="65">
        <v>3564</v>
      </c>
      <c r="BX58" s="65">
        <v>680</v>
      </c>
      <c r="BY58" s="65">
        <v>778</v>
      </c>
      <c r="BZ58" s="59">
        <v>1069</v>
      </c>
      <c r="CA58" s="3" t="s">
        <v>2</v>
      </c>
      <c r="CB58" s="3" t="s">
        <v>2</v>
      </c>
      <c r="CC58" s="3" t="s">
        <v>2</v>
      </c>
      <c r="CD58" s="3" t="s">
        <v>2</v>
      </c>
      <c r="CE58" s="3" t="s">
        <v>2</v>
      </c>
      <c r="CF58" s="3" t="s">
        <v>2</v>
      </c>
      <c r="CG58" s="7" t="s">
        <v>2</v>
      </c>
      <c r="CH58" s="65">
        <v>0</v>
      </c>
      <c r="CI58" s="59">
        <v>0</v>
      </c>
      <c r="CJ58" s="3">
        <v>0.06</v>
      </c>
      <c r="CK58" s="3">
        <v>0.02</v>
      </c>
      <c r="CL58" s="3">
        <v>0.04</v>
      </c>
      <c r="CM58" s="7" t="s">
        <v>2</v>
      </c>
      <c r="CN58" s="11">
        <v>127</v>
      </c>
      <c r="CO58" s="11">
        <v>128</v>
      </c>
    </row>
    <row r="59" spans="1:93" s="13" customFormat="1" x14ac:dyDescent="0.25">
      <c r="A59" s="57" t="s">
        <v>666</v>
      </c>
      <c r="B59" s="46" t="s">
        <v>249</v>
      </c>
      <c r="C59" s="1" t="s">
        <v>699</v>
      </c>
      <c r="D59" s="287">
        <v>3</v>
      </c>
      <c r="E59" s="11">
        <v>2</v>
      </c>
      <c r="F59" s="65">
        <v>340</v>
      </c>
      <c r="G59" s="59">
        <v>1421.1999999999998</v>
      </c>
      <c r="H59" s="68">
        <v>14</v>
      </c>
      <c r="I59" s="3">
        <v>25.8</v>
      </c>
      <c r="J59" s="3">
        <v>2</v>
      </c>
      <c r="K59" s="3">
        <v>54.8</v>
      </c>
      <c r="L59" s="3">
        <v>4.8</v>
      </c>
      <c r="M59" s="7">
        <v>3.4</v>
      </c>
      <c r="N59" s="65" t="s">
        <v>2</v>
      </c>
      <c r="O59" s="65" t="s">
        <v>2</v>
      </c>
      <c r="P59" s="3" t="s">
        <v>2</v>
      </c>
      <c r="Q59" s="3" t="s">
        <v>2</v>
      </c>
      <c r="R59" s="65" t="s">
        <v>2</v>
      </c>
      <c r="S59" s="65" t="s">
        <v>2</v>
      </c>
      <c r="T59" s="65" t="s">
        <v>2</v>
      </c>
      <c r="U59" s="61" t="s">
        <v>2</v>
      </c>
      <c r="V59" s="61" t="s">
        <v>2</v>
      </c>
      <c r="W59" s="7" t="s">
        <v>2</v>
      </c>
      <c r="X59" s="2" t="s">
        <v>2</v>
      </c>
      <c r="Y59" s="61" t="s">
        <v>2</v>
      </c>
      <c r="Z59" s="61" t="s">
        <v>2</v>
      </c>
      <c r="AA59" s="61" t="s">
        <v>2</v>
      </c>
      <c r="AB59" s="61" t="s">
        <v>2</v>
      </c>
      <c r="AC59" s="61" t="s">
        <v>2</v>
      </c>
      <c r="AD59" s="65" t="s">
        <v>2</v>
      </c>
      <c r="AE59" s="65" t="s">
        <v>2</v>
      </c>
      <c r="AF59" s="3" t="s">
        <v>2</v>
      </c>
      <c r="AG59" s="7" t="s">
        <v>2</v>
      </c>
      <c r="AH59" s="65">
        <v>0</v>
      </c>
      <c r="AI59" s="65">
        <v>0</v>
      </c>
      <c r="AJ59" s="3" t="s">
        <v>2</v>
      </c>
      <c r="AK59" s="3" t="s">
        <v>2</v>
      </c>
      <c r="AL59" s="7" t="s">
        <v>2</v>
      </c>
      <c r="AM59" s="65" t="s">
        <v>2</v>
      </c>
      <c r="AN59" s="65" t="s">
        <v>2</v>
      </c>
      <c r="AO59" s="59" t="s">
        <v>2</v>
      </c>
      <c r="AP59" s="3" t="s">
        <v>2</v>
      </c>
      <c r="AQ59" s="61" t="s">
        <v>2</v>
      </c>
      <c r="AR59" s="61" t="s">
        <v>2</v>
      </c>
      <c r="AS59" s="61" t="s">
        <v>2</v>
      </c>
      <c r="AT59" s="61" t="s">
        <v>2</v>
      </c>
      <c r="AU59" s="61" t="s">
        <v>2</v>
      </c>
      <c r="AV59" s="62" t="s">
        <v>2</v>
      </c>
      <c r="AW59" s="3" t="s">
        <v>2</v>
      </c>
      <c r="AX59" s="61" t="s">
        <v>2</v>
      </c>
      <c r="AY59" s="61" t="s">
        <v>2</v>
      </c>
      <c r="AZ59" s="62" t="s">
        <v>2</v>
      </c>
      <c r="BA59" s="3" t="s">
        <v>2</v>
      </c>
      <c r="BB59" s="61" t="s">
        <v>2</v>
      </c>
      <c r="BC59" s="61" t="s">
        <v>2</v>
      </c>
      <c r="BD59" s="61" t="s">
        <v>2</v>
      </c>
      <c r="BE59" s="61" t="s">
        <v>2</v>
      </c>
      <c r="BF59" s="62" t="s">
        <v>2</v>
      </c>
      <c r="BG59" s="11" t="s">
        <v>2</v>
      </c>
      <c r="BH59" s="11">
        <v>0</v>
      </c>
      <c r="BI59" s="65" t="s">
        <v>2</v>
      </c>
      <c r="BJ59" s="65" t="s">
        <v>2</v>
      </c>
      <c r="BK59" s="65" t="s">
        <v>2</v>
      </c>
      <c r="BL59" s="65" t="s">
        <v>2</v>
      </c>
      <c r="BM59" s="65" t="s">
        <v>2</v>
      </c>
      <c r="BN59" s="65" t="s">
        <v>2</v>
      </c>
      <c r="BO59" s="65" t="s">
        <v>2</v>
      </c>
      <c r="BP59" s="65" t="s">
        <v>2</v>
      </c>
      <c r="BQ59" s="65" t="s">
        <v>2</v>
      </c>
      <c r="BR59" s="65" t="s">
        <v>2</v>
      </c>
      <c r="BS59" s="65" t="s">
        <v>2</v>
      </c>
      <c r="BT59" s="65" t="s">
        <v>2</v>
      </c>
      <c r="BU59" s="65" t="s">
        <v>2</v>
      </c>
      <c r="BV59" s="65" t="s">
        <v>2</v>
      </c>
      <c r="BW59" s="65" t="s">
        <v>2</v>
      </c>
      <c r="BX59" s="65" t="s">
        <v>2</v>
      </c>
      <c r="BY59" s="65" t="s">
        <v>2</v>
      </c>
      <c r="BZ59" s="59" t="s">
        <v>2</v>
      </c>
      <c r="CA59" s="3" t="s">
        <v>2</v>
      </c>
      <c r="CB59" s="3" t="s">
        <v>2</v>
      </c>
      <c r="CC59" s="3" t="s">
        <v>2</v>
      </c>
      <c r="CD59" s="3" t="s">
        <v>2</v>
      </c>
      <c r="CE59" s="3" t="s">
        <v>2</v>
      </c>
      <c r="CF59" s="3" t="s">
        <v>2</v>
      </c>
      <c r="CG59" s="7" t="s">
        <v>2</v>
      </c>
      <c r="CH59" s="65">
        <v>0</v>
      </c>
      <c r="CI59" s="59">
        <v>0</v>
      </c>
      <c r="CJ59" s="3" t="s">
        <v>2</v>
      </c>
      <c r="CK59" s="3" t="s">
        <v>2</v>
      </c>
      <c r="CL59" s="3" t="s">
        <v>2</v>
      </c>
      <c r="CM59" s="7" t="s">
        <v>2</v>
      </c>
      <c r="CN59" s="11" t="s">
        <v>2</v>
      </c>
      <c r="CO59" s="11" t="s">
        <v>2</v>
      </c>
    </row>
    <row r="60" spans="1:93" s="13" customFormat="1" x14ac:dyDescent="0.25">
      <c r="A60" s="57" t="s">
        <v>667</v>
      </c>
      <c r="B60" s="46" t="s">
        <v>250</v>
      </c>
      <c r="C60" s="1" t="s">
        <v>700</v>
      </c>
      <c r="D60" s="287">
        <v>3</v>
      </c>
      <c r="E60" s="11">
        <v>2</v>
      </c>
      <c r="F60" s="65">
        <v>346</v>
      </c>
      <c r="G60" s="59">
        <v>1446.28</v>
      </c>
      <c r="H60" s="68">
        <v>14</v>
      </c>
      <c r="I60" s="3">
        <v>23.4</v>
      </c>
      <c r="J60" s="3">
        <v>2.4</v>
      </c>
      <c r="K60" s="3">
        <v>57.8</v>
      </c>
      <c r="L60" s="3">
        <v>4.7</v>
      </c>
      <c r="M60" s="7">
        <v>2.4</v>
      </c>
      <c r="N60" s="65">
        <v>64</v>
      </c>
      <c r="O60" s="65">
        <v>377</v>
      </c>
      <c r="P60" s="3">
        <v>4.8</v>
      </c>
      <c r="Q60" s="3">
        <v>1.1000000000000001</v>
      </c>
      <c r="R60" s="65">
        <v>6</v>
      </c>
      <c r="S60" s="65">
        <v>1132</v>
      </c>
      <c r="T60" s="65">
        <v>270</v>
      </c>
      <c r="U60" s="61" t="s">
        <v>2</v>
      </c>
      <c r="V60" s="61">
        <v>880</v>
      </c>
      <c r="W60" s="7" t="s">
        <v>2</v>
      </c>
      <c r="X60" s="3">
        <v>4</v>
      </c>
      <c r="Y60" s="61">
        <v>0.72</v>
      </c>
      <c r="Z60" s="61">
        <v>0.15</v>
      </c>
      <c r="AA60" s="61">
        <v>2.4</v>
      </c>
      <c r="AB60" s="61">
        <v>1.91</v>
      </c>
      <c r="AC60" s="61">
        <v>0.38200000000000001</v>
      </c>
      <c r="AD60" s="65">
        <v>625</v>
      </c>
      <c r="AE60" s="65">
        <v>0</v>
      </c>
      <c r="AF60" s="3">
        <v>0.7</v>
      </c>
      <c r="AG60" s="7">
        <v>0</v>
      </c>
      <c r="AH60" s="65">
        <v>0</v>
      </c>
      <c r="AI60" s="65">
        <v>3</v>
      </c>
      <c r="AJ60" s="3" t="s">
        <v>2</v>
      </c>
      <c r="AK60" s="3">
        <v>0.51</v>
      </c>
      <c r="AL60" s="7">
        <v>9</v>
      </c>
      <c r="AM60" s="65">
        <v>30</v>
      </c>
      <c r="AN60" s="65" t="s">
        <v>2</v>
      </c>
      <c r="AO60" s="59" t="s">
        <v>2</v>
      </c>
      <c r="AP60" s="3">
        <v>0.35</v>
      </c>
      <c r="AQ60" s="61">
        <v>0.25</v>
      </c>
      <c r="AR60" s="61">
        <v>0</v>
      </c>
      <c r="AS60" s="61">
        <v>7.0999999999999994E-2</v>
      </c>
      <c r="AT60" s="61">
        <v>0</v>
      </c>
      <c r="AU60" s="61">
        <v>0</v>
      </c>
      <c r="AV60" s="62">
        <v>0</v>
      </c>
      <c r="AW60" s="3">
        <v>0.16</v>
      </c>
      <c r="AX60" s="61">
        <v>0</v>
      </c>
      <c r="AY60" s="61">
        <v>0</v>
      </c>
      <c r="AZ60" s="62">
        <v>0.161</v>
      </c>
      <c r="BA60" s="3">
        <v>0.38</v>
      </c>
      <c r="BB60" s="61">
        <v>0.35699999999999998</v>
      </c>
      <c r="BC60" s="61">
        <v>2.7E-2</v>
      </c>
      <c r="BD60" s="61">
        <v>0</v>
      </c>
      <c r="BE60" s="61">
        <v>0</v>
      </c>
      <c r="BF60" s="61">
        <v>0</v>
      </c>
      <c r="BG60" s="11" t="s">
        <v>2</v>
      </c>
      <c r="BH60" s="11">
        <v>0</v>
      </c>
      <c r="BI60" s="65">
        <v>2145</v>
      </c>
      <c r="BJ60" s="65">
        <v>458</v>
      </c>
      <c r="BK60" s="65">
        <v>432</v>
      </c>
      <c r="BL60" s="65">
        <v>1259</v>
      </c>
      <c r="BM60" s="65">
        <v>736</v>
      </c>
      <c r="BN60" s="65">
        <v>989</v>
      </c>
      <c r="BO60" s="65">
        <v>1607</v>
      </c>
      <c r="BP60" s="65">
        <v>941</v>
      </c>
      <c r="BQ60" s="65">
        <v>1470</v>
      </c>
      <c r="BR60" s="65">
        <v>663</v>
      </c>
      <c r="BS60" s="65">
        <v>113</v>
      </c>
      <c r="BT60" s="65">
        <v>556</v>
      </c>
      <c r="BU60" s="65">
        <v>809</v>
      </c>
      <c r="BV60" s="65">
        <v>2449</v>
      </c>
      <c r="BW60" s="65">
        <v>3122</v>
      </c>
      <c r="BX60" s="65">
        <v>758</v>
      </c>
      <c r="BY60" s="65">
        <v>802</v>
      </c>
      <c r="BZ60" s="59">
        <v>908</v>
      </c>
      <c r="CA60" s="3" t="s">
        <v>2</v>
      </c>
      <c r="CB60" s="3" t="s">
        <v>2</v>
      </c>
      <c r="CC60" s="3" t="s">
        <v>2</v>
      </c>
      <c r="CD60" s="3" t="s">
        <v>2</v>
      </c>
      <c r="CE60" s="3" t="s">
        <v>2</v>
      </c>
      <c r="CF60" s="3" t="s">
        <v>2</v>
      </c>
      <c r="CG60" s="7" t="s">
        <v>2</v>
      </c>
      <c r="CH60" s="65">
        <v>0</v>
      </c>
      <c r="CI60" s="59">
        <v>0</v>
      </c>
      <c r="CJ60" s="3">
        <v>0.19</v>
      </c>
      <c r="CK60" s="3">
        <v>0.01</v>
      </c>
      <c r="CL60" s="3">
        <v>0.18</v>
      </c>
      <c r="CM60" s="7" t="s">
        <v>2</v>
      </c>
      <c r="CN60" s="11">
        <v>23</v>
      </c>
      <c r="CO60" s="11" t="s">
        <v>2</v>
      </c>
    </row>
    <row r="61" spans="1:93" s="13" customFormat="1" x14ac:dyDescent="0.25">
      <c r="A61" s="57" t="s">
        <v>668</v>
      </c>
      <c r="B61" s="46" t="s">
        <v>251</v>
      </c>
      <c r="C61" s="1" t="s">
        <v>701</v>
      </c>
      <c r="D61" s="287">
        <v>3</v>
      </c>
      <c r="E61" s="11">
        <v>30</v>
      </c>
      <c r="F61" s="65">
        <v>652</v>
      </c>
      <c r="G61" s="59">
        <v>2725.3599999999997</v>
      </c>
      <c r="H61" s="68">
        <v>9</v>
      </c>
      <c r="I61" s="3">
        <v>18</v>
      </c>
      <c r="J61" s="3">
        <v>59</v>
      </c>
      <c r="K61" s="3">
        <v>12.2</v>
      </c>
      <c r="L61" s="3">
        <v>3.5</v>
      </c>
      <c r="M61" s="7">
        <v>1.8</v>
      </c>
      <c r="N61" s="65">
        <v>61</v>
      </c>
      <c r="O61" s="65">
        <v>510</v>
      </c>
      <c r="P61" s="3">
        <v>2.2999999999999998</v>
      </c>
      <c r="Q61" s="3" t="s">
        <v>2</v>
      </c>
      <c r="R61" s="65" t="s">
        <v>2</v>
      </c>
      <c r="S61" s="65" t="s">
        <v>2</v>
      </c>
      <c r="T61" s="65" t="s">
        <v>2</v>
      </c>
      <c r="U61" s="61" t="s">
        <v>2</v>
      </c>
      <c r="V61" s="61" t="s">
        <v>2</v>
      </c>
      <c r="W61" s="7" t="s">
        <v>2</v>
      </c>
      <c r="X61" s="3">
        <v>3</v>
      </c>
      <c r="Y61" s="61">
        <v>0.48</v>
      </c>
      <c r="Z61" s="61">
        <v>0.13</v>
      </c>
      <c r="AA61" s="61">
        <v>1.2</v>
      </c>
      <c r="AB61" s="61" t="s">
        <v>2</v>
      </c>
      <c r="AC61" s="61" t="s">
        <v>2</v>
      </c>
      <c r="AD61" s="65" t="s">
        <v>2</v>
      </c>
      <c r="AE61" s="65" t="s">
        <v>2</v>
      </c>
      <c r="AF61" s="3" t="s">
        <v>2</v>
      </c>
      <c r="AG61" s="7" t="s">
        <v>2</v>
      </c>
      <c r="AH61" s="65">
        <v>0</v>
      </c>
      <c r="AI61" s="65">
        <v>1</v>
      </c>
      <c r="AJ61" s="3" t="s">
        <v>2</v>
      </c>
      <c r="AK61" s="3" t="s">
        <v>2</v>
      </c>
      <c r="AL61" s="7" t="s">
        <v>2</v>
      </c>
      <c r="AM61" s="65">
        <v>10</v>
      </c>
      <c r="AN61" s="65" t="s">
        <v>2</v>
      </c>
      <c r="AO61" s="59" t="s">
        <v>2</v>
      </c>
      <c r="AP61" s="3" t="s">
        <v>2</v>
      </c>
      <c r="AQ61" s="61" t="s">
        <v>2</v>
      </c>
      <c r="AR61" s="61" t="s">
        <v>2</v>
      </c>
      <c r="AS61" s="61" t="s">
        <v>2</v>
      </c>
      <c r="AT61" s="61" t="s">
        <v>2</v>
      </c>
      <c r="AU61" s="61" t="s">
        <v>2</v>
      </c>
      <c r="AV61" s="62" t="s">
        <v>2</v>
      </c>
      <c r="AW61" s="3" t="s">
        <v>2</v>
      </c>
      <c r="AX61" s="61" t="s">
        <v>2</v>
      </c>
      <c r="AY61" s="61" t="s">
        <v>2</v>
      </c>
      <c r="AZ61" s="62" t="s">
        <v>2</v>
      </c>
      <c r="BA61" s="3" t="s">
        <v>2</v>
      </c>
      <c r="BB61" s="61" t="s">
        <v>2</v>
      </c>
      <c r="BC61" s="61" t="s">
        <v>2</v>
      </c>
      <c r="BD61" s="61" t="s">
        <v>2</v>
      </c>
      <c r="BE61" s="61" t="s">
        <v>2</v>
      </c>
      <c r="BF61" s="62" t="s">
        <v>2</v>
      </c>
      <c r="BG61" s="11" t="s">
        <v>2</v>
      </c>
      <c r="BH61" s="11">
        <v>0</v>
      </c>
      <c r="BI61" s="65" t="s">
        <v>2</v>
      </c>
      <c r="BJ61" s="65" t="s">
        <v>2</v>
      </c>
      <c r="BK61" s="65" t="s">
        <v>2</v>
      </c>
      <c r="BL61" s="65" t="s">
        <v>2</v>
      </c>
      <c r="BM61" s="65" t="s">
        <v>2</v>
      </c>
      <c r="BN61" s="65" t="s">
        <v>2</v>
      </c>
      <c r="BO61" s="65" t="s">
        <v>2</v>
      </c>
      <c r="BP61" s="65" t="s">
        <v>2</v>
      </c>
      <c r="BQ61" s="65" t="s">
        <v>2</v>
      </c>
      <c r="BR61" s="65" t="s">
        <v>2</v>
      </c>
      <c r="BS61" s="65" t="s">
        <v>2</v>
      </c>
      <c r="BT61" s="65" t="s">
        <v>2</v>
      </c>
      <c r="BU61" s="65" t="s">
        <v>2</v>
      </c>
      <c r="BV61" s="65" t="s">
        <v>2</v>
      </c>
      <c r="BW61" s="65" t="s">
        <v>2</v>
      </c>
      <c r="BX61" s="65" t="s">
        <v>2</v>
      </c>
      <c r="BY61" s="65" t="s">
        <v>2</v>
      </c>
      <c r="BZ61" s="59" t="s">
        <v>2</v>
      </c>
      <c r="CA61" s="3" t="s">
        <v>2</v>
      </c>
      <c r="CB61" s="3" t="s">
        <v>2</v>
      </c>
      <c r="CC61" s="3" t="s">
        <v>2</v>
      </c>
      <c r="CD61" s="3" t="s">
        <v>2</v>
      </c>
      <c r="CE61" s="3" t="s">
        <v>2</v>
      </c>
      <c r="CF61" s="3" t="s">
        <v>2</v>
      </c>
      <c r="CG61" s="7" t="s">
        <v>2</v>
      </c>
      <c r="CH61" s="65" t="s">
        <v>2</v>
      </c>
      <c r="CI61" s="59" t="s">
        <v>2</v>
      </c>
      <c r="CJ61" s="3" t="s">
        <v>2</v>
      </c>
      <c r="CK61" s="3" t="s">
        <v>2</v>
      </c>
      <c r="CL61" s="3" t="s">
        <v>2</v>
      </c>
      <c r="CM61" s="7" t="s">
        <v>2</v>
      </c>
      <c r="CN61" s="11" t="s">
        <v>2</v>
      </c>
      <c r="CO61" s="11" t="s">
        <v>2</v>
      </c>
    </row>
    <row r="62" spans="1:93" s="13" customFormat="1" x14ac:dyDescent="0.25">
      <c r="A62" s="57" t="s">
        <v>669</v>
      </c>
      <c r="B62" s="46" t="s">
        <v>252</v>
      </c>
      <c r="C62" s="1" t="s">
        <v>701</v>
      </c>
      <c r="D62" s="287">
        <v>3</v>
      </c>
      <c r="E62" s="11">
        <v>18</v>
      </c>
      <c r="F62" s="65">
        <v>223</v>
      </c>
      <c r="G62" s="59">
        <v>932.14</v>
      </c>
      <c r="H62" s="68">
        <v>44</v>
      </c>
      <c r="I62" s="3">
        <v>4.2</v>
      </c>
      <c r="J62" s="3">
        <v>1.1100000000000001</v>
      </c>
      <c r="K62" s="3">
        <v>49.07</v>
      </c>
      <c r="L62" s="2" t="s">
        <v>2</v>
      </c>
      <c r="M62" s="7">
        <v>1.67</v>
      </c>
      <c r="N62" s="65">
        <v>18</v>
      </c>
      <c r="O62" s="65">
        <v>96</v>
      </c>
      <c r="P62" s="3">
        <v>1.41</v>
      </c>
      <c r="Q62" s="3">
        <v>0.87</v>
      </c>
      <c r="R62" s="65">
        <v>3</v>
      </c>
      <c r="S62" s="65">
        <v>447</v>
      </c>
      <c r="T62" s="65">
        <v>84</v>
      </c>
      <c r="U62" s="61">
        <v>1.601</v>
      </c>
      <c r="V62" s="61">
        <v>363</v>
      </c>
      <c r="W62" s="7" t="s">
        <v>2</v>
      </c>
      <c r="X62" s="3">
        <v>36</v>
      </c>
      <c r="Y62" s="61">
        <v>0.16</v>
      </c>
      <c r="Z62" s="61">
        <v>0.18</v>
      </c>
      <c r="AA62" s="61">
        <v>0.8</v>
      </c>
      <c r="AB62" s="61">
        <v>0.55500000000000005</v>
      </c>
      <c r="AC62" s="61">
        <v>0.41</v>
      </c>
      <c r="AD62" s="65">
        <v>68</v>
      </c>
      <c r="AE62" s="65">
        <v>0</v>
      </c>
      <c r="AF62" s="3">
        <v>1.3</v>
      </c>
      <c r="AG62" s="7">
        <v>0</v>
      </c>
      <c r="AH62" s="65">
        <v>0</v>
      </c>
      <c r="AI62" s="65">
        <v>0</v>
      </c>
      <c r="AJ62" s="3" t="s">
        <v>2</v>
      </c>
      <c r="AK62" s="3" t="s">
        <v>2</v>
      </c>
      <c r="AL62" s="7" t="s">
        <v>2</v>
      </c>
      <c r="AM62" s="65" t="s">
        <v>2</v>
      </c>
      <c r="AN62" s="65" t="s">
        <v>2</v>
      </c>
      <c r="AO62" s="59" t="s">
        <v>2</v>
      </c>
      <c r="AP62" s="3">
        <v>0.16</v>
      </c>
      <c r="AQ62" s="61">
        <v>0.151</v>
      </c>
      <c r="AR62" s="61">
        <v>0</v>
      </c>
      <c r="AS62" s="61">
        <v>1.0999999999999999E-2</v>
      </c>
      <c r="AT62" s="61">
        <v>0</v>
      </c>
      <c r="AU62" s="61">
        <v>0</v>
      </c>
      <c r="AV62" s="62">
        <v>0</v>
      </c>
      <c r="AW62" s="3">
        <v>0.57999999999999996</v>
      </c>
      <c r="AX62" s="61">
        <v>0</v>
      </c>
      <c r="AY62" s="61">
        <v>0.01</v>
      </c>
      <c r="AZ62" s="62">
        <v>0.55900000000000005</v>
      </c>
      <c r="BA62" s="3">
        <v>0.28999999999999998</v>
      </c>
      <c r="BB62" s="61">
        <v>0.25800000000000001</v>
      </c>
      <c r="BC62" s="61">
        <v>2.8000000000000001E-2</v>
      </c>
      <c r="BD62" s="61">
        <v>0</v>
      </c>
      <c r="BE62" s="61">
        <v>0</v>
      </c>
      <c r="BF62" s="61">
        <v>0</v>
      </c>
      <c r="BG62" s="11" t="s">
        <v>2</v>
      </c>
      <c r="BH62" s="11">
        <v>0</v>
      </c>
      <c r="BI62" s="65">
        <v>228</v>
      </c>
      <c r="BJ62" s="65">
        <v>101</v>
      </c>
      <c r="BK62" s="65">
        <v>49</v>
      </c>
      <c r="BL62" s="65">
        <v>190</v>
      </c>
      <c r="BM62" s="65">
        <v>167</v>
      </c>
      <c r="BN62" s="65">
        <v>220</v>
      </c>
      <c r="BO62" s="65">
        <v>259</v>
      </c>
      <c r="BP62" s="65">
        <v>157</v>
      </c>
      <c r="BQ62" s="65">
        <v>430</v>
      </c>
      <c r="BR62" s="65">
        <v>121</v>
      </c>
      <c r="BS62" s="65">
        <v>110</v>
      </c>
      <c r="BT62" s="65">
        <v>125</v>
      </c>
      <c r="BU62" s="65">
        <v>200</v>
      </c>
      <c r="BV62" s="65">
        <v>852</v>
      </c>
      <c r="BW62" s="65">
        <v>537</v>
      </c>
      <c r="BX62" s="65">
        <v>184</v>
      </c>
      <c r="BY62" s="65">
        <v>162</v>
      </c>
      <c r="BZ62" s="59">
        <v>184</v>
      </c>
      <c r="CA62" s="3" t="s">
        <v>2</v>
      </c>
      <c r="CB62" s="3" t="s">
        <v>2</v>
      </c>
      <c r="CC62" s="3" t="s">
        <v>2</v>
      </c>
      <c r="CD62" s="3" t="s">
        <v>2</v>
      </c>
      <c r="CE62" s="3" t="s">
        <v>2</v>
      </c>
      <c r="CF62" s="3" t="s">
        <v>2</v>
      </c>
      <c r="CG62" s="7" t="s">
        <v>2</v>
      </c>
      <c r="CH62" s="65" t="s">
        <v>2</v>
      </c>
      <c r="CI62" s="59" t="s">
        <v>2</v>
      </c>
      <c r="CJ62" s="3" t="s">
        <v>2</v>
      </c>
      <c r="CK62" s="3" t="s">
        <v>2</v>
      </c>
      <c r="CL62" s="3" t="s">
        <v>2</v>
      </c>
      <c r="CM62" s="7" t="s">
        <v>2</v>
      </c>
      <c r="CN62" s="11" t="s">
        <v>2</v>
      </c>
      <c r="CO62" s="11" t="s">
        <v>2</v>
      </c>
    </row>
    <row r="63" spans="1:93" s="102" customFormat="1" x14ac:dyDescent="0.25">
      <c r="A63" s="101" t="s">
        <v>670</v>
      </c>
      <c r="B63" s="53" t="s">
        <v>253</v>
      </c>
      <c r="C63" s="5" t="s">
        <v>702</v>
      </c>
      <c r="D63" s="287">
        <v>3</v>
      </c>
      <c r="E63" s="21">
        <v>20</v>
      </c>
      <c r="F63" s="73">
        <v>363</v>
      </c>
      <c r="G63" s="59">
        <v>1517.34</v>
      </c>
      <c r="H63" s="74">
        <v>8.9</v>
      </c>
      <c r="I63" s="6">
        <v>6.82</v>
      </c>
      <c r="J63" s="6">
        <v>1.81</v>
      </c>
      <c r="K63" s="6">
        <v>79.760000000000005</v>
      </c>
      <c r="L63" s="103" t="s">
        <v>2</v>
      </c>
      <c r="M63" s="22">
        <v>2.71</v>
      </c>
      <c r="N63" s="73">
        <v>29</v>
      </c>
      <c r="O63" s="73">
        <v>155</v>
      </c>
      <c r="P63" s="6">
        <v>2.29</v>
      </c>
      <c r="Q63" s="6">
        <v>1.41</v>
      </c>
      <c r="R63" s="73">
        <v>5</v>
      </c>
      <c r="S63" s="73">
        <v>726</v>
      </c>
      <c r="T63" s="73">
        <v>137</v>
      </c>
      <c r="U63" s="75">
        <v>2.601</v>
      </c>
      <c r="V63" s="75">
        <v>590</v>
      </c>
      <c r="W63" s="22" t="s">
        <v>2</v>
      </c>
      <c r="X63" s="6">
        <v>58.5</v>
      </c>
      <c r="Y63" s="75">
        <v>0.26</v>
      </c>
      <c r="Z63" s="75">
        <v>0.29299999999999998</v>
      </c>
      <c r="AA63" s="75">
        <v>1.3</v>
      </c>
      <c r="AB63" s="75">
        <v>0.90200000000000002</v>
      </c>
      <c r="AC63" s="75">
        <v>0.66600000000000004</v>
      </c>
      <c r="AD63" s="73">
        <v>110</v>
      </c>
      <c r="AE63" s="73">
        <v>0</v>
      </c>
      <c r="AF63" s="6" t="s">
        <v>2</v>
      </c>
      <c r="AG63" s="22">
        <v>0</v>
      </c>
      <c r="AH63" s="73">
        <v>0</v>
      </c>
      <c r="AI63" s="73">
        <v>0</v>
      </c>
      <c r="AJ63" s="6" t="s">
        <v>2</v>
      </c>
      <c r="AK63" s="6" t="s">
        <v>2</v>
      </c>
      <c r="AL63" s="22" t="s">
        <v>2</v>
      </c>
      <c r="AM63" s="73" t="s">
        <v>2</v>
      </c>
      <c r="AN63" s="73" t="s">
        <v>2</v>
      </c>
      <c r="AO63" s="71" t="s">
        <v>2</v>
      </c>
      <c r="AP63" s="6">
        <v>0.27</v>
      </c>
      <c r="AQ63" s="75">
        <v>0.246</v>
      </c>
      <c r="AR63" s="75">
        <v>0</v>
      </c>
      <c r="AS63" s="75">
        <v>1.9E-2</v>
      </c>
      <c r="AT63" s="75">
        <v>0</v>
      </c>
      <c r="AU63" s="75">
        <v>0</v>
      </c>
      <c r="AV63" s="77">
        <v>0</v>
      </c>
      <c r="AW63" s="6">
        <v>0.95</v>
      </c>
      <c r="AX63" s="75">
        <v>0</v>
      </c>
      <c r="AY63" s="75">
        <v>1.2E-2</v>
      </c>
      <c r="AZ63" s="77">
        <v>0.90900000000000003</v>
      </c>
      <c r="BA63" s="6">
        <v>0.47</v>
      </c>
      <c r="BB63" s="75">
        <v>0.41899999999999998</v>
      </c>
      <c r="BC63" s="75">
        <v>4.4999999999999998E-2</v>
      </c>
      <c r="BD63" s="75">
        <v>0</v>
      </c>
      <c r="BE63" s="75">
        <v>0</v>
      </c>
      <c r="BF63" s="75">
        <v>0</v>
      </c>
      <c r="BG63" s="21" t="s">
        <v>2</v>
      </c>
      <c r="BH63" s="21">
        <v>0</v>
      </c>
      <c r="BI63" s="73">
        <v>371</v>
      </c>
      <c r="BJ63" s="73">
        <v>0.16500000000000001</v>
      </c>
      <c r="BK63" s="73">
        <v>80</v>
      </c>
      <c r="BL63" s="73">
        <v>309</v>
      </c>
      <c r="BM63" s="73">
        <v>272</v>
      </c>
      <c r="BN63" s="73">
        <v>358</v>
      </c>
      <c r="BO63" s="73">
        <v>421</v>
      </c>
      <c r="BP63" s="73">
        <v>255</v>
      </c>
      <c r="BQ63" s="73">
        <v>699</v>
      </c>
      <c r="BR63" s="73">
        <v>197</v>
      </c>
      <c r="BS63" s="73">
        <v>179</v>
      </c>
      <c r="BT63" s="73">
        <v>203</v>
      </c>
      <c r="BU63" s="73">
        <v>324</v>
      </c>
      <c r="BV63" s="73">
        <v>1385</v>
      </c>
      <c r="BW63" s="73">
        <v>873</v>
      </c>
      <c r="BX63" s="73">
        <v>299</v>
      </c>
      <c r="BY63" s="73">
        <v>263</v>
      </c>
      <c r="BZ63" s="71">
        <v>299</v>
      </c>
      <c r="CA63" s="6" t="s">
        <v>2</v>
      </c>
      <c r="CB63" s="6" t="s">
        <v>2</v>
      </c>
      <c r="CC63" s="6" t="s">
        <v>2</v>
      </c>
      <c r="CD63" s="6" t="s">
        <v>2</v>
      </c>
      <c r="CE63" s="6" t="s">
        <v>2</v>
      </c>
      <c r="CF63" s="6" t="s">
        <v>2</v>
      </c>
      <c r="CG63" s="22" t="s">
        <v>2</v>
      </c>
      <c r="CH63" s="73" t="s">
        <v>2</v>
      </c>
      <c r="CI63" s="71" t="s">
        <v>2</v>
      </c>
      <c r="CJ63" s="6" t="s">
        <v>2</v>
      </c>
      <c r="CK63" s="6" t="s">
        <v>2</v>
      </c>
      <c r="CL63" s="6" t="s">
        <v>2</v>
      </c>
      <c r="CM63" s="22" t="s">
        <v>2</v>
      </c>
      <c r="CN63" s="21" t="s">
        <v>2</v>
      </c>
      <c r="CO63" s="21" t="s">
        <v>2</v>
      </c>
    </row>
    <row r="64" spans="1:93" s="13" customFormat="1" x14ac:dyDescent="0.25">
      <c r="A64" s="57" t="s">
        <v>671</v>
      </c>
      <c r="B64" s="46" t="s">
        <v>254</v>
      </c>
      <c r="C64" s="1" t="s">
        <v>703</v>
      </c>
      <c r="D64" s="287">
        <v>3</v>
      </c>
      <c r="E64" s="11">
        <v>50</v>
      </c>
      <c r="F64" s="65">
        <v>486</v>
      </c>
      <c r="G64" s="59">
        <v>2031.4799999999998</v>
      </c>
      <c r="H64" s="68">
        <v>12</v>
      </c>
      <c r="I64" s="3">
        <v>17.3</v>
      </c>
      <c r="J64" s="3">
        <v>29</v>
      </c>
      <c r="K64" s="3">
        <v>39</v>
      </c>
      <c r="L64" s="3">
        <v>3.5</v>
      </c>
      <c r="M64" s="7">
        <v>2.7</v>
      </c>
      <c r="N64" s="65">
        <v>84</v>
      </c>
      <c r="O64" s="65">
        <v>255</v>
      </c>
      <c r="P64" s="3" t="s">
        <v>2</v>
      </c>
      <c r="Q64" s="3" t="s">
        <v>2</v>
      </c>
      <c r="R64" s="65" t="s">
        <v>2</v>
      </c>
      <c r="S64" s="65" t="s">
        <v>2</v>
      </c>
      <c r="T64" s="65" t="s">
        <v>2</v>
      </c>
      <c r="U64" s="61" t="s">
        <v>2</v>
      </c>
      <c r="V64" s="61" t="s">
        <v>2</v>
      </c>
      <c r="W64" s="7" t="s">
        <v>2</v>
      </c>
      <c r="X64" s="3" t="s">
        <v>2</v>
      </c>
      <c r="Y64" s="61" t="s">
        <v>2</v>
      </c>
      <c r="Z64" s="61" t="s">
        <v>2</v>
      </c>
      <c r="AA64" s="61" t="s">
        <v>2</v>
      </c>
      <c r="AB64" s="61" t="s">
        <v>2</v>
      </c>
      <c r="AC64" s="61" t="s">
        <v>2</v>
      </c>
      <c r="AD64" s="65" t="s">
        <v>2</v>
      </c>
      <c r="AE64" s="65" t="s">
        <v>2</v>
      </c>
      <c r="AF64" s="3" t="s">
        <v>2</v>
      </c>
      <c r="AG64" s="7" t="s">
        <v>2</v>
      </c>
      <c r="AH64" s="65">
        <v>0</v>
      </c>
      <c r="AI64" s="65">
        <v>0</v>
      </c>
      <c r="AJ64" s="3" t="s">
        <v>2</v>
      </c>
      <c r="AK64" s="3" t="s">
        <v>2</v>
      </c>
      <c r="AL64" s="7" t="s">
        <v>2</v>
      </c>
      <c r="AM64" s="65" t="s">
        <v>2</v>
      </c>
      <c r="AN64" s="65" t="s">
        <v>2</v>
      </c>
      <c r="AO64" s="59" t="s">
        <v>2</v>
      </c>
      <c r="AP64" s="3" t="s">
        <v>2</v>
      </c>
      <c r="AQ64" s="61" t="s">
        <v>2</v>
      </c>
      <c r="AR64" s="61" t="s">
        <v>2</v>
      </c>
      <c r="AS64" s="61" t="s">
        <v>2</v>
      </c>
      <c r="AT64" s="61" t="s">
        <v>2</v>
      </c>
      <c r="AU64" s="61" t="s">
        <v>2</v>
      </c>
      <c r="AV64" s="62" t="s">
        <v>2</v>
      </c>
      <c r="AW64" s="3" t="s">
        <v>2</v>
      </c>
      <c r="AX64" s="61" t="s">
        <v>2</v>
      </c>
      <c r="AY64" s="61" t="s">
        <v>2</v>
      </c>
      <c r="AZ64" s="62" t="s">
        <v>2</v>
      </c>
      <c r="BA64" s="3" t="s">
        <v>2</v>
      </c>
      <c r="BB64" s="61" t="s">
        <v>2</v>
      </c>
      <c r="BC64" s="61" t="s">
        <v>2</v>
      </c>
      <c r="BD64" s="61" t="s">
        <v>2</v>
      </c>
      <c r="BE64" s="61" t="s">
        <v>2</v>
      </c>
      <c r="BF64" s="62" t="s">
        <v>2</v>
      </c>
      <c r="BG64" s="11" t="s">
        <v>2</v>
      </c>
      <c r="BH64" s="11">
        <v>0</v>
      </c>
      <c r="BI64" s="65" t="s">
        <v>2</v>
      </c>
      <c r="BJ64" s="65" t="s">
        <v>2</v>
      </c>
      <c r="BK64" s="65" t="s">
        <v>2</v>
      </c>
      <c r="BL64" s="65" t="s">
        <v>2</v>
      </c>
      <c r="BM64" s="65" t="s">
        <v>2</v>
      </c>
      <c r="BN64" s="65" t="s">
        <v>2</v>
      </c>
      <c r="BO64" s="65" t="s">
        <v>2</v>
      </c>
      <c r="BP64" s="65" t="s">
        <v>2</v>
      </c>
      <c r="BQ64" s="65" t="s">
        <v>2</v>
      </c>
      <c r="BR64" s="65" t="s">
        <v>2</v>
      </c>
      <c r="BS64" s="65" t="s">
        <v>2</v>
      </c>
      <c r="BT64" s="65" t="s">
        <v>2</v>
      </c>
      <c r="BU64" s="65" t="s">
        <v>2</v>
      </c>
      <c r="BV64" s="65" t="s">
        <v>2</v>
      </c>
      <c r="BW64" s="65" t="s">
        <v>2</v>
      </c>
      <c r="BX64" s="65" t="s">
        <v>2</v>
      </c>
      <c r="BY64" s="65" t="s">
        <v>2</v>
      </c>
      <c r="BZ64" s="59" t="s">
        <v>2</v>
      </c>
      <c r="CA64" s="3" t="s">
        <v>2</v>
      </c>
      <c r="CB64" s="3" t="s">
        <v>2</v>
      </c>
      <c r="CC64" s="3" t="s">
        <v>2</v>
      </c>
      <c r="CD64" s="3" t="s">
        <v>2</v>
      </c>
      <c r="CE64" s="3" t="s">
        <v>2</v>
      </c>
      <c r="CF64" s="3" t="s">
        <v>2</v>
      </c>
      <c r="CG64" s="7" t="s">
        <v>2</v>
      </c>
      <c r="CH64" s="65" t="s">
        <v>2</v>
      </c>
      <c r="CI64" s="59" t="s">
        <v>2</v>
      </c>
      <c r="CJ64" s="3" t="s">
        <v>2</v>
      </c>
      <c r="CK64" s="3" t="s">
        <v>2</v>
      </c>
      <c r="CL64" s="3" t="s">
        <v>2</v>
      </c>
      <c r="CM64" s="7" t="s">
        <v>2</v>
      </c>
      <c r="CN64" s="11" t="s">
        <v>2</v>
      </c>
      <c r="CO64" s="11" t="s">
        <v>2</v>
      </c>
    </row>
    <row r="65" spans="1:93" s="102" customFormat="1" x14ac:dyDescent="0.25">
      <c r="A65" s="101" t="s">
        <v>672</v>
      </c>
      <c r="B65" s="53" t="s">
        <v>255</v>
      </c>
      <c r="C65" s="5" t="s">
        <v>704</v>
      </c>
      <c r="D65" s="287">
        <v>3</v>
      </c>
      <c r="E65" s="21">
        <v>0</v>
      </c>
      <c r="F65" s="73">
        <v>608</v>
      </c>
      <c r="G65" s="59">
        <v>2541.4399999999996</v>
      </c>
      <c r="H65" s="74">
        <v>3.4</v>
      </c>
      <c r="I65" s="6">
        <v>18.399999999999999</v>
      </c>
      <c r="J65" s="6">
        <v>46.3</v>
      </c>
      <c r="K65" s="6">
        <v>29.3</v>
      </c>
      <c r="L65" s="6">
        <v>0.6</v>
      </c>
      <c r="M65" s="22">
        <v>2.6</v>
      </c>
      <c r="N65" s="73">
        <v>28</v>
      </c>
      <c r="O65" s="73">
        <v>462</v>
      </c>
      <c r="P65" s="6">
        <v>3.6</v>
      </c>
      <c r="Q65" s="6">
        <v>5.78</v>
      </c>
      <c r="R65" s="73">
        <v>12</v>
      </c>
      <c r="S65" s="73">
        <v>660</v>
      </c>
      <c r="T65" s="73">
        <v>292</v>
      </c>
      <c r="U65" s="75">
        <v>1.655</v>
      </c>
      <c r="V65" s="75">
        <v>2195</v>
      </c>
      <c r="W65" s="22">
        <v>19.899999999999999</v>
      </c>
      <c r="X65" s="6">
        <v>1</v>
      </c>
      <c r="Y65" s="75">
        <v>0.25</v>
      </c>
      <c r="Z65" s="75">
        <v>0.34</v>
      </c>
      <c r="AA65" s="75">
        <v>2.4</v>
      </c>
      <c r="AB65" s="75">
        <v>0.86399999999999999</v>
      </c>
      <c r="AC65" s="75">
        <v>0.41699999999999998</v>
      </c>
      <c r="AD65" s="73">
        <v>25</v>
      </c>
      <c r="AE65" s="73">
        <v>0</v>
      </c>
      <c r="AF65" s="6" t="s">
        <v>2</v>
      </c>
      <c r="AG65" s="22">
        <v>0</v>
      </c>
      <c r="AH65" s="73">
        <v>0</v>
      </c>
      <c r="AI65" s="73">
        <v>0</v>
      </c>
      <c r="AJ65" s="6" t="s">
        <v>2</v>
      </c>
      <c r="AK65" s="6">
        <v>0.9</v>
      </c>
      <c r="AL65" s="22">
        <v>34.1</v>
      </c>
      <c r="AM65" s="73">
        <v>5</v>
      </c>
      <c r="AN65" s="73" t="s">
        <v>2</v>
      </c>
      <c r="AO65" s="71" t="s">
        <v>2</v>
      </c>
      <c r="AP65" s="6">
        <v>7.78</v>
      </c>
      <c r="AQ65" s="75">
        <v>3.9159999999999999</v>
      </c>
      <c r="AR65" s="75">
        <v>4.5999999999999999E-2</v>
      </c>
      <c r="AS65" s="75">
        <v>3.22</v>
      </c>
      <c r="AT65" s="75">
        <v>0.26600000000000001</v>
      </c>
      <c r="AU65" s="75">
        <v>0.17299999999999999</v>
      </c>
      <c r="AV65" s="77">
        <v>0.10100000000000001</v>
      </c>
      <c r="AW65" s="6">
        <v>23.8</v>
      </c>
      <c r="AX65" s="75">
        <v>0</v>
      </c>
      <c r="AY65" s="75">
        <v>0.13600000000000001</v>
      </c>
      <c r="AZ65" s="77">
        <v>23.523</v>
      </c>
      <c r="BA65" s="6">
        <v>7.85</v>
      </c>
      <c r="BB65" s="75">
        <v>7.782</v>
      </c>
      <c r="BC65" s="75">
        <v>6.2E-2</v>
      </c>
      <c r="BD65" s="75">
        <v>0</v>
      </c>
      <c r="BE65" s="75">
        <v>0</v>
      </c>
      <c r="BF65" s="75">
        <v>0</v>
      </c>
      <c r="BG65" s="21" t="s">
        <v>2</v>
      </c>
      <c r="BH65" s="21">
        <v>0</v>
      </c>
      <c r="BI65" s="73">
        <v>928</v>
      </c>
      <c r="BJ65" s="73">
        <v>362</v>
      </c>
      <c r="BK65" s="73">
        <v>287</v>
      </c>
      <c r="BL65" s="73">
        <v>951</v>
      </c>
      <c r="BM65" s="73">
        <v>688</v>
      </c>
      <c r="BN65" s="73">
        <v>1094</v>
      </c>
      <c r="BO65" s="73">
        <v>1472</v>
      </c>
      <c r="BP65" s="73">
        <v>789</v>
      </c>
      <c r="BQ65" s="73">
        <v>2123</v>
      </c>
      <c r="BR65" s="73">
        <v>456</v>
      </c>
      <c r="BS65" s="73">
        <v>393</v>
      </c>
      <c r="BT65" s="73">
        <v>508</v>
      </c>
      <c r="BU65" s="73">
        <v>837</v>
      </c>
      <c r="BV65" s="73">
        <v>1795</v>
      </c>
      <c r="BW65" s="73">
        <v>4506</v>
      </c>
      <c r="BX65" s="73">
        <v>937</v>
      </c>
      <c r="BY65" s="73">
        <v>812</v>
      </c>
      <c r="BZ65" s="71">
        <v>1079</v>
      </c>
      <c r="CA65" s="6">
        <v>5.91</v>
      </c>
      <c r="CB65" s="6">
        <v>0</v>
      </c>
      <c r="CC65" s="6">
        <v>0</v>
      </c>
      <c r="CD65" s="6">
        <v>0</v>
      </c>
      <c r="CE65" s="6">
        <v>0.05</v>
      </c>
      <c r="CF65" s="6">
        <v>0.05</v>
      </c>
      <c r="CG65" s="22">
        <v>5.81</v>
      </c>
      <c r="CH65" s="73">
        <v>0</v>
      </c>
      <c r="CI65" s="71">
        <v>0</v>
      </c>
      <c r="CJ65" s="6" t="s">
        <v>2</v>
      </c>
      <c r="CK65" s="6" t="s">
        <v>2</v>
      </c>
      <c r="CL65" s="6" t="s">
        <v>2</v>
      </c>
      <c r="CM65" s="22" t="s">
        <v>2</v>
      </c>
      <c r="CN65" s="21" t="s">
        <v>2</v>
      </c>
      <c r="CO65" s="21" t="s">
        <v>2</v>
      </c>
    </row>
    <row r="66" spans="1:93" s="13" customFormat="1" x14ac:dyDescent="0.25">
      <c r="A66" s="57" t="s">
        <v>673</v>
      </c>
      <c r="B66" s="46" t="s">
        <v>256</v>
      </c>
      <c r="C66" s="1" t="s">
        <v>705</v>
      </c>
      <c r="D66" s="287">
        <v>3</v>
      </c>
      <c r="E66" s="11">
        <v>15</v>
      </c>
      <c r="F66" s="65">
        <v>166</v>
      </c>
      <c r="G66" s="59">
        <v>693.88</v>
      </c>
      <c r="H66" s="68">
        <v>58.2</v>
      </c>
      <c r="I66" s="3">
        <v>0.7</v>
      </c>
      <c r="J66" s="3">
        <v>1.1000000000000001</v>
      </c>
      <c r="K66" s="3">
        <v>38.299999999999997</v>
      </c>
      <c r="L66" s="2" t="s">
        <v>2</v>
      </c>
      <c r="M66" s="7">
        <v>1.7</v>
      </c>
      <c r="N66" s="65">
        <v>46</v>
      </c>
      <c r="O66" s="65">
        <v>34</v>
      </c>
      <c r="P66" s="3">
        <v>3.4</v>
      </c>
      <c r="Q66" s="3" t="s">
        <v>2</v>
      </c>
      <c r="R66" s="65" t="s">
        <v>2</v>
      </c>
      <c r="S66" s="65" t="s">
        <v>2</v>
      </c>
      <c r="T66" s="65" t="s">
        <v>2</v>
      </c>
      <c r="U66" s="61" t="s">
        <v>2</v>
      </c>
      <c r="V66" s="61" t="s">
        <v>2</v>
      </c>
      <c r="W66" s="7" t="s">
        <v>2</v>
      </c>
      <c r="X66" s="3" t="s">
        <v>2</v>
      </c>
      <c r="Y66" s="61" t="s">
        <v>2</v>
      </c>
      <c r="Z66" s="61" t="s">
        <v>2</v>
      </c>
      <c r="AA66" s="61" t="s">
        <v>2</v>
      </c>
      <c r="AB66" s="61" t="s">
        <v>2</v>
      </c>
      <c r="AC66" s="61" t="s">
        <v>2</v>
      </c>
      <c r="AD66" s="65" t="s">
        <v>2</v>
      </c>
      <c r="AE66" s="65" t="s">
        <v>2</v>
      </c>
      <c r="AF66" s="3" t="s">
        <v>2</v>
      </c>
      <c r="AG66" s="7" t="s">
        <v>2</v>
      </c>
      <c r="AH66" s="65">
        <v>0</v>
      </c>
      <c r="AI66" s="65">
        <v>0</v>
      </c>
      <c r="AJ66" s="3" t="s">
        <v>2</v>
      </c>
      <c r="AK66" s="3" t="s">
        <v>2</v>
      </c>
      <c r="AL66" s="7" t="s">
        <v>2</v>
      </c>
      <c r="AM66" s="65">
        <v>0</v>
      </c>
      <c r="AN66" s="65">
        <v>0</v>
      </c>
      <c r="AO66" s="59">
        <v>0</v>
      </c>
      <c r="AP66" s="3" t="s">
        <v>2</v>
      </c>
      <c r="AQ66" s="61" t="s">
        <v>2</v>
      </c>
      <c r="AR66" s="61" t="s">
        <v>2</v>
      </c>
      <c r="AS66" s="61" t="s">
        <v>2</v>
      </c>
      <c r="AT66" s="61" t="s">
        <v>2</v>
      </c>
      <c r="AU66" s="61" t="s">
        <v>2</v>
      </c>
      <c r="AV66" s="62" t="s">
        <v>2</v>
      </c>
      <c r="AW66" s="3" t="s">
        <v>2</v>
      </c>
      <c r="AX66" s="61" t="s">
        <v>2</v>
      </c>
      <c r="AY66" s="61" t="s">
        <v>2</v>
      </c>
      <c r="AZ66" s="62" t="s">
        <v>2</v>
      </c>
      <c r="BA66" s="3" t="s">
        <v>2</v>
      </c>
      <c r="BB66" s="61" t="s">
        <v>2</v>
      </c>
      <c r="BC66" s="61" t="s">
        <v>2</v>
      </c>
      <c r="BD66" s="61" t="s">
        <v>2</v>
      </c>
      <c r="BE66" s="61" t="s">
        <v>2</v>
      </c>
      <c r="BF66" s="62" t="s">
        <v>2</v>
      </c>
      <c r="BG66" s="11" t="s">
        <v>2</v>
      </c>
      <c r="BH66" s="11">
        <v>0</v>
      </c>
      <c r="BI66" s="65" t="s">
        <v>2</v>
      </c>
      <c r="BJ66" s="65" t="s">
        <v>2</v>
      </c>
      <c r="BK66" s="65" t="s">
        <v>2</v>
      </c>
      <c r="BL66" s="65" t="s">
        <v>2</v>
      </c>
      <c r="BM66" s="65" t="s">
        <v>2</v>
      </c>
      <c r="BN66" s="65" t="s">
        <v>2</v>
      </c>
      <c r="BO66" s="65" t="s">
        <v>2</v>
      </c>
      <c r="BP66" s="65" t="s">
        <v>2</v>
      </c>
      <c r="BQ66" s="65" t="s">
        <v>2</v>
      </c>
      <c r="BR66" s="65" t="s">
        <v>2</v>
      </c>
      <c r="BS66" s="65" t="s">
        <v>2</v>
      </c>
      <c r="BT66" s="65" t="s">
        <v>2</v>
      </c>
      <c r="BU66" s="65" t="s">
        <v>2</v>
      </c>
      <c r="BV66" s="65" t="s">
        <v>2</v>
      </c>
      <c r="BW66" s="65" t="s">
        <v>2</v>
      </c>
      <c r="BX66" s="65" t="s">
        <v>2</v>
      </c>
      <c r="BY66" s="65" t="s">
        <v>2</v>
      </c>
      <c r="BZ66" s="59" t="s">
        <v>2</v>
      </c>
      <c r="CA66" s="3" t="s">
        <v>2</v>
      </c>
      <c r="CB66" s="3" t="s">
        <v>2</v>
      </c>
      <c r="CC66" s="3" t="s">
        <v>2</v>
      </c>
      <c r="CD66" s="3" t="s">
        <v>2</v>
      </c>
      <c r="CE66" s="3" t="s">
        <v>2</v>
      </c>
      <c r="CF66" s="3" t="s">
        <v>2</v>
      </c>
      <c r="CG66" s="7" t="s">
        <v>2</v>
      </c>
      <c r="CH66" s="65">
        <v>0</v>
      </c>
      <c r="CI66" s="59">
        <v>0</v>
      </c>
      <c r="CJ66" s="3" t="s">
        <v>2</v>
      </c>
      <c r="CK66" s="3" t="s">
        <v>2</v>
      </c>
      <c r="CL66" s="3" t="s">
        <v>2</v>
      </c>
      <c r="CM66" s="7" t="s">
        <v>2</v>
      </c>
      <c r="CN66" s="11" t="s">
        <v>2</v>
      </c>
      <c r="CO66" s="11" t="s">
        <v>2</v>
      </c>
    </row>
    <row r="67" spans="1:93" s="13" customFormat="1" x14ac:dyDescent="0.25">
      <c r="A67" s="57" t="s">
        <v>674</v>
      </c>
      <c r="B67" s="46" t="s">
        <v>257</v>
      </c>
      <c r="C67" s="1" t="s">
        <v>706</v>
      </c>
      <c r="D67" s="287">
        <v>3</v>
      </c>
      <c r="E67" s="11">
        <v>2</v>
      </c>
      <c r="F67" s="65">
        <v>583</v>
      </c>
      <c r="G67" s="59">
        <v>2436.94</v>
      </c>
      <c r="H67" s="68">
        <v>7.5</v>
      </c>
      <c r="I67" s="3">
        <v>27.5</v>
      </c>
      <c r="J67" s="3">
        <v>44.5</v>
      </c>
      <c r="K67" s="3">
        <v>18</v>
      </c>
      <c r="L67" s="3">
        <v>2.5</v>
      </c>
      <c r="M67" s="7">
        <v>2.5</v>
      </c>
      <c r="N67" s="65">
        <v>68</v>
      </c>
      <c r="O67" s="65">
        <v>420</v>
      </c>
      <c r="P67" s="3">
        <v>2.2000000000000002</v>
      </c>
      <c r="Q67" s="3">
        <v>1.9</v>
      </c>
      <c r="R67" s="65">
        <v>4</v>
      </c>
      <c r="S67" s="65">
        <v>421</v>
      </c>
      <c r="T67" s="65">
        <v>185</v>
      </c>
      <c r="U67" s="61">
        <v>1.6</v>
      </c>
      <c r="V67" s="61">
        <v>420</v>
      </c>
      <c r="W67" s="7" t="s">
        <v>2</v>
      </c>
      <c r="X67" s="3" t="s">
        <v>2</v>
      </c>
      <c r="Y67" s="61">
        <v>0.44</v>
      </c>
      <c r="Z67" s="61">
        <v>0.12</v>
      </c>
      <c r="AA67" s="61">
        <v>16</v>
      </c>
      <c r="AB67" s="61">
        <v>1.7669999999999999</v>
      </c>
      <c r="AC67" s="61">
        <v>0.34799999999999998</v>
      </c>
      <c r="AD67" s="65">
        <v>240</v>
      </c>
      <c r="AE67" s="65">
        <v>0</v>
      </c>
      <c r="AF67" s="3" t="s">
        <v>2</v>
      </c>
      <c r="AG67" s="7">
        <v>0</v>
      </c>
      <c r="AH67" s="65">
        <v>0</v>
      </c>
      <c r="AI67" s="65">
        <v>1</v>
      </c>
      <c r="AJ67" s="3" t="s">
        <v>2</v>
      </c>
      <c r="AK67" s="3">
        <v>8.33</v>
      </c>
      <c r="AL67" s="7">
        <v>0</v>
      </c>
      <c r="AM67" s="65">
        <v>10</v>
      </c>
      <c r="AN67" s="65" t="s">
        <v>2</v>
      </c>
      <c r="AO67" s="59" t="s">
        <v>2</v>
      </c>
      <c r="AP67" s="3">
        <v>6.83</v>
      </c>
      <c r="AQ67" s="61">
        <v>5.1539999999999999</v>
      </c>
      <c r="AR67" s="61">
        <v>0</v>
      </c>
      <c r="AS67" s="61">
        <v>1.1000000000000001</v>
      </c>
      <c r="AT67" s="61">
        <v>0</v>
      </c>
      <c r="AU67" s="61">
        <v>0</v>
      </c>
      <c r="AV67" s="62">
        <v>0</v>
      </c>
      <c r="AW67" s="3">
        <v>24.43</v>
      </c>
      <c r="AX67" s="61">
        <v>0</v>
      </c>
      <c r="AY67" s="61">
        <v>8.9999999999999993E-3</v>
      </c>
      <c r="AZ67" s="62">
        <v>23.756</v>
      </c>
      <c r="BA67" s="3">
        <v>15.56</v>
      </c>
      <c r="BB67" s="61">
        <v>15.555</v>
      </c>
      <c r="BC67" s="61">
        <v>3.0000000000000001E-3</v>
      </c>
      <c r="BD67" s="61">
        <v>0</v>
      </c>
      <c r="BE67" s="61">
        <v>0</v>
      </c>
      <c r="BF67" s="61">
        <v>0</v>
      </c>
      <c r="BG67" s="11" t="s">
        <v>2</v>
      </c>
      <c r="BH67" s="11">
        <v>0</v>
      </c>
      <c r="BI67" s="65">
        <v>990</v>
      </c>
      <c r="BJ67" s="65">
        <v>360</v>
      </c>
      <c r="BK67" s="65">
        <v>300</v>
      </c>
      <c r="BL67" s="65">
        <v>1680</v>
      </c>
      <c r="BM67" s="65">
        <v>770</v>
      </c>
      <c r="BN67" s="65">
        <v>1290</v>
      </c>
      <c r="BO67" s="65">
        <v>1760</v>
      </c>
      <c r="BP67" s="65">
        <v>880</v>
      </c>
      <c r="BQ67" s="65">
        <v>2720</v>
      </c>
      <c r="BR67" s="65">
        <v>580</v>
      </c>
      <c r="BS67" s="65">
        <v>249</v>
      </c>
      <c r="BT67" s="65">
        <v>669</v>
      </c>
      <c r="BU67" s="65">
        <v>669</v>
      </c>
      <c r="BV67" s="65">
        <v>2952</v>
      </c>
      <c r="BW67" s="65">
        <v>5070</v>
      </c>
      <c r="BX67" s="65">
        <v>1287</v>
      </c>
      <c r="BY67" s="65">
        <v>1236</v>
      </c>
      <c r="BZ67" s="59">
        <v>1557</v>
      </c>
      <c r="CA67" s="3" t="s">
        <v>2</v>
      </c>
      <c r="CB67" s="3" t="s">
        <v>2</v>
      </c>
      <c r="CC67" s="3" t="s">
        <v>2</v>
      </c>
      <c r="CD67" s="3" t="s">
        <v>2</v>
      </c>
      <c r="CE67" s="3" t="s">
        <v>2</v>
      </c>
      <c r="CF67" s="3" t="s">
        <v>2</v>
      </c>
      <c r="CG67" s="7" t="s">
        <v>2</v>
      </c>
      <c r="CH67" s="65">
        <v>0</v>
      </c>
      <c r="CI67" s="59">
        <v>0</v>
      </c>
      <c r="CJ67" s="3">
        <v>0.26</v>
      </c>
      <c r="CK67" s="3">
        <v>0.03</v>
      </c>
      <c r="CL67" s="3">
        <v>0.24</v>
      </c>
      <c r="CM67" s="7" t="s">
        <v>2</v>
      </c>
      <c r="CN67" s="11">
        <v>220</v>
      </c>
      <c r="CO67" s="104">
        <v>74</v>
      </c>
    </row>
    <row r="68" spans="1:93" s="13" customFormat="1" x14ac:dyDescent="0.25">
      <c r="A68" s="57" t="s">
        <v>675</v>
      </c>
      <c r="B68" s="46" t="s">
        <v>258</v>
      </c>
      <c r="C68" s="1" t="s">
        <v>707</v>
      </c>
      <c r="D68" s="287">
        <v>3</v>
      </c>
      <c r="E68" s="11">
        <v>40</v>
      </c>
      <c r="F68" s="65">
        <v>192</v>
      </c>
      <c r="G68" s="59">
        <v>802.56</v>
      </c>
      <c r="H68" s="68">
        <v>67.099999999999994</v>
      </c>
      <c r="I68" s="3">
        <v>2.2999999999999998</v>
      </c>
      <c r="J68" s="3">
        <v>13.4</v>
      </c>
      <c r="K68" s="3">
        <v>15.6</v>
      </c>
      <c r="L68" s="3">
        <v>3.5</v>
      </c>
      <c r="M68" s="7">
        <v>1.6</v>
      </c>
      <c r="N68" s="65">
        <v>38</v>
      </c>
      <c r="O68" s="65">
        <v>34</v>
      </c>
      <c r="P68" s="3">
        <v>0.2</v>
      </c>
      <c r="Q68" s="3">
        <v>3.73</v>
      </c>
      <c r="R68" s="65">
        <v>14</v>
      </c>
      <c r="S68" s="65">
        <v>1806</v>
      </c>
      <c r="T68" s="65">
        <v>10</v>
      </c>
      <c r="U68" s="61" t="s">
        <v>2</v>
      </c>
      <c r="V68" s="61">
        <v>0.64400000000000002</v>
      </c>
      <c r="W68" s="7">
        <v>0.7</v>
      </c>
      <c r="X68" s="3">
        <v>8</v>
      </c>
      <c r="Y68" s="61">
        <v>0.05</v>
      </c>
      <c r="Z68" s="61">
        <v>0.18</v>
      </c>
      <c r="AA68" s="61">
        <v>0.9</v>
      </c>
      <c r="AB68" s="61" t="s">
        <v>2</v>
      </c>
      <c r="AC68" s="61">
        <v>0.81</v>
      </c>
      <c r="AD68" s="65">
        <v>24</v>
      </c>
      <c r="AE68" s="65" t="s">
        <v>2</v>
      </c>
      <c r="AF68" s="3" t="s">
        <v>2</v>
      </c>
      <c r="AG68" s="7" t="s">
        <v>2</v>
      </c>
      <c r="AH68" s="65">
        <v>0</v>
      </c>
      <c r="AI68" s="65">
        <v>3</v>
      </c>
      <c r="AJ68" s="3" t="s">
        <v>2</v>
      </c>
      <c r="AK68" s="3">
        <v>0.5</v>
      </c>
      <c r="AL68" s="7" t="s">
        <v>2</v>
      </c>
      <c r="AM68" s="65">
        <v>41</v>
      </c>
      <c r="AN68" s="65" t="s">
        <v>2</v>
      </c>
      <c r="AO68" s="59" t="s">
        <v>2</v>
      </c>
      <c r="AP68" s="3">
        <v>4.5999999999999999E-2</v>
      </c>
      <c r="AQ68" s="61">
        <v>3.4000000000000002E-2</v>
      </c>
      <c r="AR68" s="61">
        <v>0</v>
      </c>
      <c r="AS68" s="61">
        <v>4.0000000000000001E-3</v>
      </c>
      <c r="AT68" s="61">
        <v>0</v>
      </c>
      <c r="AU68" s="61">
        <v>0</v>
      </c>
      <c r="AV68" s="62">
        <v>0</v>
      </c>
      <c r="AW68" s="3">
        <v>5.0000000000000001E-3</v>
      </c>
      <c r="AX68" s="61">
        <v>0</v>
      </c>
      <c r="AY68" s="61">
        <v>5.0000000000000001E-3</v>
      </c>
      <c r="AZ68" s="62" t="s">
        <v>2</v>
      </c>
      <c r="BA68" s="3">
        <v>8.8999999999999996E-2</v>
      </c>
      <c r="BB68" s="61">
        <v>7.5999999999999998E-2</v>
      </c>
      <c r="BC68" s="61">
        <v>1.2999999999999999E-2</v>
      </c>
      <c r="BD68" s="61" t="s">
        <v>2</v>
      </c>
      <c r="BE68" s="61" t="s">
        <v>2</v>
      </c>
      <c r="BF68" s="62" t="s">
        <v>2</v>
      </c>
      <c r="BG68" s="11" t="s">
        <v>2</v>
      </c>
      <c r="BH68" s="11">
        <v>0</v>
      </c>
      <c r="BI68" s="65" t="s">
        <v>2</v>
      </c>
      <c r="BJ68" s="65" t="s">
        <v>2</v>
      </c>
      <c r="BK68" s="65" t="s">
        <v>2</v>
      </c>
      <c r="BL68" s="65" t="s">
        <v>2</v>
      </c>
      <c r="BM68" s="65" t="s">
        <v>2</v>
      </c>
      <c r="BN68" s="65" t="s">
        <v>2</v>
      </c>
      <c r="BO68" s="65" t="s">
        <v>2</v>
      </c>
      <c r="BP68" s="65" t="s">
        <v>2</v>
      </c>
      <c r="BQ68" s="65" t="s">
        <v>2</v>
      </c>
      <c r="BR68" s="65" t="s">
        <v>2</v>
      </c>
      <c r="BS68" s="65" t="s">
        <v>2</v>
      </c>
      <c r="BT68" s="65" t="s">
        <v>2</v>
      </c>
      <c r="BU68" s="65" t="s">
        <v>2</v>
      </c>
      <c r="BV68" s="65" t="s">
        <v>2</v>
      </c>
      <c r="BW68" s="65" t="s">
        <v>2</v>
      </c>
      <c r="BX68" s="65" t="s">
        <v>2</v>
      </c>
      <c r="BY68" s="65" t="s">
        <v>2</v>
      </c>
      <c r="BZ68" s="59" t="s">
        <v>2</v>
      </c>
      <c r="CA68" s="3" t="s">
        <v>2</v>
      </c>
      <c r="CB68" s="3" t="s">
        <v>2</v>
      </c>
      <c r="CC68" s="3" t="s">
        <v>2</v>
      </c>
      <c r="CD68" s="3" t="s">
        <v>2</v>
      </c>
      <c r="CE68" s="3" t="s">
        <v>2</v>
      </c>
      <c r="CF68" s="3" t="s">
        <v>2</v>
      </c>
      <c r="CG68" s="7" t="s">
        <v>2</v>
      </c>
      <c r="CH68" s="65" t="s">
        <v>2</v>
      </c>
      <c r="CI68" s="59" t="s">
        <v>2</v>
      </c>
      <c r="CJ68" s="3" t="s">
        <v>2</v>
      </c>
      <c r="CK68" s="3" t="s">
        <v>2</v>
      </c>
      <c r="CL68" s="3" t="s">
        <v>2</v>
      </c>
      <c r="CM68" s="7" t="s">
        <v>2</v>
      </c>
      <c r="CN68" s="11" t="s">
        <v>2</v>
      </c>
      <c r="CO68" s="11" t="s">
        <v>2</v>
      </c>
    </row>
    <row r="69" spans="1:93" s="13" customFormat="1" x14ac:dyDescent="0.25">
      <c r="A69" s="57" t="s">
        <v>676</v>
      </c>
      <c r="B69" s="46" t="s">
        <v>259</v>
      </c>
      <c r="C69" s="1" t="s">
        <v>708</v>
      </c>
      <c r="D69" s="287">
        <v>3</v>
      </c>
      <c r="E69" s="11">
        <v>90</v>
      </c>
      <c r="F69" s="65">
        <v>440</v>
      </c>
      <c r="G69" s="59">
        <v>1839.1999999999998</v>
      </c>
      <c r="H69" s="68">
        <v>35</v>
      </c>
      <c r="I69" s="3">
        <v>20</v>
      </c>
      <c r="J69" s="3">
        <v>38</v>
      </c>
      <c r="K69" s="3">
        <v>4.5999999999999996</v>
      </c>
      <c r="L69" s="3">
        <v>3.4</v>
      </c>
      <c r="M69" s="7">
        <v>2.4</v>
      </c>
      <c r="N69" s="65">
        <v>66</v>
      </c>
      <c r="O69" s="65">
        <v>440</v>
      </c>
      <c r="P69" s="3">
        <v>3.1</v>
      </c>
      <c r="Q69" s="3" t="s">
        <v>2</v>
      </c>
      <c r="R69" s="65" t="s">
        <v>2</v>
      </c>
      <c r="S69" s="65" t="s">
        <v>2</v>
      </c>
      <c r="T69" s="65" t="s">
        <v>2</v>
      </c>
      <c r="U69" s="61" t="s">
        <v>2</v>
      </c>
      <c r="V69" s="61" t="s">
        <v>2</v>
      </c>
      <c r="W69" s="7" t="s">
        <v>2</v>
      </c>
      <c r="X69" s="3" t="s">
        <v>2</v>
      </c>
      <c r="Y69" s="61" t="s">
        <v>2</v>
      </c>
      <c r="Z69" s="61" t="s">
        <v>2</v>
      </c>
      <c r="AA69" s="61" t="s">
        <v>2</v>
      </c>
      <c r="AB69" s="61" t="s">
        <v>2</v>
      </c>
      <c r="AC69" s="61" t="s">
        <v>2</v>
      </c>
      <c r="AD69" s="65" t="s">
        <v>2</v>
      </c>
      <c r="AE69" s="65" t="s">
        <v>2</v>
      </c>
      <c r="AF69" s="3" t="s">
        <v>2</v>
      </c>
      <c r="AG69" s="7" t="s">
        <v>2</v>
      </c>
      <c r="AH69" s="65">
        <v>0</v>
      </c>
      <c r="AI69" s="65">
        <v>0</v>
      </c>
      <c r="AJ69" s="3" t="s">
        <v>2</v>
      </c>
      <c r="AK69" s="3" t="s">
        <v>2</v>
      </c>
      <c r="AL69" s="7" t="s">
        <v>2</v>
      </c>
      <c r="AM69" s="65" t="s">
        <v>2</v>
      </c>
      <c r="AN69" s="65" t="s">
        <v>2</v>
      </c>
      <c r="AO69" s="59" t="s">
        <v>2</v>
      </c>
      <c r="AP69" s="3" t="s">
        <v>2</v>
      </c>
      <c r="AQ69" s="61" t="s">
        <v>2</v>
      </c>
      <c r="AR69" s="61" t="s">
        <v>2</v>
      </c>
      <c r="AS69" s="61" t="s">
        <v>2</v>
      </c>
      <c r="AT69" s="61" t="s">
        <v>2</v>
      </c>
      <c r="AU69" s="61" t="s">
        <v>2</v>
      </c>
      <c r="AV69" s="62" t="s">
        <v>2</v>
      </c>
      <c r="AW69" s="3" t="s">
        <v>2</v>
      </c>
      <c r="AX69" s="61" t="s">
        <v>2</v>
      </c>
      <c r="AY69" s="61" t="s">
        <v>2</v>
      </c>
      <c r="AZ69" s="62" t="s">
        <v>2</v>
      </c>
      <c r="BA69" s="3" t="s">
        <v>2</v>
      </c>
      <c r="BB69" s="61" t="s">
        <v>2</v>
      </c>
      <c r="BC69" s="61" t="s">
        <v>2</v>
      </c>
      <c r="BD69" s="61" t="s">
        <v>2</v>
      </c>
      <c r="BE69" s="61" t="s">
        <v>2</v>
      </c>
      <c r="BF69" s="62" t="s">
        <v>2</v>
      </c>
      <c r="BG69" s="11" t="s">
        <v>2</v>
      </c>
      <c r="BH69" s="11">
        <v>0</v>
      </c>
      <c r="BI69" s="65" t="s">
        <v>2</v>
      </c>
      <c r="BJ69" s="65" t="s">
        <v>2</v>
      </c>
      <c r="BK69" s="65" t="s">
        <v>2</v>
      </c>
      <c r="BL69" s="65" t="s">
        <v>2</v>
      </c>
      <c r="BM69" s="65" t="s">
        <v>2</v>
      </c>
      <c r="BN69" s="65" t="s">
        <v>2</v>
      </c>
      <c r="BO69" s="65" t="s">
        <v>2</v>
      </c>
      <c r="BP69" s="65" t="s">
        <v>2</v>
      </c>
      <c r="BQ69" s="65" t="s">
        <v>2</v>
      </c>
      <c r="BR69" s="65" t="s">
        <v>2</v>
      </c>
      <c r="BS69" s="65" t="s">
        <v>2</v>
      </c>
      <c r="BT69" s="65" t="s">
        <v>2</v>
      </c>
      <c r="BU69" s="65" t="s">
        <v>2</v>
      </c>
      <c r="BV69" s="65" t="s">
        <v>2</v>
      </c>
      <c r="BW69" s="65" t="s">
        <v>2</v>
      </c>
      <c r="BX69" s="65" t="s">
        <v>2</v>
      </c>
      <c r="BY69" s="65" t="s">
        <v>2</v>
      </c>
      <c r="BZ69" s="59" t="s">
        <v>2</v>
      </c>
      <c r="CA69" s="3" t="s">
        <v>2</v>
      </c>
      <c r="CB69" s="3" t="s">
        <v>2</v>
      </c>
      <c r="CC69" s="3" t="s">
        <v>2</v>
      </c>
      <c r="CD69" s="3" t="s">
        <v>2</v>
      </c>
      <c r="CE69" s="3" t="s">
        <v>2</v>
      </c>
      <c r="CF69" s="3" t="s">
        <v>2</v>
      </c>
      <c r="CG69" s="7" t="s">
        <v>2</v>
      </c>
      <c r="CH69" s="65" t="s">
        <v>2</v>
      </c>
      <c r="CI69" s="59" t="s">
        <v>2</v>
      </c>
      <c r="CJ69" s="3" t="s">
        <v>2</v>
      </c>
      <c r="CK69" s="3" t="s">
        <v>2</v>
      </c>
      <c r="CL69" s="3" t="s">
        <v>2</v>
      </c>
      <c r="CM69" s="7" t="s">
        <v>2</v>
      </c>
      <c r="CN69" s="11" t="s">
        <v>2</v>
      </c>
      <c r="CO69" s="11" t="s">
        <v>2</v>
      </c>
    </row>
    <row r="70" spans="1:93" s="13" customFormat="1" x14ac:dyDescent="0.25">
      <c r="A70" s="57" t="s">
        <v>677</v>
      </c>
      <c r="B70" s="46" t="s">
        <v>260</v>
      </c>
      <c r="C70" s="1" t="s">
        <v>709</v>
      </c>
      <c r="D70" s="287">
        <v>3</v>
      </c>
      <c r="E70" s="11">
        <v>5</v>
      </c>
      <c r="F70" s="65">
        <v>582</v>
      </c>
      <c r="G70" s="59">
        <v>2432.7599999999998</v>
      </c>
      <c r="H70" s="68">
        <v>7.6</v>
      </c>
      <c r="I70" s="3">
        <v>20.100000000000001</v>
      </c>
      <c r="J70" s="3">
        <v>46.4</v>
      </c>
      <c r="K70" s="3">
        <v>21.1</v>
      </c>
      <c r="L70" s="3">
        <v>3.5</v>
      </c>
      <c r="M70" s="7">
        <v>4.8</v>
      </c>
      <c r="N70" s="65">
        <v>975</v>
      </c>
      <c r="O70" s="65">
        <v>629</v>
      </c>
      <c r="P70" s="3">
        <v>14.55</v>
      </c>
      <c r="Q70" s="3">
        <v>7.75</v>
      </c>
      <c r="R70" s="65">
        <v>11</v>
      </c>
      <c r="S70" s="65">
        <v>468</v>
      </c>
      <c r="T70" s="65">
        <v>351</v>
      </c>
      <c r="U70" s="61">
        <v>2.46</v>
      </c>
      <c r="V70" s="61">
        <v>4082</v>
      </c>
      <c r="W70" s="7">
        <v>5.7</v>
      </c>
      <c r="X70" s="3">
        <v>0</v>
      </c>
      <c r="Y70" s="61">
        <v>0.79</v>
      </c>
      <c r="Z70" s="61">
        <v>0.25</v>
      </c>
      <c r="AA70" s="61">
        <v>4.5149999999999997</v>
      </c>
      <c r="AB70" s="61">
        <v>0.05</v>
      </c>
      <c r="AC70" s="61">
        <v>0.79</v>
      </c>
      <c r="AD70" s="65">
        <v>97</v>
      </c>
      <c r="AE70" s="65">
        <v>0</v>
      </c>
      <c r="AF70" s="3" t="s">
        <v>2</v>
      </c>
      <c r="AG70" s="7">
        <v>0</v>
      </c>
      <c r="AH70" s="65">
        <v>0</v>
      </c>
      <c r="AI70" s="65">
        <v>1</v>
      </c>
      <c r="AJ70" s="3" t="s">
        <v>2</v>
      </c>
      <c r="AK70" s="3">
        <v>0.25</v>
      </c>
      <c r="AL70" s="7">
        <v>0</v>
      </c>
      <c r="AM70" s="65">
        <v>15</v>
      </c>
      <c r="AN70" s="65" t="s">
        <v>2</v>
      </c>
      <c r="AO70" s="59" t="s">
        <v>2</v>
      </c>
      <c r="AP70" s="3">
        <v>6.96</v>
      </c>
      <c r="AQ70" s="61">
        <v>4.4409999999999998</v>
      </c>
      <c r="AR70" s="61">
        <v>0</v>
      </c>
      <c r="AS70" s="61">
        <v>2.09</v>
      </c>
      <c r="AT70" s="61">
        <v>0</v>
      </c>
      <c r="AU70" s="61">
        <v>0</v>
      </c>
      <c r="AV70" s="62">
        <v>0</v>
      </c>
      <c r="AW70" s="3">
        <v>18.760000000000002</v>
      </c>
      <c r="AX70" s="61">
        <v>0</v>
      </c>
      <c r="AY70" s="61">
        <v>0.14899999999999999</v>
      </c>
      <c r="AZ70" s="62">
        <v>18.521000000000001</v>
      </c>
      <c r="BA70" s="3">
        <v>21.77</v>
      </c>
      <c r="BB70" s="61">
        <v>21.375</v>
      </c>
      <c r="BC70" s="61">
        <v>0.376</v>
      </c>
      <c r="BD70" s="61">
        <v>0</v>
      </c>
      <c r="BE70" s="61">
        <v>0</v>
      </c>
      <c r="BF70" s="61">
        <v>0</v>
      </c>
      <c r="BG70" s="11" t="s">
        <v>2</v>
      </c>
      <c r="BH70" s="11">
        <v>0</v>
      </c>
      <c r="BI70" s="65">
        <v>680</v>
      </c>
      <c r="BJ70" s="65">
        <v>600</v>
      </c>
      <c r="BK70" s="65">
        <v>360</v>
      </c>
      <c r="BL70" s="65">
        <v>1410</v>
      </c>
      <c r="BM70" s="65">
        <v>680</v>
      </c>
      <c r="BN70" s="65">
        <v>1000</v>
      </c>
      <c r="BO70" s="65">
        <v>1410</v>
      </c>
      <c r="BP70" s="65">
        <v>840</v>
      </c>
      <c r="BQ70" s="65">
        <v>1850</v>
      </c>
      <c r="BR70" s="65">
        <v>300</v>
      </c>
      <c r="BS70" s="65">
        <v>202</v>
      </c>
      <c r="BT70" s="65">
        <v>712</v>
      </c>
      <c r="BU70" s="65">
        <v>1082</v>
      </c>
      <c r="BV70" s="65">
        <v>1134</v>
      </c>
      <c r="BW70" s="65">
        <v>4154</v>
      </c>
      <c r="BX70" s="65">
        <v>1245</v>
      </c>
      <c r="BY70" s="65">
        <v>1245</v>
      </c>
      <c r="BZ70" s="59">
        <v>982</v>
      </c>
      <c r="CA70" s="3">
        <v>0.3</v>
      </c>
      <c r="CB70" s="3" t="s">
        <v>2</v>
      </c>
      <c r="CC70" s="3" t="s">
        <v>2</v>
      </c>
      <c r="CD70" s="3" t="s">
        <v>2</v>
      </c>
      <c r="CE70" s="3" t="s">
        <v>2</v>
      </c>
      <c r="CF70" s="3" t="s">
        <v>2</v>
      </c>
      <c r="CG70" s="7" t="s">
        <v>2</v>
      </c>
      <c r="CH70" s="65">
        <v>0</v>
      </c>
      <c r="CI70" s="59">
        <v>0</v>
      </c>
      <c r="CJ70" s="3" t="s">
        <v>2</v>
      </c>
      <c r="CK70" s="3" t="s">
        <v>2</v>
      </c>
      <c r="CL70" s="3" t="s">
        <v>2</v>
      </c>
      <c r="CM70" s="7" t="s">
        <v>2</v>
      </c>
      <c r="CN70" s="11">
        <v>714</v>
      </c>
      <c r="CO70" s="11">
        <v>62</v>
      </c>
    </row>
    <row r="71" spans="1:93" s="13" customFormat="1" x14ac:dyDescent="0.25">
      <c r="A71" s="57" t="s">
        <v>678</v>
      </c>
      <c r="B71" s="46" t="s">
        <v>261</v>
      </c>
      <c r="C71" s="1" t="s">
        <v>710</v>
      </c>
      <c r="D71" s="287">
        <v>3</v>
      </c>
      <c r="E71" s="11">
        <v>0</v>
      </c>
      <c r="F71" s="65">
        <v>331</v>
      </c>
      <c r="G71" s="59">
        <v>1383.58</v>
      </c>
      <c r="H71" s="68">
        <v>14</v>
      </c>
      <c r="I71" s="3">
        <v>49</v>
      </c>
      <c r="J71" s="3">
        <v>1</v>
      </c>
      <c r="K71" s="3">
        <v>31.5</v>
      </c>
      <c r="L71" s="3">
        <v>2.5</v>
      </c>
      <c r="M71" s="7">
        <v>4.5</v>
      </c>
      <c r="N71" s="65">
        <v>247</v>
      </c>
      <c r="O71" s="65">
        <v>602</v>
      </c>
      <c r="P71" s="3">
        <v>7.6</v>
      </c>
      <c r="Q71" s="3">
        <v>2.46</v>
      </c>
      <c r="R71" s="65">
        <v>20</v>
      </c>
      <c r="S71" s="65">
        <v>2384</v>
      </c>
      <c r="T71" s="65">
        <v>290</v>
      </c>
      <c r="U71" s="61">
        <v>3.0179999999999998</v>
      </c>
      <c r="V71" s="61">
        <v>4067</v>
      </c>
      <c r="W71" s="7">
        <v>1.7</v>
      </c>
      <c r="X71" s="3">
        <v>0</v>
      </c>
      <c r="Y71" s="61">
        <v>0.7</v>
      </c>
      <c r="Z71" s="61">
        <v>0.3</v>
      </c>
      <c r="AA71" s="61">
        <v>2</v>
      </c>
      <c r="AB71" s="61">
        <v>1.9950000000000001</v>
      </c>
      <c r="AC71" s="61">
        <v>0.57399999999999995</v>
      </c>
      <c r="AD71" s="65">
        <v>305</v>
      </c>
      <c r="AE71" s="65">
        <v>0</v>
      </c>
      <c r="AF71" s="3" t="s">
        <v>2</v>
      </c>
      <c r="AG71" s="7">
        <v>0</v>
      </c>
      <c r="AH71" s="65">
        <v>0</v>
      </c>
      <c r="AI71" s="65">
        <v>3</v>
      </c>
      <c r="AJ71" s="3" t="s">
        <v>2</v>
      </c>
      <c r="AK71" s="3">
        <v>0.2</v>
      </c>
      <c r="AL71" s="7">
        <v>4.0999999999999996</v>
      </c>
      <c r="AM71" s="65">
        <v>35</v>
      </c>
      <c r="AN71" s="65" t="s">
        <v>2</v>
      </c>
      <c r="AO71" s="59" t="s">
        <v>2</v>
      </c>
      <c r="AP71" s="3">
        <v>0.14000000000000001</v>
      </c>
      <c r="AQ71" s="61">
        <v>0.1</v>
      </c>
      <c r="AR71" s="61">
        <v>0</v>
      </c>
      <c r="AS71" s="61">
        <v>3.4000000000000002E-2</v>
      </c>
      <c r="AT71" s="61">
        <v>0</v>
      </c>
      <c r="AU71" s="61">
        <v>0</v>
      </c>
      <c r="AV71" s="62">
        <v>0</v>
      </c>
      <c r="AW71" s="3">
        <v>0.21</v>
      </c>
      <c r="AX71" s="61">
        <v>0</v>
      </c>
      <c r="AY71" s="61">
        <v>3.0000000000000001E-3</v>
      </c>
      <c r="AZ71" s="62">
        <v>0.20599999999999999</v>
      </c>
      <c r="BA71" s="3">
        <v>0.53</v>
      </c>
      <c r="BB71" s="61">
        <v>0.47</v>
      </c>
      <c r="BC71" s="61">
        <v>6.3E-2</v>
      </c>
      <c r="BD71" s="61">
        <v>0</v>
      </c>
      <c r="BE71" s="61">
        <v>0</v>
      </c>
      <c r="BF71" s="61">
        <v>0</v>
      </c>
      <c r="BG71" s="11" t="s">
        <v>2</v>
      </c>
      <c r="BH71" s="11">
        <v>0</v>
      </c>
      <c r="BI71" s="65">
        <v>3129</v>
      </c>
      <c r="BJ71" s="65">
        <v>634</v>
      </c>
      <c r="BK71" s="65">
        <v>683</v>
      </c>
      <c r="BL71" s="65">
        <v>2453</v>
      </c>
      <c r="BM71" s="65">
        <v>2042</v>
      </c>
      <c r="BN71" s="65">
        <v>2346</v>
      </c>
      <c r="BO71" s="65">
        <v>3828</v>
      </c>
      <c r="BP71" s="65">
        <v>2281</v>
      </c>
      <c r="BQ71" s="65">
        <v>3647</v>
      </c>
      <c r="BR71" s="65">
        <v>1268</v>
      </c>
      <c r="BS71" s="65">
        <v>757</v>
      </c>
      <c r="BT71" s="65">
        <v>1778</v>
      </c>
      <c r="BU71" s="65">
        <v>2215</v>
      </c>
      <c r="BV71" s="65">
        <v>5911</v>
      </c>
      <c r="BW71" s="65">
        <v>9106</v>
      </c>
      <c r="BX71" s="65">
        <v>2174</v>
      </c>
      <c r="BY71" s="65">
        <v>2750</v>
      </c>
      <c r="BZ71" s="59">
        <v>2725</v>
      </c>
      <c r="CA71" s="3" t="s">
        <v>2</v>
      </c>
      <c r="CB71" s="3" t="s">
        <v>2</v>
      </c>
      <c r="CC71" s="3" t="s">
        <v>2</v>
      </c>
      <c r="CD71" s="3" t="s">
        <v>2</v>
      </c>
      <c r="CE71" s="3" t="s">
        <v>2</v>
      </c>
      <c r="CF71" s="3" t="s">
        <v>2</v>
      </c>
      <c r="CG71" s="7" t="s">
        <v>2</v>
      </c>
      <c r="CH71" s="65">
        <v>0</v>
      </c>
      <c r="CI71" s="59">
        <v>0</v>
      </c>
      <c r="CJ71" s="3">
        <v>131.19</v>
      </c>
      <c r="CK71" s="3">
        <v>57.47</v>
      </c>
      <c r="CL71" s="3">
        <v>71.209999999999994</v>
      </c>
      <c r="CM71" s="7">
        <v>7.55</v>
      </c>
      <c r="CN71" s="11" t="s">
        <v>2</v>
      </c>
      <c r="CO71" s="11" t="s">
        <v>2</v>
      </c>
    </row>
    <row r="72" spans="1:93" s="13" customFormat="1" x14ac:dyDescent="0.25">
      <c r="A72" s="57" t="s">
        <v>679</v>
      </c>
      <c r="B72" s="46" t="s">
        <v>262</v>
      </c>
      <c r="C72" s="1" t="s">
        <v>711</v>
      </c>
      <c r="D72" s="287">
        <v>3</v>
      </c>
      <c r="E72" s="11">
        <v>0</v>
      </c>
      <c r="F72" s="65">
        <v>428</v>
      </c>
      <c r="G72" s="59">
        <v>1789.04</v>
      </c>
      <c r="H72" s="68">
        <v>10</v>
      </c>
      <c r="I72" s="3">
        <v>41</v>
      </c>
      <c r="J72" s="3">
        <v>18</v>
      </c>
      <c r="K72" s="3">
        <v>25.4</v>
      </c>
      <c r="L72" s="3">
        <v>2.5</v>
      </c>
      <c r="M72" s="7">
        <v>5.6</v>
      </c>
      <c r="N72" s="65">
        <v>189</v>
      </c>
      <c r="O72" s="65">
        <v>540</v>
      </c>
      <c r="P72" s="3">
        <v>7.5</v>
      </c>
      <c r="Q72" s="3" t="s">
        <v>2</v>
      </c>
      <c r="R72" s="65" t="s">
        <v>2</v>
      </c>
      <c r="S72" s="65" t="s">
        <v>2</v>
      </c>
      <c r="T72" s="65" t="s">
        <v>2</v>
      </c>
      <c r="U72" s="61" t="s">
        <v>2</v>
      </c>
      <c r="V72" s="61" t="s">
        <v>2</v>
      </c>
      <c r="W72" s="7" t="s">
        <v>2</v>
      </c>
      <c r="X72" s="3" t="s">
        <v>2</v>
      </c>
      <c r="Y72" s="61">
        <v>0.4</v>
      </c>
      <c r="Z72" s="61">
        <v>0.16</v>
      </c>
      <c r="AA72" s="61">
        <v>2</v>
      </c>
      <c r="AB72" s="61" t="s">
        <v>2</v>
      </c>
      <c r="AC72" s="61" t="s">
        <v>2</v>
      </c>
      <c r="AD72" s="65" t="s">
        <v>2</v>
      </c>
      <c r="AE72" s="65" t="s">
        <v>2</v>
      </c>
      <c r="AF72" s="3" t="s">
        <v>2</v>
      </c>
      <c r="AG72" s="7" t="s">
        <v>2</v>
      </c>
      <c r="AH72" s="65">
        <v>0</v>
      </c>
      <c r="AI72" s="65">
        <v>0</v>
      </c>
      <c r="AJ72" s="3" t="s">
        <v>2</v>
      </c>
      <c r="AK72" s="3" t="s">
        <v>2</v>
      </c>
      <c r="AL72" s="7" t="s">
        <v>2</v>
      </c>
      <c r="AM72" s="65" t="s">
        <v>2</v>
      </c>
      <c r="AN72" s="65" t="s">
        <v>2</v>
      </c>
      <c r="AO72" s="59" t="s">
        <v>2</v>
      </c>
      <c r="AP72" s="3">
        <v>3.16</v>
      </c>
      <c r="AQ72" s="61">
        <v>2.3199999999999998</v>
      </c>
      <c r="AR72" s="61">
        <v>0</v>
      </c>
      <c r="AS72" s="61">
        <v>0.78</v>
      </c>
      <c r="AT72" s="61">
        <v>0</v>
      </c>
      <c r="AU72" s="61">
        <v>0</v>
      </c>
      <c r="AV72" s="62">
        <v>0</v>
      </c>
      <c r="AW72" s="3">
        <v>4.29</v>
      </c>
      <c r="AX72" s="61">
        <v>0</v>
      </c>
      <c r="AY72" s="61">
        <v>6.0999999999999999E-2</v>
      </c>
      <c r="AZ72" s="62">
        <v>4.7679999999999998</v>
      </c>
      <c r="BA72" s="3">
        <v>12.34</v>
      </c>
      <c r="BB72" s="61">
        <v>10.882999999999999</v>
      </c>
      <c r="BC72" s="61">
        <v>1.458</v>
      </c>
      <c r="BD72" s="61">
        <v>0</v>
      </c>
      <c r="BE72" s="61">
        <v>0</v>
      </c>
      <c r="BF72" s="61">
        <v>0</v>
      </c>
      <c r="BG72" s="11" t="s">
        <v>2</v>
      </c>
      <c r="BH72" s="11">
        <v>0</v>
      </c>
      <c r="BI72" s="65">
        <v>2316</v>
      </c>
      <c r="BJ72" s="65">
        <v>469</v>
      </c>
      <c r="BK72" s="65">
        <v>506</v>
      </c>
      <c r="BL72" s="65">
        <v>1816</v>
      </c>
      <c r="BM72" s="65">
        <v>1511</v>
      </c>
      <c r="BN72" s="65">
        <v>1737</v>
      </c>
      <c r="BO72" s="65">
        <v>2834</v>
      </c>
      <c r="BP72" s="65">
        <v>1688</v>
      </c>
      <c r="BQ72" s="65">
        <v>2700</v>
      </c>
      <c r="BR72" s="65">
        <v>938</v>
      </c>
      <c r="BS72" s="65">
        <v>561</v>
      </c>
      <c r="BT72" s="65">
        <v>1316</v>
      </c>
      <c r="BU72" s="65">
        <v>1639</v>
      </c>
      <c r="BV72" s="65">
        <v>4375</v>
      </c>
      <c r="BW72" s="65">
        <v>6740</v>
      </c>
      <c r="BX72" s="65">
        <v>1609</v>
      </c>
      <c r="BY72" s="65">
        <v>2035</v>
      </c>
      <c r="BZ72" s="59">
        <v>2017</v>
      </c>
      <c r="CA72" s="3" t="s">
        <v>2</v>
      </c>
      <c r="CB72" s="3" t="s">
        <v>2</v>
      </c>
      <c r="CC72" s="3" t="s">
        <v>2</v>
      </c>
      <c r="CD72" s="3" t="s">
        <v>2</v>
      </c>
      <c r="CE72" s="3" t="s">
        <v>2</v>
      </c>
      <c r="CF72" s="3" t="s">
        <v>2</v>
      </c>
      <c r="CG72" s="7" t="s">
        <v>2</v>
      </c>
      <c r="CH72" s="65">
        <v>0</v>
      </c>
      <c r="CI72" s="59">
        <v>0</v>
      </c>
      <c r="CJ72" s="3">
        <v>198.95</v>
      </c>
      <c r="CK72" s="3">
        <v>99.27</v>
      </c>
      <c r="CL72" s="3">
        <v>98.75</v>
      </c>
      <c r="CM72" s="7">
        <v>16.399999999999999</v>
      </c>
      <c r="CN72" s="11" t="s">
        <v>2</v>
      </c>
      <c r="CO72" s="11" t="s">
        <v>2</v>
      </c>
    </row>
    <row r="73" spans="1:93" s="13" customFormat="1" x14ac:dyDescent="0.25">
      <c r="A73" s="57" t="s">
        <v>680</v>
      </c>
      <c r="B73" s="46" t="s">
        <v>263</v>
      </c>
      <c r="C73" s="1" t="s">
        <v>712</v>
      </c>
      <c r="D73" s="287">
        <v>3</v>
      </c>
      <c r="E73" s="11">
        <v>0</v>
      </c>
      <c r="F73" s="65">
        <v>363</v>
      </c>
      <c r="G73" s="59">
        <v>1517.34</v>
      </c>
      <c r="H73" s="68">
        <v>10</v>
      </c>
      <c r="I73" s="3">
        <v>24.6</v>
      </c>
      <c r="J73" s="3">
        <v>2.5</v>
      </c>
      <c r="K73" s="3">
        <v>60.4</v>
      </c>
      <c r="L73" s="3">
        <v>3.9</v>
      </c>
      <c r="M73" s="7">
        <v>2.5</v>
      </c>
      <c r="N73" s="65">
        <v>50</v>
      </c>
      <c r="O73" s="65">
        <v>100</v>
      </c>
      <c r="P73" s="3">
        <v>1</v>
      </c>
      <c r="Q73" s="3">
        <v>1.1499999999999999</v>
      </c>
      <c r="R73" s="65">
        <v>6</v>
      </c>
      <c r="S73" s="65">
        <v>1185</v>
      </c>
      <c r="T73" s="65">
        <v>283</v>
      </c>
      <c r="U73" s="61" t="s">
        <v>2</v>
      </c>
      <c r="V73" s="61">
        <v>921</v>
      </c>
      <c r="W73" s="7" t="s">
        <v>2</v>
      </c>
      <c r="X73" s="3">
        <v>4</v>
      </c>
      <c r="Y73" s="61">
        <v>0.75</v>
      </c>
      <c r="Z73" s="61">
        <v>0.16</v>
      </c>
      <c r="AA73" s="61">
        <v>2.5</v>
      </c>
      <c r="AB73" s="61">
        <v>1.9990000000000001</v>
      </c>
      <c r="AC73" s="61">
        <v>0.4</v>
      </c>
      <c r="AD73" s="65">
        <v>654</v>
      </c>
      <c r="AE73" s="65">
        <v>0</v>
      </c>
      <c r="AF73" s="3">
        <v>0.73</v>
      </c>
      <c r="AG73" s="7">
        <v>0</v>
      </c>
      <c r="AH73" s="65">
        <v>0</v>
      </c>
      <c r="AI73" s="65">
        <v>0</v>
      </c>
      <c r="AJ73" s="3" t="s">
        <v>2</v>
      </c>
      <c r="AK73" s="3">
        <v>0.53</v>
      </c>
      <c r="AL73" s="7">
        <v>9.4</v>
      </c>
      <c r="AM73" s="65" t="s">
        <v>2</v>
      </c>
      <c r="AN73" s="65" t="s">
        <v>2</v>
      </c>
      <c r="AO73" s="59" t="s">
        <v>2</v>
      </c>
      <c r="AP73" s="3">
        <v>0.36</v>
      </c>
      <c r="AQ73" s="61">
        <v>0.26</v>
      </c>
      <c r="AR73" s="61">
        <v>0</v>
      </c>
      <c r="AS73" s="61">
        <v>7.3999999999999996E-2</v>
      </c>
      <c r="AT73" s="61">
        <v>0</v>
      </c>
      <c r="AU73" s="61">
        <v>0</v>
      </c>
      <c r="AV73" s="62">
        <v>0</v>
      </c>
      <c r="AW73" s="3">
        <v>0.17</v>
      </c>
      <c r="AX73" s="61">
        <v>0</v>
      </c>
      <c r="AY73" s="61">
        <v>0</v>
      </c>
      <c r="AZ73" s="62">
        <v>0.16800000000000001</v>
      </c>
      <c r="BA73" s="3">
        <v>0.4</v>
      </c>
      <c r="BB73" s="61">
        <v>0.372</v>
      </c>
      <c r="BC73" s="61">
        <v>2.8000000000000001E-2</v>
      </c>
      <c r="BD73" s="61">
        <v>0</v>
      </c>
      <c r="BE73" s="61">
        <v>0</v>
      </c>
      <c r="BF73" s="61">
        <v>0</v>
      </c>
      <c r="BG73" s="11" t="s">
        <v>2</v>
      </c>
      <c r="BH73" s="11">
        <v>0</v>
      </c>
      <c r="BI73" s="65">
        <v>2255</v>
      </c>
      <c r="BJ73" s="65">
        <v>481</v>
      </c>
      <c r="BK73" s="65">
        <v>454</v>
      </c>
      <c r="BL73" s="65">
        <v>1324</v>
      </c>
      <c r="BM73" s="65">
        <v>774</v>
      </c>
      <c r="BN73" s="65">
        <v>1040</v>
      </c>
      <c r="BO73" s="65">
        <v>1689</v>
      </c>
      <c r="BP73" s="65">
        <v>989</v>
      </c>
      <c r="BQ73" s="65">
        <v>1545</v>
      </c>
      <c r="BR73" s="65">
        <v>697</v>
      </c>
      <c r="BS73" s="65">
        <v>119</v>
      </c>
      <c r="BT73" s="65">
        <v>585</v>
      </c>
      <c r="BU73" s="65">
        <v>850</v>
      </c>
      <c r="BV73" s="65">
        <v>2575</v>
      </c>
      <c r="BW73" s="65">
        <v>3282</v>
      </c>
      <c r="BX73" s="65">
        <v>797</v>
      </c>
      <c r="BY73" s="65">
        <v>843</v>
      </c>
      <c r="BZ73" s="59">
        <v>955</v>
      </c>
      <c r="CA73" s="3" t="s">
        <v>2</v>
      </c>
      <c r="CB73" s="3" t="s">
        <v>2</v>
      </c>
      <c r="CC73" s="3" t="s">
        <v>2</v>
      </c>
      <c r="CD73" s="3" t="s">
        <v>2</v>
      </c>
      <c r="CE73" s="3" t="s">
        <v>2</v>
      </c>
      <c r="CF73" s="3" t="s">
        <v>2</v>
      </c>
      <c r="CG73" s="7" t="s">
        <v>2</v>
      </c>
      <c r="CH73" s="65">
        <v>0</v>
      </c>
      <c r="CI73" s="59">
        <v>0</v>
      </c>
      <c r="CJ73" s="3">
        <v>0.2</v>
      </c>
      <c r="CK73" s="3">
        <v>0.01</v>
      </c>
      <c r="CL73" s="3">
        <v>0.19</v>
      </c>
      <c r="CM73" s="7" t="s">
        <v>2</v>
      </c>
      <c r="CN73" s="11" t="s">
        <v>2</v>
      </c>
      <c r="CO73" s="11" t="s">
        <v>2</v>
      </c>
    </row>
    <row r="74" spans="1:93" s="13" customFormat="1" x14ac:dyDescent="0.25">
      <c r="A74" s="57" t="s">
        <v>681</v>
      </c>
      <c r="B74" s="46" t="s">
        <v>264</v>
      </c>
      <c r="C74" s="1" t="s">
        <v>713</v>
      </c>
      <c r="D74" s="287">
        <v>3</v>
      </c>
      <c r="E74" s="11">
        <v>0</v>
      </c>
      <c r="F74" s="65">
        <v>583</v>
      </c>
      <c r="G74" s="59">
        <v>2436.94</v>
      </c>
      <c r="H74" s="68">
        <v>8</v>
      </c>
      <c r="I74" s="3">
        <v>27.5</v>
      </c>
      <c r="J74" s="3">
        <v>45</v>
      </c>
      <c r="K74" s="3">
        <v>17.100000000000001</v>
      </c>
      <c r="L74" s="3">
        <v>2.1</v>
      </c>
      <c r="M74" s="7">
        <v>2.4</v>
      </c>
      <c r="N74" s="65">
        <v>80</v>
      </c>
      <c r="O74" s="65">
        <v>380</v>
      </c>
      <c r="P74" s="3">
        <v>3</v>
      </c>
      <c r="Q74" s="3">
        <v>1.87</v>
      </c>
      <c r="R74" s="65">
        <v>4</v>
      </c>
      <c r="S74" s="65">
        <v>414</v>
      </c>
      <c r="T74" s="65">
        <v>182</v>
      </c>
      <c r="U74" s="61">
        <v>1.5740000000000001</v>
      </c>
      <c r="V74" s="61">
        <v>413</v>
      </c>
      <c r="W74" s="7" t="s">
        <v>2</v>
      </c>
      <c r="X74" s="3" t="s">
        <v>2</v>
      </c>
      <c r="Y74" s="61">
        <v>0.4</v>
      </c>
      <c r="Z74" s="61">
        <v>0.11</v>
      </c>
      <c r="AA74" s="61">
        <v>15.3</v>
      </c>
      <c r="AB74" s="61">
        <v>1.7390000000000001</v>
      </c>
      <c r="AC74" s="61">
        <v>0.34200000000000003</v>
      </c>
      <c r="AD74" s="65">
        <v>236</v>
      </c>
      <c r="AE74" s="65">
        <v>0</v>
      </c>
      <c r="AF74" s="3" t="s">
        <v>2</v>
      </c>
      <c r="AG74" s="7">
        <v>0</v>
      </c>
      <c r="AH74" s="65">
        <v>0</v>
      </c>
      <c r="AI74" s="65">
        <v>1</v>
      </c>
      <c r="AJ74" s="3" t="s">
        <v>2</v>
      </c>
      <c r="AK74" s="3">
        <v>8.1999999999999993</v>
      </c>
      <c r="AL74" s="7">
        <v>0</v>
      </c>
      <c r="AM74" s="65">
        <v>10</v>
      </c>
      <c r="AN74" s="65" t="s">
        <v>2</v>
      </c>
      <c r="AO74" s="59" t="s">
        <v>2</v>
      </c>
      <c r="AP74" s="3">
        <v>6.25</v>
      </c>
      <c r="AQ74" s="61">
        <v>4.71</v>
      </c>
      <c r="AR74" s="61">
        <v>0</v>
      </c>
      <c r="AS74" s="61">
        <v>1.0049999999999999</v>
      </c>
      <c r="AT74" s="61">
        <v>0</v>
      </c>
      <c r="AU74" s="61">
        <v>0</v>
      </c>
      <c r="AV74" s="62">
        <v>0</v>
      </c>
      <c r="AW74" s="3">
        <v>22.33</v>
      </c>
      <c r="AX74" s="61">
        <v>0</v>
      </c>
      <c r="AY74" s="61">
        <v>8.0000000000000002E-3</v>
      </c>
      <c r="AZ74" s="62">
        <v>21.71</v>
      </c>
      <c r="BA74" s="3">
        <v>14.22</v>
      </c>
      <c r="BB74" s="61">
        <v>14.215999999999999</v>
      </c>
      <c r="BC74" s="61">
        <v>3.0000000000000001E-3</v>
      </c>
      <c r="BD74" s="61">
        <v>0</v>
      </c>
      <c r="BE74" s="61">
        <v>0</v>
      </c>
      <c r="BF74" s="61">
        <v>0</v>
      </c>
      <c r="BG74" s="11" t="s">
        <v>2</v>
      </c>
      <c r="BH74" s="11">
        <v>0</v>
      </c>
      <c r="BI74" s="65">
        <v>1055</v>
      </c>
      <c r="BJ74" s="65">
        <v>384</v>
      </c>
      <c r="BK74" s="65">
        <v>320</v>
      </c>
      <c r="BL74" s="65">
        <v>1791</v>
      </c>
      <c r="BM74" s="65">
        <v>821</v>
      </c>
      <c r="BN74" s="65">
        <v>1375</v>
      </c>
      <c r="BO74" s="65">
        <v>1876</v>
      </c>
      <c r="BP74" s="65">
        <v>938</v>
      </c>
      <c r="BQ74" s="65">
        <v>2899</v>
      </c>
      <c r="BR74" s="65">
        <v>618</v>
      </c>
      <c r="BS74" s="65">
        <v>265</v>
      </c>
      <c r="BT74" s="65">
        <v>713</v>
      </c>
      <c r="BU74" s="65">
        <v>713</v>
      </c>
      <c r="BV74" s="65">
        <v>3147</v>
      </c>
      <c r="BW74" s="65">
        <v>5404</v>
      </c>
      <c r="BX74" s="65">
        <v>1372</v>
      </c>
      <c r="BY74" s="65">
        <v>1317</v>
      </c>
      <c r="BZ74" s="59">
        <v>1660</v>
      </c>
      <c r="CA74" s="3" t="s">
        <v>2</v>
      </c>
      <c r="CB74" s="3" t="s">
        <v>2</v>
      </c>
      <c r="CC74" s="3" t="s">
        <v>2</v>
      </c>
      <c r="CD74" s="3" t="s">
        <v>2</v>
      </c>
      <c r="CE74" s="3" t="s">
        <v>2</v>
      </c>
      <c r="CF74" s="3" t="s">
        <v>2</v>
      </c>
      <c r="CG74" s="7" t="s">
        <v>2</v>
      </c>
      <c r="CH74" s="65">
        <v>0</v>
      </c>
      <c r="CI74" s="59">
        <v>0</v>
      </c>
      <c r="CJ74" s="3">
        <v>0.26</v>
      </c>
      <c r="CK74" s="3">
        <v>0.03</v>
      </c>
      <c r="CL74" s="3">
        <v>0.24</v>
      </c>
      <c r="CM74" s="7" t="s">
        <v>2</v>
      </c>
      <c r="CN74" s="11" t="s">
        <v>2</v>
      </c>
      <c r="CO74" s="11">
        <v>73</v>
      </c>
    </row>
    <row r="75" spans="1:93" s="13" customFormat="1" x14ac:dyDescent="0.25">
      <c r="A75" s="57" t="s">
        <v>682</v>
      </c>
      <c r="B75" s="46" t="s">
        <v>265</v>
      </c>
      <c r="C75" s="1" t="s">
        <v>714</v>
      </c>
      <c r="D75" s="287">
        <v>3</v>
      </c>
      <c r="E75" s="11">
        <v>0</v>
      </c>
      <c r="F75" s="65">
        <v>97</v>
      </c>
      <c r="G75" s="59">
        <v>405.46</v>
      </c>
      <c r="H75" s="68">
        <v>82</v>
      </c>
      <c r="I75" s="3">
        <v>10.9</v>
      </c>
      <c r="J75" s="3">
        <v>5.4</v>
      </c>
      <c r="K75" s="3">
        <v>1.1000000000000001</v>
      </c>
      <c r="L75" s="3">
        <v>0.4</v>
      </c>
      <c r="M75" s="7">
        <v>0.6</v>
      </c>
      <c r="N75" s="65">
        <v>24</v>
      </c>
      <c r="O75" s="65">
        <v>85</v>
      </c>
      <c r="P75" s="3">
        <v>2.2000000000000002</v>
      </c>
      <c r="Q75" s="3">
        <v>0.8</v>
      </c>
      <c r="R75" s="65">
        <v>7</v>
      </c>
      <c r="S75" s="65">
        <v>121</v>
      </c>
      <c r="T75" s="65">
        <v>30</v>
      </c>
      <c r="U75" s="61">
        <v>0.60499999999999998</v>
      </c>
      <c r="V75" s="61">
        <v>193</v>
      </c>
      <c r="W75" s="7">
        <v>8.9</v>
      </c>
      <c r="X75" s="3">
        <v>0.1</v>
      </c>
      <c r="Y75" s="61">
        <v>0.03</v>
      </c>
      <c r="Z75" s="61">
        <v>0.02</v>
      </c>
      <c r="AA75" s="61">
        <v>0.4</v>
      </c>
      <c r="AB75" s="61">
        <v>6.8000000000000005E-2</v>
      </c>
      <c r="AC75" s="61">
        <v>4.7E-2</v>
      </c>
      <c r="AD75" s="65">
        <v>15</v>
      </c>
      <c r="AE75" s="65">
        <v>0</v>
      </c>
      <c r="AF75" s="3" t="s">
        <v>2</v>
      </c>
      <c r="AG75" s="7">
        <v>0</v>
      </c>
      <c r="AH75" s="65">
        <v>0</v>
      </c>
      <c r="AI75" s="65">
        <v>0</v>
      </c>
      <c r="AJ75" s="3" t="s">
        <v>2</v>
      </c>
      <c r="AK75" s="3" t="s">
        <v>2</v>
      </c>
      <c r="AL75" s="7" t="s">
        <v>2</v>
      </c>
      <c r="AM75" s="65" t="s">
        <v>2</v>
      </c>
      <c r="AN75" s="65" t="s">
        <v>2</v>
      </c>
      <c r="AO75" s="59" t="s">
        <v>2</v>
      </c>
      <c r="AP75" s="3">
        <v>0.69</v>
      </c>
      <c r="AQ75" s="61">
        <v>0.50700000000000001</v>
      </c>
      <c r="AR75" s="61">
        <v>0</v>
      </c>
      <c r="AS75" s="61">
        <v>0.17100000000000001</v>
      </c>
      <c r="AT75" s="61">
        <v>0</v>
      </c>
      <c r="AU75" s="61">
        <v>0</v>
      </c>
      <c r="AV75" s="62">
        <v>0</v>
      </c>
      <c r="AW75" s="3">
        <v>1.06</v>
      </c>
      <c r="AX75" s="61">
        <v>0</v>
      </c>
      <c r="AY75" s="61">
        <v>1.2999999999999999E-2</v>
      </c>
      <c r="AZ75" s="62">
        <v>1.0429999999999999</v>
      </c>
      <c r="BA75" s="3">
        <v>2.7</v>
      </c>
      <c r="BB75" s="61">
        <v>2.38</v>
      </c>
      <c r="BC75" s="61">
        <v>0.31900000000000001</v>
      </c>
      <c r="BD75" s="61">
        <v>0</v>
      </c>
      <c r="BE75" s="61">
        <v>0</v>
      </c>
      <c r="BF75" s="61">
        <v>0</v>
      </c>
      <c r="BG75" s="11" t="s">
        <v>2</v>
      </c>
      <c r="BH75" s="11">
        <v>0</v>
      </c>
      <c r="BI75" s="65">
        <v>460</v>
      </c>
      <c r="BJ75" s="65">
        <v>108</v>
      </c>
      <c r="BK75" s="65">
        <v>133</v>
      </c>
      <c r="BL75" s="65">
        <v>443</v>
      </c>
      <c r="BM75" s="65">
        <v>235</v>
      </c>
      <c r="BN75" s="65">
        <v>364</v>
      </c>
      <c r="BO75" s="65">
        <v>618</v>
      </c>
      <c r="BP75" s="65">
        <v>360</v>
      </c>
      <c r="BQ75" s="65">
        <v>472</v>
      </c>
      <c r="BR75" s="65">
        <v>264</v>
      </c>
      <c r="BS75" s="65">
        <v>108</v>
      </c>
      <c r="BT75" s="65">
        <v>233</v>
      </c>
      <c r="BU75" s="65">
        <v>261</v>
      </c>
      <c r="BV75" s="65">
        <v>845</v>
      </c>
      <c r="BW75" s="65">
        <v>1536</v>
      </c>
      <c r="BX75" s="65">
        <v>293</v>
      </c>
      <c r="BY75" s="65">
        <v>410</v>
      </c>
      <c r="BZ75" s="59">
        <v>367</v>
      </c>
      <c r="CA75" s="3" t="s">
        <v>2</v>
      </c>
      <c r="CB75" s="3" t="s">
        <v>2</v>
      </c>
      <c r="CC75" s="3" t="s">
        <v>2</v>
      </c>
      <c r="CD75" s="3" t="s">
        <v>2</v>
      </c>
      <c r="CE75" s="3" t="s">
        <v>2</v>
      </c>
      <c r="CF75" s="3" t="s">
        <v>2</v>
      </c>
      <c r="CG75" s="7" t="s">
        <v>2</v>
      </c>
      <c r="CH75" s="65">
        <v>0</v>
      </c>
      <c r="CI75" s="59">
        <v>0</v>
      </c>
      <c r="CJ75" s="3">
        <v>23.61</v>
      </c>
      <c r="CK75" s="3">
        <v>9.02</v>
      </c>
      <c r="CL75" s="3">
        <v>13.6</v>
      </c>
      <c r="CM75" s="7">
        <v>1.98</v>
      </c>
      <c r="CN75" s="11" t="s">
        <v>2</v>
      </c>
      <c r="CO75" s="11">
        <v>68</v>
      </c>
    </row>
    <row r="76" spans="1:93" s="13" customFormat="1" x14ac:dyDescent="0.25">
      <c r="A76" s="57" t="s">
        <v>683</v>
      </c>
      <c r="B76" s="46" t="s">
        <v>266</v>
      </c>
      <c r="C76" s="1" t="s">
        <v>715</v>
      </c>
      <c r="D76" s="287">
        <v>3</v>
      </c>
      <c r="E76" s="11">
        <v>0</v>
      </c>
      <c r="F76" s="65">
        <v>415</v>
      </c>
      <c r="G76" s="59">
        <v>1734.6999999999998</v>
      </c>
      <c r="H76" s="68">
        <v>18.5</v>
      </c>
      <c r="I76" s="3">
        <v>50.2</v>
      </c>
      <c r="J76" s="3">
        <v>20.8</v>
      </c>
      <c r="K76" s="3">
        <v>6.8</v>
      </c>
      <c r="L76" s="3">
        <v>0.3</v>
      </c>
      <c r="M76" s="7">
        <v>3.7</v>
      </c>
      <c r="N76" s="65">
        <v>325</v>
      </c>
      <c r="O76" s="65">
        <v>225</v>
      </c>
      <c r="P76" s="3">
        <v>10.8</v>
      </c>
      <c r="Q76" s="3" t="s">
        <v>2</v>
      </c>
      <c r="R76" s="65" t="s">
        <v>2</v>
      </c>
      <c r="S76" s="65" t="s">
        <v>2</v>
      </c>
      <c r="T76" s="65" t="s">
        <v>2</v>
      </c>
      <c r="U76" s="61" t="s">
        <v>2</v>
      </c>
      <c r="V76" s="61" t="s">
        <v>2</v>
      </c>
      <c r="W76" s="7" t="s">
        <v>2</v>
      </c>
      <c r="X76" s="3" t="s">
        <v>2</v>
      </c>
      <c r="Y76" s="61" t="s">
        <v>2</v>
      </c>
      <c r="Z76" s="61" t="s">
        <v>2</v>
      </c>
      <c r="AA76" s="61" t="s">
        <v>2</v>
      </c>
      <c r="AB76" s="61" t="s">
        <v>2</v>
      </c>
      <c r="AC76" s="61" t="s">
        <v>2</v>
      </c>
      <c r="AD76" s="65" t="s">
        <v>2</v>
      </c>
      <c r="AE76" s="65" t="s">
        <v>2</v>
      </c>
      <c r="AF76" s="3" t="s">
        <v>2</v>
      </c>
      <c r="AG76" s="7" t="s">
        <v>2</v>
      </c>
      <c r="AH76" s="65">
        <v>0</v>
      </c>
      <c r="AI76" s="65">
        <v>0</v>
      </c>
      <c r="AJ76" s="3" t="s">
        <v>2</v>
      </c>
      <c r="AK76" s="3" t="s">
        <v>2</v>
      </c>
      <c r="AL76" s="7" t="s">
        <v>2</v>
      </c>
      <c r="AM76" s="65" t="s">
        <v>2</v>
      </c>
      <c r="AN76" s="65" t="s">
        <v>2</v>
      </c>
      <c r="AO76" s="59" t="s">
        <v>2</v>
      </c>
      <c r="AP76" s="3" t="s">
        <v>2</v>
      </c>
      <c r="AQ76" s="61" t="s">
        <v>2</v>
      </c>
      <c r="AR76" s="61" t="s">
        <v>2</v>
      </c>
      <c r="AS76" s="61" t="s">
        <v>2</v>
      </c>
      <c r="AT76" s="61" t="s">
        <v>2</v>
      </c>
      <c r="AU76" s="61" t="s">
        <v>2</v>
      </c>
      <c r="AV76" s="62" t="s">
        <v>2</v>
      </c>
      <c r="AW76" s="3" t="s">
        <v>2</v>
      </c>
      <c r="AX76" s="61" t="s">
        <v>2</v>
      </c>
      <c r="AY76" s="61" t="s">
        <v>2</v>
      </c>
      <c r="AZ76" s="62" t="s">
        <v>2</v>
      </c>
      <c r="BA76" s="3" t="s">
        <v>2</v>
      </c>
      <c r="BB76" s="61" t="s">
        <v>2</v>
      </c>
      <c r="BC76" s="61" t="s">
        <v>2</v>
      </c>
      <c r="BD76" s="61" t="s">
        <v>2</v>
      </c>
      <c r="BE76" s="61" t="s">
        <v>2</v>
      </c>
      <c r="BF76" s="62" t="s">
        <v>2</v>
      </c>
      <c r="BG76" s="11" t="s">
        <v>2</v>
      </c>
      <c r="BH76" s="11">
        <v>0</v>
      </c>
      <c r="BI76" s="65" t="s">
        <v>2</v>
      </c>
      <c r="BJ76" s="65" t="s">
        <v>2</v>
      </c>
      <c r="BK76" s="65" t="s">
        <v>2</v>
      </c>
      <c r="BL76" s="65" t="s">
        <v>2</v>
      </c>
      <c r="BM76" s="65" t="s">
        <v>2</v>
      </c>
      <c r="BN76" s="65" t="s">
        <v>2</v>
      </c>
      <c r="BO76" s="65" t="s">
        <v>2</v>
      </c>
      <c r="BP76" s="65" t="s">
        <v>2</v>
      </c>
      <c r="BQ76" s="65" t="s">
        <v>2</v>
      </c>
      <c r="BR76" s="65" t="s">
        <v>2</v>
      </c>
      <c r="BS76" s="65" t="s">
        <v>2</v>
      </c>
      <c r="BT76" s="65" t="s">
        <v>2</v>
      </c>
      <c r="BU76" s="65" t="s">
        <v>2</v>
      </c>
      <c r="BV76" s="65" t="s">
        <v>2</v>
      </c>
      <c r="BW76" s="65" t="s">
        <v>2</v>
      </c>
      <c r="BX76" s="65" t="s">
        <v>2</v>
      </c>
      <c r="BY76" s="65" t="s">
        <v>2</v>
      </c>
      <c r="BZ76" s="59" t="s">
        <v>2</v>
      </c>
      <c r="CA76" s="3" t="s">
        <v>2</v>
      </c>
      <c r="CB76" s="3" t="s">
        <v>2</v>
      </c>
      <c r="CC76" s="3" t="s">
        <v>2</v>
      </c>
      <c r="CD76" s="3" t="s">
        <v>2</v>
      </c>
      <c r="CE76" s="3" t="s">
        <v>2</v>
      </c>
      <c r="CF76" s="3" t="s">
        <v>2</v>
      </c>
      <c r="CG76" s="7" t="s">
        <v>2</v>
      </c>
      <c r="CH76" s="65" t="s">
        <v>2</v>
      </c>
      <c r="CI76" s="59" t="s">
        <v>2</v>
      </c>
      <c r="CJ76" s="3" t="s">
        <v>2</v>
      </c>
      <c r="CK76" s="3" t="s">
        <v>2</v>
      </c>
      <c r="CL76" s="3" t="s">
        <v>2</v>
      </c>
      <c r="CM76" s="7" t="s">
        <v>2</v>
      </c>
      <c r="CN76" s="11" t="s">
        <v>2</v>
      </c>
      <c r="CO76" s="11" t="s">
        <v>2</v>
      </c>
    </row>
    <row r="77" spans="1:93" s="13" customFormat="1" x14ac:dyDescent="0.25">
      <c r="A77" s="57" t="s">
        <v>684</v>
      </c>
      <c r="B77" s="46" t="s">
        <v>267</v>
      </c>
      <c r="C77" s="1" t="s">
        <v>716</v>
      </c>
      <c r="D77" s="287">
        <v>3</v>
      </c>
      <c r="E77" s="11">
        <v>0</v>
      </c>
      <c r="F77" s="65">
        <v>116</v>
      </c>
      <c r="G77" s="59">
        <v>484.88</v>
      </c>
      <c r="H77" s="68">
        <v>78.2</v>
      </c>
      <c r="I77" s="3">
        <v>13.4</v>
      </c>
      <c r="J77" s="3">
        <v>6.4</v>
      </c>
      <c r="K77" s="3">
        <v>1.3</v>
      </c>
      <c r="L77" s="3">
        <v>0.5</v>
      </c>
      <c r="M77" s="7">
        <v>0.7</v>
      </c>
      <c r="N77" s="65">
        <v>370</v>
      </c>
      <c r="O77" s="65">
        <v>167</v>
      </c>
      <c r="P77" s="3">
        <v>4.7</v>
      </c>
      <c r="Q77" s="3" t="s">
        <v>2</v>
      </c>
      <c r="R77" s="65" t="s">
        <v>2</v>
      </c>
      <c r="S77" s="65" t="s">
        <v>2</v>
      </c>
      <c r="T77" s="65" t="s">
        <v>2</v>
      </c>
      <c r="U77" s="61" t="s">
        <v>2</v>
      </c>
      <c r="V77" s="61" t="s">
        <v>2</v>
      </c>
      <c r="W77" s="7" t="s">
        <v>2</v>
      </c>
      <c r="X77" s="3" t="s">
        <v>2</v>
      </c>
      <c r="Y77" s="61">
        <v>0.04</v>
      </c>
      <c r="Z77" s="61">
        <v>0.05</v>
      </c>
      <c r="AA77" s="63">
        <v>0.1</v>
      </c>
      <c r="AB77" s="61" t="s">
        <v>2</v>
      </c>
      <c r="AC77" s="61" t="s">
        <v>2</v>
      </c>
      <c r="AD77" s="65" t="s">
        <v>2</v>
      </c>
      <c r="AE77" s="65" t="s">
        <v>2</v>
      </c>
      <c r="AF77" s="3" t="s">
        <v>2</v>
      </c>
      <c r="AG77" s="7" t="s">
        <v>2</v>
      </c>
      <c r="AH77" s="65">
        <v>0</v>
      </c>
      <c r="AI77" s="65">
        <v>0</v>
      </c>
      <c r="AJ77" s="3" t="s">
        <v>2</v>
      </c>
      <c r="AK77" s="3" t="s">
        <v>2</v>
      </c>
      <c r="AL77" s="7" t="s">
        <v>2</v>
      </c>
      <c r="AM77" s="65" t="s">
        <v>2</v>
      </c>
      <c r="AN77" s="65" t="s">
        <v>2</v>
      </c>
      <c r="AO77" s="59" t="s">
        <v>2</v>
      </c>
      <c r="AP77" s="3" t="s">
        <v>2</v>
      </c>
      <c r="AQ77" s="61" t="s">
        <v>2</v>
      </c>
      <c r="AR77" s="61" t="s">
        <v>2</v>
      </c>
      <c r="AS77" s="61" t="s">
        <v>2</v>
      </c>
      <c r="AT77" s="61" t="s">
        <v>2</v>
      </c>
      <c r="AU77" s="61" t="s">
        <v>2</v>
      </c>
      <c r="AV77" s="62" t="s">
        <v>2</v>
      </c>
      <c r="AW77" s="3" t="s">
        <v>2</v>
      </c>
      <c r="AX77" s="61" t="s">
        <v>2</v>
      </c>
      <c r="AY77" s="61" t="s">
        <v>2</v>
      </c>
      <c r="AZ77" s="62" t="s">
        <v>2</v>
      </c>
      <c r="BA77" s="3" t="s">
        <v>2</v>
      </c>
      <c r="BB77" s="61" t="s">
        <v>2</v>
      </c>
      <c r="BC77" s="61" t="s">
        <v>2</v>
      </c>
      <c r="BD77" s="61" t="s">
        <v>2</v>
      </c>
      <c r="BE77" s="61" t="s">
        <v>2</v>
      </c>
      <c r="BF77" s="62" t="s">
        <v>2</v>
      </c>
      <c r="BG77" s="11" t="s">
        <v>2</v>
      </c>
      <c r="BH77" s="11">
        <v>0</v>
      </c>
      <c r="BI77" s="65" t="s">
        <v>2</v>
      </c>
      <c r="BJ77" s="65" t="s">
        <v>2</v>
      </c>
      <c r="BK77" s="65" t="s">
        <v>2</v>
      </c>
      <c r="BL77" s="65" t="s">
        <v>2</v>
      </c>
      <c r="BM77" s="65" t="s">
        <v>2</v>
      </c>
      <c r="BN77" s="65" t="s">
        <v>2</v>
      </c>
      <c r="BO77" s="65" t="s">
        <v>2</v>
      </c>
      <c r="BP77" s="65" t="s">
        <v>2</v>
      </c>
      <c r="BQ77" s="65" t="s">
        <v>2</v>
      </c>
      <c r="BR77" s="65" t="s">
        <v>2</v>
      </c>
      <c r="BS77" s="65" t="s">
        <v>2</v>
      </c>
      <c r="BT77" s="65" t="s">
        <v>2</v>
      </c>
      <c r="BU77" s="65" t="s">
        <v>2</v>
      </c>
      <c r="BV77" s="65" t="s">
        <v>2</v>
      </c>
      <c r="BW77" s="65" t="s">
        <v>2</v>
      </c>
      <c r="BX77" s="65" t="s">
        <v>2</v>
      </c>
      <c r="BY77" s="65" t="s">
        <v>2</v>
      </c>
      <c r="BZ77" s="59" t="s">
        <v>2</v>
      </c>
      <c r="CA77" s="3" t="s">
        <v>2</v>
      </c>
      <c r="CB77" s="3" t="s">
        <v>2</v>
      </c>
      <c r="CC77" s="3" t="s">
        <v>2</v>
      </c>
      <c r="CD77" s="3" t="s">
        <v>2</v>
      </c>
      <c r="CE77" s="3" t="s">
        <v>2</v>
      </c>
      <c r="CF77" s="3" t="s">
        <v>2</v>
      </c>
      <c r="CG77" s="7" t="s">
        <v>2</v>
      </c>
      <c r="CH77" s="65" t="s">
        <v>2</v>
      </c>
      <c r="CI77" s="59" t="s">
        <v>2</v>
      </c>
      <c r="CJ77" s="3" t="s">
        <v>2</v>
      </c>
      <c r="CK77" s="3" t="s">
        <v>2</v>
      </c>
      <c r="CL77" s="3" t="s">
        <v>2</v>
      </c>
      <c r="CM77" s="7" t="s">
        <v>2</v>
      </c>
      <c r="CN77" s="11" t="s">
        <v>2</v>
      </c>
      <c r="CO77" s="11" t="s">
        <v>2</v>
      </c>
    </row>
    <row r="78" spans="1:93" s="102" customFormat="1" x14ac:dyDescent="0.25">
      <c r="A78" s="101" t="s">
        <v>685</v>
      </c>
      <c r="B78" s="53" t="s">
        <v>268</v>
      </c>
      <c r="C78" s="5" t="s">
        <v>717</v>
      </c>
      <c r="D78" s="287">
        <v>3</v>
      </c>
      <c r="E78" s="21">
        <v>19</v>
      </c>
      <c r="F78" s="73">
        <v>528</v>
      </c>
      <c r="G78" s="59">
        <v>2207.04</v>
      </c>
      <c r="H78" s="74">
        <v>3.6</v>
      </c>
      <c r="I78" s="6">
        <v>35.1</v>
      </c>
      <c r="J78" s="6">
        <v>31.8</v>
      </c>
      <c r="K78" s="6">
        <v>25.3</v>
      </c>
      <c r="L78" s="6">
        <v>2.2999999999999998</v>
      </c>
      <c r="M78" s="22">
        <v>4.2</v>
      </c>
      <c r="N78" s="73">
        <v>235</v>
      </c>
      <c r="O78" s="73">
        <v>900</v>
      </c>
      <c r="P78" s="6">
        <v>2.2000000000000002</v>
      </c>
      <c r="Q78" s="6" t="s">
        <v>2</v>
      </c>
      <c r="R78" s="73">
        <v>172</v>
      </c>
      <c r="S78" s="73">
        <v>383</v>
      </c>
      <c r="T78" s="73">
        <v>311</v>
      </c>
      <c r="U78" s="75" t="s">
        <v>2</v>
      </c>
      <c r="V78" s="75" t="s">
        <v>2</v>
      </c>
      <c r="W78" s="22" t="s">
        <v>2</v>
      </c>
      <c r="X78" s="6" t="s">
        <v>2</v>
      </c>
      <c r="Y78" s="75">
        <v>0.15</v>
      </c>
      <c r="Z78" s="75">
        <v>0.15</v>
      </c>
      <c r="AA78" s="75">
        <v>3</v>
      </c>
      <c r="AB78" s="75" t="s">
        <v>2</v>
      </c>
      <c r="AC78" s="75" t="s">
        <v>2</v>
      </c>
      <c r="AD78" s="73" t="s">
        <v>2</v>
      </c>
      <c r="AE78" s="73" t="s">
        <v>2</v>
      </c>
      <c r="AF78" s="6" t="s">
        <v>2</v>
      </c>
      <c r="AG78" s="22" t="s">
        <v>2</v>
      </c>
      <c r="AH78" s="73">
        <v>0</v>
      </c>
      <c r="AI78" s="73">
        <v>20</v>
      </c>
      <c r="AJ78" s="6" t="s">
        <v>2</v>
      </c>
      <c r="AK78" s="6" t="s">
        <v>2</v>
      </c>
      <c r="AL78" s="22" t="s">
        <v>2</v>
      </c>
      <c r="AM78" s="73">
        <v>235</v>
      </c>
      <c r="AN78" s="73" t="s">
        <v>2</v>
      </c>
      <c r="AO78" s="71" t="s">
        <v>2</v>
      </c>
      <c r="AP78" s="6" t="s">
        <v>2</v>
      </c>
      <c r="AQ78" s="75" t="s">
        <v>2</v>
      </c>
      <c r="AR78" s="75" t="s">
        <v>2</v>
      </c>
      <c r="AS78" s="75" t="s">
        <v>2</v>
      </c>
      <c r="AT78" s="75" t="s">
        <v>2</v>
      </c>
      <c r="AU78" s="75" t="s">
        <v>2</v>
      </c>
      <c r="AV78" s="77" t="s">
        <v>2</v>
      </c>
      <c r="AW78" s="6" t="s">
        <v>2</v>
      </c>
      <c r="AX78" s="75" t="s">
        <v>2</v>
      </c>
      <c r="AY78" s="75" t="s">
        <v>2</v>
      </c>
      <c r="AZ78" s="77" t="s">
        <v>2</v>
      </c>
      <c r="BA78" s="6" t="s">
        <v>2</v>
      </c>
      <c r="BB78" s="75" t="s">
        <v>2</v>
      </c>
      <c r="BC78" s="75" t="s">
        <v>2</v>
      </c>
      <c r="BD78" s="75" t="s">
        <v>2</v>
      </c>
      <c r="BE78" s="75" t="s">
        <v>2</v>
      </c>
      <c r="BF78" s="77" t="s">
        <v>2</v>
      </c>
      <c r="BG78" s="21" t="s">
        <v>2</v>
      </c>
      <c r="BH78" s="21">
        <v>0</v>
      </c>
      <c r="BI78" s="73">
        <v>1524</v>
      </c>
      <c r="BJ78" s="73">
        <v>587</v>
      </c>
      <c r="BK78" s="73">
        <v>554</v>
      </c>
      <c r="BL78" s="73">
        <v>1319</v>
      </c>
      <c r="BM78" s="73">
        <v>1319</v>
      </c>
      <c r="BN78" s="73">
        <v>1834</v>
      </c>
      <c r="BO78" s="73">
        <v>2632</v>
      </c>
      <c r="BP78" s="73">
        <v>1801</v>
      </c>
      <c r="BQ78" s="73">
        <v>4920</v>
      </c>
      <c r="BR78" s="73">
        <v>798</v>
      </c>
      <c r="BS78" s="73">
        <v>349</v>
      </c>
      <c r="BT78" s="73">
        <v>1042</v>
      </c>
      <c r="BU78" s="73">
        <v>1629</v>
      </c>
      <c r="BV78" s="73">
        <v>3080</v>
      </c>
      <c r="BW78" s="73">
        <v>5889</v>
      </c>
      <c r="BX78" s="73">
        <v>1939</v>
      </c>
      <c r="BY78" s="73">
        <v>2150</v>
      </c>
      <c r="BZ78" s="71">
        <v>1352</v>
      </c>
      <c r="CA78" s="6" t="s">
        <v>2</v>
      </c>
      <c r="CB78" s="6" t="s">
        <v>2</v>
      </c>
      <c r="CC78" s="6" t="s">
        <v>2</v>
      </c>
      <c r="CD78" s="6" t="s">
        <v>2</v>
      </c>
      <c r="CE78" s="6" t="s">
        <v>2</v>
      </c>
      <c r="CF78" s="6" t="s">
        <v>2</v>
      </c>
      <c r="CG78" s="22" t="s">
        <v>2</v>
      </c>
      <c r="CH78" s="73" t="s">
        <v>2</v>
      </c>
      <c r="CI78" s="71" t="s">
        <v>2</v>
      </c>
      <c r="CJ78" s="6" t="s">
        <v>2</v>
      </c>
      <c r="CK78" s="6" t="s">
        <v>2</v>
      </c>
      <c r="CL78" s="6" t="s">
        <v>2</v>
      </c>
      <c r="CM78" s="22" t="s">
        <v>2</v>
      </c>
      <c r="CN78" s="21" t="s">
        <v>2</v>
      </c>
      <c r="CO78" s="21" t="s">
        <v>2</v>
      </c>
    </row>
    <row r="79" spans="1:93" s="13" customFormat="1" x14ac:dyDescent="0.25">
      <c r="A79" s="57" t="s">
        <v>686</v>
      </c>
      <c r="B79" s="46" t="s">
        <v>269</v>
      </c>
      <c r="C79" s="1" t="s">
        <v>718</v>
      </c>
      <c r="D79" s="287">
        <v>3</v>
      </c>
      <c r="E79" s="11">
        <v>22</v>
      </c>
      <c r="F79" s="65">
        <v>558</v>
      </c>
      <c r="G79" s="59">
        <v>2332.44</v>
      </c>
      <c r="H79" s="68">
        <v>4.8</v>
      </c>
      <c r="I79" s="3">
        <v>31.8</v>
      </c>
      <c r="J79" s="3">
        <v>39.1</v>
      </c>
      <c r="K79" s="3">
        <v>19.8</v>
      </c>
      <c r="L79" s="3">
        <v>1.8</v>
      </c>
      <c r="M79" s="7">
        <v>4.5</v>
      </c>
      <c r="N79" s="65">
        <v>237</v>
      </c>
      <c r="O79" s="65">
        <v>751</v>
      </c>
      <c r="P79" s="3">
        <v>3</v>
      </c>
      <c r="Q79" s="3" t="s">
        <v>2</v>
      </c>
      <c r="R79" s="65" t="s">
        <v>2</v>
      </c>
      <c r="S79" s="65" t="s">
        <v>2</v>
      </c>
      <c r="T79" s="65" t="s">
        <v>2</v>
      </c>
      <c r="U79" s="61" t="s">
        <v>2</v>
      </c>
      <c r="V79" s="61" t="s">
        <v>2</v>
      </c>
      <c r="W79" s="7" t="s">
        <v>2</v>
      </c>
      <c r="X79" s="3" t="s">
        <v>2</v>
      </c>
      <c r="Y79" s="61">
        <v>0.03</v>
      </c>
      <c r="Z79" s="61">
        <v>0.14000000000000001</v>
      </c>
      <c r="AA79" s="61">
        <v>2.7</v>
      </c>
      <c r="AB79" s="61" t="s">
        <v>2</v>
      </c>
      <c r="AC79" s="61" t="s">
        <v>2</v>
      </c>
      <c r="AD79" s="65" t="s">
        <v>2</v>
      </c>
      <c r="AE79" s="65" t="s">
        <v>2</v>
      </c>
      <c r="AF79" s="3" t="s">
        <v>2</v>
      </c>
      <c r="AG79" s="7" t="s">
        <v>2</v>
      </c>
      <c r="AH79" s="65">
        <v>0</v>
      </c>
      <c r="AI79" s="65">
        <v>8</v>
      </c>
      <c r="AJ79" s="3" t="s">
        <v>2</v>
      </c>
      <c r="AK79" s="3" t="s">
        <v>2</v>
      </c>
      <c r="AL79" s="7" t="s">
        <v>2</v>
      </c>
      <c r="AM79" s="65">
        <v>90</v>
      </c>
      <c r="AN79" s="65" t="s">
        <v>2</v>
      </c>
      <c r="AO79" s="59" t="s">
        <v>2</v>
      </c>
      <c r="AP79" s="3">
        <v>8</v>
      </c>
      <c r="AQ79" s="61">
        <v>3.8</v>
      </c>
      <c r="AR79" s="61">
        <v>0</v>
      </c>
      <c r="AS79" s="61">
        <v>4.2</v>
      </c>
      <c r="AT79" s="61">
        <v>0</v>
      </c>
      <c r="AU79" s="61">
        <v>0</v>
      </c>
      <c r="AV79" s="62">
        <v>0</v>
      </c>
      <c r="AW79" s="3">
        <v>29</v>
      </c>
      <c r="AX79" s="61">
        <v>0</v>
      </c>
      <c r="AY79" s="61">
        <v>0</v>
      </c>
      <c r="AZ79" s="62">
        <v>5.8</v>
      </c>
      <c r="BA79" s="3" t="s">
        <v>2</v>
      </c>
      <c r="BB79" s="61">
        <v>23.3</v>
      </c>
      <c r="BC79" s="61">
        <v>0</v>
      </c>
      <c r="BD79" s="61">
        <v>0</v>
      </c>
      <c r="BE79" s="61">
        <v>0</v>
      </c>
      <c r="BF79" s="61">
        <v>0</v>
      </c>
      <c r="BG79" s="11" t="s">
        <v>2</v>
      </c>
      <c r="BH79" s="11">
        <v>0</v>
      </c>
      <c r="BI79" s="65">
        <v>937</v>
      </c>
      <c r="BJ79" s="65">
        <v>398</v>
      </c>
      <c r="BK79" s="65">
        <v>428</v>
      </c>
      <c r="BL79" s="65">
        <v>1096</v>
      </c>
      <c r="BM79" s="65">
        <v>1203</v>
      </c>
      <c r="BN79" s="65">
        <v>1447</v>
      </c>
      <c r="BO79" s="65">
        <v>2007</v>
      </c>
      <c r="BP79" s="65">
        <v>1447</v>
      </c>
      <c r="BQ79" s="65">
        <v>4468</v>
      </c>
      <c r="BR79" s="65">
        <v>749</v>
      </c>
      <c r="BS79" s="65">
        <v>295</v>
      </c>
      <c r="BT79" s="65">
        <v>805</v>
      </c>
      <c r="BU79" s="65">
        <v>1447</v>
      </c>
      <c r="BV79" s="65">
        <v>2247</v>
      </c>
      <c r="BW79" s="65">
        <v>5324</v>
      </c>
      <c r="BX79" s="65">
        <v>1498</v>
      </c>
      <c r="BY79" s="65">
        <v>1391</v>
      </c>
      <c r="BZ79" s="59">
        <v>1096</v>
      </c>
      <c r="CA79" s="3" t="s">
        <v>2</v>
      </c>
      <c r="CB79" s="3" t="s">
        <v>2</v>
      </c>
      <c r="CC79" s="3" t="s">
        <v>2</v>
      </c>
      <c r="CD79" s="3" t="s">
        <v>2</v>
      </c>
      <c r="CE79" s="3" t="s">
        <v>2</v>
      </c>
      <c r="CF79" s="3" t="s">
        <v>2</v>
      </c>
      <c r="CG79" s="7" t="s">
        <v>2</v>
      </c>
      <c r="CH79" s="65" t="s">
        <v>2</v>
      </c>
      <c r="CI79" s="59" t="s">
        <v>2</v>
      </c>
      <c r="CJ79" s="3" t="s">
        <v>2</v>
      </c>
      <c r="CK79" s="3" t="s">
        <v>2</v>
      </c>
      <c r="CL79" s="3" t="s">
        <v>2</v>
      </c>
      <c r="CM79" s="7" t="s">
        <v>2</v>
      </c>
      <c r="CN79" s="11" t="s">
        <v>2</v>
      </c>
      <c r="CO79" s="11" t="s">
        <v>2</v>
      </c>
    </row>
    <row r="80" spans="1:93" s="13" customFormat="1" x14ac:dyDescent="0.25">
      <c r="A80" s="57" t="s">
        <v>687</v>
      </c>
      <c r="B80" s="46" t="s">
        <v>270</v>
      </c>
      <c r="C80" s="1" t="s">
        <v>719</v>
      </c>
      <c r="D80" s="287">
        <v>3</v>
      </c>
      <c r="E80" s="11">
        <v>0</v>
      </c>
      <c r="F80" s="65">
        <v>585</v>
      </c>
      <c r="G80" s="59">
        <v>2445.2999999999997</v>
      </c>
      <c r="H80" s="68">
        <v>12.7</v>
      </c>
      <c r="I80" s="3">
        <v>18.3</v>
      </c>
      <c r="J80" s="3">
        <v>49.3</v>
      </c>
      <c r="K80" s="3">
        <v>17.100000000000001</v>
      </c>
      <c r="L80" s="3">
        <v>0.7</v>
      </c>
      <c r="M80" s="7">
        <v>2.6</v>
      </c>
      <c r="N80" s="65">
        <v>32</v>
      </c>
      <c r="O80" s="65">
        <v>411</v>
      </c>
      <c r="P80" s="3">
        <v>3.9</v>
      </c>
      <c r="Q80" s="3" t="s">
        <v>2</v>
      </c>
      <c r="R80" s="65" t="s">
        <v>2</v>
      </c>
      <c r="S80" s="65" t="s">
        <v>2</v>
      </c>
      <c r="T80" s="65" t="s">
        <v>2</v>
      </c>
      <c r="U80" s="61" t="s">
        <v>2</v>
      </c>
      <c r="V80" s="61" t="s">
        <v>2</v>
      </c>
      <c r="W80" s="7" t="s">
        <v>2</v>
      </c>
      <c r="X80" s="3" t="s">
        <v>2</v>
      </c>
      <c r="Y80" s="61">
        <v>0.36</v>
      </c>
      <c r="Z80" s="61">
        <v>0.34</v>
      </c>
      <c r="AA80" s="61">
        <v>1.4</v>
      </c>
      <c r="AB80" s="61" t="s">
        <v>2</v>
      </c>
      <c r="AC80" s="61" t="s">
        <v>2</v>
      </c>
      <c r="AD80" s="65" t="s">
        <v>2</v>
      </c>
      <c r="AE80" s="65" t="s">
        <v>2</v>
      </c>
      <c r="AF80" s="3" t="s">
        <v>2</v>
      </c>
      <c r="AG80" s="7" t="s">
        <v>2</v>
      </c>
      <c r="AH80" s="65">
        <v>0</v>
      </c>
      <c r="AI80" s="65">
        <v>0</v>
      </c>
      <c r="AJ80" s="3" t="s">
        <v>2</v>
      </c>
      <c r="AK80" s="3" t="s">
        <v>2</v>
      </c>
      <c r="AL80" s="7" t="s">
        <v>2</v>
      </c>
      <c r="AM80" s="65">
        <v>5</v>
      </c>
      <c r="AN80" s="65" t="s">
        <v>2</v>
      </c>
      <c r="AO80" s="59" t="s">
        <v>2</v>
      </c>
      <c r="AP80" s="3">
        <v>5.5</v>
      </c>
      <c r="AQ80" s="61">
        <v>5.5</v>
      </c>
      <c r="AR80" s="61">
        <v>0</v>
      </c>
      <c r="AS80" s="63" t="s">
        <v>2</v>
      </c>
      <c r="AT80" s="61">
        <v>0</v>
      </c>
      <c r="AU80" s="61">
        <v>0</v>
      </c>
      <c r="AV80" s="62">
        <v>0</v>
      </c>
      <c r="AW80" s="3">
        <v>41.1</v>
      </c>
      <c r="AX80" s="61">
        <v>0</v>
      </c>
      <c r="AY80" s="61">
        <v>0</v>
      </c>
      <c r="AZ80" s="62">
        <v>32.1</v>
      </c>
      <c r="BA80" s="3" t="s">
        <v>2</v>
      </c>
      <c r="BB80" s="61">
        <v>8.6</v>
      </c>
      <c r="BC80" s="61">
        <v>0</v>
      </c>
      <c r="BD80" s="61">
        <v>0</v>
      </c>
      <c r="BE80" s="61">
        <v>0</v>
      </c>
      <c r="BF80" s="61">
        <v>0</v>
      </c>
      <c r="BG80" s="11" t="s">
        <v>2</v>
      </c>
      <c r="BH80" s="11">
        <v>0</v>
      </c>
      <c r="BI80" s="65">
        <v>1062</v>
      </c>
      <c r="BJ80" s="65">
        <v>194</v>
      </c>
      <c r="BK80" s="65">
        <v>347</v>
      </c>
      <c r="BL80" s="65">
        <v>888</v>
      </c>
      <c r="BM80" s="65">
        <v>868</v>
      </c>
      <c r="BN80" s="65">
        <v>1280</v>
      </c>
      <c r="BO80" s="65">
        <v>1388</v>
      </c>
      <c r="BP80" s="65">
        <v>868</v>
      </c>
      <c r="BQ80" s="65">
        <v>1607</v>
      </c>
      <c r="BR80" s="65">
        <v>455</v>
      </c>
      <c r="BS80" s="65">
        <v>239</v>
      </c>
      <c r="BT80" s="65">
        <v>434</v>
      </c>
      <c r="BU80" s="65">
        <v>781</v>
      </c>
      <c r="BV80" s="65">
        <v>1801</v>
      </c>
      <c r="BW80" s="65">
        <v>3796</v>
      </c>
      <c r="BX80" s="65">
        <v>1020</v>
      </c>
      <c r="BY80" s="65">
        <v>1062</v>
      </c>
      <c r="BZ80" s="59">
        <v>1214</v>
      </c>
      <c r="CA80" s="3" t="s">
        <v>2</v>
      </c>
      <c r="CB80" s="3" t="s">
        <v>2</v>
      </c>
      <c r="CC80" s="3" t="s">
        <v>2</v>
      </c>
      <c r="CD80" s="3" t="s">
        <v>2</v>
      </c>
      <c r="CE80" s="3" t="s">
        <v>2</v>
      </c>
      <c r="CF80" s="3" t="s">
        <v>2</v>
      </c>
      <c r="CG80" s="7" t="s">
        <v>2</v>
      </c>
      <c r="CH80" s="65" t="s">
        <v>2</v>
      </c>
      <c r="CI80" s="59" t="s">
        <v>2</v>
      </c>
      <c r="CJ80" s="3" t="s">
        <v>2</v>
      </c>
      <c r="CK80" s="3" t="s">
        <v>2</v>
      </c>
      <c r="CL80" s="3" t="s">
        <v>2</v>
      </c>
      <c r="CM80" s="7" t="s">
        <v>2</v>
      </c>
      <c r="CN80" s="11" t="s">
        <v>2</v>
      </c>
      <c r="CO80" s="11" t="s">
        <v>2</v>
      </c>
    </row>
    <row r="81" spans="1:93" s="13" customFormat="1" x14ac:dyDescent="0.25">
      <c r="A81" s="57" t="s">
        <v>688</v>
      </c>
      <c r="B81" s="46" t="s">
        <v>271</v>
      </c>
      <c r="C81" s="1" t="s">
        <v>720</v>
      </c>
      <c r="D81" s="287">
        <v>3</v>
      </c>
      <c r="E81" s="11">
        <v>0</v>
      </c>
      <c r="F81" s="65">
        <v>413</v>
      </c>
      <c r="G81" s="59">
        <v>1726.34</v>
      </c>
      <c r="H81" s="68">
        <v>3.5</v>
      </c>
      <c r="I81" s="3">
        <v>31.1</v>
      </c>
      <c r="J81" s="3">
        <v>9.6999999999999993</v>
      </c>
      <c r="K81" s="3">
        <v>50.4</v>
      </c>
      <c r="L81" s="3">
        <v>2.2000000000000002</v>
      </c>
      <c r="M81" s="7">
        <v>5.3</v>
      </c>
      <c r="N81" s="65">
        <v>224</v>
      </c>
      <c r="O81" s="65">
        <v>320</v>
      </c>
      <c r="P81" s="3">
        <v>7.5</v>
      </c>
      <c r="Q81" s="3" t="s">
        <v>2</v>
      </c>
      <c r="R81" s="65" t="s">
        <v>2</v>
      </c>
      <c r="S81" s="65" t="s">
        <v>2</v>
      </c>
      <c r="T81" s="65" t="s">
        <v>2</v>
      </c>
      <c r="U81" s="61" t="s">
        <v>2</v>
      </c>
      <c r="V81" s="61" t="s">
        <v>2</v>
      </c>
      <c r="W81" s="7" t="s">
        <v>2</v>
      </c>
      <c r="X81" s="3" t="s">
        <v>2</v>
      </c>
      <c r="Y81" s="61">
        <v>0.4</v>
      </c>
      <c r="Z81" s="61">
        <v>0.16</v>
      </c>
      <c r="AA81" s="61">
        <v>2</v>
      </c>
      <c r="AB81" s="61" t="s">
        <v>2</v>
      </c>
      <c r="AC81" s="61" t="s">
        <v>2</v>
      </c>
      <c r="AD81" s="65" t="s">
        <v>2</v>
      </c>
      <c r="AE81" s="65" t="s">
        <v>2</v>
      </c>
      <c r="AF81" s="3" t="s">
        <v>2</v>
      </c>
      <c r="AG81" s="7" t="s">
        <v>2</v>
      </c>
      <c r="AH81" s="65">
        <v>0</v>
      </c>
      <c r="AI81" s="65">
        <v>0</v>
      </c>
      <c r="AJ81" s="3" t="s">
        <v>2</v>
      </c>
      <c r="AK81" s="3" t="s">
        <v>2</v>
      </c>
      <c r="AL81" s="7" t="s">
        <v>2</v>
      </c>
      <c r="AM81" s="65" t="s">
        <v>2</v>
      </c>
      <c r="AN81" s="65" t="s">
        <v>2</v>
      </c>
      <c r="AO81" s="59" t="s">
        <v>2</v>
      </c>
      <c r="AP81" s="3" t="s">
        <v>2</v>
      </c>
      <c r="AQ81" s="61" t="s">
        <v>2</v>
      </c>
      <c r="AR81" s="61" t="s">
        <v>2</v>
      </c>
      <c r="AS81" s="61" t="s">
        <v>2</v>
      </c>
      <c r="AT81" s="61" t="s">
        <v>2</v>
      </c>
      <c r="AU81" s="61" t="s">
        <v>2</v>
      </c>
      <c r="AV81" s="62" t="s">
        <v>2</v>
      </c>
      <c r="AW81" s="3" t="s">
        <v>2</v>
      </c>
      <c r="AX81" s="61" t="s">
        <v>2</v>
      </c>
      <c r="AY81" s="61" t="s">
        <v>2</v>
      </c>
      <c r="AZ81" s="62" t="s">
        <v>2</v>
      </c>
      <c r="BA81" s="3" t="s">
        <v>2</v>
      </c>
      <c r="BB81" s="61" t="s">
        <v>2</v>
      </c>
      <c r="BC81" s="61" t="s">
        <v>2</v>
      </c>
      <c r="BD81" s="61" t="s">
        <v>2</v>
      </c>
      <c r="BE81" s="61" t="s">
        <v>2</v>
      </c>
      <c r="BF81" s="62" t="s">
        <v>2</v>
      </c>
      <c r="BG81" s="11" t="s">
        <v>2</v>
      </c>
      <c r="BH81" s="11">
        <v>0</v>
      </c>
      <c r="BI81" s="65" t="s">
        <v>2</v>
      </c>
      <c r="BJ81" s="65" t="s">
        <v>2</v>
      </c>
      <c r="BK81" s="65" t="s">
        <v>2</v>
      </c>
      <c r="BL81" s="65" t="s">
        <v>2</v>
      </c>
      <c r="BM81" s="65" t="s">
        <v>2</v>
      </c>
      <c r="BN81" s="65" t="s">
        <v>2</v>
      </c>
      <c r="BO81" s="65" t="s">
        <v>2</v>
      </c>
      <c r="BP81" s="65" t="s">
        <v>2</v>
      </c>
      <c r="BQ81" s="65" t="s">
        <v>2</v>
      </c>
      <c r="BR81" s="65" t="s">
        <v>2</v>
      </c>
      <c r="BS81" s="65" t="s">
        <v>2</v>
      </c>
      <c r="BT81" s="65" t="s">
        <v>2</v>
      </c>
      <c r="BU81" s="65" t="s">
        <v>2</v>
      </c>
      <c r="BV81" s="65" t="s">
        <v>2</v>
      </c>
      <c r="BW81" s="65" t="s">
        <v>2</v>
      </c>
      <c r="BX81" s="65" t="s">
        <v>2</v>
      </c>
      <c r="BY81" s="65" t="s">
        <v>2</v>
      </c>
      <c r="BZ81" s="59" t="s">
        <v>2</v>
      </c>
      <c r="CA81" s="3" t="s">
        <v>2</v>
      </c>
      <c r="CB81" s="3" t="s">
        <v>2</v>
      </c>
      <c r="CC81" s="3" t="s">
        <v>2</v>
      </c>
      <c r="CD81" s="3" t="s">
        <v>2</v>
      </c>
      <c r="CE81" s="3" t="s">
        <v>2</v>
      </c>
      <c r="CF81" s="3" t="s">
        <v>2</v>
      </c>
      <c r="CG81" s="7" t="s">
        <v>2</v>
      </c>
      <c r="CH81" s="65" t="s">
        <v>2</v>
      </c>
      <c r="CI81" s="59" t="s">
        <v>2</v>
      </c>
      <c r="CJ81" s="3" t="s">
        <v>2</v>
      </c>
      <c r="CK81" s="3" t="s">
        <v>2</v>
      </c>
      <c r="CL81" s="3" t="s">
        <v>2</v>
      </c>
      <c r="CM81" s="7" t="s">
        <v>2</v>
      </c>
      <c r="CN81" s="11" t="s">
        <v>2</v>
      </c>
      <c r="CO81" s="11" t="s">
        <v>2</v>
      </c>
    </row>
    <row r="82" spans="1:93" s="13" customFormat="1" x14ac:dyDescent="0.25">
      <c r="A82" s="57" t="s">
        <v>689</v>
      </c>
      <c r="B82" s="46" t="s">
        <v>272</v>
      </c>
      <c r="C82" s="1" t="s">
        <v>721</v>
      </c>
      <c r="D82" s="287">
        <v>3</v>
      </c>
      <c r="E82" s="11">
        <v>0</v>
      </c>
      <c r="F82" s="65">
        <v>29</v>
      </c>
      <c r="G82" s="59">
        <v>121.22</v>
      </c>
      <c r="H82" s="68">
        <v>94.4</v>
      </c>
      <c r="I82" s="3">
        <v>3.1</v>
      </c>
      <c r="J82" s="3">
        <v>1.6</v>
      </c>
      <c r="K82" s="3">
        <v>0.5</v>
      </c>
      <c r="L82" s="3">
        <v>0.1</v>
      </c>
      <c r="M82" s="7">
        <v>0.4</v>
      </c>
      <c r="N82" s="65">
        <v>18</v>
      </c>
      <c r="O82" s="65">
        <v>36</v>
      </c>
      <c r="P82" s="3">
        <v>1.2</v>
      </c>
      <c r="Q82" s="3">
        <v>0.44</v>
      </c>
      <c r="R82" s="65">
        <v>55</v>
      </c>
      <c r="S82" s="65">
        <v>124</v>
      </c>
      <c r="T82" s="65">
        <v>25</v>
      </c>
      <c r="U82" s="61">
        <v>0.218</v>
      </c>
      <c r="V82" s="61">
        <v>141</v>
      </c>
      <c r="W82" s="7">
        <v>4.8</v>
      </c>
      <c r="X82" s="3">
        <v>0</v>
      </c>
      <c r="Y82" s="61">
        <v>0.05</v>
      </c>
      <c r="Z82" s="61">
        <v>0.02</v>
      </c>
      <c r="AA82" s="61">
        <v>0.3</v>
      </c>
      <c r="AB82" s="61">
        <v>0.51800000000000002</v>
      </c>
      <c r="AC82" s="61">
        <v>9.6000000000000002E-2</v>
      </c>
      <c r="AD82" s="65">
        <v>16</v>
      </c>
      <c r="AE82" s="65">
        <v>0</v>
      </c>
      <c r="AF82" s="2" t="s">
        <v>2</v>
      </c>
      <c r="AG82" s="7">
        <v>0</v>
      </c>
      <c r="AH82" s="65">
        <v>0</v>
      </c>
      <c r="AI82" s="65">
        <v>0</v>
      </c>
      <c r="AJ82" s="3">
        <v>0.4</v>
      </c>
      <c r="AK82" s="3">
        <v>1.35</v>
      </c>
      <c r="AL82" s="7">
        <v>3</v>
      </c>
      <c r="AM82" s="65" t="s">
        <v>2</v>
      </c>
      <c r="AN82" s="65" t="s">
        <v>2</v>
      </c>
      <c r="AO82" s="59" t="s">
        <v>2</v>
      </c>
      <c r="AP82" s="3">
        <v>0.23</v>
      </c>
      <c r="AQ82" s="61">
        <v>0.17399999999999999</v>
      </c>
      <c r="AR82" s="61">
        <v>0</v>
      </c>
      <c r="AS82" s="61">
        <v>5.8000000000000003E-2</v>
      </c>
      <c r="AT82" s="61">
        <v>0</v>
      </c>
      <c r="AU82" s="61">
        <v>0</v>
      </c>
      <c r="AV82" s="62">
        <v>0</v>
      </c>
      <c r="AW82" s="3">
        <v>0.38</v>
      </c>
      <c r="AX82" s="61">
        <v>0</v>
      </c>
      <c r="AY82" s="61">
        <v>0</v>
      </c>
      <c r="AZ82" s="62">
        <v>0.36</v>
      </c>
      <c r="BA82" s="3">
        <v>0.77</v>
      </c>
      <c r="BB82" s="61">
        <v>0.67900000000000005</v>
      </c>
      <c r="BC82" s="61">
        <v>8.6999999999999994E-2</v>
      </c>
      <c r="BD82" s="61">
        <v>0</v>
      </c>
      <c r="BE82" s="61">
        <v>0</v>
      </c>
      <c r="BF82" s="61">
        <v>0</v>
      </c>
      <c r="BG82" s="11" t="s">
        <v>2</v>
      </c>
      <c r="BH82" s="11">
        <v>0</v>
      </c>
      <c r="BI82" s="65">
        <v>162</v>
      </c>
      <c r="BJ82" s="65">
        <v>42</v>
      </c>
      <c r="BK82" s="65">
        <v>42</v>
      </c>
      <c r="BL82" s="65">
        <v>162</v>
      </c>
      <c r="BM82" s="65">
        <v>152</v>
      </c>
      <c r="BN82" s="65">
        <v>176</v>
      </c>
      <c r="BO82" s="65">
        <v>230</v>
      </c>
      <c r="BP82" s="65">
        <v>162</v>
      </c>
      <c r="BQ82" s="65">
        <v>196</v>
      </c>
      <c r="BR82" s="65">
        <v>69</v>
      </c>
      <c r="BS82" s="65">
        <v>23</v>
      </c>
      <c r="BT82" s="65">
        <v>108</v>
      </c>
      <c r="BU82" s="65">
        <v>137</v>
      </c>
      <c r="BV82" s="65">
        <v>348</v>
      </c>
      <c r="BW82" s="65">
        <v>539</v>
      </c>
      <c r="BX82" s="65">
        <v>152</v>
      </c>
      <c r="BY82" s="65">
        <v>230</v>
      </c>
      <c r="BZ82" s="59">
        <v>172</v>
      </c>
      <c r="CA82" s="3" t="s">
        <v>2</v>
      </c>
      <c r="CB82" s="3" t="s">
        <v>2</v>
      </c>
      <c r="CC82" s="3" t="s">
        <v>2</v>
      </c>
      <c r="CD82" s="3" t="s">
        <v>2</v>
      </c>
      <c r="CE82" s="3" t="s">
        <v>2</v>
      </c>
      <c r="CF82" s="3" t="s">
        <v>2</v>
      </c>
      <c r="CG82" s="7" t="s">
        <v>2</v>
      </c>
      <c r="CH82" s="65">
        <v>0</v>
      </c>
      <c r="CI82" s="59">
        <v>0</v>
      </c>
      <c r="CJ82" s="3">
        <v>9.65</v>
      </c>
      <c r="CK82" s="3">
        <v>4.45</v>
      </c>
      <c r="CL82" s="3">
        <v>6.06</v>
      </c>
      <c r="CM82" s="7">
        <v>0.56000000000000005</v>
      </c>
      <c r="CN82" s="11" t="s">
        <v>2</v>
      </c>
      <c r="CO82" s="11" t="s">
        <v>2</v>
      </c>
    </row>
    <row r="83" spans="1:93" s="13" customFormat="1" ht="16.5" thickBot="1" x14ac:dyDescent="0.3">
      <c r="A83" s="57" t="s">
        <v>690</v>
      </c>
      <c r="B83" s="48" t="s">
        <v>273</v>
      </c>
      <c r="C83" s="14" t="s">
        <v>722</v>
      </c>
      <c r="D83" s="287">
        <v>3</v>
      </c>
      <c r="E83" s="18">
        <v>0</v>
      </c>
      <c r="F83" s="151">
        <v>46</v>
      </c>
      <c r="G83" s="67">
        <v>192.27999999999997</v>
      </c>
      <c r="H83" s="69">
        <v>89.4</v>
      </c>
      <c r="I83" s="15">
        <v>3.8</v>
      </c>
      <c r="J83" s="15">
        <v>1.2</v>
      </c>
      <c r="K83" s="15">
        <v>5.0999999999999996</v>
      </c>
      <c r="L83" s="15">
        <v>0</v>
      </c>
      <c r="M83" s="19">
        <v>0.5</v>
      </c>
      <c r="N83" s="66">
        <v>47</v>
      </c>
      <c r="O83" s="66">
        <v>23</v>
      </c>
      <c r="P83" s="15">
        <v>0.61</v>
      </c>
      <c r="Q83" s="15">
        <v>0.36</v>
      </c>
      <c r="R83" s="66">
        <v>33</v>
      </c>
      <c r="S83" s="66">
        <v>85</v>
      </c>
      <c r="T83" s="66">
        <v>38</v>
      </c>
      <c r="U83" s="70" t="s">
        <v>2</v>
      </c>
      <c r="V83" s="70" t="s">
        <v>2</v>
      </c>
      <c r="W83" s="19" t="s">
        <v>2</v>
      </c>
      <c r="X83" s="15" t="s">
        <v>2</v>
      </c>
      <c r="Y83" s="70" t="s">
        <v>2</v>
      </c>
      <c r="Z83" s="70" t="s">
        <v>2</v>
      </c>
      <c r="AA83" s="70" t="s">
        <v>2</v>
      </c>
      <c r="AB83" s="70" t="s">
        <v>2</v>
      </c>
      <c r="AC83" s="70" t="s">
        <v>2</v>
      </c>
      <c r="AD83" s="66" t="s">
        <v>2</v>
      </c>
      <c r="AE83" s="66" t="s">
        <v>2</v>
      </c>
      <c r="AF83" s="15" t="s">
        <v>2</v>
      </c>
      <c r="AG83" s="19" t="s">
        <v>2</v>
      </c>
      <c r="AH83" s="66">
        <v>0</v>
      </c>
      <c r="AI83" s="66">
        <v>0</v>
      </c>
      <c r="AJ83" s="15" t="s">
        <v>2</v>
      </c>
      <c r="AK83" s="15" t="s">
        <v>2</v>
      </c>
      <c r="AL83" s="19" t="s">
        <v>2</v>
      </c>
      <c r="AM83" s="66" t="s">
        <v>2</v>
      </c>
      <c r="AN83" s="66" t="s">
        <v>2</v>
      </c>
      <c r="AO83" s="67" t="s">
        <v>2</v>
      </c>
      <c r="AP83" s="15" t="s">
        <v>2</v>
      </c>
      <c r="AQ83" s="70" t="s">
        <v>2</v>
      </c>
      <c r="AR83" s="70" t="s">
        <v>2</v>
      </c>
      <c r="AS83" s="70" t="s">
        <v>2</v>
      </c>
      <c r="AT83" s="70" t="s">
        <v>2</v>
      </c>
      <c r="AU83" s="70" t="s">
        <v>2</v>
      </c>
      <c r="AV83" s="78" t="s">
        <v>2</v>
      </c>
      <c r="AW83" s="15" t="s">
        <v>2</v>
      </c>
      <c r="AX83" s="70" t="s">
        <v>2</v>
      </c>
      <c r="AY83" s="70" t="s">
        <v>2</v>
      </c>
      <c r="AZ83" s="78" t="s">
        <v>2</v>
      </c>
      <c r="BA83" s="15" t="s">
        <v>2</v>
      </c>
      <c r="BB83" s="70" t="s">
        <v>2</v>
      </c>
      <c r="BC83" s="70" t="s">
        <v>2</v>
      </c>
      <c r="BD83" s="70" t="s">
        <v>2</v>
      </c>
      <c r="BE83" s="70" t="s">
        <v>2</v>
      </c>
      <c r="BF83" s="78" t="s">
        <v>2</v>
      </c>
      <c r="BG83" s="18" t="s">
        <v>2</v>
      </c>
      <c r="BH83" s="18">
        <v>0</v>
      </c>
      <c r="BI83" s="66" t="s">
        <v>2</v>
      </c>
      <c r="BJ83" s="66" t="s">
        <v>2</v>
      </c>
      <c r="BK83" s="66" t="s">
        <v>2</v>
      </c>
      <c r="BL83" s="66" t="s">
        <v>2</v>
      </c>
      <c r="BM83" s="66" t="s">
        <v>2</v>
      </c>
      <c r="BN83" s="66" t="s">
        <v>2</v>
      </c>
      <c r="BO83" s="66" t="s">
        <v>2</v>
      </c>
      <c r="BP83" s="66" t="s">
        <v>2</v>
      </c>
      <c r="BQ83" s="66" t="s">
        <v>2</v>
      </c>
      <c r="BR83" s="66" t="s">
        <v>2</v>
      </c>
      <c r="BS83" s="66" t="s">
        <v>2</v>
      </c>
      <c r="BT83" s="66" t="s">
        <v>2</v>
      </c>
      <c r="BU83" s="66" t="s">
        <v>2</v>
      </c>
      <c r="BV83" s="66" t="s">
        <v>2</v>
      </c>
      <c r="BW83" s="66" t="s">
        <v>2</v>
      </c>
      <c r="BX83" s="66" t="s">
        <v>2</v>
      </c>
      <c r="BY83" s="66" t="s">
        <v>2</v>
      </c>
      <c r="BZ83" s="67" t="s">
        <v>2</v>
      </c>
      <c r="CA83" s="15" t="s">
        <v>2</v>
      </c>
      <c r="CB83" s="15" t="s">
        <v>2</v>
      </c>
      <c r="CC83" s="15" t="s">
        <v>2</v>
      </c>
      <c r="CD83" s="15" t="s">
        <v>2</v>
      </c>
      <c r="CE83" s="15" t="s">
        <v>2</v>
      </c>
      <c r="CF83" s="15" t="s">
        <v>2</v>
      </c>
      <c r="CG83" s="19" t="s">
        <v>2</v>
      </c>
      <c r="CH83" s="66" t="s">
        <v>2</v>
      </c>
      <c r="CI83" s="67" t="s">
        <v>2</v>
      </c>
      <c r="CJ83" s="15" t="s">
        <v>2</v>
      </c>
      <c r="CK83" s="15" t="s">
        <v>2</v>
      </c>
      <c r="CL83" s="15" t="s">
        <v>2</v>
      </c>
      <c r="CM83" s="19" t="s">
        <v>2</v>
      </c>
      <c r="CN83" s="18" t="s">
        <v>2</v>
      </c>
      <c r="CO83" s="18" t="s">
        <v>2</v>
      </c>
    </row>
    <row r="84" spans="1:93" s="207" customFormat="1" thickTop="1" x14ac:dyDescent="0.25">
      <c r="A84" s="220" t="s">
        <v>723</v>
      </c>
      <c r="B84" s="221" t="s">
        <v>109</v>
      </c>
      <c r="C84" s="222" t="s">
        <v>905</v>
      </c>
      <c r="D84" s="290">
        <v>4</v>
      </c>
      <c r="E84" s="199">
        <v>16</v>
      </c>
      <c r="F84" s="200">
        <v>18</v>
      </c>
      <c r="G84" s="201">
        <v>75.239999999999995</v>
      </c>
      <c r="H84" s="202">
        <v>95.1</v>
      </c>
      <c r="I84" s="203">
        <v>0.6</v>
      </c>
      <c r="J84" s="203">
        <v>0.02</v>
      </c>
      <c r="K84" s="203">
        <v>3.88</v>
      </c>
      <c r="L84" s="203">
        <v>1</v>
      </c>
      <c r="M84" s="204">
        <v>0.4</v>
      </c>
      <c r="N84" s="200">
        <v>21</v>
      </c>
      <c r="O84" s="200">
        <v>25</v>
      </c>
      <c r="P84" s="203">
        <v>0.2</v>
      </c>
      <c r="Q84" s="203">
        <v>0.7</v>
      </c>
      <c r="R84" s="200">
        <v>2</v>
      </c>
      <c r="S84" s="200">
        <v>150</v>
      </c>
      <c r="T84" s="200">
        <v>11</v>
      </c>
      <c r="U84" s="205">
        <v>6.6000000000000003E-2</v>
      </c>
      <c r="V84" s="205">
        <v>26</v>
      </c>
      <c r="W84" s="204">
        <v>0.2</v>
      </c>
      <c r="X84" s="203">
        <v>12</v>
      </c>
      <c r="Y84" s="205">
        <v>0.02</v>
      </c>
      <c r="Z84" s="205">
        <v>0.03</v>
      </c>
      <c r="AA84" s="205">
        <v>0.4</v>
      </c>
      <c r="AB84" s="205">
        <v>0.152</v>
      </c>
      <c r="AC84" s="205">
        <v>0.04</v>
      </c>
      <c r="AD84" s="200">
        <v>6</v>
      </c>
      <c r="AE84" s="200">
        <v>0</v>
      </c>
      <c r="AF84" s="203" t="s">
        <v>2</v>
      </c>
      <c r="AG84" s="204">
        <v>0</v>
      </c>
      <c r="AH84" s="200">
        <v>0</v>
      </c>
      <c r="AI84" s="200">
        <v>1</v>
      </c>
      <c r="AJ84" s="203" t="s">
        <v>2</v>
      </c>
      <c r="AK84" s="203" t="s">
        <v>2</v>
      </c>
      <c r="AL84" s="204" t="s">
        <v>2</v>
      </c>
      <c r="AM84" s="200">
        <v>10</v>
      </c>
      <c r="AN84" s="200" t="s">
        <v>2</v>
      </c>
      <c r="AO84" s="201" t="s">
        <v>2</v>
      </c>
      <c r="AP84" s="203">
        <v>2E-3</v>
      </c>
      <c r="AQ84" s="205">
        <v>1E-3</v>
      </c>
      <c r="AR84" s="205">
        <v>0</v>
      </c>
      <c r="AS84" s="205">
        <v>0</v>
      </c>
      <c r="AT84" s="205">
        <v>0</v>
      </c>
      <c r="AU84" s="205">
        <v>0</v>
      </c>
      <c r="AV84" s="206">
        <v>0</v>
      </c>
      <c r="AW84" s="203">
        <v>4.0000000000000001E-3</v>
      </c>
      <c r="AX84" s="205">
        <v>0</v>
      </c>
      <c r="AY84" s="205">
        <v>0</v>
      </c>
      <c r="AZ84" s="206">
        <v>4.0000000000000001E-3</v>
      </c>
      <c r="BA84" s="203">
        <v>8.9999999999999993E-3</v>
      </c>
      <c r="BB84" s="205">
        <v>8.9999999999999993E-3</v>
      </c>
      <c r="BC84" s="205">
        <v>0</v>
      </c>
      <c r="BD84" s="205">
        <v>0</v>
      </c>
      <c r="BE84" s="205">
        <v>0</v>
      </c>
      <c r="BF84" s="206">
        <v>0</v>
      </c>
      <c r="BG84" s="199" t="s">
        <v>2</v>
      </c>
      <c r="BH84" s="199">
        <v>0</v>
      </c>
      <c r="BI84" s="200">
        <v>21</v>
      </c>
      <c r="BJ84" s="200">
        <v>4</v>
      </c>
      <c r="BK84" s="200">
        <v>3</v>
      </c>
      <c r="BL84" s="200">
        <v>15</v>
      </c>
      <c r="BM84" s="200">
        <v>18</v>
      </c>
      <c r="BN84" s="200">
        <v>27</v>
      </c>
      <c r="BO84" s="200">
        <v>36</v>
      </c>
      <c r="BP84" s="200">
        <v>33</v>
      </c>
      <c r="BQ84" s="200">
        <v>14</v>
      </c>
      <c r="BR84" s="200">
        <v>4</v>
      </c>
      <c r="BS84" s="200" t="s">
        <v>2</v>
      </c>
      <c r="BT84" s="200" t="s">
        <v>2</v>
      </c>
      <c r="BU84" s="200" t="s">
        <v>2</v>
      </c>
      <c r="BV84" s="200" t="s">
        <v>2</v>
      </c>
      <c r="BW84" s="200" t="s">
        <v>2</v>
      </c>
      <c r="BX84" s="200" t="s">
        <v>2</v>
      </c>
      <c r="BY84" s="200" t="s">
        <v>2</v>
      </c>
      <c r="BZ84" s="201" t="s">
        <v>2</v>
      </c>
      <c r="CA84" s="203" t="s">
        <v>2</v>
      </c>
      <c r="CB84" s="203" t="s">
        <v>2</v>
      </c>
      <c r="CC84" s="203" t="s">
        <v>2</v>
      </c>
      <c r="CD84" s="203" t="s">
        <v>2</v>
      </c>
      <c r="CE84" s="203" t="s">
        <v>2</v>
      </c>
      <c r="CF84" s="203" t="s">
        <v>2</v>
      </c>
      <c r="CG84" s="204" t="s">
        <v>2</v>
      </c>
      <c r="CH84" s="200" t="s">
        <v>2</v>
      </c>
      <c r="CI84" s="201" t="s">
        <v>2</v>
      </c>
      <c r="CJ84" s="203" t="s">
        <v>2</v>
      </c>
      <c r="CK84" s="203" t="s">
        <v>2</v>
      </c>
      <c r="CL84" s="203" t="s">
        <v>2</v>
      </c>
      <c r="CM84" s="204" t="s">
        <v>2</v>
      </c>
      <c r="CN84" s="199" t="s">
        <v>2</v>
      </c>
      <c r="CO84" s="199" t="s">
        <v>2</v>
      </c>
    </row>
    <row r="85" spans="1:93" s="207" customFormat="1" ht="15" x14ac:dyDescent="0.25">
      <c r="A85" s="220" t="s">
        <v>724</v>
      </c>
      <c r="B85" s="221" t="s">
        <v>110</v>
      </c>
      <c r="C85" s="222" t="s">
        <v>906</v>
      </c>
      <c r="D85" s="290">
        <v>4</v>
      </c>
      <c r="E85" s="199">
        <v>27</v>
      </c>
      <c r="F85" s="200">
        <v>16</v>
      </c>
      <c r="G85" s="201">
        <v>66.88</v>
      </c>
      <c r="H85" s="202">
        <v>95.5</v>
      </c>
      <c r="I85" s="203">
        <v>0.6</v>
      </c>
      <c r="J85" s="203" t="s">
        <v>2</v>
      </c>
      <c r="K85" s="203">
        <v>3.4</v>
      </c>
      <c r="L85" s="203">
        <v>1</v>
      </c>
      <c r="M85" s="204">
        <v>0.5</v>
      </c>
      <c r="N85" s="200">
        <v>26</v>
      </c>
      <c r="O85" s="200">
        <v>23</v>
      </c>
      <c r="P85" s="203">
        <v>0.3</v>
      </c>
      <c r="Q85" s="203" t="s">
        <v>2</v>
      </c>
      <c r="R85" s="200">
        <v>13</v>
      </c>
      <c r="S85" s="200">
        <v>150</v>
      </c>
      <c r="T85" s="200">
        <v>8</v>
      </c>
      <c r="U85" s="205" t="s">
        <v>2</v>
      </c>
      <c r="V85" s="205" t="s">
        <v>2</v>
      </c>
      <c r="W85" s="204" t="s">
        <v>2</v>
      </c>
      <c r="X85" s="203">
        <v>37</v>
      </c>
      <c r="Y85" s="205">
        <v>0.01</v>
      </c>
      <c r="Z85" s="205">
        <v>0.02</v>
      </c>
      <c r="AA85" s="205">
        <v>0.3</v>
      </c>
      <c r="AB85" s="205" t="s">
        <v>2</v>
      </c>
      <c r="AC85" s="205" t="s">
        <v>2</v>
      </c>
      <c r="AD85" s="200" t="s">
        <v>2</v>
      </c>
      <c r="AE85" s="200" t="s">
        <v>2</v>
      </c>
      <c r="AF85" s="203" t="s">
        <v>2</v>
      </c>
      <c r="AG85" s="204" t="s">
        <v>2</v>
      </c>
      <c r="AH85" s="200">
        <v>0</v>
      </c>
      <c r="AI85" s="200">
        <v>0</v>
      </c>
      <c r="AJ85" s="203" t="s">
        <v>2</v>
      </c>
      <c r="AK85" s="203" t="s">
        <v>2</v>
      </c>
      <c r="AL85" s="204" t="s">
        <v>2</v>
      </c>
      <c r="AM85" s="200">
        <v>5</v>
      </c>
      <c r="AN85" s="200" t="s">
        <v>2</v>
      </c>
      <c r="AO85" s="201" t="s">
        <v>2</v>
      </c>
      <c r="AP85" s="203" t="s">
        <v>2</v>
      </c>
      <c r="AQ85" s="205" t="s">
        <v>2</v>
      </c>
      <c r="AR85" s="205" t="s">
        <v>2</v>
      </c>
      <c r="AS85" s="205" t="s">
        <v>2</v>
      </c>
      <c r="AT85" s="205" t="s">
        <v>2</v>
      </c>
      <c r="AU85" s="205" t="s">
        <v>2</v>
      </c>
      <c r="AV85" s="206" t="s">
        <v>2</v>
      </c>
      <c r="AW85" s="203" t="s">
        <v>2</v>
      </c>
      <c r="AX85" s="205" t="s">
        <v>2</v>
      </c>
      <c r="AY85" s="205" t="s">
        <v>2</v>
      </c>
      <c r="AZ85" s="206" t="s">
        <v>2</v>
      </c>
      <c r="BA85" s="203" t="s">
        <v>2</v>
      </c>
      <c r="BB85" s="205" t="s">
        <v>2</v>
      </c>
      <c r="BC85" s="205" t="s">
        <v>2</v>
      </c>
      <c r="BD85" s="205" t="s">
        <v>2</v>
      </c>
      <c r="BE85" s="205" t="s">
        <v>2</v>
      </c>
      <c r="BF85" s="206" t="s">
        <v>2</v>
      </c>
      <c r="BG85" s="199" t="s">
        <v>2</v>
      </c>
      <c r="BH85" s="199">
        <v>0</v>
      </c>
      <c r="BI85" s="200" t="s">
        <v>2</v>
      </c>
      <c r="BJ85" s="200" t="s">
        <v>2</v>
      </c>
      <c r="BK85" s="200" t="s">
        <v>2</v>
      </c>
      <c r="BL85" s="200" t="s">
        <v>2</v>
      </c>
      <c r="BM85" s="200" t="s">
        <v>2</v>
      </c>
      <c r="BN85" s="200" t="s">
        <v>2</v>
      </c>
      <c r="BO85" s="200" t="s">
        <v>2</v>
      </c>
      <c r="BP85" s="200" t="s">
        <v>2</v>
      </c>
      <c r="BQ85" s="200" t="s">
        <v>2</v>
      </c>
      <c r="BR85" s="200" t="s">
        <v>2</v>
      </c>
      <c r="BS85" s="200" t="s">
        <v>2</v>
      </c>
      <c r="BT85" s="200" t="s">
        <v>2</v>
      </c>
      <c r="BU85" s="200" t="s">
        <v>2</v>
      </c>
      <c r="BV85" s="200" t="s">
        <v>2</v>
      </c>
      <c r="BW85" s="200" t="s">
        <v>2</v>
      </c>
      <c r="BX85" s="200" t="s">
        <v>2</v>
      </c>
      <c r="BY85" s="200" t="s">
        <v>2</v>
      </c>
      <c r="BZ85" s="201" t="s">
        <v>2</v>
      </c>
      <c r="CA85" s="203" t="s">
        <v>2</v>
      </c>
      <c r="CB85" s="203" t="s">
        <v>2</v>
      </c>
      <c r="CC85" s="203" t="s">
        <v>2</v>
      </c>
      <c r="CD85" s="203" t="s">
        <v>2</v>
      </c>
      <c r="CE85" s="203" t="s">
        <v>2</v>
      </c>
      <c r="CF85" s="203" t="s">
        <v>2</v>
      </c>
      <c r="CG85" s="204" t="s">
        <v>2</v>
      </c>
      <c r="CH85" s="200" t="s">
        <v>2</v>
      </c>
      <c r="CI85" s="201" t="s">
        <v>2</v>
      </c>
      <c r="CJ85" s="203" t="s">
        <v>2</v>
      </c>
      <c r="CK85" s="203" t="s">
        <v>2</v>
      </c>
      <c r="CL85" s="203" t="s">
        <v>2</v>
      </c>
      <c r="CM85" s="204" t="s">
        <v>2</v>
      </c>
      <c r="CN85" s="199" t="s">
        <v>2</v>
      </c>
      <c r="CO85" s="199" t="s">
        <v>2</v>
      </c>
    </row>
    <row r="86" spans="1:93" s="207" customFormat="1" ht="15" x14ac:dyDescent="0.25">
      <c r="A86" s="220" t="s">
        <v>725</v>
      </c>
      <c r="B86" s="221" t="s">
        <v>111</v>
      </c>
      <c r="C86" s="222" t="s">
        <v>907</v>
      </c>
      <c r="D86" s="290">
        <v>4</v>
      </c>
      <c r="E86" s="199">
        <v>14</v>
      </c>
      <c r="F86" s="200">
        <v>29</v>
      </c>
      <c r="G86" s="201">
        <v>121.22</v>
      </c>
      <c r="H86" s="202">
        <v>92</v>
      </c>
      <c r="I86" s="203">
        <v>0.3</v>
      </c>
      <c r="J86" s="203">
        <v>7.0000000000000007E-2</v>
      </c>
      <c r="K86" s="203">
        <v>6.83</v>
      </c>
      <c r="L86" s="203">
        <v>0.7</v>
      </c>
      <c r="M86" s="204">
        <v>0.8</v>
      </c>
      <c r="N86" s="200">
        <v>24</v>
      </c>
      <c r="O86" s="200">
        <v>16</v>
      </c>
      <c r="P86" s="203">
        <v>0.5</v>
      </c>
      <c r="Q86" s="203">
        <v>0.1</v>
      </c>
      <c r="R86" s="200">
        <v>8</v>
      </c>
      <c r="S86" s="200">
        <v>349</v>
      </c>
      <c r="T86" s="200">
        <v>10</v>
      </c>
      <c r="U86" s="205">
        <v>16</v>
      </c>
      <c r="V86" s="205">
        <v>210</v>
      </c>
      <c r="W86" s="204">
        <v>0.3</v>
      </c>
      <c r="X86" s="203">
        <v>9</v>
      </c>
      <c r="Y86" s="205">
        <v>0.06</v>
      </c>
      <c r="Z86" s="205">
        <v>0.03</v>
      </c>
      <c r="AA86" s="205">
        <v>0.4</v>
      </c>
      <c r="AB86" s="205">
        <v>0.29799999999999999</v>
      </c>
      <c r="AC86" s="205">
        <v>6.0999999999999999E-2</v>
      </c>
      <c r="AD86" s="200">
        <v>16</v>
      </c>
      <c r="AE86" s="200">
        <v>0</v>
      </c>
      <c r="AF86" s="203">
        <v>0.4</v>
      </c>
      <c r="AG86" s="204">
        <v>0</v>
      </c>
      <c r="AH86" s="200">
        <v>0</v>
      </c>
      <c r="AI86" s="200">
        <v>237</v>
      </c>
      <c r="AJ86" s="203">
        <v>0</v>
      </c>
      <c r="AK86" s="203">
        <v>1.06</v>
      </c>
      <c r="AL86" s="204">
        <v>1.1000000000000001</v>
      </c>
      <c r="AM86" s="200">
        <v>1512</v>
      </c>
      <c r="AN86" s="200">
        <v>515</v>
      </c>
      <c r="AO86" s="201">
        <v>2145</v>
      </c>
      <c r="AP86" s="203">
        <v>5.1999999999999998E-2</v>
      </c>
      <c r="AQ86" s="205">
        <v>3.6999999999999998E-2</v>
      </c>
      <c r="AR86" s="205">
        <v>0</v>
      </c>
      <c r="AS86" s="205">
        <v>3.0000000000000001E-3</v>
      </c>
      <c r="AT86" s="205">
        <v>0</v>
      </c>
      <c r="AU86" s="205">
        <v>0</v>
      </c>
      <c r="AV86" s="206">
        <v>0</v>
      </c>
      <c r="AW86" s="203">
        <v>1.2999999999999999E-2</v>
      </c>
      <c r="AX86" s="205">
        <v>0</v>
      </c>
      <c r="AY86" s="205">
        <v>6.0000000000000001E-3</v>
      </c>
      <c r="AZ86" s="206">
        <v>6.0000000000000001E-3</v>
      </c>
      <c r="BA86" s="203">
        <v>5.0000000000000001E-3</v>
      </c>
      <c r="BB86" s="205">
        <v>2E-3</v>
      </c>
      <c r="BC86" s="205">
        <v>3.0000000000000001E-3</v>
      </c>
      <c r="BD86" s="205">
        <v>0</v>
      </c>
      <c r="BE86" s="205">
        <v>0</v>
      </c>
      <c r="BF86" s="206">
        <v>0</v>
      </c>
      <c r="BG86" s="199" t="s">
        <v>2</v>
      </c>
      <c r="BH86" s="199">
        <v>0</v>
      </c>
      <c r="BI86" s="200">
        <v>63</v>
      </c>
      <c r="BJ86" s="200">
        <v>12</v>
      </c>
      <c r="BK86" s="200">
        <v>18</v>
      </c>
      <c r="BL86" s="200">
        <v>34</v>
      </c>
      <c r="BM86" s="200">
        <v>31</v>
      </c>
      <c r="BN86" s="200">
        <v>48</v>
      </c>
      <c r="BO86" s="200">
        <v>69</v>
      </c>
      <c r="BP86" s="200">
        <v>47</v>
      </c>
      <c r="BQ86" s="200">
        <v>46</v>
      </c>
      <c r="BR86" s="200">
        <v>20</v>
      </c>
      <c r="BS86" s="200">
        <v>10</v>
      </c>
      <c r="BT86" s="200">
        <v>18</v>
      </c>
      <c r="BU86" s="200">
        <v>47</v>
      </c>
      <c r="BV86" s="200">
        <v>151</v>
      </c>
      <c r="BW86" s="200">
        <v>233</v>
      </c>
      <c r="BX86" s="200">
        <v>31</v>
      </c>
      <c r="BY86" s="200">
        <v>29</v>
      </c>
      <c r="BZ86" s="201">
        <v>37</v>
      </c>
      <c r="CA86" s="203" t="s">
        <v>2</v>
      </c>
      <c r="CB86" s="203" t="s">
        <v>2</v>
      </c>
      <c r="CC86" s="203" t="s">
        <v>2</v>
      </c>
      <c r="CD86" s="203" t="s">
        <v>2</v>
      </c>
      <c r="CE86" s="203" t="s">
        <v>2</v>
      </c>
      <c r="CF86" s="203" t="s">
        <v>2</v>
      </c>
      <c r="CG86" s="204" t="s">
        <v>2</v>
      </c>
      <c r="CH86" s="200">
        <v>0</v>
      </c>
      <c r="CI86" s="201">
        <v>1500</v>
      </c>
      <c r="CJ86" s="203" t="s">
        <v>2</v>
      </c>
      <c r="CK86" s="203" t="s">
        <v>2</v>
      </c>
      <c r="CL86" s="203" t="s">
        <v>2</v>
      </c>
      <c r="CM86" s="204" t="s">
        <v>2</v>
      </c>
      <c r="CN86" s="199">
        <v>12</v>
      </c>
      <c r="CO86" s="199" t="s">
        <v>2</v>
      </c>
    </row>
    <row r="87" spans="1:93" s="207" customFormat="1" ht="15" x14ac:dyDescent="0.25">
      <c r="A87" s="220" t="s">
        <v>726</v>
      </c>
      <c r="B87" s="221" t="s">
        <v>112</v>
      </c>
      <c r="C87" s="222" t="s">
        <v>908</v>
      </c>
      <c r="D87" s="290">
        <v>4</v>
      </c>
      <c r="E87" s="199">
        <v>5</v>
      </c>
      <c r="F87" s="200">
        <v>28</v>
      </c>
      <c r="G87" s="201">
        <v>117.03999999999999</v>
      </c>
      <c r="H87" s="202">
        <v>92.5</v>
      </c>
      <c r="I87" s="203">
        <v>1.2</v>
      </c>
      <c r="J87" s="203">
        <v>0.13</v>
      </c>
      <c r="K87" s="203">
        <v>5.57</v>
      </c>
      <c r="L87" s="203">
        <v>1.5</v>
      </c>
      <c r="M87" s="204">
        <v>0.6</v>
      </c>
      <c r="N87" s="200">
        <v>12</v>
      </c>
      <c r="O87" s="200">
        <v>16</v>
      </c>
      <c r="P87" s="203">
        <v>0.7</v>
      </c>
      <c r="Q87" s="203">
        <v>0.16</v>
      </c>
      <c r="R87" s="200">
        <v>2</v>
      </c>
      <c r="S87" s="200">
        <v>230</v>
      </c>
      <c r="T87" s="200">
        <v>14</v>
      </c>
      <c r="U87" s="205">
        <v>0.25</v>
      </c>
      <c r="V87" s="205">
        <v>82</v>
      </c>
      <c r="W87" s="204">
        <v>0.3</v>
      </c>
      <c r="X87" s="203">
        <v>3</v>
      </c>
      <c r="Y87" s="205">
        <v>0.03</v>
      </c>
      <c r="Z87" s="205">
        <v>0.04</v>
      </c>
      <c r="AA87" s="205">
        <v>0.5</v>
      </c>
      <c r="AB87" s="205">
        <v>0.28100000000000003</v>
      </c>
      <c r="AC87" s="205">
        <v>8.4000000000000005E-2</v>
      </c>
      <c r="AD87" s="200">
        <v>22</v>
      </c>
      <c r="AE87" s="200">
        <v>0</v>
      </c>
      <c r="AF87" s="203" t="s">
        <v>2</v>
      </c>
      <c r="AG87" s="204">
        <v>0</v>
      </c>
      <c r="AH87" s="200">
        <v>0</v>
      </c>
      <c r="AI87" s="200">
        <v>3</v>
      </c>
      <c r="AJ87" s="203" t="s">
        <v>2</v>
      </c>
      <c r="AK87" s="203">
        <v>0.3</v>
      </c>
      <c r="AL87" s="204">
        <v>3.5</v>
      </c>
      <c r="AM87" s="200">
        <v>40</v>
      </c>
      <c r="AN87" s="200" t="s">
        <v>2</v>
      </c>
      <c r="AO87" s="201" t="s">
        <v>2</v>
      </c>
      <c r="AP87" s="203">
        <v>3.4000000000000002E-2</v>
      </c>
      <c r="AQ87" s="205">
        <v>2.5000000000000001E-2</v>
      </c>
      <c r="AR87" s="205">
        <v>0</v>
      </c>
      <c r="AS87" s="205">
        <v>8.9999999999999993E-3</v>
      </c>
      <c r="AT87" s="205">
        <v>0</v>
      </c>
      <c r="AU87" s="205">
        <v>0</v>
      </c>
      <c r="AV87" s="206">
        <v>0</v>
      </c>
      <c r="AW87" s="203">
        <v>1.6E-2</v>
      </c>
      <c r="AX87" s="205">
        <v>0</v>
      </c>
      <c r="AY87" s="205">
        <v>2E-3</v>
      </c>
      <c r="AZ87" s="206">
        <v>1.4E-2</v>
      </c>
      <c r="BA87" s="203">
        <v>7.5999999999999998E-2</v>
      </c>
      <c r="BB87" s="205">
        <v>6.3E-2</v>
      </c>
      <c r="BC87" s="205">
        <v>1.2999999999999999E-2</v>
      </c>
      <c r="BD87" s="205">
        <v>0</v>
      </c>
      <c r="BE87" s="205">
        <v>0</v>
      </c>
      <c r="BF87" s="206">
        <v>0</v>
      </c>
      <c r="BG87" s="199" t="s">
        <v>2</v>
      </c>
      <c r="BH87" s="199">
        <v>0</v>
      </c>
      <c r="BI87" s="200">
        <v>43</v>
      </c>
      <c r="BJ87" s="200">
        <v>13</v>
      </c>
      <c r="BK87" s="200">
        <v>15</v>
      </c>
      <c r="BL87" s="200">
        <v>36</v>
      </c>
      <c r="BM87" s="200">
        <v>23</v>
      </c>
      <c r="BN87" s="200">
        <v>41</v>
      </c>
      <c r="BO87" s="200">
        <v>58</v>
      </c>
      <c r="BP87" s="200">
        <v>36</v>
      </c>
      <c r="BQ87" s="200">
        <v>81</v>
      </c>
      <c r="BR87" s="200">
        <v>18</v>
      </c>
      <c r="BS87" s="200">
        <v>9</v>
      </c>
      <c r="BT87" s="200">
        <v>47</v>
      </c>
      <c r="BU87" s="200">
        <v>32</v>
      </c>
      <c r="BV87" s="200">
        <v>115</v>
      </c>
      <c r="BW87" s="200">
        <v>198</v>
      </c>
      <c r="BX87" s="200">
        <v>31</v>
      </c>
      <c r="BY87" s="200">
        <v>29</v>
      </c>
      <c r="BZ87" s="201">
        <v>49</v>
      </c>
      <c r="CA87" s="203" t="s">
        <v>2</v>
      </c>
      <c r="CB87" s="203" t="s">
        <v>2</v>
      </c>
      <c r="CC87" s="203" t="s">
        <v>2</v>
      </c>
      <c r="CD87" s="203" t="s">
        <v>2</v>
      </c>
      <c r="CE87" s="203" t="s">
        <v>2</v>
      </c>
      <c r="CF87" s="203" t="s">
        <v>2</v>
      </c>
      <c r="CG87" s="204" t="s">
        <v>2</v>
      </c>
      <c r="CH87" s="200" t="s">
        <v>2</v>
      </c>
      <c r="CI87" s="201" t="s">
        <v>2</v>
      </c>
      <c r="CJ87" s="203" t="s">
        <v>2</v>
      </c>
      <c r="CK87" s="203" t="s">
        <v>2</v>
      </c>
      <c r="CL87" s="203" t="s">
        <v>2</v>
      </c>
      <c r="CM87" s="204" t="s">
        <v>2</v>
      </c>
      <c r="CN87" s="199">
        <v>7</v>
      </c>
      <c r="CO87" s="199" t="s">
        <v>2</v>
      </c>
    </row>
    <row r="88" spans="1:93" s="207" customFormat="1" ht="15" x14ac:dyDescent="0.25">
      <c r="A88" s="220" t="s">
        <v>727</v>
      </c>
      <c r="B88" s="221" t="s">
        <v>113</v>
      </c>
      <c r="C88" s="222" t="s">
        <v>909</v>
      </c>
      <c r="D88" s="290">
        <v>4</v>
      </c>
      <c r="E88" s="199">
        <v>5</v>
      </c>
      <c r="F88" s="200">
        <v>24</v>
      </c>
      <c r="G88" s="201">
        <v>100.32</v>
      </c>
      <c r="H88" s="202">
        <v>94</v>
      </c>
      <c r="I88" s="203">
        <v>0.6</v>
      </c>
      <c r="J88" s="203">
        <v>0.23</v>
      </c>
      <c r="K88" s="203">
        <v>4.7699999999999996</v>
      </c>
      <c r="L88" s="203">
        <v>0.8</v>
      </c>
      <c r="M88" s="204">
        <v>0.4</v>
      </c>
      <c r="N88" s="200">
        <v>12</v>
      </c>
      <c r="O88" s="200">
        <v>26</v>
      </c>
      <c r="P88" s="203">
        <v>1.4</v>
      </c>
      <c r="Q88" s="203">
        <v>0.74</v>
      </c>
      <c r="R88" s="200">
        <v>12</v>
      </c>
      <c r="S88" s="200">
        <v>275</v>
      </c>
      <c r="T88" s="200">
        <v>15</v>
      </c>
      <c r="U88" s="205">
        <v>0.21</v>
      </c>
      <c r="V88" s="205">
        <v>90</v>
      </c>
      <c r="W88" s="204">
        <v>0.5</v>
      </c>
      <c r="X88" s="203">
        <v>40</v>
      </c>
      <c r="Y88" s="205">
        <v>0.06</v>
      </c>
      <c r="Z88" s="205">
        <v>0.04</v>
      </c>
      <c r="AA88" s="205">
        <v>0.5</v>
      </c>
      <c r="AB88" s="205">
        <v>8.8999999999999996E-2</v>
      </c>
      <c r="AC88" s="205">
        <v>0.08</v>
      </c>
      <c r="AD88" s="200">
        <v>15</v>
      </c>
      <c r="AE88" s="200">
        <v>0</v>
      </c>
      <c r="AF88" s="203" t="s">
        <v>2</v>
      </c>
      <c r="AG88" s="204">
        <v>0</v>
      </c>
      <c r="AH88" s="200">
        <v>0</v>
      </c>
      <c r="AI88" s="200">
        <v>59</v>
      </c>
      <c r="AJ88" s="203">
        <v>0</v>
      </c>
      <c r="AK88" s="203">
        <v>0.54</v>
      </c>
      <c r="AL88" s="204">
        <v>7.9</v>
      </c>
      <c r="AM88" s="200">
        <v>648</v>
      </c>
      <c r="AN88" s="200">
        <v>112</v>
      </c>
      <c r="AO88" s="201">
        <v>0</v>
      </c>
      <c r="AP88" s="203">
        <v>4.5999999999999999E-2</v>
      </c>
      <c r="AQ88" s="205">
        <v>0.02</v>
      </c>
      <c r="AR88" s="205">
        <v>0</v>
      </c>
      <c r="AS88" s="205">
        <v>8.0000000000000002E-3</v>
      </c>
      <c r="AT88" s="205">
        <v>0</v>
      </c>
      <c r="AU88" s="205">
        <v>0</v>
      </c>
      <c r="AV88" s="206">
        <v>0</v>
      </c>
      <c r="AW88" s="203">
        <v>5.0999999999999997E-2</v>
      </c>
      <c r="AX88" s="205">
        <v>0</v>
      </c>
      <c r="AY88" s="205">
        <v>1E-3</v>
      </c>
      <c r="AZ88" s="206">
        <v>0.03</v>
      </c>
      <c r="BA88" s="203">
        <v>0.13500000000000001</v>
      </c>
      <c r="BB88" s="205">
        <v>0.08</v>
      </c>
      <c r="BC88" s="205">
        <v>3.0000000000000001E-3</v>
      </c>
      <c r="BD88" s="205">
        <v>0</v>
      </c>
      <c r="BE88" s="205">
        <v>0</v>
      </c>
      <c r="BF88" s="206">
        <v>0</v>
      </c>
      <c r="BG88" s="199" t="s">
        <v>2</v>
      </c>
      <c r="BH88" s="199">
        <v>0</v>
      </c>
      <c r="BI88" s="200">
        <v>25</v>
      </c>
      <c r="BJ88" s="200">
        <v>5</v>
      </c>
      <c r="BK88" s="200">
        <v>7</v>
      </c>
      <c r="BL88" s="200">
        <v>16</v>
      </c>
      <c r="BM88" s="200">
        <v>20</v>
      </c>
      <c r="BN88" s="200">
        <v>19</v>
      </c>
      <c r="BO88" s="200">
        <v>24</v>
      </c>
      <c r="BP88" s="200">
        <v>16</v>
      </c>
      <c r="BQ88" s="200">
        <v>19</v>
      </c>
      <c r="BR88" s="200">
        <v>13</v>
      </c>
      <c r="BS88" s="200">
        <v>5</v>
      </c>
      <c r="BT88" s="200">
        <v>12</v>
      </c>
      <c r="BU88" s="200">
        <v>22</v>
      </c>
      <c r="BV88" s="200">
        <v>104</v>
      </c>
      <c r="BW88" s="200">
        <v>269</v>
      </c>
      <c r="BX88" s="200">
        <v>16</v>
      </c>
      <c r="BY88" s="200">
        <v>14</v>
      </c>
      <c r="BZ88" s="201">
        <v>22</v>
      </c>
      <c r="CA88" s="203">
        <v>2.63</v>
      </c>
      <c r="CB88" s="203">
        <v>0</v>
      </c>
      <c r="CC88" s="203">
        <v>0</v>
      </c>
      <c r="CD88" s="203">
        <v>0</v>
      </c>
      <c r="CE88" s="203">
        <v>1.37</v>
      </c>
      <c r="CF88" s="203">
        <v>1.25</v>
      </c>
      <c r="CG88" s="204">
        <v>0</v>
      </c>
      <c r="CH88" s="200">
        <v>2750</v>
      </c>
      <c r="CI88" s="201">
        <v>27.4</v>
      </c>
      <c r="CJ88" s="203" t="s">
        <v>2</v>
      </c>
      <c r="CK88" s="203" t="s">
        <v>2</v>
      </c>
      <c r="CL88" s="203" t="s">
        <v>2</v>
      </c>
      <c r="CM88" s="204" t="s">
        <v>2</v>
      </c>
      <c r="CN88" s="199">
        <v>7</v>
      </c>
      <c r="CO88" s="199">
        <v>11</v>
      </c>
    </row>
    <row r="89" spans="1:93" s="207" customFormat="1" ht="15" x14ac:dyDescent="0.25">
      <c r="A89" s="220" t="s">
        <v>728</v>
      </c>
      <c r="B89" s="221" t="s">
        <v>114</v>
      </c>
      <c r="C89" s="222" t="s">
        <v>910</v>
      </c>
      <c r="D89" s="290">
        <v>4</v>
      </c>
      <c r="E89" s="199">
        <v>10</v>
      </c>
      <c r="F89" s="200">
        <v>27</v>
      </c>
      <c r="G89" s="201">
        <v>112.85999999999999</v>
      </c>
      <c r="H89" s="202">
        <v>92.5</v>
      </c>
      <c r="I89" s="203">
        <v>1.5</v>
      </c>
      <c r="J89" s="203" t="s">
        <v>2</v>
      </c>
      <c r="K89" s="203">
        <v>5.2</v>
      </c>
      <c r="L89" s="203">
        <v>1.6</v>
      </c>
      <c r="M89" s="204">
        <v>0.8</v>
      </c>
      <c r="N89" s="200">
        <v>12</v>
      </c>
      <c r="O89" s="200">
        <v>16</v>
      </c>
      <c r="P89" s="203">
        <v>0.7</v>
      </c>
      <c r="Q89" s="203">
        <v>0.3</v>
      </c>
      <c r="R89" s="200">
        <v>7</v>
      </c>
      <c r="S89" s="200">
        <v>221</v>
      </c>
      <c r="T89" s="200">
        <v>18</v>
      </c>
      <c r="U89" s="205">
        <v>0.2</v>
      </c>
      <c r="V89" s="205">
        <v>90</v>
      </c>
      <c r="W89" s="204">
        <v>6.7</v>
      </c>
      <c r="X89" s="203">
        <v>3</v>
      </c>
      <c r="Y89" s="205">
        <v>0.03</v>
      </c>
      <c r="Z89" s="205">
        <v>0.04</v>
      </c>
      <c r="AA89" s="205">
        <v>0.5</v>
      </c>
      <c r="AB89" s="205" t="s">
        <v>2</v>
      </c>
      <c r="AC89" s="205" t="s">
        <v>2</v>
      </c>
      <c r="AD89" s="200" t="s">
        <v>2</v>
      </c>
      <c r="AE89" s="200" t="s">
        <v>2</v>
      </c>
      <c r="AF89" s="203" t="s">
        <v>2</v>
      </c>
      <c r="AG89" s="204" t="s">
        <v>2</v>
      </c>
      <c r="AH89" s="200">
        <v>0</v>
      </c>
      <c r="AI89" s="200">
        <v>2</v>
      </c>
      <c r="AJ89" s="203" t="s">
        <v>2</v>
      </c>
      <c r="AK89" s="203" t="s">
        <v>2</v>
      </c>
      <c r="AL89" s="204" t="s">
        <v>2</v>
      </c>
      <c r="AM89" s="200">
        <v>20</v>
      </c>
      <c r="AN89" s="200" t="s">
        <v>2</v>
      </c>
      <c r="AO89" s="201" t="s">
        <v>2</v>
      </c>
      <c r="AP89" s="203" t="s">
        <v>2</v>
      </c>
      <c r="AQ89" s="205" t="s">
        <v>2</v>
      </c>
      <c r="AR89" s="205" t="s">
        <v>2</v>
      </c>
      <c r="AS89" s="205" t="s">
        <v>2</v>
      </c>
      <c r="AT89" s="205" t="s">
        <v>2</v>
      </c>
      <c r="AU89" s="205" t="s">
        <v>2</v>
      </c>
      <c r="AV89" s="206" t="s">
        <v>2</v>
      </c>
      <c r="AW89" s="203" t="s">
        <v>2</v>
      </c>
      <c r="AX89" s="205" t="s">
        <v>2</v>
      </c>
      <c r="AY89" s="205" t="s">
        <v>2</v>
      </c>
      <c r="AZ89" s="206" t="s">
        <v>2</v>
      </c>
      <c r="BA89" s="203" t="s">
        <v>2</v>
      </c>
      <c r="BB89" s="205" t="s">
        <v>2</v>
      </c>
      <c r="BC89" s="205" t="s">
        <v>2</v>
      </c>
      <c r="BD89" s="205" t="s">
        <v>2</v>
      </c>
      <c r="BE89" s="205" t="s">
        <v>2</v>
      </c>
      <c r="BF89" s="206" t="s">
        <v>2</v>
      </c>
      <c r="BG89" s="199" t="s">
        <v>2</v>
      </c>
      <c r="BH89" s="199">
        <v>0</v>
      </c>
      <c r="BI89" s="200">
        <v>43</v>
      </c>
      <c r="BJ89" s="200">
        <v>13</v>
      </c>
      <c r="BK89" s="200">
        <v>15</v>
      </c>
      <c r="BL89" s="200">
        <v>36</v>
      </c>
      <c r="BM89" s="200">
        <v>23</v>
      </c>
      <c r="BN89" s="200">
        <v>41</v>
      </c>
      <c r="BO89" s="200">
        <v>58</v>
      </c>
      <c r="BP89" s="200">
        <v>36</v>
      </c>
      <c r="BQ89" s="200">
        <v>81</v>
      </c>
      <c r="BR89" s="200">
        <v>18</v>
      </c>
      <c r="BS89" s="200">
        <v>9</v>
      </c>
      <c r="BT89" s="200">
        <v>47</v>
      </c>
      <c r="BU89" s="200">
        <v>32</v>
      </c>
      <c r="BV89" s="200">
        <v>115</v>
      </c>
      <c r="BW89" s="200">
        <v>198</v>
      </c>
      <c r="BX89" s="200">
        <v>31</v>
      </c>
      <c r="BY89" s="200">
        <v>29</v>
      </c>
      <c r="BZ89" s="201">
        <v>49</v>
      </c>
      <c r="CA89" s="203" t="s">
        <v>2</v>
      </c>
      <c r="CB89" s="203" t="s">
        <v>2</v>
      </c>
      <c r="CC89" s="203" t="s">
        <v>2</v>
      </c>
      <c r="CD89" s="203" t="s">
        <v>2</v>
      </c>
      <c r="CE89" s="203" t="s">
        <v>2</v>
      </c>
      <c r="CF89" s="203" t="s">
        <v>2</v>
      </c>
      <c r="CG89" s="204" t="s">
        <v>2</v>
      </c>
      <c r="CH89" s="200" t="s">
        <v>2</v>
      </c>
      <c r="CI89" s="201" t="s">
        <v>2</v>
      </c>
      <c r="CJ89" s="203" t="s">
        <v>2</v>
      </c>
      <c r="CK89" s="203" t="s">
        <v>2</v>
      </c>
      <c r="CL89" s="203" t="s">
        <v>2</v>
      </c>
      <c r="CM89" s="204" t="s">
        <v>2</v>
      </c>
      <c r="CN89" s="199" t="s">
        <v>2</v>
      </c>
      <c r="CO89" s="199" t="s">
        <v>2</v>
      </c>
    </row>
    <row r="90" spans="1:93" s="207" customFormat="1" ht="15" x14ac:dyDescent="0.25">
      <c r="A90" s="220" t="s">
        <v>729</v>
      </c>
      <c r="B90" s="221" t="s">
        <v>115</v>
      </c>
      <c r="C90" s="222" t="s">
        <v>911</v>
      </c>
      <c r="D90" s="290">
        <v>4</v>
      </c>
      <c r="E90" s="199">
        <v>15</v>
      </c>
      <c r="F90" s="200">
        <v>44</v>
      </c>
      <c r="G90" s="201">
        <v>183.92</v>
      </c>
      <c r="H90" s="202">
        <v>88.5</v>
      </c>
      <c r="I90" s="203">
        <v>1.5</v>
      </c>
      <c r="J90" s="203">
        <v>0.17</v>
      </c>
      <c r="K90" s="203">
        <v>9.0299999999999994</v>
      </c>
      <c r="L90" s="203">
        <v>1.2</v>
      </c>
      <c r="M90" s="204">
        <v>0.8</v>
      </c>
      <c r="N90" s="200">
        <v>43</v>
      </c>
      <c r="O90" s="200">
        <v>39</v>
      </c>
      <c r="P90" s="203">
        <v>0.8</v>
      </c>
      <c r="Q90" s="203">
        <v>1.1100000000000001</v>
      </c>
      <c r="R90" s="200">
        <v>52</v>
      </c>
      <c r="S90" s="200">
        <v>266</v>
      </c>
      <c r="T90" s="200">
        <v>12</v>
      </c>
      <c r="U90" s="205">
        <v>0.23</v>
      </c>
      <c r="V90" s="205">
        <v>150</v>
      </c>
      <c r="W90" s="204">
        <v>0.1</v>
      </c>
      <c r="X90" s="203">
        <v>3</v>
      </c>
      <c r="Y90" s="205">
        <v>0.06</v>
      </c>
      <c r="Z90" s="205">
        <v>0.06</v>
      </c>
      <c r="AA90" s="205">
        <v>0.4</v>
      </c>
      <c r="AB90" s="205">
        <v>0.27300000000000002</v>
      </c>
      <c r="AC90" s="205">
        <v>0.13800000000000001</v>
      </c>
      <c r="AD90" s="200">
        <v>19</v>
      </c>
      <c r="AE90" s="200">
        <v>0</v>
      </c>
      <c r="AF90" s="203">
        <v>3.4</v>
      </c>
      <c r="AG90" s="204">
        <v>0</v>
      </c>
      <c r="AH90" s="200">
        <v>0</v>
      </c>
      <c r="AI90" s="200">
        <v>681</v>
      </c>
      <c r="AJ90" s="203" t="s">
        <v>2</v>
      </c>
      <c r="AK90" s="203" t="s">
        <v>2</v>
      </c>
      <c r="AL90" s="204" t="s">
        <v>2</v>
      </c>
      <c r="AM90" s="200">
        <v>6597</v>
      </c>
      <c r="AN90" s="200">
        <v>3036</v>
      </c>
      <c r="AO90" s="201">
        <v>125</v>
      </c>
      <c r="AP90" s="203">
        <v>3.6999999999999998E-2</v>
      </c>
      <c r="AQ90" s="205">
        <v>3.5000000000000003E-2</v>
      </c>
      <c r="AR90" s="205">
        <v>0</v>
      </c>
      <c r="AS90" s="205">
        <v>2E-3</v>
      </c>
      <c r="AT90" s="205">
        <v>0</v>
      </c>
      <c r="AU90" s="205">
        <v>0</v>
      </c>
      <c r="AV90" s="206">
        <v>0</v>
      </c>
      <c r="AW90" s="203">
        <v>1.4E-2</v>
      </c>
      <c r="AX90" s="205">
        <v>0</v>
      </c>
      <c r="AY90" s="205">
        <v>2E-3</v>
      </c>
      <c r="AZ90" s="206">
        <v>1.2E-2</v>
      </c>
      <c r="BA90" s="203">
        <v>0.11700000000000001</v>
      </c>
      <c r="BB90" s="205">
        <v>0.115</v>
      </c>
      <c r="BC90" s="205">
        <v>2E-3</v>
      </c>
      <c r="BD90" s="205">
        <v>0</v>
      </c>
      <c r="BE90" s="205">
        <v>0</v>
      </c>
      <c r="BF90" s="205">
        <v>0</v>
      </c>
      <c r="BG90" s="199" t="s">
        <v>2</v>
      </c>
      <c r="BH90" s="199">
        <v>0</v>
      </c>
      <c r="BI90" s="200">
        <v>39</v>
      </c>
      <c r="BJ90" s="200">
        <v>12</v>
      </c>
      <c r="BK90" s="200">
        <v>7</v>
      </c>
      <c r="BL90" s="200">
        <v>27</v>
      </c>
      <c r="BM90" s="200">
        <v>29</v>
      </c>
      <c r="BN90" s="200">
        <v>44</v>
      </c>
      <c r="BO90" s="200">
        <v>44</v>
      </c>
      <c r="BP90" s="200">
        <v>30</v>
      </c>
      <c r="BQ90" s="200">
        <v>44</v>
      </c>
      <c r="BR90" s="200">
        <v>14</v>
      </c>
      <c r="BS90" s="200">
        <v>10</v>
      </c>
      <c r="BT90" s="200">
        <v>22</v>
      </c>
      <c r="BU90" s="200">
        <v>48</v>
      </c>
      <c r="BV90" s="200">
        <v>117</v>
      </c>
      <c r="BW90" s="200">
        <v>194</v>
      </c>
      <c r="BX90" s="200">
        <v>29</v>
      </c>
      <c r="BY90" s="200">
        <v>28</v>
      </c>
      <c r="BZ90" s="201">
        <v>32</v>
      </c>
      <c r="CA90" s="203">
        <v>4.54</v>
      </c>
      <c r="CB90" s="203">
        <v>0</v>
      </c>
      <c r="CC90" s="203">
        <v>0</v>
      </c>
      <c r="CD90" s="203">
        <v>0</v>
      </c>
      <c r="CE90" s="203">
        <v>0.55000000000000004</v>
      </c>
      <c r="CF90" s="203">
        <v>0.59</v>
      </c>
      <c r="CG90" s="204">
        <v>3.59</v>
      </c>
      <c r="CH90" s="200">
        <v>1</v>
      </c>
      <c r="CI90" s="201">
        <v>94</v>
      </c>
      <c r="CJ90" s="203" t="s">
        <v>2</v>
      </c>
      <c r="CK90" s="203" t="s">
        <v>2</v>
      </c>
      <c r="CL90" s="203" t="s">
        <v>2</v>
      </c>
      <c r="CM90" s="204" t="s">
        <v>2</v>
      </c>
      <c r="CN90" s="199" t="s">
        <v>2</v>
      </c>
      <c r="CO90" s="199">
        <v>17</v>
      </c>
    </row>
    <row r="91" spans="1:93" s="207" customFormat="1" ht="15" x14ac:dyDescent="0.25">
      <c r="A91" s="220" t="s">
        <v>730</v>
      </c>
      <c r="B91" s="221" t="s">
        <v>116</v>
      </c>
      <c r="C91" s="222" t="s">
        <v>912</v>
      </c>
      <c r="D91" s="290">
        <v>4</v>
      </c>
      <c r="E91" s="199">
        <v>0</v>
      </c>
      <c r="F91" s="200">
        <v>330</v>
      </c>
      <c r="G91" s="201">
        <v>1379.3999999999999</v>
      </c>
      <c r="H91" s="202">
        <v>14</v>
      </c>
      <c r="I91" s="203">
        <v>9.1999999999999993</v>
      </c>
      <c r="J91" s="203">
        <v>1.5</v>
      </c>
      <c r="K91" s="203">
        <v>70</v>
      </c>
      <c r="L91" s="203">
        <v>9.6</v>
      </c>
      <c r="M91" s="204">
        <v>5.3</v>
      </c>
      <c r="N91" s="200">
        <v>323</v>
      </c>
      <c r="O91" s="200">
        <v>292</v>
      </c>
      <c r="P91" s="203">
        <v>5.9</v>
      </c>
      <c r="Q91" s="203" t="s">
        <v>2</v>
      </c>
      <c r="R91" s="200" t="s">
        <v>2</v>
      </c>
      <c r="S91" s="200" t="s">
        <v>2</v>
      </c>
      <c r="T91" s="200" t="s">
        <v>2</v>
      </c>
      <c r="U91" s="205" t="s">
        <v>2</v>
      </c>
      <c r="V91" s="205" t="s">
        <v>2</v>
      </c>
      <c r="W91" s="204" t="s">
        <v>2</v>
      </c>
      <c r="X91" s="203" t="s">
        <v>2</v>
      </c>
      <c r="Y91" s="205" t="s">
        <v>2</v>
      </c>
      <c r="Z91" s="205" t="s">
        <v>2</v>
      </c>
      <c r="AA91" s="205" t="s">
        <v>2</v>
      </c>
      <c r="AB91" s="205" t="s">
        <v>2</v>
      </c>
      <c r="AC91" s="205" t="s">
        <v>2</v>
      </c>
      <c r="AD91" s="200" t="s">
        <v>2</v>
      </c>
      <c r="AE91" s="200" t="s">
        <v>2</v>
      </c>
      <c r="AF91" s="203" t="s">
        <v>2</v>
      </c>
      <c r="AG91" s="204" t="s">
        <v>2</v>
      </c>
      <c r="AH91" s="200">
        <v>0</v>
      </c>
      <c r="AI91" s="200">
        <v>68</v>
      </c>
      <c r="AJ91" s="203" t="s">
        <v>2</v>
      </c>
      <c r="AK91" s="203" t="s">
        <v>2</v>
      </c>
      <c r="AL91" s="204" t="s">
        <v>2</v>
      </c>
      <c r="AM91" s="200">
        <v>810</v>
      </c>
      <c r="AN91" s="200" t="s">
        <v>2</v>
      </c>
      <c r="AO91" s="201" t="s">
        <v>2</v>
      </c>
      <c r="AP91" s="203" t="s">
        <v>2</v>
      </c>
      <c r="AQ91" s="205" t="s">
        <v>2</v>
      </c>
      <c r="AR91" s="205" t="s">
        <v>2</v>
      </c>
      <c r="AS91" s="205" t="s">
        <v>2</v>
      </c>
      <c r="AT91" s="205" t="s">
        <v>2</v>
      </c>
      <c r="AU91" s="205" t="s">
        <v>2</v>
      </c>
      <c r="AV91" s="206" t="s">
        <v>2</v>
      </c>
      <c r="AW91" s="203" t="s">
        <v>2</v>
      </c>
      <c r="AX91" s="205" t="s">
        <v>2</v>
      </c>
      <c r="AY91" s="205" t="s">
        <v>2</v>
      </c>
      <c r="AZ91" s="206" t="s">
        <v>2</v>
      </c>
      <c r="BA91" s="203" t="s">
        <v>2</v>
      </c>
      <c r="BB91" s="205" t="s">
        <v>2</v>
      </c>
      <c r="BC91" s="205" t="s">
        <v>2</v>
      </c>
      <c r="BD91" s="205" t="s">
        <v>2</v>
      </c>
      <c r="BE91" s="205" t="s">
        <v>2</v>
      </c>
      <c r="BF91" s="206" t="s">
        <v>2</v>
      </c>
      <c r="BG91" s="199" t="s">
        <v>2</v>
      </c>
      <c r="BH91" s="199">
        <v>0</v>
      </c>
      <c r="BI91" s="200" t="s">
        <v>2</v>
      </c>
      <c r="BJ91" s="200" t="s">
        <v>2</v>
      </c>
      <c r="BK91" s="200" t="s">
        <v>2</v>
      </c>
      <c r="BL91" s="200" t="s">
        <v>2</v>
      </c>
      <c r="BM91" s="200" t="s">
        <v>2</v>
      </c>
      <c r="BN91" s="200" t="s">
        <v>2</v>
      </c>
      <c r="BO91" s="200" t="s">
        <v>2</v>
      </c>
      <c r="BP91" s="200" t="s">
        <v>2</v>
      </c>
      <c r="BQ91" s="200" t="s">
        <v>2</v>
      </c>
      <c r="BR91" s="200" t="s">
        <v>2</v>
      </c>
      <c r="BS91" s="200" t="s">
        <v>2</v>
      </c>
      <c r="BT91" s="200" t="s">
        <v>2</v>
      </c>
      <c r="BU91" s="200" t="s">
        <v>2</v>
      </c>
      <c r="BV91" s="200" t="s">
        <v>2</v>
      </c>
      <c r="BW91" s="200" t="s">
        <v>2</v>
      </c>
      <c r="BX91" s="200" t="s">
        <v>2</v>
      </c>
      <c r="BY91" s="200" t="s">
        <v>2</v>
      </c>
      <c r="BZ91" s="201" t="s">
        <v>2</v>
      </c>
      <c r="CA91" s="203" t="s">
        <v>2</v>
      </c>
      <c r="CB91" s="203" t="s">
        <v>2</v>
      </c>
      <c r="CC91" s="203" t="s">
        <v>2</v>
      </c>
      <c r="CD91" s="203" t="s">
        <v>2</v>
      </c>
      <c r="CE91" s="203" t="s">
        <v>2</v>
      </c>
      <c r="CF91" s="203" t="s">
        <v>2</v>
      </c>
      <c r="CG91" s="204" t="s">
        <v>2</v>
      </c>
      <c r="CH91" s="200" t="s">
        <v>2</v>
      </c>
      <c r="CI91" s="201" t="s">
        <v>2</v>
      </c>
      <c r="CJ91" s="203" t="s">
        <v>2</v>
      </c>
      <c r="CK91" s="203" t="s">
        <v>2</v>
      </c>
      <c r="CL91" s="203" t="s">
        <v>2</v>
      </c>
      <c r="CM91" s="204" t="s">
        <v>2</v>
      </c>
      <c r="CN91" s="199" t="s">
        <v>2</v>
      </c>
      <c r="CO91" s="199" t="s">
        <v>2</v>
      </c>
    </row>
    <row r="92" spans="1:93" s="207" customFormat="1" ht="15" x14ac:dyDescent="0.25">
      <c r="A92" s="220" t="s">
        <v>731</v>
      </c>
      <c r="B92" s="221" t="s">
        <v>117</v>
      </c>
      <c r="C92" s="222" t="s">
        <v>913</v>
      </c>
      <c r="D92" s="290">
        <v>4</v>
      </c>
      <c r="E92" s="199">
        <v>5</v>
      </c>
      <c r="F92" s="200">
        <v>28</v>
      </c>
      <c r="G92" s="201">
        <v>117.03999999999999</v>
      </c>
      <c r="H92" s="202">
        <v>92.5</v>
      </c>
      <c r="I92" s="203">
        <v>1</v>
      </c>
      <c r="J92" s="203" t="s">
        <v>2</v>
      </c>
      <c r="K92" s="203">
        <v>6</v>
      </c>
      <c r="L92" s="203">
        <v>1.5</v>
      </c>
      <c r="M92" s="204">
        <v>0.5</v>
      </c>
      <c r="N92" s="200">
        <v>15</v>
      </c>
      <c r="O92" s="200">
        <v>34</v>
      </c>
      <c r="P92" s="203">
        <v>0.4</v>
      </c>
      <c r="Q92" s="203" t="s">
        <v>2</v>
      </c>
      <c r="R92" s="200" t="s">
        <v>2</v>
      </c>
      <c r="S92" s="200" t="s">
        <v>2</v>
      </c>
      <c r="T92" s="200" t="s">
        <v>2</v>
      </c>
      <c r="U92" s="205" t="s">
        <v>2</v>
      </c>
      <c r="V92" s="205" t="s">
        <v>2</v>
      </c>
      <c r="W92" s="204" t="s">
        <v>2</v>
      </c>
      <c r="X92" s="203">
        <v>15</v>
      </c>
      <c r="Y92" s="205">
        <v>0.04</v>
      </c>
      <c r="Z92" s="205">
        <v>0.05</v>
      </c>
      <c r="AA92" s="205">
        <v>0.6</v>
      </c>
      <c r="AB92" s="205" t="s">
        <v>2</v>
      </c>
      <c r="AC92" s="205" t="s">
        <v>2</v>
      </c>
      <c r="AD92" s="200" t="s">
        <v>2</v>
      </c>
      <c r="AE92" s="200" t="s">
        <v>2</v>
      </c>
      <c r="AF92" s="203" t="s">
        <v>2</v>
      </c>
      <c r="AG92" s="204" t="s">
        <v>2</v>
      </c>
      <c r="AH92" s="200">
        <v>0</v>
      </c>
      <c r="AI92" s="200">
        <v>1</v>
      </c>
      <c r="AJ92" s="203" t="s">
        <v>2</v>
      </c>
      <c r="AK92" s="203" t="s">
        <v>2</v>
      </c>
      <c r="AL92" s="204" t="s">
        <v>2</v>
      </c>
      <c r="AM92" s="200">
        <v>10</v>
      </c>
      <c r="AN92" s="200" t="s">
        <v>2</v>
      </c>
      <c r="AO92" s="201" t="s">
        <v>2</v>
      </c>
      <c r="AP92" s="203" t="s">
        <v>2</v>
      </c>
      <c r="AQ92" s="205" t="s">
        <v>2</v>
      </c>
      <c r="AR92" s="205" t="s">
        <v>2</v>
      </c>
      <c r="AS92" s="205" t="s">
        <v>2</v>
      </c>
      <c r="AT92" s="205" t="s">
        <v>2</v>
      </c>
      <c r="AU92" s="205" t="s">
        <v>2</v>
      </c>
      <c r="AV92" s="206" t="s">
        <v>2</v>
      </c>
      <c r="AW92" s="203" t="s">
        <v>2</v>
      </c>
      <c r="AX92" s="205" t="s">
        <v>2</v>
      </c>
      <c r="AY92" s="205" t="s">
        <v>2</v>
      </c>
      <c r="AZ92" s="206" t="s">
        <v>2</v>
      </c>
      <c r="BA92" s="203" t="s">
        <v>2</v>
      </c>
      <c r="BB92" s="205" t="s">
        <v>2</v>
      </c>
      <c r="BC92" s="205" t="s">
        <v>2</v>
      </c>
      <c r="BD92" s="205" t="s">
        <v>2</v>
      </c>
      <c r="BE92" s="205" t="s">
        <v>2</v>
      </c>
      <c r="BF92" s="206" t="s">
        <v>2</v>
      </c>
      <c r="BG92" s="199" t="s">
        <v>2</v>
      </c>
      <c r="BH92" s="199">
        <v>0</v>
      </c>
      <c r="BI92" s="200" t="s">
        <v>2</v>
      </c>
      <c r="BJ92" s="200" t="s">
        <v>2</v>
      </c>
      <c r="BK92" s="200" t="s">
        <v>2</v>
      </c>
      <c r="BL92" s="200" t="s">
        <v>2</v>
      </c>
      <c r="BM92" s="200" t="s">
        <v>2</v>
      </c>
      <c r="BN92" s="200" t="s">
        <v>2</v>
      </c>
      <c r="BO92" s="200" t="s">
        <v>2</v>
      </c>
      <c r="BP92" s="200" t="s">
        <v>2</v>
      </c>
      <c r="BQ92" s="200" t="s">
        <v>2</v>
      </c>
      <c r="BR92" s="200" t="s">
        <v>2</v>
      </c>
      <c r="BS92" s="200" t="s">
        <v>2</v>
      </c>
      <c r="BT92" s="200" t="s">
        <v>2</v>
      </c>
      <c r="BU92" s="200" t="s">
        <v>2</v>
      </c>
      <c r="BV92" s="200" t="s">
        <v>2</v>
      </c>
      <c r="BW92" s="200" t="s">
        <v>2</v>
      </c>
      <c r="BX92" s="200" t="s">
        <v>2</v>
      </c>
      <c r="BY92" s="200" t="s">
        <v>2</v>
      </c>
      <c r="BZ92" s="201" t="s">
        <v>2</v>
      </c>
      <c r="CA92" s="203" t="s">
        <v>2</v>
      </c>
      <c r="CB92" s="203" t="s">
        <v>2</v>
      </c>
      <c r="CC92" s="203" t="s">
        <v>2</v>
      </c>
      <c r="CD92" s="203" t="s">
        <v>2</v>
      </c>
      <c r="CE92" s="203" t="s">
        <v>2</v>
      </c>
      <c r="CF92" s="203" t="s">
        <v>2</v>
      </c>
      <c r="CG92" s="204" t="s">
        <v>2</v>
      </c>
      <c r="CH92" s="200" t="s">
        <v>2</v>
      </c>
      <c r="CI92" s="201" t="s">
        <v>2</v>
      </c>
      <c r="CJ92" s="203" t="s">
        <v>2</v>
      </c>
      <c r="CK92" s="203" t="s">
        <v>2</v>
      </c>
      <c r="CL92" s="203" t="s">
        <v>2</v>
      </c>
      <c r="CM92" s="204" t="s">
        <v>2</v>
      </c>
      <c r="CN92" s="199" t="s">
        <v>2</v>
      </c>
      <c r="CO92" s="199">
        <v>21</v>
      </c>
    </row>
    <row r="93" spans="1:93" s="207" customFormat="1" ht="15" x14ac:dyDescent="0.25">
      <c r="A93" s="220" t="s">
        <v>732</v>
      </c>
      <c r="B93" s="221" t="s">
        <v>118</v>
      </c>
      <c r="C93" s="222" t="s">
        <v>914</v>
      </c>
      <c r="D93" s="290">
        <v>4</v>
      </c>
      <c r="E93" s="199">
        <v>10</v>
      </c>
      <c r="F93" s="200">
        <v>36</v>
      </c>
      <c r="G93" s="201">
        <v>150.47999999999999</v>
      </c>
      <c r="H93" s="202">
        <v>90</v>
      </c>
      <c r="I93" s="203">
        <v>1.8</v>
      </c>
      <c r="J93" s="203">
        <v>0.09</v>
      </c>
      <c r="K93" s="203">
        <v>6.91</v>
      </c>
      <c r="L93" s="203">
        <v>1.6</v>
      </c>
      <c r="M93" s="204">
        <v>1.2</v>
      </c>
      <c r="N93" s="200">
        <v>48</v>
      </c>
      <c r="O93" s="200">
        <v>31</v>
      </c>
      <c r="P93" s="203">
        <v>1.1000000000000001</v>
      </c>
      <c r="Q93" s="203">
        <v>0.81</v>
      </c>
      <c r="R93" s="200">
        <v>28</v>
      </c>
      <c r="S93" s="200">
        <v>190</v>
      </c>
      <c r="T93" s="200">
        <v>13</v>
      </c>
      <c r="U93" s="205">
        <v>0.45</v>
      </c>
      <c r="V93" s="205">
        <v>180</v>
      </c>
      <c r="W93" s="204">
        <v>2.2000000000000002</v>
      </c>
      <c r="X93" s="203">
        <v>41</v>
      </c>
      <c r="Y93" s="205">
        <v>0.06</v>
      </c>
      <c r="Z93" s="205">
        <v>0.05</v>
      </c>
      <c r="AA93" s="205">
        <v>0.4</v>
      </c>
      <c r="AB93" s="205">
        <v>0.14000000000000001</v>
      </c>
      <c r="AC93" s="205">
        <v>9.6000000000000002E-2</v>
      </c>
      <c r="AD93" s="200">
        <v>43</v>
      </c>
      <c r="AE93" s="200">
        <v>0</v>
      </c>
      <c r="AF93" s="203">
        <v>1.2</v>
      </c>
      <c r="AG93" s="204">
        <v>0</v>
      </c>
      <c r="AH93" s="200">
        <v>0</v>
      </c>
      <c r="AI93" s="200">
        <v>5</v>
      </c>
      <c r="AJ93" s="203" t="s">
        <v>2</v>
      </c>
      <c r="AK93" s="203">
        <v>0.15</v>
      </c>
      <c r="AL93" s="204">
        <v>60</v>
      </c>
      <c r="AM93" s="200">
        <v>65</v>
      </c>
      <c r="AN93" s="200">
        <v>0</v>
      </c>
      <c r="AO93" s="201">
        <v>0</v>
      </c>
      <c r="AP93" s="203">
        <v>1.6E-2</v>
      </c>
      <c r="AQ93" s="205">
        <v>1.4E-2</v>
      </c>
      <c r="AR93" s="205" t="str">
        <f t="shared" ref="AR93:AV93" si="0">$AR$10</f>
        <v>-</v>
      </c>
      <c r="AS93" s="205" t="str">
        <f t="shared" si="0"/>
        <v>-</v>
      </c>
      <c r="AT93" s="205" t="str">
        <f t="shared" si="0"/>
        <v>-</v>
      </c>
      <c r="AU93" s="205" t="str">
        <f t="shared" si="0"/>
        <v>-</v>
      </c>
      <c r="AV93" s="206" t="str">
        <f t="shared" si="0"/>
        <v>-</v>
      </c>
      <c r="AW93" s="203">
        <v>8.9999999999999993E-3</v>
      </c>
      <c r="AX93" s="205" t="str">
        <f t="shared" ref="AX93:AY93" si="1">$AX$10</f>
        <v>-</v>
      </c>
      <c r="AY93" s="205" t="str">
        <f t="shared" si="1"/>
        <v>-</v>
      </c>
      <c r="AZ93" s="206" t="str">
        <f>$AW$13</f>
        <v>-</v>
      </c>
      <c r="BA93" s="203">
        <v>0.06</v>
      </c>
      <c r="BB93" s="205">
        <v>2.5999999999999999E-2</v>
      </c>
      <c r="BC93" s="205">
        <v>3.4000000000000002E-2</v>
      </c>
      <c r="BD93" s="205" t="str">
        <f t="shared" ref="BD93:BF93" si="2">$BD$10</f>
        <v>-</v>
      </c>
      <c r="BE93" s="205" t="str">
        <f t="shared" si="2"/>
        <v>-</v>
      </c>
      <c r="BF93" s="206" t="str">
        <f t="shared" si="2"/>
        <v>-</v>
      </c>
      <c r="BG93" s="199" t="s">
        <v>2</v>
      </c>
      <c r="BH93" s="199">
        <v>0</v>
      </c>
      <c r="BI93" s="200">
        <v>53</v>
      </c>
      <c r="BJ93" s="200">
        <v>18</v>
      </c>
      <c r="BK93" s="200">
        <v>18</v>
      </c>
      <c r="BL93" s="200">
        <v>51</v>
      </c>
      <c r="BM93" s="200">
        <v>64</v>
      </c>
      <c r="BN93" s="200">
        <v>72</v>
      </c>
      <c r="BO93" s="200">
        <v>90</v>
      </c>
      <c r="BP93" s="200">
        <v>52</v>
      </c>
      <c r="BQ93" s="200">
        <v>141</v>
      </c>
      <c r="BR93" s="200">
        <v>43</v>
      </c>
      <c r="BS93" s="200">
        <v>19</v>
      </c>
      <c r="BT93" s="200">
        <v>31</v>
      </c>
      <c r="BU93" s="200">
        <v>86</v>
      </c>
      <c r="BV93" s="200">
        <v>111</v>
      </c>
      <c r="BW93" s="200">
        <v>148</v>
      </c>
      <c r="BX93" s="200">
        <v>81</v>
      </c>
      <c r="BY93" s="200">
        <v>62</v>
      </c>
      <c r="BZ93" s="201">
        <v>70</v>
      </c>
      <c r="CA93" s="203">
        <v>3.58</v>
      </c>
      <c r="CB93" s="203">
        <v>0</v>
      </c>
      <c r="CC93" s="203">
        <v>0.02</v>
      </c>
      <c r="CD93" s="203">
        <v>0</v>
      </c>
      <c r="CE93" s="203">
        <v>1.65</v>
      </c>
      <c r="CF93" s="203">
        <v>1.79</v>
      </c>
      <c r="CG93" s="204">
        <v>0.12</v>
      </c>
      <c r="CH93" s="200">
        <v>0</v>
      </c>
      <c r="CI93" s="201">
        <v>310</v>
      </c>
      <c r="CJ93" s="203" t="s">
        <v>2</v>
      </c>
      <c r="CK93" s="203" t="s">
        <v>2</v>
      </c>
      <c r="CL93" s="203" t="s">
        <v>2</v>
      </c>
      <c r="CM93" s="204" t="s">
        <v>2</v>
      </c>
      <c r="CN93" s="199">
        <v>11</v>
      </c>
      <c r="CO93" s="199">
        <v>22</v>
      </c>
    </row>
    <row r="94" spans="1:93" s="207" customFormat="1" ht="15" x14ac:dyDescent="0.25">
      <c r="A94" s="220" t="s">
        <v>733</v>
      </c>
      <c r="B94" s="221" t="s">
        <v>119</v>
      </c>
      <c r="C94" s="222" t="s">
        <v>919</v>
      </c>
      <c r="D94" s="290">
        <v>4</v>
      </c>
      <c r="E94" s="199">
        <v>22</v>
      </c>
      <c r="F94" s="200">
        <v>61</v>
      </c>
      <c r="G94" s="201">
        <v>254.98</v>
      </c>
      <c r="H94" s="202">
        <v>84</v>
      </c>
      <c r="I94" s="203">
        <v>1.9</v>
      </c>
      <c r="J94" s="203">
        <v>0.2</v>
      </c>
      <c r="K94" s="203">
        <v>13</v>
      </c>
      <c r="L94" s="203">
        <v>4</v>
      </c>
      <c r="M94" s="204">
        <v>0.9</v>
      </c>
      <c r="N94" s="200">
        <v>83</v>
      </c>
      <c r="O94" s="200">
        <v>42</v>
      </c>
      <c r="P94" s="203">
        <v>0.5</v>
      </c>
      <c r="Q94" s="203">
        <v>0.22</v>
      </c>
      <c r="R94" s="200">
        <v>27</v>
      </c>
      <c r="S94" s="200">
        <v>243</v>
      </c>
      <c r="T94" s="200">
        <v>16</v>
      </c>
      <c r="U94" s="205">
        <v>0.24299999999999999</v>
      </c>
      <c r="V94" s="205">
        <v>17</v>
      </c>
      <c r="W94" s="204">
        <v>0.6</v>
      </c>
      <c r="X94" s="203">
        <v>60</v>
      </c>
      <c r="Y94" s="205">
        <v>7.0000000000000007E-2</v>
      </c>
      <c r="Z94" s="205">
        <v>0.05</v>
      </c>
      <c r="AA94" s="205">
        <v>0.8</v>
      </c>
      <c r="AB94" s="205">
        <v>0.14699999999999999</v>
      </c>
      <c r="AC94" s="205">
        <v>0.20899999999999999</v>
      </c>
      <c r="AD94" s="200">
        <v>18</v>
      </c>
      <c r="AE94" s="200">
        <v>0</v>
      </c>
      <c r="AF94" s="203">
        <v>0.1</v>
      </c>
      <c r="AG94" s="204">
        <v>0</v>
      </c>
      <c r="AH94" s="200">
        <v>0</v>
      </c>
      <c r="AI94" s="200">
        <v>56</v>
      </c>
      <c r="AJ94" s="203">
        <v>0</v>
      </c>
      <c r="AK94" s="203">
        <v>0.11</v>
      </c>
      <c r="AL94" s="204">
        <v>38.200000000000003</v>
      </c>
      <c r="AM94" s="200">
        <v>670</v>
      </c>
      <c r="AN94" s="200">
        <v>0</v>
      </c>
      <c r="AO94" s="201">
        <v>0</v>
      </c>
      <c r="AP94" s="203">
        <v>3.4000000000000002E-2</v>
      </c>
      <c r="AQ94" s="205">
        <v>2.8000000000000001E-2</v>
      </c>
      <c r="AR94" s="205" t="str">
        <f t="shared" ref="AR94:AV94" si="3">$AR$13</f>
        <v>-</v>
      </c>
      <c r="AS94" s="205">
        <v>1E-3</v>
      </c>
      <c r="AT94" s="205" t="str">
        <f t="shared" si="3"/>
        <v>-</v>
      </c>
      <c r="AU94" s="205" t="str">
        <f t="shared" si="3"/>
        <v>-</v>
      </c>
      <c r="AV94" s="206" t="str">
        <f t="shared" si="3"/>
        <v>-</v>
      </c>
      <c r="AW94" s="203">
        <v>1.9E-2</v>
      </c>
      <c r="AX94" s="205" t="str">
        <f t="shared" ref="AX94:AY94" si="4">$AX$13</f>
        <v>-</v>
      </c>
      <c r="AY94" s="205" t="str">
        <f t="shared" si="4"/>
        <v>-</v>
      </c>
      <c r="AZ94" s="206">
        <v>1.7999999999999999E-2</v>
      </c>
      <c r="BA94" s="203">
        <v>0.125</v>
      </c>
      <c r="BB94" s="205">
        <v>5.0999999999999997E-2</v>
      </c>
      <c r="BC94" s="205">
        <v>6.7000000000000004E-2</v>
      </c>
      <c r="BD94" s="205">
        <v>0</v>
      </c>
      <c r="BE94" s="205">
        <v>0</v>
      </c>
      <c r="BF94" s="206">
        <v>0</v>
      </c>
      <c r="BG94" s="199" t="s">
        <v>2</v>
      </c>
      <c r="BH94" s="199">
        <v>0</v>
      </c>
      <c r="BI94" s="200">
        <v>59</v>
      </c>
      <c r="BJ94" s="200">
        <v>20</v>
      </c>
      <c r="BK94" s="200">
        <v>20</v>
      </c>
      <c r="BL94" s="200">
        <v>57</v>
      </c>
      <c r="BM94" s="200">
        <v>71</v>
      </c>
      <c r="BN94" s="200">
        <v>80</v>
      </c>
      <c r="BO94" s="200">
        <v>101</v>
      </c>
      <c r="BP94" s="200">
        <v>59</v>
      </c>
      <c r="BQ94" s="200">
        <v>158</v>
      </c>
      <c r="BR94" s="200">
        <v>48</v>
      </c>
      <c r="BS94" s="200">
        <v>21</v>
      </c>
      <c r="BT94" s="200">
        <v>35</v>
      </c>
      <c r="BU94" s="200">
        <v>96</v>
      </c>
      <c r="BV94" s="200">
        <v>124</v>
      </c>
      <c r="BW94" s="200">
        <v>165</v>
      </c>
      <c r="BX94" s="200">
        <v>90</v>
      </c>
      <c r="BY94" s="200">
        <v>69</v>
      </c>
      <c r="BZ94" s="201">
        <v>78</v>
      </c>
      <c r="CA94" s="203">
        <v>3.91</v>
      </c>
      <c r="CB94" s="203">
        <v>0</v>
      </c>
      <c r="CC94" s="203">
        <v>0</v>
      </c>
      <c r="CD94" s="203">
        <v>0</v>
      </c>
      <c r="CE94" s="203">
        <v>1.53</v>
      </c>
      <c r="CF94" s="203">
        <v>1.8</v>
      </c>
      <c r="CG94" s="204">
        <v>0.57999999999999996</v>
      </c>
      <c r="CH94" s="200">
        <v>20</v>
      </c>
      <c r="CI94" s="201">
        <v>329</v>
      </c>
      <c r="CJ94" s="203" t="str">
        <f>$CJ$13</f>
        <v>-</v>
      </c>
      <c r="CK94" s="203" t="str">
        <f>$CJ$13</f>
        <v>-</v>
      </c>
      <c r="CL94" s="203" t="str">
        <f>$CJ$13</f>
        <v>-</v>
      </c>
      <c r="CM94" s="204" t="str">
        <f>$CJ$13</f>
        <v>-</v>
      </c>
      <c r="CN94" s="199" t="s">
        <v>2</v>
      </c>
      <c r="CO94" s="199">
        <v>32</v>
      </c>
    </row>
    <row r="95" spans="1:93" s="207" customFormat="1" ht="15" x14ac:dyDescent="0.25">
      <c r="A95" s="220" t="s">
        <v>734</v>
      </c>
      <c r="B95" s="221" t="s">
        <v>120</v>
      </c>
      <c r="C95" s="222" t="s">
        <v>915</v>
      </c>
      <c r="D95" s="290">
        <v>4</v>
      </c>
      <c r="E95" s="199">
        <v>0</v>
      </c>
      <c r="F95" s="200">
        <v>301</v>
      </c>
      <c r="G95" s="201">
        <v>1258.1799999999998</v>
      </c>
      <c r="H95" s="202">
        <v>16</v>
      </c>
      <c r="I95" s="203">
        <v>18</v>
      </c>
      <c r="J95" s="203">
        <v>1.6</v>
      </c>
      <c r="K95" s="203">
        <v>53.7</v>
      </c>
      <c r="L95" s="203">
        <v>14</v>
      </c>
      <c r="M95" s="204">
        <v>10.7</v>
      </c>
      <c r="N95" s="200">
        <v>300</v>
      </c>
      <c r="O95" s="200">
        <v>106</v>
      </c>
      <c r="P95" s="203">
        <v>7.5</v>
      </c>
      <c r="Q95" s="203" t="s">
        <v>2</v>
      </c>
      <c r="R95" s="200" t="s">
        <v>2</v>
      </c>
      <c r="S95" s="200" t="s">
        <v>2</v>
      </c>
      <c r="T95" s="200" t="s">
        <v>2</v>
      </c>
      <c r="U95" s="205" t="s">
        <v>2</v>
      </c>
      <c r="V95" s="205" t="s">
        <v>2</v>
      </c>
      <c r="W95" s="204" t="s">
        <v>2</v>
      </c>
      <c r="X95" s="203">
        <v>2</v>
      </c>
      <c r="Y95" s="205">
        <v>0.15</v>
      </c>
      <c r="Z95" s="205">
        <v>0.52</v>
      </c>
      <c r="AA95" s="205">
        <v>0.5</v>
      </c>
      <c r="AB95" s="205" t="s">
        <v>2</v>
      </c>
      <c r="AC95" s="205" t="s">
        <v>2</v>
      </c>
      <c r="AD95" s="200" t="s">
        <v>2</v>
      </c>
      <c r="AE95" s="200" t="s">
        <v>2</v>
      </c>
      <c r="AF95" s="203" t="s">
        <v>2</v>
      </c>
      <c r="AG95" s="204" t="s">
        <v>2</v>
      </c>
      <c r="AH95" s="200">
        <v>0</v>
      </c>
      <c r="AI95" s="200">
        <v>0</v>
      </c>
      <c r="AJ95" s="203">
        <v>0</v>
      </c>
      <c r="AK95" s="203" t="s">
        <v>2</v>
      </c>
      <c r="AL95" s="204" t="s">
        <v>2</v>
      </c>
      <c r="AM95" s="200" t="s">
        <v>2</v>
      </c>
      <c r="AN95" s="200" t="s">
        <v>2</v>
      </c>
      <c r="AO95" s="201" t="s">
        <v>2</v>
      </c>
      <c r="AP95" s="203" t="s">
        <v>2</v>
      </c>
      <c r="AQ95" s="205" t="s">
        <v>2</v>
      </c>
      <c r="AR95" s="205" t="s">
        <v>2</v>
      </c>
      <c r="AS95" s="205" t="s">
        <v>2</v>
      </c>
      <c r="AT95" s="205" t="s">
        <v>2</v>
      </c>
      <c r="AU95" s="205" t="s">
        <v>2</v>
      </c>
      <c r="AV95" s="206" t="s">
        <v>2</v>
      </c>
      <c r="AW95" s="203" t="s">
        <v>2</v>
      </c>
      <c r="AX95" s="205" t="s">
        <v>2</v>
      </c>
      <c r="AY95" s="205" t="s">
        <v>2</v>
      </c>
      <c r="AZ95" s="206" t="s">
        <v>2</v>
      </c>
      <c r="BA95" s="203" t="s">
        <v>2</v>
      </c>
      <c r="BB95" s="205" t="s">
        <v>2</v>
      </c>
      <c r="BC95" s="205" t="s">
        <v>2</v>
      </c>
      <c r="BD95" s="205" t="s">
        <v>2</v>
      </c>
      <c r="BE95" s="205" t="s">
        <v>2</v>
      </c>
      <c r="BF95" s="206" t="s">
        <v>2</v>
      </c>
      <c r="BG95" s="199" t="s">
        <v>2</v>
      </c>
      <c r="BH95" s="199">
        <v>0</v>
      </c>
      <c r="BI95" s="200" t="s">
        <v>2</v>
      </c>
      <c r="BJ95" s="200" t="s">
        <v>2</v>
      </c>
      <c r="BK95" s="200" t="s">
        <v>2</v>
      </c>
      <c r="BL95" s="200" t="s">
        <v>2</v>
      </c>
      <c r="BM95" s="200" t="s">
        <v>2</v>
      </c>
      <c r="BN95" s="200" t="s">
        <v>2</v>
      </c>
      <c r="BO95" s="200" t="s">
        <v>2</v>
      </c>
      <c r="BP95" s="200" t="s">
        <v>2</v>
      </c>
      <c r="BQ95" s="200" t="s">
        <v>2</v>
      </c>
      <c r="BR95" s="200" t="s">
        <v>2</v>
      </c>
      <c r="BS95" s="200" t="s">
        <v>2</v>
      </c>
      <c r="BT95" s="200" t="s">
        <v>2</v>
      </c>
      <c r="BU95" s="200" t="s">
        <v>2</v>
      </c>
      <c r="BV95" s="200" t="s">
        <v>2</v>
      </c>
      <c r="BW95" s="200" t="s">
        <v>2</v>
      </c>
      <c r="BX95" s="200" t="s">
        <v>2</v>
      </c>
      <c r="BY95" s="200" t="s">
        <v>2</v>
      </c>
      <c r="BZ95" s="201" t="s">
        <v>2</v>
      </c>
      <c r="CA95" s="203" t="s">
        <v>2</v>
      </c>
      <c r="CB95" s="203" t="s">
        <v>2</v>
      </c>
      <c r="CC95" s="203" t="s">
        <v>2</v>
      </c>
      <c r="CD95" s="203" t="s">
        <v>2</v>
      </c>
      <c r="CE95" s="203" t="s">
        <v>2</v>
      </c>
      <c r="CF95" s="203" t="s">
        <v>2</v>
      </c>
      <c r="CG95" s="204" t="s">
        <v>2</v>
      </c>
      <c r="CH95" s="200" t="s">
        <v>2</v>
      </c>
      <c r="CI95" s="201" t="s">
        <v>2</v>
      </c>
      <c r="CJ95" s="203" t="s">
        <v>2</v>
      </c>
      <c r="CK95" s="203" t="s">
        <v>2</v>
      </c>
      <c r="CL95" s="203" t="s">
        <v>2</v>
      </c>
      <c r="CM95" s="204" t="s">
        <v>2</v>
      </c>
      <c r="CN95" s="199" t="s">
        <v>2</v>
      </c>
      <c r="CO95" s="199" t="s">
        <v>2</v>
      </c>
    </row>
    <row r="96" spans="1:93" s="207" customFormat="1" ht="15" x14ac:dyDescent="0.25">
      <c r="A96" s="220" t="s">
        <v>735</v>
      </c>
      <c r="B96" s="221" t="s">
        <v>121</v>
      </c>
      <c r="C96" s="222" t="s">
        <v>916</v>
      </c>
      <c r="D96" s="290">
        <v>4</v>
      </c>
      <c r="E96" s="199">
        <v>25</v>
      </c>
      <c r="F96" s="200">
        <v>22</v>
      </c>
      <c r="G96" s="201">
        <v>91.96</v>
      </c>
      <c r="H96" s="202">
        <v>93.8</v>
      </c>
      <c r="I96" s="203">
        <v>1.6</v>
      </c>
      <c r="J96" s="203" t="s">
        <v>2</v>
      </c>
      <c r="K96" s="203">
        <v>3.9</v>
      </c>
      <c r="L96" s="203">
        <v>2</v>
      </c>
      <c r="M96" s="204">
        <v>0.7</v>
      </c>
      <c r="N96" s="200">
        <v>63</v>
      </c>
      <c r="O96" s="200">
        <v>38</v>
      </c>
      <c r="P96" s="203">
        <v>0.8</v>
      </c>
      <c r="Q96" s="203">
        <v>0.67</v>
      </c>
      <c r="R96" s="200">
        <v>33</v>
      </c>
      <c r="S96" s="200">
        <v>219</v>
      </c>
      <c r="T96" s="200">
        <v>32</v>
      </c>
      <c r="U96" s="205">
        <v>0.7</v>
      </c>
      <c r="V96" s="205">
        <v>180</v>
      </c>
      <c r="W96" s="204">
        <v>0.3</v>
      </c>
      <c r="X96" s="203">
        <v>8</v>
      </c>
      <c r="Y96" s="205">
        <v>0.01</v>
      </c>
      <c r="Z96" s="205">
        <v>0.03</v>
      </c>
      <c r="AA96" s="205">
        <v>0.2</v>
      </c>
      <c r="AB96" s="205">
        <v>0.221</v>
      </c>
      <c r="AC96" s="205">
        <v>0.17599999999999999</v>
      </c>
      <c r="AD96" s="200">
        <v>177</v>
      </c>
      <c r="AE96" s="200">
        <v>0</v>
      </c>
      <c r="AF96" s="203" t="s">
        <v>2</v>
      </c>
      <c r="AG96" s="204">
        <v>0</v>
      </c>
      <c r="AH96" s="200">
        <v>0</v>
      </c>
      <c r="AI96" s="200">
        <v>12</v>
      </c>
      <c r="AJ96" s="203" t="s">
        <v>2</v>
      </c>
      <c r="AK96" s="203" t="s">
        <v>2</v>
      </c>
      <c r="AL96" s="204" t="s">
        <v>2</v>
      </c>
      <c r="AM96" s="200">
        <v>147</v>
      </c>
      <c r="AN96" s="200" t="s">
        <v>2</v>
      </c>
      <c r="AO96" s="201" t="s">
        <v>2</v>
      </c>
      <c r="AP96" s="203" t="s">
        <v>2</v>
      </c>
      <c r="AQ96" s="205" t="s">
        <v>2</v>
      </c>
      <c r="AR96" s="205" t="s">
        <v>2</v>
      </c>
      <c r="AS96" s="205" t="s">
        <v>2</v>
      </c>
      <c r="AT96" s="205" t="s">
        <v>2</v>
      </c>
      <c r="AU96" s="205" t="s">
        <v>2</v>
      </c>
      <c r="AV96" s="206" t="s">
        <v>2</v>
      </c>
      <c r="AW96" s="203" t="s">
        <v>2</v>
      </c>
      <c r="AX96" s="205" t="s">
        <v>2</v>
      </c>
      <c r="AY96" s="205" t="s">
        <v>2</v>
      </c>
      <c r="AZ96" s="206" t="s">
        <v>2</v>
      </c>
      <c r="BA96" s="203" t="s">
        <v>2</v>
      </c>
      <c r="BB96" s="205" t="s">
        <v>2</v>
      </c>
      <c r="BC96" s="205" t="s">
        <v>2</v>
      </c>
      <c r="BD96" s="205" t="s">
        <v>2</v>
      </c>
      <c r="BE96" s="205" t="s">
        <v>2</v>
      </c>
      <c r="BF96" s="206" t="s">
        <v>2</v>
      </c>
      <c r="BG96" s="199" t="s">
        <v>2</v>
      </c>
      <c r="BH96" s="199">
        <v>0</v>
      </c>
      <c r="BI96" s="200" t="s">
        <v>2</v>
      </c>
      <c r="BJ96" s="200" t="s">
        <v>2</v>
      </c>
      <c r="BK96" s="200" t="s">
        <v>2</v>
      </c>
      <c r="BL96" s="200" t="s">
        <v>2</v>
      </c>
      <c r="BM96" s="200" t="s">
        <v>2</v>
      </c>
      <c r="BN96" s="200" t="s">
        <v>2</v>
      </c>
      <c r="BO96" s="200" t="s">
        <v>2</v>
      </c>
      <c r="BP96" s="200" t="s">
        <v>2</v>
      </c>
      <c r="BQ96" s="200" t="s">
        <v>2</v>
      </c>
      <c r="BR96" s="200" t="s">
        <v>2</v>
      </c>
      <c r="BS96" s="200" t="s">
        <v>2</v>
      </c>
      <c r="BT96" s="200" t="s">
        <v>2</v>
      </c>
      <c r="BU96" s="200" t="s">
        <v>2</v>
      </c>
      <c r="BV96" s="200" t="s">
        <v>2</v>
      </c>
      <c r="BW96" s="200" t="s">
        <v>2</v>
      </c>
      <c r="BX96" s="200" t="s">
        <v>2</v>
      </c>
      <c r="BY96" s="200" t="s">
        <v>2</v>
      </c>
      <c r="BZ96" s="201" t="s">
        <v>2</v>
      </c>
      <c r="CA96" s="203" t="s">
        <v>2</v>
      </c>
      <c r="CB96" s="203" t="s">
        <v>2</v>
      </c>
      <c r="CC96" s="203" t="s">
        <v>2</v>
      </c>
      <c r="CD96" s="203" t="s">
        <v>2</v>
      </c>
      <c r="CE96" s="203" t="s">
        <v>2</v>
      </c>
      <c r="CF96" s="203" t="s">
        <v>2</v>
      </c>
      <c r="CG96" s="204" t="s">
        <v>2</v>
      </c>
      <c r="CH96" s="200" t="s">
        <v>2</v>
      </c>
      <c r="CI96" s="201" t="s">
        <v>2</v>
      </c>
      <c r="CJ96" s="203" t="s">
        <v>2</v>
      </c>
      <c r="CK96" s="203" t="s">
        <v>2</v>
      </c>
      <c r="CL96" s="203" t="s">
        <v>2</v>
      </c>
      <c r="CM96" s="204" t="s">
        <v>2</v>
      </c>
      <c r="CN96" s="199" t="s">
        <v>2</v>
      </c>
      <c r="CO96" s="199" t="s">
        <v>2</v>
      </c>
    </row>
    <row r="97" spans="1:93" s="207" customFormat="1" ht="15" x14ac:dyDescent="0.25">
      <c r="A97" s="220" t="s">
        <v>736</v>
      </c>
      <c r="B97" s="221" t="s">
        <v>122</v>
      </c>
      <c r="C97" s="222" t="s">
        <v>917</v>
      </c>
      <c r="D97" s="290">
        <v>4</v>
      </c>
      <c r="E97" s="199">
        <v>30</v>
      </c>
      <c r="F97" s="200">
        <v>22</v>
      </c>
      <c r="G97" s="201">
        <v>91.96</v>
      </c>
      <c r="H97" s="202">
        <v>93.7</v>
      </c>
      <c r="I97" s="203">
        <v>2.1</v>
      </c>
      <c r="J97" s="203">
        <v>7.0000000000000007E-2</v>
      </c>
      <c r="K97" s="203">
        <v>3.3</v>
      </c>
      <c r="L97" s="203">
        <v>2</v>
      </c>
      <c r="M97" s="204">
        <v>0.8</v>
      </c>
      <c r="N97" s="200">
        <v>69</v>
      </c>
      <c r="O97" s="200">
        <v>28</v>
      </c>
      <c r="P97" s="203">
        <v>1.6</v>
      </c>
      <c r="Q97" s="203">
        <v>0.8</v>
      </c>
      <c r="R97" s="200">
        <v>85</v>
      </c>
      <c r="S97" s="200">
        <v>211</v>
      </c>
      <c r="T97" s="200">
        <v>21</v>
      </c>
      <c r="U97" s="205">
        <v>0.38</v>
      </c>
      <c r="V97" s="205">
        <v>200</v>
      </c>
      <c r="W97" s="204">
        <v>0.9</v>
      </c>
      <c r="X97" s="203">
        <v>25</v>
      </c>
      <c r="Y97" s="205">
        <v>0.08</v>
      </c>
      <c r="Z97" s="205">
        <v>0.26</v>
      </c>
      <c r="AA97" s="205">
        <v>1</v>
      </c>
      <c r="AB97" s="205">
        <v>0.31</v>
      </c>
      <c r="AC97" s="205">
        <v>0.129</v>
      </c>
      <c r="AD97" s="200">
        <v>9</v>
      </c>
      <c r="AE97" s="200">
        <v>0</v>
      </c>
      <c r="AF97" s="203" t="s">
        <v>2</v>
      </c>
      <c r="AG97" s="204">
        <v>0</v>
      </c>
      <c r="AH97" s="200">
        <v>0</v>
      </c>
      <c r="AI97" s="200">
        <v>235</v>
      </c>
      <c r="AJ97" s="203">
        <v>0</v>
      </c>
      <c r="AK97" s="203">
        <v>1</v>
      </c>
      <c r="AL97" s="204">
        <v>250</v>
      </c>
      <c r="AM97" s="200">
        <v>2820</v>
      </c>
      <c r="AN97" s="200">
        <v>0</v>
      </c>
      <c r="AO97" s="201">
        <v>0</v>
      </c>
      <c r="AP97" s="203">
        <v>2.7E-2</v>
      </c>
      <c r="AQ97" s="205">
        <v>2.4E-2</v>
      </c>
      <c r="AR97" s="205">
        <v>0</v>
      </c>
      <c r="AS97" s="205">
        <v>3.0000000000000001E-3</v>
      </c>
      <c r="AT97" s="205">
        <v>0</v>
      </c>
      <c r="AU97" s="205">
        <v>0</v>
      </c>
      <c r="AV97" s="206">
        <v>0</v>
      </c>
      <c r="AW97" s="203">
        <v>8.0000000000000002E-3</v>
      </c>
      <c r="AX97" s="205">
        <v>0</v>
      </c>
      <c r="AY97" s="205">
        <v>2E-3</v>
      </c>
      <c r="AZ97" s="206">
        <v>6.0000000000000001E-3</v>
      </c>
      <c r="BA97" s="203">
        <v>3.5000000000000003E-2</v>
      </c>
      <c r="BB97" s="205">
        <v>1.2E-2</v>
      </c>
      <c r="BC97" s="205">
        <v>2.3E-2</v>
      </c>
      <c r="BD97" s="205">
        <v>0</v>
      </c>
      <c r="BE97" s="205">
        <v>0</v>
      </c>
      <c r="BF97" s="206">
        <v>0</v>
      </c>
      <c r="BG97" s="199" t="s">
        <v>2</v>
      </c>
      <c r="BH97" s="199">
        <v>0</v>
      </c>
      <c r="BI97" s="200">
        <v>134</v>
      </c>
      <c r="BJ97" s="200">
        <v>20</v>
      </c>
      <c r="BK97" s="200">
        <v>30</v>
      </c>
      <c r="BL97" s="200">
        <v>114</v>
      </c>
      <c r="BM97" s="200">
        <v>133</v>
      </c>
      <c r="BN97" s="200">
        <v>137</v>
      </c>
      <c r="BO97" s="200">
        <v>166</v>
      </c>
      <c r="BP97" s="200">
        <v>93</v>
      </c>
      <c r="BQ97" s="200">
        <v>150</v>
      </c>
      <c r="BR97" s="200">
        <v>40</v>
      </c>
      <c r="BS97" s="200">
        <v>7</v>
      </c>
      <c r="BT97" s="200">
        <v>63</v>
      </c>
      <c r="BU97" s="200">
        <v>137</v>
      </c>
      <c r="BV97" s="200">
        <v>187</v>
      </c>
      <c r="BW97" s="200">
        <v>190</v>
      </c>
      <c r="BX97" s="200">
        <v>112</v>
      </c>
      <c r="BY97" s="200">
        <v>96</v>
      </c>
      <c r="BZ97" s="201">
        <v>60</v>
      </c>
      <c r="CA97" s="203">
        <v>0.2</v>
      </c>
      <c r="CB97" s="203" t="s">
        <v>2</v>
      </c>
      <c r="CC97" s="203" t="s">
        <v>2</v>
      </c>
      <c r="CD97" s="203" t="s">
        <v>2</v>
      </c>
      <c r="CE97" s="203" t="s">
        <v>2</v>
      </c>
      <c r="CF97" s="203" t="s">
        <v>2</v>
      </c>
      <c r="CG97" s="204" t="s">
        <v>2</v>
      </c>
      <c r="CH97" s="200">
        <v>0</v>
      </c>
      <c r="CI97" s="201">
        <v>5767</v>
      </c>
      <c r="CJ97" s="203" t="s">
        <v>2</v>
      </c>
      <c r="CK97" s="203" t="s">
        <v>2</v>
      </c>
      <c r="CL97" s="203" t="s">
        <v>2</v>
      </c>
      <c r="CM97" s="204" t="s">
        <v>2</v>
      </c>
      <c r="CN97" s="199" t="s">
        <v>2</v>
      </c>
      <c r="CO97" s="199">
        <v>28</v>
      </c>
    </row>
    <row r="98" spans="1:93" s="207" customFormat="1" ht="15" x14ac:dyDescent="0.25">
      <c r="A98" s="220" t="s">
        <v>737</v>
      </c>
      <c r="B98" s="221" t="s">
        <v>123</v>
      </c>
      <c r="C98" s="222" t="s">
        <v>918</v>
      </c>
      <c r="D98" s="290">
        <v>4</v>
      </c>
      <c r="E98" s="199">
        <v>25</v>
      </c>
      <c r="F98" s="200">
        <v>24</v>
      </c>
      <c r="G98" s="201">
        <v>100.32</v>
      </c>
      <c r="H98" s="202">
        <v>93.2</v>
      </c>
      <c r="I98" s="203">
        <v>1.4</v>
      </c>
      <c r="J98" s="203">
        <v>0.14000000000000001</v>
      </c>
      <c r="K98" s="203">
        <v>4.26</v>
      </c>
      <c r="L98" s="203">
        <v>1.8</v>
      </c>
      <c r="M98" s="204">
        <v>1</v>
      </c>
      <c r="N98" s="200">
        <v>50</v>
      </c>
      <c r="O98" s="200">
        <v>30</v>
      </c>
      <c r="P98" s="203">
        <v>0.7</v>
      </c>
      <c r="Q98" s="203">
        <v>0.75</v>
      </c>
      <c r="R98" s="200">
        <v>25</v>
      </c>
      <c r="S98" s="200">
        <v>200</v>
      </c>
      <c r="T98" s="200">
        <v>25</v>
      </c>
      <c r="U98" s="205">
        <v>0.5</v>
      </c>
      <c r="V98" s="205">
        <v>90</v>
      </c>
      <c r="W98" s="204">
        <v>0.5</v>
      </c>
      <c r="X98" s="203">
        <v>26</v>
      </c>
      <c r="Y98" s="205">
        <v>0.09</v>
      </c>
      <c r="Z98" s="205">
        <v>7.0000000000000007E-2</v>
      </c>
      <c r="AA98" s="205">
        <v>0.4</v>
      </c>
      <c r="AB98" s="205">
        <v>8.7999999999999995E-2</v>
      </c>
      <c r="AC98" s="205">
        <v>0.19400000000000001</v>
      </c>
      <c r="AD98" s="200">
        <v>66</v>
      </c>
      <c r="AE98" s="200">
        <v>0</v>
      </c>
      <c r="AF98" s="203" t="s">
        <v>2</v>
      </c>
      <c r="AG98" s="204">
        <v>0</v>
      </c>
      <c r="AH98" s="200">
        <v>0</v>
      </c>
      <c r="AI98" s="200">
        <v>223</v>
      </c>
      <c r="AJ98" s="203" t="s">
        <v>2</v>
      </c>
      <c r="AK98" s="203">
        <v>0.09</v>
      </c>
      <c r="AL98" s="204">
        <v>35.799999999999997</v>
      </c>
      <c r="AM98" s="200">
        <v>2681</v>
      </c>
      <c r="AN98" s="200">
        <v>1</v>
      </c>
      <c r="AO98" s="201">
        <v>0</v>
      </c>
      <c r="AP98" s="203">
        <v>2.5999999999999999E-2</v>
      </c>
      <c r="AQ98" s="205">
        <v>2.1999999999999999E-2</v>
      </c>
      <c r="AR98" s="205">
        <v>0</v>
      </c>
      <c r="AS98" s="205">
        <v>1E-3</v>
      </c>
      <c r="AT98" s="205">
        <v>0</v>
      </c>
      <c r="AU98" s="205">
        <v>0</v>
      </c>
      <c r="AV98" s="206">
        <v>0</v>
      </c>
      <c r="AW98" s="203">
        <v>1.4999999999999999E-2</v>
      </c>
      <c r="AX98" s="205">
        <v>0</v>
      </c>
      <c r="AY98" s="205">
        <v>0</v>
      </c>
      <c r="AZ98" s="206">
        <v>1.4E-2</v>
      </c>
      <c r="BA98" s="203">
        <v>9.6000000000000002E-2</v>
      </c>
      <c r="BB98" s="205">
        <v>3.9E-2</v>
      </c>
      <c r="BC98" s="205">
        <v>5.0999999999999997E-2</v>
      </c>
      <c r="BD98" s="205">
        <v>0</v>
      </c>
      <c r="BE98" s="205">
        <v>0</v>
      </c>
      <c r="BF98" s="206">
        <v>0</v>
      </c>
      <c r="BG98" s="199" t="s">
        <v>2</v>
      </c>
      <c r="BH98" s="199">
        <v>0</v>
      </c>
      <c r="BI98" s="200">
        <v>89</v>
      </c>
      <c r="BJ98" s="200">
        <v>9</v>
      </c>
      <c r="BK98" s="200">
        <v>15</v>
      </c>
      <c r="BL98" s="200">
        <v>44</v>
      </c>
      <c r="BM98" s="200">
        <v>49</v>
      </c>
      <c r="BN98" s="200">
        <v>66</v>
      </c>
      <c r="BO98" s="200">
        <v>88</v>
      </c>
      <c r="BP98" s="200">
        <v>85</v>
      </c>
      <c r="BQ98" s="200">
        <v>84</v>
      </c>
      <c r="BR98" s="200">
        <v>26</v>
      </c>
      <c r="BS98" s="200">
        <v>17</v>
      </c>
      <c r="BT98" s="200">
        <v>29</v>
      </c>
      <c r="BU98" s="200">
        <v>86</v>
      </c>
      <c r="BV98" s="200">
        <v>108</v>
      </c>
      <c r="BW98" s="200">
        <v>360</v>
      </c>
      <c r="BX98" s="200">
        <v>43</v>
      </c>
      <c r="BY98" s="200">
        <v>31</v>
      </c>
      <c r="BZ98" s="201">
        <v>48</v>
      </c>
      <c r="CA98" s="203">
        <v>1.18</v>
      </c>
      <c r="CB98" s="203" t="s">
        <v>2</v>
      </c>
      <c r="CC98" s="203" t="s">
        <v>2</v>
      </c>
      <c r="CD98" s="203" t="s">
        <v>2</v>
      </c>
      <c r="CE98" s="203" t="s">
        <v>2</v>
      </c>
      <c r="CF98" s="203" t="s">
        <v>2</v>
      </c>
      <c r="CG98" s="204" t="s">
        <v>2</v>
      </c>
      <c r="CH98" s="200">
        <v>0</v>
      </c>
      <c r="CI98" s="201">
        <v>40</v>
      </c>
      <c r="CJ98" s="203" t="s">
        <v>2</v>
      </c>
      <c r="CK98" s="203" t="s">
        <v>2</v>
      </c>
      <c r="CL98" s="203" t="s">
        <v>2</v>
      </c>
      <c r="CM98" s="204" t="s">
        <v>2</v>
      </c>
      <c r="CN98" s="199" t="s">
        <v>2</v>
      </c>
      <c r="CO98" s="199" t="s">
        <v>2</v>
      </c>
    </row>
    <row r="99" spans="1:93" s="207" customFormat="1" ht="15" x14ac:dyDescent="0.25">
      <c r="A99" s="220" t="s">
        <v>738</v>
      </c>
      <c r="B99" s="221" t="s">
        <v>124</v>
      </c>
      <c r="C99" s="222" t="s">
        <v>920</v>
      </c>
      <c r="D99" s="290">
        <v>4</v>
      </c>
      <c r="E99" s="199">
        <v>24</v>
      </c>
      <c r="F99" s="200">
        <v>23</v>
      </c>
      <c r="G99" s="201">
        <v>68</v>
      </c>
      <c r="H99" s="202">
        <v>93.8</v>
      </c>
      <c r="I99" s="203">
        <v>1.7</v>
      </c>
      <c r="J99" s="203">
        <v>0.14000000000000001</v>
      </c>
      <c r="K99" s="203">
        <v>3.76</v>
      </c>
      <c r="L99" s="203">
        <v>1.8</v>
      </c>
      <c r="M99" s="204">
        <v>0.6</v>
      </c>
      <c r="N99" s="200">
        <v>89</v>
      </c>
      <c r="O99" s="200">
        <v>14</v>
      </c>
      <c r="P99" s="203">
        <v>1.9</v>
      </c>
      <c r="Q99" s="203">
        <v>0.9</v>
      </c>
      <c r="R99" s="200">
        <v>29</v>
      </c>
      <c r="S99" s="200">
        <v>221</v>
      </c>
      <c r="T99" s="200">
        <v>23</v>
      </c>
      <c r="U99" s="205">
        <v>0.32</v>
      </c>
      <c r="V99" s="205">
        <v>120</v>
      </c>
      <c r="W99" s="204">
        <v>0.9</v>
      </c>
      <c r="X99" s="203">
        <v>51</v>
      </c>
      <c r="Y99" s="205">
        <v>7.0000000000000007E-2</v>
      </c>
      <c r="Z99" s="205">
        <v>0.1</v>
      </c>
      <c r="AA99" s="205">
        <v>0.8</v>
      </c>
      <c r="AB99" s="205">
        <v>0.21</v>
      </c>
      <c r="AC99" s="205">
        <v>0.18</v>
      </c>
      <c r="AD99" s="200">
        <v>187</v>
      </c>
      <c r="AE99" s="200">
        <v>0</v>
      </c>
      <c r="AF99" s="203" t="s">
        <v>2</v>
      </c>
      <c r="AG99" s="204">
        <v>0</v>
      </c>
      <c r="AH99" s="200">
        <v>0</v>
      </c>
      <c r="AI99" s="200">
        <v>525</v>
      </c>
      <c r="AJ99" s="203" t="s">
        <v>2</v>
      </c>
      <c r="AK99" s="203">
        <v>2.0099999999999998</v>
      </c>
      <c r="AL99" s="204">
        <v>497.3</v>
      </c>
      <c r="AM99" s="200">
        <v>6300</v>
      </c>
      <c r="AN99" s="200">
        <v>0</v>
      </c>
      <c r="AO99" s="201">
        <v>0</v>
      </c>
      <c r="AP99" s="203">
        <v>0.01</v>
      </c>
      <c r="AQ99" s="205">
        <v>5.0000000000000001E-3</v>
      </c>
      <c r="AR99" s="205">
        <v>0</v>
      </c>
      <c r="AS99" s="205">
        <v>2E-3</v>
      </c>
      <c r="AT99" s="205">
        <v>0</v>
      </c>
      <c r="AU99" s="205">
        <v>0</v>
      </c>
      <c r="AV99" s="206">
        <v>0</v>
      </c>
      <c r="AW99" s="203">
        <v>9.1999999999999998E-2</v>
      </c>
      <c r="AX99" s="205">
        <v>0</v>
      </c>
      <c r="AY99" s="205">
        <v>0</v>
      </c>
      <c r="AZ99" s="206">
        <v>1.9E-2</v>
      </c>
      <c r="BA99" s="203">
        <v>3.7999999999999999E-2</v>
      </c>
      <c r="BB99" s="205">
        <v>0.02</v>
      </c>
      <c r="BC99" s="205">
        <v>1.7999999999999999E-2</v>
      </c>
      <c r="BD99" s="205">
        <v>0</v>
      </c>
      <c r="BE99" s="205">
        <v>0</v>
      </c>
      <c r="BF99" s="206">
        <v>0</v>
      </c>
      <c r="BG99" s="199" t="s">
        <v>2</v>
      </c>
      <c r="BH99" s="199">
        <v>0</v>
      </c>
      <c r="BI99" s="200">
        <v>123</v>
      </c>
      <c r="BJ99" s="200">
        <v>25</v>
      </c>
      <c r="BK99" s="200">
        <v>30</v>
      </c>
      <c r="BL99" s="200">
        <v>72</v>
      </c>
      <c r="BM99" s="200">
        <v>72</v>
      </c>
      <c r="BN99" s="200">
        <v>105</v>
      </c>
      <c r="BO99" s="200">
        <v>83</v>
      </c>
      <c r="BP99" s="200">
        <v>98</v>
      </c>
      <c r="BQ99" s="200">
        <v>197</v>
      </c>
      <c r="BR99" s="200">
        <v>48</v>
      </c>
      <c r="BS99" s="200">
        <v>40</v>
      </c>
      <c r="BT99" s="200">
        <v>143</v>
      </c>
      <c r="BU99" s="200" t="s">
        <v>2</v>
      </c>
      <c r="BV99" s="200" t="s">
        <v>2</v>
      </c>
      <c r="BW99" s="200" t="s">
        <v>2</v>
      </c>
      <c r="BX99" s="200" t="s">
        <v>2</v>
      </c>
      <c r="BY99" s="200" t="s">
        <v>2</v>
      </c>
      <c r="BZ99" s="201" t="s">
        <v>2</v>
      </c>
      <c r="CA99" s="203">
        <v>1.6</v>
      </c>
      <c r="CB99" s="203" t="s">
        <v>2</v>
      </c>
      <c r="CC99" s="203" t="s">
        <v>2</v>
      </c>
      <c r="CD99" s="203" t="s">
        <v>2</v>
      </c>
      <c r="CE99" s="203" t="s">
        <v>2</v>
      </c>
      <c r="CF99" s="203" t="s">
        <v>2</v>
      </c>
      <c r="CG99" s="204" t="s">
        <v>2</v>
      </c>
      <c r="CH99" s="200">
        <v>0</v>
      </c>
      <c r="CI99" s="201">
        <v>9900</v>
      </c>
      <c r="CJ99" s="203" t="s">
        <v>2</v>
      </c>
      <c r="CK99" s="203" t="s">
        <v>2</v>
      </c>
      <c r="CL99" s="203" t="s">
        <v>2</v>
      </c>
      <c r="CM99" s="204" t="s">
        <v>2</v>
      </c>
      <c r="CN99" s="199" t="s">
        <v>2</v>
      </c>
      <c r="CO99" s="199" t="s">
        <v>2</v>
      </c>
    </row>
    <row r="100" spans="1:93" s="207" customFormat="1" ht="15" x14ac:dyDescent="0.25">
      <c r="A100" s="220" t="s">
        <v>739</v>
      </c>
      <c r="B100" s="221" t="s">
        <v>921</v>
      </c>
      <c r="C100" s="222" t="s">
        <v>922</v>
      </c>
      <c r="D100" s="290">
        <v>4</v>
      </c>
      <c r="E100" s="199">
        <v>20</v>
      </c>
      <c r="F100" s="200">
        <v>16</v>
      </c>
      <c r="G100" s="201">
        <v>66.88</v>
      </c>
      <c r="H100" s="202">
        <v>95.3</v>
      </c>
      <c r="I100" s="203">
        <v>1</v>
      </c>
      <c r="J100" s="203" t="s">
        <v>2</v>
      </c>
      <c r="K100" s="203">
        <v>3</v>
      </c>
      <c r="L100" s="203">
        <v>1.5</v>
      </c>
      <c r="M100" s="204">
        <v>0.7</v>
      </c>
      <c r="N100" s="200">
        <v>310</v>
      </c>
      <c r="O100" s="200">
        <v>64</v>
      </c>
      <c r="P100" s="203">
        <v>3</v>
      </c>
      <c r="Q100" s="203" t="s">
        <v>2</v>
      </c>
      <c r="R100" s="200" t="s">
        <v>2</v>
      </c>
      <c r="S100" s="200" t="s">
        <v>2</v>
      </c>
      <c r="T100" s="200" t="s">
        <v>2</v>
      </c>
      <c r="U100" s="205" t="s">
        <v>2</v>
      </c>
      <c r="V100" s="205" t="s">
        <v>2</v>
      </c>
      <c r="W100" s="204" t="s">
        <v>2</v>
      </c>
      <c r="X100" s="203">
        <v>6</v>
      </c>
      <c r="Y100" s="205">
        <v>0.04</v>
      </c>
      <c r="Z100" s="205">
        <v>0.03</v>
      </c>
      <c r="AA100" s="205">
        <v>0.3</v>
      </c>
      <c r="AB100" s="205" t="s">
        <v>2</v>
      </c>
      <c r="AC100" s="205" t="s">
        <v>2</v>
      </c>
      <c r="AD100" s="200" t="s">
        <v>2</v>
      </c>
      <c r="AE100" s="200" t="s">
        <v>2</v>
      </c>
      <c r="AF100" s="203" t="s">
        <v>2</v>
      </c>
      <c r="AG100" s="204" t="s">
        <v>2</v>
      </c>
      <c r="AH100" s="200">
        <v>0</v>
      </c>
      <c r="AI100" s="200">
        <v>170</v>
      </c>
      <c r="AJ100" s="203" t="s">
        <v>2</v>
      </c>
      <c r="AK100" s="203" t="s">
        <v>2</v>
      </c>
      <c r="AL100" s="204" t="s">
        <v>2</v>
      </c>
      <c r="AM100" s="200">
        <v>2045</v>
      </c>
      <c r="AN100" s="200" t="s">
        <v>2</v>
      </c>
      <c r="AO100" s="201" t="s">
        <v>2</v>
      </c>
      <c r="AP100" s="203" t="s">
        <v>2</v>
      </c>
      <c r="AQ100" s="205" t="s">
        <v>2</v>
      </c>
      <c r="AR100" s="205" t="s">
        <v>2</v>
      </c>
      <c r="AS100" s="205" t="s">
        <v>2</v>
      </c>
      <c r="AT100" s="205" t="s">
        <v>2</v>
      </c>
      <c r="AU100" s="205" t="s">
        <v>2</v>
      </c>
      <c r="AV100" s="206" t="s">
        <v>2</v>
      </c>
      <c r="AW100" s="203" t="s">
        <v>2</v>
      </c>
      <c r="AX100" s="205" t="s">
        <v>2</v>
      </c>
      <c r="AY100" s="205" t="s">
        <v>2</v>
      </c>
      <c r="AZ100" s="206" t="s">
        <v>2</v>
      </c>
      <c r="BA100" s="203" t="s">
        <v>2</v>
      </c>
      <c r="BB100" s="205" t="s">
        <v>2</v>
      </c>
      <c r="BC100" s="205" t="s">
        <v>2</v>
      </c>
      <c r="BD100" s="205" t="s">
        <v>2</v>
      </c>
      <c r="BE100" s="205" t="s">
        <v>2</v>
      </c>
      <c r="BF100" s="206" t="s">
        <v>2</v>
      </c>
      <c r="BG100" s="199" t="s">
        <v>2</v>
      </c>
      <c r="BH100" s="199">
        <v>0</v>
      </c>
      <c r="BI100" s="200" t="s">
        <v>2</v>
      </c>
      <c r="BJ100" s="200" t="s">
        <v>2</v>
      </c>
      <c r="BK100" s="200" t="s">
        <v>2</v>
      </c>
      <c r="BL100" s="200" t="s">
        <v>2</v>
      </c>
      <c r="BM100" s="200" t="s">
        <v>2</v>
      </c>
      <c r="BN100" s="200" t="s">
        <v>2</v>
      </c>
      <c r="BO100" s="200" t="s">
        <v>2</v>
      </c>
      <c r="BP100" s="200" t="s">
        <v>2</v>
      </c>
      <c r="BQ100" s="200" t="s">
        <v>2</v>
      </c>
      <c r="BR100" s="200" t="s">
        <v>2</v>
      </c>
      <c r="BS100" s="200" t="s">
        <v>2</v>
      </c>
      <c r="BT100" s="200" t="s">
        <v>2</v>
      </c>
      <c r="BU100" s="200" t="s">
        <v>2</v>
      </c>
      <c r="BV100" s="200" t="s">
        <v>2</v>
      </c>
      <c r="BW100" s="200" t="s">
        <v>2</v>
      </c>
      <c r="BX100" s="200" t="s">
        <v>2</v>
      </c>
      <c r="BY100" s="200" t="s">
        <v>2</v>
      </c>
      <c r="BZ100" s="201" t="s">
        <v>2</v>
      </c>
      <c r="CA100" s="203" t="s">
        <v>2</v>
      </c>
      <c r="CB100" s="203" t="s">
        <v>2</v>
      </c>
      <c r="CC100" s="203" t="s">
        <v>2</v>
      </c>
      <c r="CD100" s="203" t="s">
        <v>2</v>
      </c>
      <c r="CE100" s="203" t="s">
        <v>2</v>
      </c>
      <c r="CF100" s="203" t="s">
        <v>2</v>
      </c>
      <c r="CG100" s="204" t="s">
        <v>2</v>
      </c>
      <c r="CH100" s="200" t="s">
        <v>2</v>
      </c>
      <c r="CI100" s="201" t="s">
        <v>2</v>
      </c>
      <c r="CJ100" s="203" t="s">
        <v>2</v>
      </c>
      <c r="CK100" s="203" t="s">
        <v>2</v>
      </c>
      <c r="CL100" s="203" t="s">
        <v>2</v>
      </c>
      <c r="CM100" s="204" t="s">
        <v>2</v>
      </c>
      <c r="CN100" s="199" t="s">
        <v>2</v>
      </c>
      <c r="CO100" s="199" t="s">
        <v>2</v>
      </c>
    </row>
    <row r="101" spans="1:93" s="207" customFormat="1" ht="15" x14ac:dyDescent="0.25">
      <c r="A101" s="220" t="s">
        <v>740</v>
      </c>
      <c r="B101" s="221" t="s">
        <v>125</v>
      </c>
      <c r="C101" s="222" t="s">
        <v>923</v>
      </c>
      <c r="D101" s="290">
        <v>4</v>
      </c>
      <c r="E101" s="199">
        <v>16</v>
      </c>
      <c r="F101" s="200">
        <v>54</v>
      </c>
      <c r="G101" s="201">
        <v>225.71999999999997</v>
      </c>
      <c r="H101" s="202">
        <v>85</v>
      </c>
      <c r="I101" s="203">
        <v>3.7</v>
      </c>
      <c r="J101" s="203">
        <v>0.16</v>
      </c>
      <c r="K101" s="203">
        <v>9.44</v>
      </c>
      <c r="L101" s="203">
        <v>1.5</v>
      </c>
      <c r="M101" s="204">
        <v>1.7</v>
      </c>
      <c r="N101" s="200">
        <v>325</v>
      </c>
      <c r="O101" s="200">
        <v>128</v>
      </c>
      <c r="P101" s="203">
        <v>8</v>
      </c>
      <c r="Q101" s="203">
        <v>0.3</v>
      </c>
      <c r="R101" s="200">
        <v>96</v>
      </c>
      <c r="S101" s="200">
        <v>326</v>
      </c>
      <c r="T101" s="200">
        <v>18</v>
      </c>
      <c r="U101" s="205">
        <v>0.2</v>
      </c>
      <c r="V101" s="205">
        <v>90</v>
      </c>
      <c r="W101" s="204">
        <v>0.4</v>
      </c>
      <c r="X101" s="203">
        <v>150</v>
      </c>
      <c r="Y101" s="205">
        <v>0.06</v>
      </c>
      <c r="Z101" s="205">
        <v>7.0000000000000007E-2</v>
      </c>
      <c r="AA101" s="205">
        <v>0.4</v>
      </c>
      <c r="AB101" s="205">
        <v>0.246</v>
      </c>
      <c r="AC101" s="205">
        <v>7.3999999999999996E-2</v>
      </c>
      <c r="AD101" s="200">
        <v>36</v>
      </c>
      <c r="AE101" s="200">
        <v>0</v>
      </c>
      <c r="AF101" s="203" t="s">
        <v>2</v>
      </c>
      <c r="AG101" s="204">
        <v>0</v>
      </c>
      <c r="AH101" s="200">
        <v>0</v>
      </c>
      <c r="AI101" s="200">
        <v>13</v>
      </c>
      <c r="AJ101" s="203" t="s">
        <v>2</v>
      </c>
      <c r="AK101" s="203">
        <v>0.27</v>
      </c>
      <c r="AL101" s="204">
        <v>29.3</v>
      </c>
      <c r="AM101" s="200">
        <v>150</v>
      </c>
      <c r="AN101" s="200">
        <v>0</v>
      </c>
      <c r="AO101" s="201">
        <v>0</v>
      </c>
      <c r="AP101" s="203">
        <v>4.2999999999999997E-2</v>
      </c>
      <c r="AQ101" s="205">
        <v>3.7999999999999999E-2</v>
      </c>
      <c r="AR101" s="205">
        <v>0</v>
      </c>
      <c r="AS101" s="205">
        <v>4.0000000000000001E-3</v>
      </c>
      <c r="AT101" s="205">
        <v>0</v>
      </c>
      <c r="AU101" s="205">
        <v>0</v>
      </c>
      <c r="AV101" s="206">
        <v>0</v>
      </c>
      <c r="AW101" s="203">
        <v>3.2000000000000001E-2</v>
      </c>
      <c r="AX101" s="205">
        <v>0</v>
      </c>
      <c r="AY101" s="205">
        <v>1E-3</v>
      </c>
      <c r="AZ101" s="206">
        <v>3.1E-2</v>
      </c>
      <c r="BA101" s="203">
        <v>8.1000000000000003E-2</v>
      </c>
      <c r="BB101" s="205">
        <v>8.1000000000000003E-2</v>
      </c>
      <c r="BC101" s="205">
        <v>0</v>
      </c>
      <c r="BD101" s="205">
        <v>0</v>
      </c>
      <c r="BE101" s="205">
        <v>0</v>
      </c>
      <c r="BF101" s="206">
        <v>0</v>
      </c>
      <c r="BG101" s="199" t="s">
        <v>2</v>
      </c>
      <c r="BH101" s="199">
        <v>0</v>
      </c>
      <c r="BI101" s="200">
        <v>27</v>
      </c>
      <c r="BJ101" s="200">
        <v>5</v>
      </c>
      <c r="BK101" s="200">
        <v>9</v>
      </c>
      <c r="BL101" s="200">
        <v>20</v>
      </c>
      <c r="BM101" s="200">
        <v>20</v>
      </c>
      <c r="BN101" s="200">
        <v>27</v>
      </c>
      <c r="BO101" s="200">
        <v>32</v>
      </c>
      <c r="BP101" s="200">
        <v>21</v>
      </c>
      <c r="BQ101" s="200">
        <v>20</v>
      </c>
      <c r="BR101" s="200">
        <v>12</v>
      </c>
      <c r="BS101" s="200">
        <v>4</v>
      </c>
      <c r="BT101" s="200">
        <v>9</v>
      </c>
      <c r="BU101" s="200">
        <v>23</v>
      </c>
      <c r="BV101" s="200">
        <v>117</v>
      </c>
      <c r="BW101" s="200">
        <v>90</v>
      </c>
      <c r="BX101" s="200">
        <v>21</v>
      </c>
      <c r="BY101" s="200">
        <v>18</v>
      </c>
      <c r="BZ101" s="201">
        <v>20</v>
      </c>
      <c r="CA101" s="203">
        <v>1.83</v>
      </c>
      <c r="CB101" s="203">
        <v>0.66</v>
      </c>
      <c r="CC101" s="203">
        <v>0</v>
      </c>
      <c r="CD101" s="203">
        <v>0</v>
      </c>
      <c r="CE101" s="203">
        <v>0.51</v>
      </c>
      <c r="CF101" s="203">
        <v>0.55000000000000004</v>
      </c>
      <c r="CG101" s="204">
        <v>0.11</v>
      </c>
      <c r="CH101" s="200">
        <v>0</v>
      </c>
      <c r="CI101" s="201">
        <v>232</v>
      </c>
      <c r="CJ101" s="203" t="s">
        <v>2</v>
      </c>
      <c r="CK101" s="203" t="s">
        <v>2</v>
      </c>
      <c r="CL101" s="203" t="s">
        <v>2</v>
      </c>
      <c r="CM101" s="204" t="s">
        <v>2</v>
      </c>
      <c r="CN101" s="199">
        <v>6</v>
      </c>
      <c r="CO101" s="199" t="s">
        <v>2</v>
      </c>
    </row>
    <row r="102" spans="1:93" s="207" customFormat="1" ht="15" x14ac:dyDescent="0.25">
      <c r="A102" s="220" t="s">
        <v>741</v>
      </c>
      <c r="B102" s="221" t="s">
        <v>126</v>
      </c>
      <c r="C102" s="222" t="s">
        <v>924</v>
      </c>
      <c r="D102" s="290">
        <v>4</v>
      </c>
      <c r="E102" s="199">
        <v>32</v>
      </c>
      <c r="F102" s="200">
        <v>74</v>
      </c>
      <c r="G102" s="201">
        <v>309.32</v>
      </c>
      <c r="H102" s="202">
        <v>80.2</v>
      </c>
      <c r="I102" s="203">
        <v>1.2</v>
      </c>
      <c r="J102" s="203">
        <v>0.32</v>
      </c>
      <c r="K102" s="203">
        <v>17.48</v>
      </c>
      <c r="L102" s="203">
        <v>1</v>
      </c>
      <c r="M102" s="204">
        <v>0.8</v>
      </c>
      <c r="N102" s="200">
        <v>26</v>
      </c>
      <c r="O102" s="200">
        <v>27</v>
      </c>
      <c r="P102" s="203">
        <v>0.4</v>
      </c>
      <c r="Q102" s="203">
        <v>0.25</v>
      </c>
      <c r="R102" s="200">
        <v>13</v>
      </c>
      <c r="S102" s="200">
        <v>256</v>
      </c>
      <c r="T102" s="200">
        <v>17</v>
      </c>
      <c r="U102" s="205">
        <v>0.1</v>
      </c>
      <c r="V102" s="205">
        <v>94</v>
      </c>
      <c r="W102" s="204">
        <v>0.3</v>
      </c>
      <c r="X102" s="203">
        <v>31</v>
      </c>
      <c r="Y102" s="205">
        <v>0.05</v>
      </c>
      <c r="Z102" s="205">
        <v>0.02</v>
      </c>
      <c r="AA102" s="205">
        <v>0.6</v>
      </c>
      <c r="AB102" s="205">
        <v>0.26500000000000001</v>
      </c>
      <c r="AC102" s="205">
        <v>0.35699999999999998</v>
      </c>
      <c r="AD102" s="200">
        <v>29</v>
      </c>
      <c r="AE102" s="200">
        <v>0</v>
      </c>
      <c r="AF102" s="203" t="s">
        <v>2</v>
      </c>
      <c r="AG102" s="204">
        <v>0</v>
      </c>
      <c r="AH102" s="200">
        <v>0</v>
      </c>
      <c r="AI102" s="200">
        <v>17</v>
      </c>
      <c r="AJ102" s="203" t="s">
        <v>2</v>
      </c>
      <c r="AK102" s="203">
        <v>0.69</v>
      </c>
      <c r="AL102" s="204">
        <v>9.5</v>
      </c>
      <c r="AM102" s="200">
        <v>184</v>
      </c>
      <c r="AN102" s="200">
        <v>39</v>
      </c>
      <c r="AO102" s="201">
        <v>0</v>
      </c>
      <c r="AP102" s="203">
        <v>4.8000000000000001E-2</v>
      </c>
      <c r="AQ102" s="205">
        <v>3.5999999999999997E-2</v>
      </c>
      <c r="AR102" s="205">
        <v>0</v>
      </c>
      <c r="AS102" s="205">
        <v>7.0000000000000001E-3</v>
      </c>
      <c r="AT102" s="205">
        <v>0</v>
      </c>
      <c r="AU102" s="205">
        <v>0</v>
      </c>
      <c r="AV102" s="206">
        <v>0</v>
      </c>
      <c r="AW102" s="203">
        <v>2.7E-2</v>
      </c>
      <c r="AX102" s="205">
        <v>0</v>
      </c>
      <c r="AY102" s="205">
        <v>2E-3</v>
      </c>
      <c r="AZ102" s="206">
        <v>2.5000000000000001E-2</v>
      </c>
      <c r="BA102" s="203">
        <v>0.24299999999999999</v>
      </c>
      <c r="BB102" s="205">
        <v>0.24</v>
      </c>
      <c r="BC102" s="205">
        <v>3.0000000000000001E-3</v>
      </c>
      <c r="BD102" s="205">
        <v>0</v>
      </c>
      <c r="BE102" s="205">
        <v>0</v>
      </c>
      <c r="BF102" s="206">
        <v>0</v>
      </c>
      <c r="BG102" s="199" t="s">
        <v>2</v>
      </c>
      <c r="BH102" s="199">
        <v>0</v>
      </c>
      <c r="BI102" s="200" t="s">
        <v>2</v>
      </c>
      <c r="BJ102" s="200" t="s">
        <v>2</v>
      </c>
      <c r="BK102" s="200" t="s">
        <v>2</v>
      </c>
      <c r="BL102" s="200" t="s">
        <v>2</v>
      </c>
      <c r="BM102" s="200" t="s">
        <v>2</v>
      </c>
      <c r="BN102" s="200" t="s">
        <v>2</v>
      </c>
      <c r="BO102" s="200" t="s">
        <v>2</v>
      </c>
      <c r="BP102" s="200" t="s">
        <v>2</v>
      </c>
      <c r="BQ102" s="200" t="s">
        <v>2</v>
      </c>
      <c r="BR102" s="200" t="s">
        <v>2</v>
      </c>
      <c r="BS102" s="200" t="s">
        <v>2</v>
      </c>
      <c r="BT102" s="200" t="s">
        <v>2</v>
      </c>
      <c r="BU102" s="200" t="s">
        <v>2</v>
      </c>
      <c r="BV102" s="200" t="s">
        <v>2</v>
      </c>
      <c r="BW102" s="200" t="s">
        <v>2</v>
      </c>
      <c r="BX102" s="200" t="s">
        <v>2</v>
      </c>
      <c r="BY102" s="200" t="s">
        <v>2</v>
      </c>
      <c r="BZ102" s="201" t="s">
        <v>2</v>
      </c>
      <c r="CA102" s="203">
        <v>1.95</v>
      </c>
      <c r="CB102" s="203" t="s">
        <v>2</v>
      </c>
      <c r="CC102" s="203" t="s">
        <v>2</v>
      </c>
      <c r="CD102" s="203" t="s">
        <v>2</v>
      </c>
      <c r="CE102" s="203" t="s">
        <v>2</v>
      </c>
      <c r="CF102" s="203" t="s">
        <v>2</v>
      </c>
      <c r="CG102" s="204" t="s">
        <v>2</v>
      </c>
      <c r="CH102" s="200">
        <v>0</v>
      </c>
      <c r="CI102" s="201">
        <v>0</v>
      </c>
      <c r="CJ102" s="203" t="s">
        <v>2</v>
      </c>
      <c r="CK102" s="203" t="s">
        <v>2</v>
      </c>
      <c r="CL102" s="203" t="s">
        <v>2</v>
      </c>
      <c r="CM102" s="204" t="s">
        <v>2</v>
      </c>
      <c r="CN102" s="199">
        <v>3</v>
      </c>
      <c r="CO102" s="199" t="s">
        <v>2</v>
      </c>
    </row>
    <row r="103" spans="1:93" s="207" customFormat="1" ht="15" x14ac:dyDescent="0.25">
      <c r="A103" s="220" t="s">
        <v>742</v>
      </c>
      <c r="B103" s="221" t="s">
        <v>127</v>
      </c>
      <c r="C103" s="222" t="s">
        <v>925</v>
      </c>
      <c r="D103" s="290">
        <v>4</v>
      </c>
      <c r="E103" s="199">
        <v>20</v>
      </c>
      <c r="F103" s="200">
        <v>52</v>
      </c>
      <c r="G103" s="201">
        <v>217.35999999999999</v>
      </c>
      <c r="H103" s="202">
        <v>86</v>
      </c>
      <c r="I103" s="203">
        <v>1.3</v>
      </c>
      <c r="J103" s="203" t="s">
        <v>2</v>
      </c>
      <c r="K103" s="203">
        <v>11.7</v>
      </c>
      <c r="L103" s="203">
        <v>0.9</v>
      </c>
      <c r="M103" s="204">
        <v>1</v>
      </c>
      <c r="N103" s="200">
        <v>28</v>
      </c>
      <c r="O103" s="200">
        <v>43</v>
      </c>
      <c r="P103" s="203">
        <v>1.4</v>
      </c>
      <c r="Q103" s="203" t="s">
        <v>2</v>
      </c>
      <c r="R103" s="200" t="s">
        <v>2</v>
      </c>
      <c r="S103" s="200" t="s">
        <v>2</v>
      </c>
      <c r="T103" s="200" t="s">
        <v>2</v>
      </c>
      <c r="U103" s="205" t="s">
        <v>2</v>
      </c>
      <c r="V103" s="205" t="s">
        <v>2</v>
      </c>
      <c r="W103" s="204" t="s">
        <v>2</v>
      </c>
      <c r="X103" s="203">
        <v>20</v>
      </c>
      <c r="Y103" s="205">
        <v>0.02</v>
      </c>
      <c r="Z103" s="205">
        <v>0.05</v>
      </c>
      <c r="AA103" s="205">
        <v>0.4</v>
      </c>
      <c r="AB103" s="205" t="s">
        <v>2</v>
      </c>
      <c r="AC103" s="205" t="s">
        <v>2</v>
      </c>
      <c r="AD103" s="200" t="s">
        <v>2</v>
      </c>
      <c r="AE103" s="200" t="s">
        <v>2</v>
      </c>
      <c r="AF103" s="203" t="s">
        <v>2</v>
      </c>
      <c r="AG103" s="204" t="s">
        <v>2</v>
      </c>
      <c r="AH103" s="200">
        <v>0</v>
      </c>
      <c r="AI103" s="200">
        <v>1</v>
      </c>
      <c r="AJ103" s="203" t="s">
        <v>2</v>
      </c>
      <c r="AK103" s="203" t="s">
        <v>2</v>
      </c>
      <c r="AL103" s="204" t="s">
        <v>2</v>
      </c>
      <c r="AM103" s="200">
        <v>16</v>
      </c>
      <c r="AN103" s="200" t="s">
        <v>2</v>
      </c>
      <c r="AO103" s="201" t="s">
        <v>2</v>
      </c>
      <c r="AP103" s="203" t="s">
        <v>2</v>
      </c>
      <c r="AQ103" s="205" t="s">
        <v>2</v>
      </c>
      <c r="AR103" s="205" t="s">
        <v>2</v>
      </c>
      <c r="AS103" s="205" t="s">
        <v>2</v>
      </c>
      <c r="AT103" s="205" t="s">
        <v>2</v>
      </c>
      <c r="AU103" s="205" t="s">
        <v>2</v>
      </c>
      <c r="AV103" s="206" t="s">
        <v>2</v>
      </c>
      <c r="AW103" s="203" t="s">
        <v>2</v>
      </c>
      <c r="AX103" s="205" t="s">
        <v>2</v>
      </c>
      <c r="AY103" s="205" t="s">
        <v>2</v>
      </c>
      <c r="AZ103" s="206" t="s">
        <v>2</v>
      </c>
      <c r="BA103" s="203" t="s">
        <v>2</v>
      </c>
      <c r="BB103" s="205" t="s">
        <v>2</v>
      </c>
      <c r="BC103" s="205" t="s">
        <v>2</v>
      </c>
      <c r="BD103" s="205" t="s">
        <v>2</v>
      </c>
      <c r="BE103" s="205" t="s">
        <v>2</v>
      </c>
      <c r="BF103" s="206" t="s">
        <v>2</v>
      </c>
      <c r="BG103" s="199" t="s">
        <v>2</v>
      </c>
      <c r="BH103" s="199">
        <v>0</v>
      </c>
      <c r="BI103" s="200">
        <v>27</v>
      </c>
      <c r="BJ103" s="200">
        <v>7</v>
      </c>
      <c r="BK103" s="200">
        <v>3</v>
      </c>
      <c r="BL103" s="200">
        <v>27</v>
      </c>
      <c r="BM103" s="200">
        <v>23</v>
      </c>
      <c r="BN103" s="200">
        <v>37</v>
      </c>
      <c r="BO103" s="200">
        <v>35</v>
      </c>
      <c r="BP103" s="200">
        <v>26</v>
      </c>
      <c r="BQ103" s="200">
        <v>51</v>
      </c>
      <c r="BR103" s="200">
        <v>13</v>
      </c>
      <c r="BS103" s="200">
        <v>7</v>
      </c>
      <c r="BT103" s="200">
        <v>12</v>
      </c>
      <c r="BU103" s="200">
        <v>23</v>
      </c>
      <c r="BV103" s="200">
        <v>48</v>
      </c>
      <c r="BW103" s="200">
        <v>160</v>
      </c>
      <c r="BX103" s="200">
        <v>18</v>
      </c>
      <c r="BY103" s="200">
        <v>17</v>
      </c>
      <c r="BZ103" s="201">
        <v>17</v>
      </c>
      <c r="CA103" s="203" t="s">
        <v>2</v>
      </c>
      <c r="CB103" s="203" t="s">
        <v>2</v>
      </c>
      <c r="CC103" s="203" t="s">
        <v>2</v>
      </c>
      <c r="CD103" s="203" t="s">
        <v>2</v>
      </c>
      <c r="CE103" s="203" t="s">
        <v>2</v>
      </c>
      <c r="CF103" s="203" t="s">
        <v>2</v>
      </c>
      <c r="CG103" s="204" t="s">
        <v>2</v>
      </c>
      <c r="CH103" s="200" t="s">
        <v>2</v>
      </c>
      <c r="CI103" s="201" t="s">
        <v>2</v>
      </c>
      <c r="CJ103" s="203" t="s">
        <v>2</v>
      </c>
      <c r="CK103" s="203" t="s">
        <v>2</v>
      </c>
      <c r="CL103" s="203" t="s">
        <v>2</v>
      </c>
      <c r="CM103" s="204" t="s">
        <v>2</v>
      </c>
      <c r="CN103" s="199" t="s">
        <v>2</v>
      </c>
      <c r="CO103" s="199" t="s">
        <v>2</v>
      </c>
    </row>
    <row r="104" spans="1:93" s="207" customFormat="1" ht="15" x14ac:dyDescent="0.25">
      <c r="A104" s="220" t="s">
        <v>743</v>
      </c>
      <c r="B104" s="221" t="s">
        <v>128</v>
      </c>
      <c r="C104" s="222" t="s">
        <v>926</v>
      </c>
      <c r="D104" s="290">
        <v>4</v>
      </c>
      <c r="E104" s="199">
        <v>15</v>
      </c>
      <c r="F104" s="200">
        <v>27</v>
      </c>
      <c r="G104" s="201">
        <v>112.85999999999999</v>
      </c>
      <c r="H104" s="202">
        <v>92.1</v>
      </c>
      <c r="I104" s="203">
        <v>1.5</v>
      </c>
      <c r="J104" s="203">
        <v>0.09</v>
      </c>
      <c r="K104" s="203">
        <v>5.1100000000000003</v>
      </c>
      <c r="L104" s="203">
        <v>1.5</v>
      </c>
      <c r="M104" s="204">
        <v>1.2</v>
      </c>
      <c r="N104" s="200">
        <v>40</v>
      </c>
      <c r="O104" s="200">
        <v>41</v>
      </c>
      <c r="P104" s="203">
        <v>1.1000000000000001</v>
      </c>
      <c r="Q104" s="203">
        <v>0.2</v>
      </c>
      <c r="R104" s="200">
        <v>10</v>
      </c>
      <c r="S104" s="200">
        <v>242</v>
      </c>
      <c r="T104" s="200">
        <v>15</v>
      </c>
      <c r="U104" s="205">
        <v>0.05</v>
      </c>
      <c r="V104" s="205">
        <v>150</v>
      </c>
      <c r="W104" s="204">
        <v>3.9</v>
      </c>
      <c r="X104" s="203">
        <v>30</v>
      </c>
      <c r="Y104" s="205">
        <v>0.06</v>
      </c>
      <c r="Z104" s="205">
        <v>0.06</v>
      </c>
      <c r="AA104" s="205">
        <v>0.5</v>
      </c>
      <c r="AB104" s="205">
        <v>0.13800000000000001</v>
      </c>
      <c r="AC104" s="205">
        <v>4.5999999999999999E-2</v>
      </c>
      <c r="AD104" s="200">
        <v>28</v>
      </c>
      <c r="AE104" s="200">
        <v>0</v>
      </c>
      <c r="AF104" s="203" t="s">
        <v>2</v>
      </c>
      <c r="AG104" s="204">
        <v>0</v>
      </c>
      <c r="AH104" s="200">
        <v>0</v>
      </c>
      <c r="AI104" s="200">
        <v>0</v>
      </c>
      <c r="AJ104" s="203" t="s">
        <v>2</v>
      </c>
      <c r="AK104" s="203">
        <v>0</v>
      </c>
      <c r="AL104" s="204">
        <v>0.3</v>
      </c>
      <c r="AM104" s="200">
        <v>0</v>
      </c>
      <c r="AN104" s="200">
        <v>0</v>
      </c>
      <c r="AO104" s="201">
        <v>0</v>
      </c>
      <c r="AP104" s="203">
        <v>0.03</v>
      </c>
      <c r="AQ104" s="205">
        <v>2.5999999999999999E-2</v>
      </c>
      <c r="AR104" s="205">
        <v>0</v>
      </c>
      <c r="AS104" s="205">
        <v>4.0000000000000001E-3</v>
      </c>
      <c r="AT104" s="205">
        <v>0</v>
      </c>
      <c r="AU104" s="205">
        <v>0</v>
      </c>
      <c r="AV104" s="206">
        <v>0</v>
      </c>
      <c r="AW104" s="203">
        <v>1.7000000000000001E-2</v>
      </c>
      <c r="AX104" s="205">
        <v>0</v>
      </c>
      <c r="AY104" s="205">
        <v>0</v>
      </c>
      <c r="AZ104" s="206">
        <v>1.6E-2</v>
      </c>
      <c r="BA104" s="203">
        <v>4.4999999999999998E-2</v>
      </c>
      <c r="BB104" s="205">
        <v>1.6E-2</v>
      </c>
      <c r="BC104" s="205">
        <v>2.9000000000000001E-2</v>
      </c>
      <c r="BD104" s="205">
        <v>0</v>
      </c>
      <c r="BE104" s="205">
        <v>0</v>
      </c>
      <c r="BF104" s="206">
        <v>0</v>
      </c>
      <c r="BG104" s="199" t="s">
        <v>2</v>
      </c>
      <c r="BH104" s="199">
        <v>0</v>
      </c>
      <c r="BI104" s="200">
        <v>27</v>
      </c>
      <c r="BJ104" s="200">
        <v>7</v>
      </c>
      <c r="BK104" s="200">
        <v>3</v>
      </c>
      <c r="BL104" s="200">
        <v>27</v>
      </c>
      <c r="BM104" s="200">
        <v>23</v>
      </c>
      <c r="BN104" s="200">
        <v>37</v>
      </c>
      <c r="BO104" s="200">
        <v>35</v>
      </c>
      <c r="BP104" s="200">
        <v>26</v>
      </c>
      <c r="BQ104" s="200">
        <v>51</v>
      </c>
      <c r="BR104" s="200">
        <v>13</v>
      </c>
      <c r="BS104" s="200">
        <v>7</v>
      </c>
      <c r="BT104" s="200">
        <v>12</v>
      </c>
      <c r="BU104" s="200">
        <v>23</v>
      </c>
      <c r="BV104" s="200">
        <v>48</v>
      </c>
      <c r="BW104" s="200">
        <v>160</v>
      </c>
      <c r="BX104" s="200">
        <v>18</v>
      </c>
      <c r="BY104" s="200">
        <v>17</v>
      </c>
      <c r="BZ104" s="201">
        <v>17</v>
      </c>
      <c r="CA104" s="203">
        <v>2.5</v>
      </c>
      <c r="CB104" s="203" t="s">
        <v>2</v>
      </c>
      <c r="CC104" s="203" t="s">
        <v>2</v>
      </c>
      <c r="CD104" s="203" t="s">
        <v>2</v>
      </c>
      <c r="CE104" s="203" t="s">
        <v>2</v>
      </c>
      <c r="CF104" s="203" t="s">
        <v>2</v>
      </c>
      <c r="CG104" s="204" t="s">
        <v>2</v>
      </c>
      <c r="CH104" s="200">
        <v>0</v>
      </c>
      <c r="CI104" s="201">
        <v>0</v>
      </c>
      <c r="CJ104" s="203" t="s">
        <v>2</v>
      </c>
      <c r="CK104" s="203" t="s">
        <v>2</v>
      </c>
      <c r="CL104" s="203" t="s">
        <v>2</v>
      </c>
      <c r="CM104" s="204" t="s">
        <v>2</v>
      </c>
      <c r="CN104" s="199" t="s">
        <v>2</v>
      </c>
      <c r="CO104" s="199" t="s">
        <v>2</v>
      </c>
    </row>
    <row r="105" spans="1:93" s="207" customFormat="1" ht="15" x14ac:dyDescent="0.25">
      <c r="A105" s="220" t="s">
        <v>744</v>
      </c>
      <c r="B105" s="221" t="s">
        <v>129</v>
      </c>
      <c r="C105" s="222" t="s">
        <v>927</v>
      </c>
      <c r="D105" s="290">
        <v>4</v>
      </c>
      <c r="E105" s="199">
        <v>0</v>
      </c>
      <c r="F105" s="200">
        <v>290</v>
      </c>
      <c r="G105" s="201">
        <v>1212.1999999999998</v>
      </c>
      <c r="H105" s="202">
        <v>16</v>
      </c>
      <c r="I105" s="203">
        <v>17.600000000000001</v>
      </c>
      <c r="J105" s="203">
        <v>1.5</v>
      </c>
      <c r="K105" s="203">
        <v>51.6</v>
      </c>
      <c r="L105" s="203">
        <v>17.7</v>
      </c>
      <c r="M105" s="204">
        <v>13.3</v>
      </c>
      <c r="N105" s="200">
        <v>629</v>
      </c>
      <c r="O105" s="200">
        <v>204</v>
      </c>
      <c r="P105" s="203">
        <v>6.73</v>
      </c>
      <c r="Q105" s="203">
        <v>2.13</v>
      </c>
      <c r="R105" s="200">
        <v>278</v>
      </c>
      <c r="S105" s="200">
        <v>3494</v>
      </c>
      <c r="T105" s="200">
        <v>170</v>
      </c>
      <c r="U105" s="205">
        <v>0.53900000000000003</v>
      </c>
      <c r="V105" s="205">
        <v>1631</v>
      </c>
      <c r="W105" s="204">
        <v>0.7</v>
      </c>
      <c r="X105" s="203">
        <v>0</v>
      </c>
      <c r="Y105" s="205">
        <v>0.27</v>
      </c>
      <c r="Z105" s="205">
        <v>0.68</v>
      </c>
      <c r="AA105" s="205">
        <v>3.4</v>
      </c>
      <c r="AB105" s="205">
        <v>1.8540000000000001</v>
      </c>
      <c r="AC105" s="205">
        <v>0.61799999999999999</v>
      </c>
      <c r="AD105" s="200">
        <v>295</v>
      </c>
      <c r="AE105" s="200">
        <v>0</v>
      </c>
      <c r="AF105" s="203" t="s">
        <v>2</v>
      </c>
      <c r="AG105" s="204">
        <v>0</v>
      </c>
      <c r="AH105" s="200">
        <v>0</v>
      </c>
      <c r="AI105" s="200">
        <v>0</v>
      </c>
      <c r="AJ105" s="203" t="s">
        <v>2</v>
      </c>
      <c r="AK105" s="203" t="s">
        <v>2</v>
      </c>
      <c r="AL105" s="204" t="s">
        <v>2</v>
      </c>
      <c r="AM105" s="200">
        <v>0</v>
      </c>
      <c r="AN105" s="200">
        <v>0</v>
      </c>
      <c r="AO105" s="201">
        <v>0</v>
      </c>
      <c r="AP105" s="203">
        <v>0.218</v>
      </c>
      <c r="AQ105" s="205">
        <v>0.189</v>
      </c>
      <c r="AR105" s="205">
        <v>0</v>
      </c>
      <c r="AS105" s="205">
        <v>2.7E-2</v>
      </c>
      <c r="AT105" s="205">
        <v>0</v>
      </c>
      <c r="AU105" s="205">
        <v>0</v>
      </c>
      <c r="AV105" s="206">
        <v>0</v>
      </c>
      <c r="AW105" s="203">
        <v>0.11899999999999999</v>
      </c>
      <c r="AX105" s="205">
        <v>0</v>
      </c>
      <c r="AY105" s="205">
        <v>2E-3</v>
      </c>
      <c r="AZ105" s="206">
        <v>0.11700000000000001</v>
      </c>
      <c r="BA105" s="203">
        <v>0.32500000000000001</v>
      </c>
      <c r="BB105" s="205">
        <v>0.11700000000000001</v>
      </c>
      <c r="BC105" s="205">
        <v>0.20599999999999999</v>
      </c>
      <c r="BD105" s="205">
        <v>0</v>
      </c>
      <c r="BE105" s="205">
        <v>0</v>
      </c>
      <c r="BF105" s="206">
        <v>0</v>
      </c>
      <c r="BG105" s="199" t="s">
        <v>2</v>
      </c>
      <c r="BH105" s="199">
        <v>0</v>
      </c>
      <c r="BI105" s="200">
        <v>393</v>
      </c>
      <c r="BJ105" s="200">
        <v>75</v>
      </c>
      <c r="BK105" s="200">
        <v>43</v>
      </c>
      <c r="BL105" s="200">
        <v>262</v>
      </c>
      <c r="BM105" s="200">
        <v>326</v>
      </c>
      <c r="BN105" s="200">
        <v>365</v>
      </c>
      <c r="BO105" s="200">
        <v>413</v>
      </c>
      <c r="BP105" s="200">
        <v>344</v>
      </c>
      <c r="BQ105" s="200">
        <v>456</v>
      </c>
      <c r="BR105" s="200">
        <v>149</v>
      </c>
      <c r="BS105" s="200" t="s">
        <v>2</v>
      </c>
      <c r="BT105" s="200">
        <v>150</v>
      </c>
      <c r="BU105" s="200">
        <v>248</v>
      </c>
      <c r="BV105" s="200">
        <v>538</v>
      </c>
      <c r="BW105" s="200">
        <v>1492</v>
      </c>
      <c r="BX105" s="200">
        <v>248</v>
      </c>
      <c r="BY105" s="200">
        <v>202</v>
      </c>
      <c r="BZ105" s="201">
        <v>240</v>
      </c>
      <c r="CA105" s="203" t="s">
        <v>2</v>
      </c>
      <c r="CB105" s="203" t="s">
        <v>2</v>
      </c>
      <c r="CC105" s="203" t="s">
        <v>2</v>
      </c>
      <c r="CD105" s="203" t="s">
        <v>2</v>
      </c>
      <c r="CE105" s="203" t="s">
        <v>2</v>
      </c>
      <c r="CF105" s="203" t="s">
        <v>2</v>
      </c>
      <c r="CG105" s="204" t="s">
        <v>2</v>
      </c>
      <c r="CH105" s="200">
        <v>0</v>
      </c>
      <c r="CI105" s="201">
        <v>0</v>
      </c>
      <c r="CJ105" s="203" t="s">
        <v>2</v>
      </c>
      <c r="CK105" s="203" t="s">
        <v>2</v>
      </c>
      <c r="CL105" s="203" t="s">
        <v>130</v>
      </c>
      <c r="CM105" s="204" t="s">
        <v>2</v>
      </c>
      <c r="CN105" s="199" t="s">
        <v>2</v>
      </c>
      <c r="CO105" s="199" t="s">
        <v>2</v>
      </c>
    </row>
    <row r="106" spans="1:93" s="207" customFormat="1" ht="15" x14ac:dyDescent="0.25">
      <c r="A106" s="220" t="s">
        <v>745</v>
      </c>
      <c r="B106" s="221" t="s">
        <v>131</v>
      </c>
      <c r="C106" s="222" t="s">
        <v>928</v>
      </c>
      <c r="D106" s="290">
        <v>4</v>
      </c>
      <c r="E106" s="199">
        <v>15</v>
      </c>
      <c r="F106" s="200">
        <v>31</v>
      </c>
      <c r="G106" s="201">
        <v>129.57999999999998</v>
      </c>
      <c r="H106" s="202">
        <v>92</v>
      </c>
      <c r="I106" s="203">
        <v>1</v>
      </c>
      <c r="J106" s="203" t="s">
        <v>2</v>
      </c>
      <c r="K106" s="203">
        <v>6.7</v>
      </c>
      <c r="L106" s="203">
        <v>0.7</v>
      </c>
      <c r="M106" s="204">
        <v>0.3</v>
      </c>
      <c r="N106" s="200">
        <v>8</v>
      </c>
      <c r="O106" s="200">
        <v>16</v>
      </c>
      <c r="P106" s="203" t="s">
        <v>2</v>
      </c>
      <c r="Q106" s="203" t="s">
        <v>2</v>
      </c>
      <c r="R106" s="200" t="s">
        <v>2</v>
      </c>
      <c r="S106" s="200" t="s">
        <v>2</v>
      </c>
      <c r="T106" s="200" t="s">
        <v>2</v>
      </c>
      <c r="U106" s="205" t="s">
        <v>2</v>
      </c>
      <c r="V106" s="205" t="s">
        <v>2</v>
      </c>
      <c r="W106" s="204" t="s">
        <v>2</v>
      </c>
      <c r="X106" s="203">
        <v>6</v>
      </c>
      <c r="Y106" s="205" t="s">
        <v>2</v>
      </c>
      <c r="Z106" s="205" t="s">
        <v>2</v>
      </c>
      <c r="AA106" s="205" t="s">
        <v>2</v>
      </c>
      <c r="AB106" s="205" t="s">
        <v>2</v>
      </c>
      <c r="AC106" s="205" t="s">
        <v>2</v>
      </c>
      <c r="AD106" s="200" t="s">
        <v>2</v>
      </c>
      <c r="AE106" s="200" t="s">
        <v>2</v>
      </c>
      <c r="AF106" s="203" t="s">
        <v>2</v>
      </c>
      <c r="AG106" s="204" t="s">
        <v>2</v>
      </c>
      <c r="AH106" s="200">
        <v>0</v>
      </c>
      <c r="AI106" s="200">
        <v>0</v>
      </c>
      <c r="AJ106" s="203">
        <v>0</v>
      </c>
      <c r="AK106" s="203" t="s">
        <v>2</v>
      </c>
      <c r="AL106" s="204" t="s">
        <v>2</v>
      </c>
      <c r="AM106" s="200">
        <v>0</v>
      </c>
      <c r="AN106" s="200">
        <v>0</v>
      </c>
      <c r="AO106" s="201">
        <v>0</v>
      </c>
      <c r="AP106" s="203" t="s">
        <v>2</v>
      </c>
      <c r="AQ106" s="205" t="s">
        <v>2</v>
      </c>
      <c r="AR106" s="205" t="s">
        <v>2</v>
      </c>
      <c r="AS106" s="205" t="s">
        <v>2</v>
      </c>
      <c r="AT106" s="205" t="s">
        <v>2</v>
      </c>
      <c r="AU106" s="205" t="s">
        <v>2</v>
      </c>
      <c r="AV106" s="206" t="s">
        <v>2</v>
      </c>
      <c r="AW106" s="203" t="s">
        <v>2</v>
      </c>
      <c r="AX106" s="205" t="s">
        <v>2</v>
      </c>
      <c r="AY106" s="205" t="s">
        <v>2</v>
      </c>
      <c r="AZ106" s="206" t="s">
        <v>2</v>
      </c>
      <c r="BA106" s="203" t="s">
        <v>2</v>
      </c>
      <c r="BB106" s="205" t="s">
        <v>2</v>
      </c>
      <c r="BC106" s="205" t="s">
        <v>2</v>
      </c>
      <c r="BD106" s="205" t="s">
        <v>2</v>
      </c>
      <c r="BE106" s="205" t="s">
        <v>2</v>
      </c>
      <c r="BF106" s="206" t="s">
        <v>2</v>
      </c>
      <c r="BG106" s="199" t="s">
        <v>2</v>
      </c>
      <c r="BH106" s="199">
        <v>0</v>
      </c>
      <c r="BI106" s="200" t="s">
        <v>2</v>
      </c>
      <c r="BJ106" s="200" t="s">
        <v>2</v>
      </c>
      <c r="BK106" s="200" t="s">
        <v>2</v>
      </c>
      <c r="BL106" s="200" t="s">
        <v>2</v>
      </c>
      <c r="BM106" s="200" t="s">
        <v>2</v>
      </c>
      <c r="BN106" s="200" t="s">
        <v>2</v>
      </c>
      <c r="BO106" s="200" t="s">
        <v>2</v>
      </c>
      <c r="BP106" s="200" t="s">
        <v>2</v>
      </c>
      <c r="BQ106" s="200" t="s">
        <v>2</v>
      </c>
      <c r="BR106" s="200" t="s">
        <v>2</v>
      </c>
      <c r="BS106" s="200" t="s">
        <v>2</v>
      </c>
      <c r="BT106" s="200" t="s">
        <v>2</v>
      </c>
      <c r="BU106" s="200" t="s">
        <v>2</v>
      </c>
      <c r="BV106" s="200" t="s">
        <v>2</v>
      </c>
      <c r="BW106" s="200" t="s">
        <v>2</v>
      </c>
      <c r="BX106" s="200" t="s">
        <v>2</v>
      </c>
      <c r="BY106" s="200" t="s">
        <v>2</v>
      </c>
      <c r="BZ106" s="201" t="s">
        <v>2</v>
      </c>
      <c r="CA106" s="203" t="s">
        <v>2</v>
      </c>
      <c r="CB106" s="203" t="s">
        <v>2</v>
      </c>
      <c r="CC106" s="203" t="s">
        <v>2</v>
      </c>
      <c r="CD106" s="203" t="s">
        <v>2</v>
      </c>
      <c r="CE106" s="203" t="s">
        <v>2</v>
      </c>
      <c r="CF106" s="203" t="s">
        <v>2</v>
      </c>
      <c r="CG106" s="204" t="s">
        <v>2</v>
      </c>
      <c r="CH106" s="200">
        <v>0</v>
      </c>
      <c r="CI106" s="201">
        <v>0</v>
      </c>
      <c r="CJ106" s="203" t="s">
        <v>2</v>
      </c>
      <c r="CK106" s="203" t="s">
        <v>2</v>
      </c>
      <c r="CL106" s="203" t="s">
        <v>2</v>
      </c>
      <c r="CM106" s="204" t="s">
        <v>2</v>
      </c>
      <c r="CN106" s="199" t="s">
        <v>2</v>
      </c>
      <c r="CO106" s="199" t="s">
        <v>2</v>
      </c>
    </row>
    <row r="107" spans="1:93" s="207" customFormat="1" ht="15" x14ac:dyDescent="0.25">
      <c r="A107" s="220" t="s">
        <v>746</v>
      </c>
      <c r="B107" s="221" t="s">
        <v>132</v>
      </c>
      <c r="C107" s="222" t="s">
        <v>929</v>
      </c>
      <c r="D107" s="290">
        <v>4</v>
      </c>
      <c r="E107" s="199">
        <v>13</v>
      </c>
      <c r="F107" s="200">
        <v>37</v>
      </c>
      <c r="G107" s="201">
        <v>154.66</v>
      </c>
      <c r="H107" s="202">
        <v>90.2</v>
      </c>
      <c r="I107" s="203">
        <v>2</v>
      </c>
      <c r="J107" s="203" t="s">
        <v>2</v>
      </c>
      <c r="K107" s="203">
        <v>7.2</v>
      </c>
      <c r="L107" s="203">
        <v>1.8</v>
      </c>
      <c r="M107" s="204">
        <v>0.6</v>
      </c>
      <c r="N107" s="200">
        <v>24</v>
      </c>
      <c r="O107" s="200">
        <v>92</v>
      </c>
      <c r="P107" s="203">
        <v>1.4</v>
      </c>
      <c r="Q107" s="203" t="s">
        <v>2</v>
      </c>
      <c r="R107" s="200" t="s">
        <v>2</v>
      </c>
      <c r="S107" s="200" t="s">
        <v>2</v>
      </c>
      <c r="T107" s="200" t="s">
        <v>2</v>
      </c>
      <c r="U107" s="205" t="s">
        <v>2</v>
      </c>
      <c r="V107" s="205" t="s">
        <v>2</v>
      </c>
      <c r="W107" s="204" t="s">
        <v>2</v>
      </c>
      <c r="X107" s="203">
        <v>2</v>
      </c>
      <c r="Y107" s="205" t="s">
        <v>2</v>
      </c>
      <c r="Z107" s="205" t="s">
        <v>2</v>
      </c>
      <c r="AA107" s="205" t="s">
        <v>2</v>
      </c>
      <c r="AB107" s="205" t="s">
        <v>2</v>
      </c>
      <c r="AC107" s="205" t="s">
        <v>2</v>
      </c>
      <c r="AD107" s="200" t="s">
        <v>2</v>
      </c>
      <c r="AE107" s="200" t="s">
        <v>2</v>
      </c>
      <c r="AF107" s="203" t="s">
        <v>2</v>
      </c>
      <c r="AG107" s="204" t="s">
        <v>2</v>
      </c>
      <c r="AH107" s="200">
        <v>0</v>
      </c>
      <c r="AI107" s="200">
        <v>0</v>
      </c>
      <c r="AJ107" s="203" t="s">
        <v>2</v>
      </c>
      <c r="AK107" s="203" t="s">
        <v>2</v>
      </c>
      <c r="AL107" s="204" t="s">
        <v>2</v>
      </c>
      <c r="AM107" s="200">
        <v>0</v>
      </c>
      <c r="AN107" s="200">
        <v>0</v>
      </c>
      <c r="AO107" s="201">
        <v>0</v>
      </c>
      <c r="AP107" s="203" t="s">
        <v>2</v>
      </c>
      <c r="AQ107" s="205" t="s">
        <v>2</v>
      </c>
      <c r="AR107" s="205" t="s">
        <v>2</v>
      </c>
      <c r="AS107" s="205" t="s">
        <v>2</v>
      </c>
      <c r="AT107" s="205" t="s">
        <v>2</v>
      </c>
      <c r="AU107" s="205" t="s">
        <v>2</v>
      </c>
      <c r="AV107" s="206" t="s">
        <v>2</v>
      </c>
      <c r="AW107" s="203" t="s">
        <v>2</v>
      </c>
      <c r="AX107" s="205" t="s">
        <v>2</v>
      </c>
      <c r="AY107" s="205" t="s">
        <v>2</v>
      </c>
      <c r="AZ107" s="206" t="s">
        <v>2</v>
      </c>
      <c r="BA107" s="203" t="s">
        <v>2</v>
      </c>
      <c r="BB107" s="205" t="s">
        <v>2</v>
      </c>
      <c r="BC107" s="205" t="s">
        <v>2</v>
      </c>
      <c r="BD107" s="205" t="s">
        <v>2</v>
      </c>
      <c r="BE107" s="205" t="s">
        <v>2</v>
      </c>
      <c r="BF107" s="206" t="s">
        <v>2</v>
      </c>
      <c r="BG107" s="199" t="s">
        <v>2</v>
      </c>
      <c r="BH107" s="199">
        <v>0</v>
      </c>
      <c r="BI107" s="200" t="s">
        <v>2</v>
      </c>
      <c r="BJ107" s="200" t="s">
        <v>2</v>
      </c>
      <c r="BK107" s="200" t="s">
        <v>2</v>
      </c>
      <c r="BL107" s="200" t="s">
        <v>2</v>
      </c>
      <c r="BM107" s="200" t="s">
        <v>2</v>
      </c>
      <c r="BN107" s="200" t="s">
        <v>2</v>
      </c>
      <c r="BO107" s="200" t="s">
        <v>2</v>
      </c>
      <c r="BP107" s="200" t="s">
        <v>2</v>
      </c>
      <c r="BQ107" s="200" t="s">
        <v>2</v>
      </c>
      <c r="BR107" s="200" t="s">
        <v>2</v>
      </c>
      <c r="BS107" s="200" t="s">
        <v>2</v>
      </c>
      <c r="BT107" s="200" t="s">
        <v>2</v>
      </c>
      <c r="BU107" s="200" t="s">
        <v>2</v>
      </c>
      <c r="BV107" s="200" t="s">
        <v>2</v>
      </c>
      <c r="BW107" s="200" t="s">
        <v>2</v>
      </c>
      <c r="BX107" s="200" t="s">
        <v>2</v>
      </c>
      <c r="BY107" s="200" t="s">
        <v>2</v>
      </c>
      <c r="BZ107" s="201" t="s">
        <v>2</v>
      </c>
      <c r="CA107" s="203" t="s">
        <v>2</v>
      </c>
      <c r="CB107" s="203" t="s">
        <v>2</v>
      </c>
      <c r="CC107" s="203" t="s">
        <v>2</v>
      </c>
      <c r="CD107" s="203" t="s">
        <v>2</v>
      </c>
      <c r="CE107" s="203" t="s">
        <v>2</v>
      </c>
      <c r="CF107" s="203" t="s">
        <v>2</v>
      </c>
      <c r="CG107" s="204" t="s">
        <v>2</v>
      </c>
      <c r="CH107" s="200">
        <v>0</v>
      </c>
      <c r="CI107" s="201">
        <v>0</v>
      </c>
      <c r="CJ107" s="203" t="s">
        <v>2</v>
      </c>
      <c r="CK107" s="203" t="s">
        <v>2</v>
      </c>
      <c r="CL107" s="203" t="s">
        <v>2</v>
      </c>
      <c r="CM107" s="204" t="s">
        <v>2</v>
      </c>
      <c r="CN107" s="199" t="s">
        <v>2</v>
      </c>
      <c r="CO107" s="199" t="s">
        <v>2</v>
      </c>
    </row>
    <row r="108" spans="1:93" s="207" customFormat="1" ht="15" x14ac:dyDescent="0.25">
      <c r="A108" s="220" t="s">
        <v>747</v>
      </c>
      <c r="B108" s="221" t="s">
        <v>133</v>
      </c>
      <c r="C108" s="222" t="s">
        <v>930</v>
      </c>
      <c r="D108" s="290">
        <v>4</v>
      </c>
      <c r="E108" s="199">
        <v>4</v>
      </c>
      <c r="F108" s="200">
        <v>21</v>
      </c>
      <c r="G108" s="201">
        <v>87.78</v>
      </c>
      <c r="H108" s="202">
        <v>93.6</v>
      </c>
      <c r="I108" s="203">
        <v>1.9</v>
      </c>
      <c r="J108" s="203" t="s">
        <v>2</v>
      </c>
      <c r="K108" s="203">
        <v>3.4</v>
      </c>
      <c r="L108" s="203">
        <v>1.8</v>
      </c>
      <c r="M108" s="204">
        <v>1.1000000000000001</v>
      </c>
      <c r="N108" s="200">
        <v>220</v>
      </c>
      <c r="O108" s="200">
        <v>57</v>
      </c>
      <c r="P108" s="203">
        <v>0.4</v>
      </c>
      <c r="Q108" s="203" t="s">
        <v>2</v>
      </c>
      <c r="R108" s="200" t="s">
        <v>2</v>
      </c>
      <c r="S108" s="200" t="s">
        <v>2</v>
      </c>
      <c r="T108" s="200" t="s">
        <v>2</v>
      </c>
      <c r="U108" s="205" t="s">
        <v>2</v>
      </c>
      <c r="V108" s="205" t="s">
        <v>2</v>
      </c>
      <c r="W108" s="204" t="s">
        <v>2</v>
      </c>
      <c r="X108" s="203">
        <v>72</v>
      </c>
      <c r="Y108" s="205">
        <v>0.06</v>
      </c>
      <c r="Z108" s="205">
        <v>0.11</v>
      </c>
      <c r="AA108" s="205">
        <v>0.7</v>
      </c>
      <c r="AB108" s="205" t="s">
        <v>2</v>
      </c>
      <c r="AC108" s="205" t="s">
        <v>2</v>
      </c>
      <c r="AD108" s="200" t="s">
        <v>2</v>
      </c>
      <c r="AE108" s="200" t="s">
        <v>2</v>
      </c>
      <c r="AF108" s="203" t="s">
        <v>2</v>
      </c>
      <c r="AG108" s="204" t="s">
        <v>2</v>
      </c>
      <c r="AH108" s="200">
        <v>0</v>
      </c>
      <c r="AI108" s="200">
        <v>91</v>
      </c>
      <c r="AJ108" s="203" t="s">
        <v>2</v>
      </c>
      <c r="AK108" s="203" t="s">
        <v>2</v>
      </c>
      <c r="AL108" s="204" t="s">
        <v>2</v>
      </c>
      <c r="AM108" s="200">
        <v>1090</v>
      </c>
      <c r="AN108" s="200" t="s">
        <v>2</v>
      </c>
      <c r="AO108" s="201" t="s">
        <v>2</v>
      </c>
      <c r="AP108" s="203" t="s">
        <v>2</v>
      </c>
      <c r="AQ108" s="205" t="s">
        <v>2</v>
      </c>
      <c r="AR108" s="205" t="s">
        <v>2</v>
      </c>
      <c r="AS108" s="205" t="s">
        <v>2</v>
      </c>
      <c r="AT108" s="205" t="s">
        <v>2</v>
      </c>
      <c r="AU108" s="205" t="s">
        <v>2</v>
      </c>
      <c r="AV108" s="206" t="s">
        <v>2</v>
      </c>
      <c r="AW108" s="203" t="s">
        <v>2</v>
      </c>
      <c r="AX108" s="205" t="s">
        <v>2</v>
      </c>
      <c r="AY108" s="205" t="s">
        <v>2</v>
      </c>
      <c r="AZ108" s="206" t="s">
        <v>2</v>
      </c>
      <c r="BA108" s="203" t="s">
        <v>2</v>
      </c>
      <c r="BB108" s="205" t="s">
        <v>2</v>
      </c>
      <c r="BC108" s="205" t="s">
        <v>2</v>
      </c>
      <c r="BD108" s="205" t="s">
        <v>2</v>
      </c>
      <c r="BE108" s="205" t="s">
        <v>2</v>
      </c>
      <c r="BF108" s="206" t="s">
        <v>2</v>
      </c>
      <c r="BG108" s="199" t="s">
        <v>2</v>
      </c>
      <c r="BH108" s="199">
        <v>0</v>
      </c>
      <c r="BI108" s="200" t="s">
        <v>2</v>
      </c>
      <c r="BJ108" s="200" t="s">
        <v>2</v>
      </c>
      <c r="BK108" s="200" t="s">
        <v>2</v>
      </c>
      <c r="BL108" s="200" t="s">
        <v>2</v>
      </c>
      <c r="BM108" s="200" t="s">
        <v>2</v>
      </c>
      <c r="BN108" s="200" t="s">
        <v>2</v>
      </c>
      <c r="BO108" s="200" t="s">
        <v>2</v>
      </c>
      <c r="BP108" s="200" t="s">
        <v>2</v>
      </c>
      <c r="BQ108" s="200" t="s">
        <v>2</v>
      </c>
      <c r="BR108" s="200" t="s">
        <v>2</v>
      </c>
      <c r="BS108" s="200" t="s">
        <v>2</v>
      </c>
      <c r="BT108" s="200" t="s">
        <v>2</v>
      </c>
      <c r="BU108" s="200" t="s">
        <v>2</v>
      </c>
      <c r="BV108" s="200" t="s">
        <v>2</v>
      </c>
      <c r="BW108" s="200" t="s">
        <v>2</v>
      </c>
      <c r="BX108" s="200" t="s">
        <v>2</v>
      </c>
      <c r="BY108" s="200" t="s">
        <v>2</v>
      </c>
      <c r="BZ108" s="201" t="s">
        <v>2</v>
      </c>
      <c r="CA108" s="203" t="s">
        <v>2</v>
      </c>
      <c r="CB108" s="203" t="s">
        <v>2</v>
      </c>
      <c r="CC108" s="203" t="s">
        <v>2</v>
      </c>
      <c r="CD108" s="203" t="s">
        <v>2</v>
      </c>
      <c r="CE108" s="203" t="s">
        <v>2</v>
      </c>
      <c r="CF108" s="203" t="s">
        <v>2</v>
      </c>
      <c r="CG108" s="204" t="s">
        <v>2</v>
      </c>
      <c r="CH108" s="200" t="s">
        <v>2</v>
      </c>
      <c r="CI108" s="201" t="s">
        <v>2</v>
      </c>
      <c r="CJ108" s="203" t="s">
        <v>2</v>
      </c>
      <c r="CK108" s="203" t="s">
        <v>2</v>
      </c>
      <c r="CL108" s="203" t="s">
        <v>2</v>
      </c>
      <c r="CM108" s="204" t="s">
        <v>2</v>
      </c>
      <c r="CN108" s="199" t="s">
        <v>2</v>
      </c>
      <c r="CO108" s="199" t="s">
        <v>2</v>
      </c>
    </row>
    <row r="109" spans="1:93" s="207" customFormat="1" ht="15" x14ac:dyDescent="0.25">
      <c r="A109" s="220" t="s">
        <v>748</v>
      </c>
      <c r="B109" s="221" t="s">
        <v>134</v>
      </c>
      <c r="C109" s="222" t="s">
        <v>931</v>
      </c>
      <c r="D109" s="290">
        <v>4</v>
      </c>
      <c r="E109" s="199">
        <v>20</v>
      </c>
      <c r="F109" s="200">
        <v>13</v>
      </c>
      <c r="G109" s="201">
        <v>54.339999999999996</v>
      </c>
      <c r="H109" s="202">
        <v>96</v>
      </c>
      <c r="I109" s="203">
        <v>0.4</v>
      </c>
      <c r="J109" s="203" t="s">
        <v>2</v>
      </c>
      <c r="K109" s="203">
        <v>2.8</v>
      </c>
      <c r="L109" s="203">
        <v>2</v>
      </c>
      <c r="M109" s="204">
        <v>0.8</v>
      </c>
      <c r="N109" s="200" t="s">
        <v>2</v>
      </c>
      <c r="O109" s="200" t="s">
        <v>2</v>
      </c>
      <c r="P109" s="203" t="s">
        <v>2</v>
      </c>
      <c r="Q109" s="203" t="s">
        <v>2</v>
      </c>
      <c r="R109" s="200" t="s">
        <v>2</v>
      </c>
      <c r="S109" s="200" t="s">
        <v>2</v>
      </c>
      <c r="T109" s="200" t="s">
        <v>2</v>
      </c>
      <c r="U109" s="205" t="s">
        <v>2</v>
      </c>
      <c r="V109" s="205" t="s">
        <v>2</v>
      </c>
      <c r="W109" s="204" t="s">
        <v>2</v>
      </c>
      <c r="X109" s="203" t="s">
        <v>2</v>
      </c>
      <c r="Y109" s="205" t="s">
        <v>2</v>
      </c>
      <c r="Z109" s="205" t="s">
        <v>2</v>
      </c>
      <c r="AA109" s="205" t="s">
        <v>2</v>
      </c>
      <c r="AB109" s="205" t="s">
        <v>2</v>
      </c>
      <c r="AC109" s="205" t="s">
        <v>2</v>
      </c>
      <c r="AD109" s="200" t="s">
        <v>2</v>
      </c>
      <c r="AE109" s="200" t="s">
        <v>2</v>
      </c>
      <c r="AF109" s="203" t="s">
        <v>2</v>
      </c>
      <c r="AG109" s="204" t="s">
        <v>2</v>
      </c>
      <c r="AH109" s="200">
        <v>0</v>
      </c>
      <c r="AI109" s="200">
        <v>0</v>
      </c>
      <c r="AJ109" s="203">
        <v>0</v>
      </c>
      <c r="AK109" s="203" t="s">
        <v>2</v>
      </c>
      <c r="AL109" s="204" t="s">
        <v>2</v>
      </c>
      <c r="AM109" s="200" t="s">
        <v>2</v>
      </c>
      <c r="AN109" s="200" t="s">
        <v>2</v>
      </c>
      <c r="AO109" s="201" t="s">
        <v>2</v>
      </c>
      <c r="AP109" s="203" t="s">
        <v>2</v>
      </c>
      <c r="AQ109" s="205" t="s">
        <v>2</v>
      </c>
      <c r="AR109" s="205" t="s">
        <v>2</v>
      </c>
      <c r="AS109" s="205" t="s">
        <v>2</v>
      </c>
      <c r="AT109" s="205" t="s">
        <v>2</v>
      </c>
      <c r="AU109" s="205" t="s">
        <v>2</v>
      </c>
      <c r="AV109" s="206" t="s">
        <v>2</v>
      </c>
      <c r="AW109" s="203" t="s">
        <v>2</v>
      </c>
      <c r="AX109" s="205" t="s">
        <v>2</v>
      </c>
      <c r="AY109" s="205" t="s">
        <v>2</v>
      </c>
      <c r="AZ109" s="206" t="s">
        <v>2</v>
      </c>
      <c r="BA109" s="203" t="s">
        <v>2</v>
      </c>
      <c r="BB109" s="205" t="s">
        <v>2</v>
      </c>
      <c r="BC109" s="205" t="s">
        <v>2</v>
      </c>
      <c r="BD109" s="205" t="s">
        <v>2</v>
      </c>
      <c r="BE109" s="205" t="s">
        <v>2</v>
      </c>
      <c r="BF109" s="206" t="s">
        <v>2</v>
      </c>
      <c r="BG109" s="199" t="s">
        <v>2</v>
      </c>
      <c r="BH109" s="199">
        <v>0</v>
      </c>
      <c r="BI109" s="200" t="s">
        <v>2</v>
      </c>
      <c r="BJ109" s="200" t="s">
        <v>2</v>
      </c>
      <c r="BK109" s="200" t="s">
        <v>2</v>
      </c>
      <c r="BL109" s="200" t="s">
        <v>2</v>
      </c>
      <c r="BM109" s="200" t="s">
        <v>2</v>
      </c>
      <c r="BN109" s="200" t="s">
        <v>2</v>
      </c>
      <c r="BO109" s="200" t="s">
        <v>2</v>
      </c>
      <c r="BP109" s="200" t="s">
        <v>2</v>
      </c>
      <c r="BQ109" s="200" t="s">
        <v>2</v>
      </c>
      <c r="BR109" s="200" t="s">
        <v>2</v>
      </c>
      <c r="BS109" s="200" t="s">
        <v>2</v>
      </c>
      <c r="BT109" s="200" t="s">
        <v>2</v>
      </c>
      <c r="BU109" s="200" t="s">
        <v>2</v>
      </c>
      <c r="BV109" s="200" t="s">
        <v>2</v>
      </c>
      <c r="BW109" s="200" t="s">
        <v>2</v>
      </c>
      <c r="BX109" s="200" t="s">
        <v>2</v>
      </c>
      <c r="BY109" s="200" t="s">
        <v>2</v>
      </c>
      <c r="BZ109" s="201" t="s">
        <v>2</v>
      </c>
      <c r="CA109" s="203" t="s">
        <v>2</v>
      </c>
      <c r="CB109" s="203" t="s">
        <v>2</v>
      </c>
      <c r="CC109" s="203" t="s">
        <v>2</v>
      </c>
      <c r="CD109" s="203" t="s">
        <v>2</v>
      </c>
      <c r="CE109" s="203" t="s">
        <v>2</v>
      </c>
      <c r="CF109" s="203" t="s">
        <v>2</v>
      </c>
      <c r="CG109" s="204" t="s">
        <v>2</v>
      </c>
      <c r="CH109" s="200" t="s">
        <v>2</v>
      </c>
      <c r="CI109" s="201" t="s">
        <v>2</v>
      </c>
      <c r="CJ109" s="203" t="s">
        <v>2</v>
      </c>
      <c r="CK109" s="203" t="s">
        <v>2</v>
      </c>
      <c r="CL109" s="203" t="s">
        <v>2</v>
      </c>
      <c r="CM109" s="204" t="s">
        <v>2</v>
      </c>
      <c r="CN109" s="199" t="s">
        <v>2</v>
      </c>
      <c r="CO109" s="199" t="s">
        <v>2</v>
      </c>
    </row>
    <row r="110" spans="1:93" s="207" customFormat="1" ht="15" x14ac:dyDescent="0.25">
      <c r="A110" s="220" t="s">
        <v>749</v>
      </c>
      <c r="B110" s="221" t="s">
        <v>135</v>
      </c>
      <c r="C110" s="222" t="s">
        <v>932</v>
      </c>
      <c r="D110" s="290">
        <v>4</v>
      </c>
      <c r="E110" s="199">
        <v>5</v>
      </c>
      <c r="F110" s="200">
        <v>18</v>
      </c>
      <c r="G110" s="201">
        <v>75.239999999999995</v>
      </c>
      <c r="H110" s="202">
        <v>95</v>
      </c>
      <c r="I110" s="203">
        <v>0.8</v>
      </c>
      <c r="J110" s="203">
        <v>0.09</v>
      </c>
      <c r="K110" s="203">
        <v>3.61</v>
      </c>
      <c r="L110" s="203">
        <v>0.7</v>
      </c>
      <c r="M110" s="204">
        <v>0.5</v>
      </c>
      <c r="N110" s="200">
        <v>23</v>
      </c>
      <c r="O110" s="200">
        <v>27</v>
      </c>
      <c r="P110" s="203">
        <v>1</v>
      </c>
      <c r="Q110" s="203">
        <v>0.18</v>
      </c>
      <c r="R110" s="200">
        <v>13</v>
      </c>
      <c r="S110" s="200">
        <v>169</v>
      </c>
      <c r="T110" s="200">
        <v>15</v>
      </c>
      <c r="U110" s="205">
        <v>0.25</v>
      </c>
      <c r="V110" s="205">
        <v>90</v>
      </c>
      <c r="W110" s="204">
        <v>0.3</v>
      </c>
      <c r="X110" s="203">
        <v>5</v>
      </c>
      <c r="Y110" s="205">
        <v>0.03</v>
      </c>
      <c r="Z110" s="205">
        <v>0.04</v>
      </c>
      <c r="AA110" s="205">
        <v>0.1</v>
      </c>
      <c r="AB110" s="205">
        <v>0.25900000000000001</v>
      </c>
      <c r="AC110" s="205">
        <v>0.04</v>
      </c>
      <c r="AD110" s="200">
        <v>7</v>
      </c>
      <c r="AE110" s="200">
        <v>0</v>
      </c>
      <c r="AF110" s="203">
        <v>0.4</v>
      </c>
      <c r="AG110" s="204">
        <v>0</v>
      </c>
      <c r="AH110" s="200">
        <v>0</v>
      </c>
      <c r="AI110" s="200">
        <v>12</v>
      </c>
      <c r="AJ110" s="203">
        <v>0</v>
      </c>
      <c r="AK110" s="203">
        <v>0.03</v>
      </c>
      <c r="AL110" s="204">
        <v>16.399999999999999</v>
      </c>
      <c r="AM110" s="200">
        <v>138</v>
      </c>
      <c r="AN110" s="200">
        <v>0</v>
      </c>
      <c r="AO110" s="201">
        <v>0</v>
      </c>
      <c r="AP110" s="203">
        <v>3.4000000000000002E-2</v>
      </c>
      <c r="AQ110" s="205">
        <v>0.01</v>
      </c>
      <c r="AR110" s="205">
        <v>0</v>
      </c>
      <c r="AS110" s="205">
        <v>2E-3</v>
      </c>
      <c r="AT110" s="205">
        <v>0</v>
      </c>
      <c r="AU110" s="205">
        <v>0</v>
      </c>
      <c r="AV110" s="206">
        <v>0</v>
      </c>
      <c r="AW110" s="203">
        <v>3.0000000000000001E-3</v>
      </c>
      <c r="AX110" s="205">
        <v>0</v>
      </c>
      <c r="AY110" s="205">
        <v>0</v>
      </c>
      <c r="AZ110" s="206">
        <v>2E-3</v>
      </c>
      <c r="BA110" s="203">
        <v>5.2999999999999999E-2</v>
      </c>
      <c r="BB110" s="205">
        <v>0.01</v>
      </c>
      <c r="BC110" s="205">
        <v>2E-3</v>
      </c>
      <c r="BD110" s="205">
        <v>0</v>
      </c>
      <c r="BE110" s="205">
        <v>0</v>
      </c>
      <c r="BF110" s="206">
        <v>0</v>
      </c>
      <c r="BG110" s="199" t="s">
        <v>2</v>
      </c>
      <c r="BH110" s="199">
        <v>0</v>
      </c>
      <c r="BI110" s="200">
        <v>23</v>
      </c>
      <c r="BJ110" s="200">
        <v>5</v>
      </c>
      <c r="BK110" s="200">
        <v>4</v>
      </c>
      <c r="BL110" s="200">
        <v>15</v>
      </c>
      <c r="BM110" s="200">
        <v>18</v>
      </c>
      <c r="BN110" s="200">
        <v>24</v>
      </c>
      <c r="BO110" s="200">
        <v>26</v>
      </c>
      <c r="BP110" s="200">
        <v>18</v>
      </c>
      <c r="BQ110" s="200">
        <v>39</v>
      </c>
      <c r="BR110" s="200">
        <v>9</v>
      </c>
      <c r="BS110" s="200">
        <v>6</v>
      </c>
      <c r="BT110" s="200">
        <v>18</v>
      </c>
      <c r="BU110" s="200">
        <v>23</v>
      </c>
      <c r="BV110" s="200">
        <v>46</v>
      </c>
      <c r="BW110" s="200">
        <v>123</v>
      </c>
      <c r="BX110" s="200">
        <v>25</v>
      </c>
      <c r="BY110" s="200">
        <v>15</v>
      </c>
      <c r="BZ110" s="201">
        <v>24</v>
      </c>
      <c r="CA110" s="203">
        <v>1.67</v>
      </c>
      <c r="CB110" s="203">
        <v>0</v>
      </c>
      <c r="CC110" s="203">
        <v>0.01</v>
      </c>
      <c r="CD110" s="203">
        <v>0</v>
      </c>
      <c r="CE110" s="203">
        <v>0.87</v>
      </c>
      <c r="CF110" s="203">
        <v>0.76</v>
      </c>
      <c r="CG110" s="204">
        <v>0.03</v>
      </c>
      <c r="CH110" s="200">
        <v>0</v>
      </c>
      <c r="CI110" s="201">
        <v>0</v>
      </c>
      <c r="CJ110" s="203" t="s">
        <v>2</v>
      </c>
      <c r="CK110" s="203" t="s">
        <v>2</v>
      </c>
      <c r="CL110" s="203" t="s">
        <v>2</v>
      </c>
      <c r="CM110" s="204" t="s">
        <v>2</v>
      </c>
      <c r="CN110" s="199">
        <v>14</v>
      </c>
      <c r="CO110" s="199">
        <v>7</v>
      </c>
    </row>
    <row r="111" spans="1:93" s="207" customFormat="1" ht="15" x14ac:dyDescent="0.25">
      <c r="A111" s="220" t="s">
        <v>750</v>
      </c>
      <c r="B111" s="221" t="s">
        <v>136</v>
      </c>
      <c r="C111" s="222" t="s">
        <v>933</v>
      </c>
      <c r="D111" s="290">
        <v>4</v>
      </c>
      <c r="E111" s="199">
        <v>5</v>
      </c>
      <c r="F111" s="200">
        <v>14</v>
      </c>
      <c r="G111" s="201">
        <v>58.519999999999996</v>
      </c>
      <c r="H111" s="202">
        <v>96.2</v>
      </c>
      <c r="I111" s="203">
        <v>0.8</v>
      </c>
      <c r="J111" s="203" t="s">
        <v>2</v>
      </c>
      <c r="K111" s="203">
        <v>2.7</v>
      </c>
      <c r="L111" s="203">
        <v>0.7</v>
      </c>
      <c r="M111" s="204">
        <v>0.3</v>
      </c>
      <c r="N111" s="200">
        <v>25</v>
      </c>
      <c r="O111" s="200">
        <v>37</v>
      </c>
      <c r="P111" s="203">
        <v>0.4</v>
      </c>
      <c r="Q111" s="203" t="s">
        <v>2</v>
      </c>
      <c r="R111" s="200" t="s">
        <v>2</v>
      </c>
      <c r="S111" s="200" t="s">
        <v>2</v>
      </c>
      <c r="T111" s="200" t="s">
        <v>2</v>
      </c>
      <c r="U111" s="205" t="s">
        <v>2</v>
      </c>
      <c r="V111" s="205" t="s">
        <v>2</v>
      </c>
      <c r="W111" s="204" t="s">
        <v>2</v>
      </c>
      <c r="X111" s="203">
        <v>4</v>
      </c>
      <c r="Y111" s="205">
        <v>0.04</v>
      </c>
      <c r="Z111" s="205">
        <v>0.04</v>
      </c>
      <c r="AA111" s="205">
        <v>0.3</v>
      </c>
      <c r="AB111" s="205" t="s">
        <v>2</v>
      </c>
      <c r="AC111" s="205" t="s">
        <v>2</v>
      </c>
      <c r="AD111" s="200" t="s">
        <v>2</v>
      </c>
      <c r="AE111" s="200" t="s">
        <v>2</v>
      </c>
      <c r="AF111" s="203" t="s">
        <v>2</v>
      </c>
      <c r="AG111" s="204" t="s">
        <v>2</v>
      </c>
      <c r="AH111" s="200">
        <v>0</v>
      </c>
      <c r="AI111" s="200">
        <v>11</v>
      </c>
      <c r="AJ111" s="203" t="s">
        <v>2</v>
      </c>
      <c r="AK111" s="203" t="s">
        <v>2</v>
      </c>
      <c r="AL111" s="204" t="s">
        <v>2</v>
      </c>
      <c r="AM111" s="200">
        <v>130</v>
      </c>
      <c r="AN111" s="200" t="s">
        <v>2</v>
      </c>
      <c r="AO111" s="201" t="s">
        <v>2</v>
      </c>
      <c r="AP111" s="203" t="s">
        <v>2</v>
      </c>
      <c r="AQ111" s="205" t="s">
        <v>2</v>
      </c>
      <c r="AR111" s="205" t="s">
        <v>2</v>
      </c>
      <c r="AS111" s="205" t="s">
        <v>2</v>
      </c>
      <c r="AT111" s="205" t="s">
        <v>2</v>
      </c>
      <c r="AU111" s="205" t="s">
        <v>2</v>
      </c>
      <c r="AV111" s="206" t="s">
        <v>2</v>
      </c>
      <c r="AW111" s="203" t="s">
        <v>2</v>
      </c>
      <c r="AX111" s="205" t="s">
        <v>2</v>
      </c>
      <c r="AY111" s="205" t="s">
        <v>2</v>
      </c>
      <c r="AZ111" s="206" t="s">
        <v>2</v>
      </c>
      <c r="BA111" s="203" t="s">
        <v>2</v>
      </c>
      <c r="BB111" s="205" t="s">
        <v>2</v>
      </c>
      <c r="BC111" s="205" t="s">
        <v>2</v>
      </c>
      <c r="BD111" s="205" t="s">
        <v>2</v>
      </c>
      <c r="BE111" s="205" t="s">
        <v>2</v>
      </c>
      <c r="BF111" s="206" t="s">
        <v>2</v>
      </c>
      <c r="BG111" s="199" t="s">
        <v>2</v>
      </c>
      <c r="BH111" s="199">
        <v>0</v>
      </c>
      <c r="BI111" s="200" t="s">
        <v>2</v>
      </c>
      <c r="BJ111" s="200" t="s">
        <v>2</v>
      </c>
      <c r="BK111" s="200" t="s">
        <v>2</v>
      </c>
      <c r="BL111" s="200" t="s">
        <v>2</v>
      </c>
      <c r="BM111" s="200" t="s">
        <v>2</v>
      </c>
      <c r="BN111" s="200" t="s">
        <v>2</v>
      </c>
      <c r="BO111" s="200" t="s">
        <v>2</v>
      </c>
      <c r="BP111" s="200" t="s">
        <v>2</v>
      </c>
      <c r="BQ111" s="200" t="s">
        <v>2</v>
      </c>
      <c r="BR111" s="200" t="s">
        <v>2</v>
      </c>
      <c r="BS111" s="200" t="s">
        <v>2</v>
      </c>
      <c r="BT111" s="200" t="s">
        <v>2</v>
      </c>
      <c r="BU111" s="200" t="s">
        <v>2</v>
      </c>
      <c r="BV111" s="200" t="s">
        <v>2</v>
      </c>
      <c r="BW111" s="200" t="s">
        <v>2</v>
      </c>
      <c r="BX111" s="200" t="s">
        <v>2</v>
      </c>
      <c r="BY111" s="200" t="s">
        <v>2</v>
      </c>
      <c r="BZ111" s="201" t="s">
        <v>2</v>
      </c>
      <c r="CA111" s="203" t="s">
        <v>2</v>
      </c>
      <c r="CB111" s="203" t="s">
        <v>2</v>
      </c>
      <c r="CC111" s="203" t="s">
        <v>2</v>
      </c>
      <c r="CD111" s="203" t="s">
        <v>2</v>
      </c>
      <c r="CE111" s="203" t="s">
        <v>2</v>
      </c>
      <c r="CF111" s="203" t="s">
        <v>2</v>
      </c>
      <c r="CG111" s="204" t="s">
        <v>2</v>
      </c>
      <c r="CH111" s="200" t="s">
        <v>2</v>
      </c>
      <c r="CI111" s="201" t="s">
        <v>2</v>
      </c>
      <c r="CJ111" s="203" t="s">
        <v>2</v>
      </c>
      <c r="CK111" s="203" t="s">
        <v>2</v>
      </c>
      <c r="CL111" s="203" t="s">
        <v>2</v>
      </c>
      <c r="CM111" s="204" t="s">
        <v>2</v>
      </c>
      <c r="CN111" s="199" t="s">
        <v>2</v>
      </c>
      <c r="CO111" s="199" t="s">
        <v>2</v>
      </c>
    </row>
    <row r="112" spans="1:93" s="207" customFormat="1" ht="15" x14ac:dyDescent="0.25">
      <c r="A112" s="220" t="s">
        <v>751</v>
      </c>
      <c r="B112" s="221" t="s">
        <v>137</v>
      </c>
      <c r="C112" s="222" t="s">
        <v>934</v>
      </c>
      <c r="D112" s="290">
        <v>4</v>
      </c>
      <c r="E112" s="199">
        <v>10</v>
      </c>
      <c r="F112" s="200">
        <v>77</v>
      </c>
      <c r="G112" s="201">
        <v>321.85999999999996</v>
      </c>
      <c r="H112" s="202">
        <v>80</v>
      </c>
      <c r="I112" s="203">
        <v>5</v>
      </c>
      <c r="J112" s="203" t="s">
        <v>2</v>
      </c>
      <c r="K112" s="203">
        <v>14.3</v>
      </c>
      <c r="L112" s="203">
        <v>1</v>
      </c>
      <c r="M112" s="204">
        <v>0.7</v>
      </c>
      <c r="N112" s="200">
        <v>26</v>
      </c>
      <c r="O112" s="200">
        <v>122</v>
      </c>
      <c r="P112" s="203">
        <v>0.7</v>
      </c>
      <c r="Q112" s="203">
        <v>0.01</v>
      </c>
      <c r="R112" s="200">
        <v>96</v>
      </c>
      <c r="S112" s="200">
        <v>254</v>
      </c>
      <c r="T112" s="200">
        <v>26</v>
      </c>
      <c r="U112" s="205">
        <v>0.5</v>
      </c>
      <c r="V112" s="205">
        <v>90</v>
      </c>
      <c r="W112" s="204" t="s">
        <v>2</v>
      </c>
      <c r="X112" s="203">
        <v>25</v>
      </c>
      <c r="Y112" s="205">
        <v>0.34</v>
      </c>
      <c r="Z112" s="205">
        <v>0.19</v>
      </c>
      <c r="AA112" s="205">
        <v>2.6</v>
      </c>
      <c r="AB112" s="205" t="s">
        <v>2</v>
      </c>
      <c r="AC112" s="205" t="s">
        <v>2</v>
      </c>
      <c r="AD112" s="200" t="s">
        <v>2</v>
      </c>
      <c r="AE112" s="200" t="s">
        <v>2</v>
      </c>
      <c r="AF112" s="203" t="s">
        <v>2</v>
      </c>
      <c r="AG112" s="204" t="s">
        <v>2</v>
      </c>
      <c r="AH112" s="200">
        <v>0</v>
      </c>
      <c r="AI112" s="200">
        <v>15</v>
      </c>
      <c r="AJ112" s="203" t="s">
        <v>2</v>
      </c>
      <c r="AK112" s="203" t="s">
        <v>2</v>
      </c>
      <c r="AL112" s="204" t="s">
        <v>2</v>
      </c>
      <c r="AM112" s="200">
        <v>180</v>
      </c>
      <c r="AN112" s="200" t="s">
        <v>2</v>
      </c>
      <c r="AO112" s="201" t="s">
        <v>2</v>
      </c>
      <c r="AP112" s="203" t="s">
        <v>2</v>
      </c>
      <c r="AQ112" s="205" t="s">
        <v>2</v>
      </c>
      <c r="AR112" s="205" t="s">
        <v>2</v>
      </c>
      <c r="AS112" s="205" t="s">
        <v>2</v>
      </c>
      <c r="AT112" s="205" t="s">
        <v>2</v>
      </c>
      <c r="AU112" s="205" t="s">
        <v>2</v>
      </c>
      <c r="AV112" s="206" t="s">
        <v>2</v>
      </c>
      <c r="AW112" s="203" t="s">
        <v>2</v>
      </c>
      <c r="AX112" s="205" t="s">
        <v>2</v>
      </c>
      <c r="AY112" s="205" t="s">
        <v>2</v>
      </c>
      <c r="AZ112" s="206" t="s">
        <v>2</v>
      </c>
      <c r="BA112" s="203" t="s">
        <v>2</v>
      </c>
      <c r="BB112" s="205" t="s">
        <v>2</v>
      </c>
      <c r="BC112" s="205" t="s">
        <v>2</v>
      </c>
      <c r="BD112" s="205" t="s">
        <v>2</v>
      </c>
      <c r="BE112" s="205" t="s">
        <v>2</v>
      </c>
      <c r="BF112" s="206" t="s">
        <v>2</v>
      </c>
      <c r="BG112" s="199" t="s">
        <v>2</v>
      </c>
      <c r="BH112" s="199">
        <v>0</v>
      </c>
      <c r="BI112" s="200">
        <v>132</v>
      </c>
      <c r="BJ112" s="200">
        <v>31</v>
      </c>
      <c r="BK112" s="200">
        <v>33</v>
      </c>
      <c r="BL112" s="200">
        <v>102</v>
      </c>
      <c r="BM112" s="200">
        <v>93</v>
      </c>
      <c r="BN112" s="200">
        <v>118</v>
      </c>
      <c r="BO112" s="200">
        <v>166</v>
      </c>
      <c r="BP112" s="200">
        <v>90</v>
      </c>
      <c r="BQ112" s="200">
        <v>102</v>
      </c>
      <c r="BR112" s="200">
        <v>56</v>
      </c>
      <c r="BS112" s="200">
        <v>20</v>
      </c>
      <c r="BT112" s="200">
        <v>80</v>
      </c>
      <c r="BU112" s="200">
        <v>106</v>
      </c>
      <c r="BV112" s="200">
        <v>288</v>
      </c>
      <c r="BW112" s="200">
        <v>257</v>
      </c>
      <c r="BX112" s="200">
        <v>91</v>
      </c>
      <c r="BY112" s="200">
        <v>91</v>
      </c>
      <c r="BZ112" s="201">
        <v>128</v>
      </c>
      <c r="CA112" s="203" t="s">
        <v>2</v>
      </c>
      <c r="CB112" s="203" t="s">
        <v>2</v>
      </c>
      <c r="CC112" s="203" t="s">
        <v>2</v>
      </c>
      <c r="CD112" s="203" t="s">
        <v>2</v>
      </c>
      <c r="CE112" s="203" t="s">
        <v>2</v>
      </c>
      <c r="CF112" s="203" t="s">
        <v>2</v>
      </c>
      <c r="CG112" s="204" t="s">
        <v>2</v>
      </c>
      <c r="CH112" s="200" t="s">
        <v>2</v>
      </c>
      <c r="CI112" s="201" t="s">
        <v>2</v>
      </c>
      <c r="CJ112" s="203" t="s">
        <v>2</v>
      </c>
      <c r="CK112" s="203" t="s">
        <v>2</v>
      </c>
      <c r="CL112" s="203" t="s">
        <v>2</v>
      </c>
      <c r="CM112" s="204" t="s">
        <v>2</v>
      </c>
      <c r="CN112" s="199" t="s">
        <v>2</v>
      </c>
      <c r="CO112" s="199">
        <v>37</v>
      </c>
    </row>
    <row r="113" spans="1:93" s="207" customFormat="1" ht="15" x14ac:dyDescent="0.25">
      <c r="A113" s="220" t="s">
        <v>752</v>
      </c>
      <c r="B113" s="221" t="s">
        <v>138</v>
      </c>
      <c r="C113" s="222" t="s">
        <v>935</v>
      </c>
      <c r="D113" s="290">
        <v>4</v>
      </c>
      <c r="E113" s="199">
        <v>10</v>
      </c>
      <c r="F113" s="200">
        <v>67</v>
      </c>
      <c r="G113" s="201">
        <v>280.06</v>
      </c>
      <c r="H113" s="202">
        <v>83</v>
      </c>
      <c r="I113" s="203">
        <v>6</v>
      </c>
      <c r="J113" s="203">
        <v>0.31</v>
      </c>
      <c r="K113" s="203">
        <v>9.9</v>
      </c>
      <c r="L113" s="203">
        <v>2</v>
      </c>
      <c r="M113" s="204">
        <v>0.7</v>
      </c>
      <c r="N113" s="200">
        <v>47</v>
      </c>
      <c r="O113" s="200">
        <v>16</v>
      </c>
      <c r="P113" s="203">
        <v>1.6</v>
      </c>
      <c r="Q113" s="203">
        <v>0.37</v>
      </c>
      <c r="R113" s="200">
        <v>5</v>
      </c>
      <c r="S113" s="200">
        <v>194</v>
      </c>
      <c r="T113" s="200">
        <v>36</v>
      </c>
      <c r="U113" s="205">
        <v>0.21</v>
      </c>
      <c r="V113" s="205">
        <v>48</v>
      </c>
      <c r="W113" s="204">
        <v>1.5</v>
      </c>
      <c r="X113" s="203">
        <v>22</v>
      </c>
      <c r="Y113" s="205">
        <v>0.28999999999999998</v>
      </c>
      <c r="Z113" s="205">
        <v>0.18</v>
      </c>
      <c r="AA113" s="205">
        <v>1.8</v>
      </c>
      <c r="AB113" s="205">
        <v>5.5E-2</v>
      </c>
      <c r="AC113" s="205">
        <v>2.4E-2</v>
      </c>
      <c r="AD113" s="200">
        <v>62</v>
      </c>
      <c r="AE113" s="200">
        <v>0</v>
      </c>
      <c r="AF113" s="203" t="s">
        <v>2</v>
      </c>
      <c r="AG113" s="204">
        <v>0</v>
      </c>
      <c r="AH113" s="200">
        <v>0</v>
      </c>
      <c r="AI113" s="200">
        <v>21</v>
      </c>
      <c r="AJ113" s="203" t="s">
        <v>2</v>
      </c>
      <c r="AK113" s="203" t="s">
        <v>2</v>
      </c>
      <c r="AL113" s="204" t="s">
        <v>2</v>
      </c>
      <c r="AM113" s="200">
        <v>250</v>
      </c>
      <c r="AN113" s="200" t="s">
        <v>2</v>
      </c>
      <c r="AO113" s="201" t="s">
        <v>2</v>
      </c>
      <c r="AP113" s="203">
        <v>0.105</v>
      </c>
      <c r="AQ113" s="205">
        <v>8.4000000000000005E-2</v>
      </c>
      <c r="AR113" s="205">
        <v>0</v>
      </c>
      <c r="AS113" s="205">
        <v>1.2999999999999999E-2</v>
      </c>
      <c r="AT113" s="205">
        <v>0</v>
      </c>
      <c r="AU113" s="205">
        <v>0</v>
      </c>
      <c r="AV113" s="206">
        <v>0</v>
      </c>
      <c r="AW113" s="203">
        <v>3.5999999999999997E-2</v>
      </c>
      <c r="AX113" s="205">
        <v>0</v>
      </c>
      <c r="AY113" s="205">
        <v>1E-3</v>
      </c>
      <c r="AZ113" s="206">
        <v>2.1000000000000001E-2</v>
      </c>
      <c r="BA113" s="203">
        <v>0.16900000000000001</v>
      </c>
      <c r="BB113" s="205">
        <v>9.6000000000000002E-2</v>
      </c>
      <c r="BC113" s="205">
        <v>7.0000000000000007E-2</v>
      </c>
      <c r="BD113" s="205">
        <v>0</v>
      </c>
      <c r="BE113" s="205">
        <v>0</v>
      </c>
      <c r="BF113" s="206">
        <v>0</v>
      </c>
      <c r="BG113" s="199" t="s">
        <v>2</v>
      </c>
      <c r="BH113" s="199">
        <v>0</v>
      </c>
      <c r="BI113" s="200">
        <v>184</v>
      </c>
      <c r="BJ113" s="200">
        <v>40</v>
      </c>
      <c r="BK113" s="200">
        <v>32</v>
      </c>
      <c r="BL113" s="200">
        <v>154</v>
      </c>
      <c r="BM113" s="200">
        <v>104</v>
      </c>
      <c r="BN113" s="200">
        <v>162</v>
      </c>
      <c r="BO113" s="200">
        <v>200</v>
      </c>
      <c r="BP113" s="200">
        <v>150</v>
      </c>
      <c r="BQ113" s="200">
        <v>196</v>
      </c>
      <c r="BR113" s="200">
        <v>90</v>
      </c>
      <c r="BS113" s="200">
        <v>42</v>
      </c>
      <c r="BT113" s="200">
        <v>115</v>
      </c>
      <c r="BU113" s="200" t="s">
        <v>2</v>
      </c>
      <c r="BV113" s="200" t="s">
        <v>2</v>
      </c>
      <c r="BW113" s="200" t="s">
        <v>2</v>
      </c>
      <c r="BX113" s="200" t="s">
        <v>2</v>
      </c>
      <c r="BY113" s="200" t="s">
        <v>2</v>
      </c>
      <c r="BZ113" s="201" t="s">
        <v>2</v>
      </c>
      <c r="CA113" s="203" t="s">
        <v>2</v>
      </c>
      <c r="CB113" s="203" t="s">
        <v>2</v>
      </c>
      <c r="CC113" s="203" t="s">
        <v>2</v>
      </c>
      <c r="CD113" s="203" t="s">
        <v>2</v>
      </c>
      <c r="CE113" s="203" t="s">
        <v>2</v>
      </c>
      <c r="CF113" s="203" t="s">
        <v>2</v>
      </c>
      <c r="CG113" s="204" t="s">
        <v>2</v>
      </c>
      <c r="CH113" s="200" t="s">
        <v>2</v>
      </c>
      <c r="CI113" s="201" t="s">
        <v>2</v>
      </c>
      <c r="CJ113" s="203" t="s">
        <v>2</v>
      </c>
      <c r="CK113" s="203" t="s">
        <v>2</v>
      </c>
      <c r="CL113" s="203" t="s">
        <v>2</v>
      </c>
      <c r="CM113" s="204" t="s">
        <v>2</v>
      </c>
      <c r="CN113" s="199" t="s">
        <v>2</v>
      </c>
      <c r="CO113" s="199" t="s">
        <v>2</v>
      </c>
    </row>
    <row r="114" spans="1:93" s="207" customFormat="1" ht="15" x14ac:dyDescent="0.25">
      <c r="A114" s="220" t="s">
        <v>753</v>
      </c>
      <c r="B114" s="221" t="s">
        <v>139</v>
      </c>
      <c r="C114" s="222" t="s">
        <v>936</v>
      </c>
      <c r="D114" s="290">
        <v>4</v>
      </c>
      <c r="E114" s="199">
        <v>10</v>
      </c>
      <c r="F114" s="200">
        <v>75</v>
      </c>
      <c r="G114" s="201">
        <v>313.5</v>
      </c>
      <c r="H114" s="202">
        <v>81</v>
      </c>
      <c r="I114" s="203">
        <v>6.5</v>
      </c>
      <c r="J114" s="203">
        <v>0.28999999999999998</v>
      </c>
      <c r="K114" s="203">
        <v>11.71</v>
      </c>
      <c r="L114" s="203">
        <v>1</v>
      </c>
      <c r="M114" s="204">
        <v>0.5</v>
      </c>
      <c r="N114" s="200">
        <v>57</v>
      </c>
      <c r="O114" s="200">
        <v>43</v>
      </c>
      <c r="P114" s="203">
        <v>0.8</v>
      </c>
      <c r="Q114" s="203">
        <v>1.24</v>
      </c>
      <c r="R114" s="200">
        <v>5</v>
      </c>
      <c r="S114" s="200">
        <v>244</v>
      </c>
      <c r="T114" s="200">
        <v>33</v>
      </c>
      <c r="U114" s="205">
        <v>0.41</v>
      </c>
      <c r="V114" s="205">
        <v>176</v>
      </c>
      <c r="W114" s="204">
        <v>1.8</v>
      </c>
      <c r="X114" s="203">
        <v>27</v>
      </c>
      <c r="Y114" s="205">
        <v>0.4</v>
      </c>
      <c r="Z114" s="205">
        <v>0.15</v>
      </c>
      <c r="AA114" s="205">
        <v>2.2000000000000002</v>
      </c>
      <c r="AB114" s="205">
        <v>0.104</v>
      </c>
      <c r="AC114" s="205">
        <v>0.16900000000000001</v>
      </c>
      <c r="AD114" s="200">
        <v>65</v>
      </c>
      <c r="AE114" s="200">
        <v>0</v>
      </c>
      <c r="AF114" s="203">
        <v>3</v>
      </c>
      <c r="AG114" s="204">
        <v>0</v>
      </c>
      <c r="AH114" s="200">
        <v>0</v>
      </c>
      <c r="AI114" s="200">
        <v>41</v>
      </c>
      <c r="AJ114" s="203" t="s">
        <v>2</v>
      </c>
      <c r="AK114" s="203">
        <v>0.13</v>
      </c>
      <c r="AL114" s="204">
        <v>24.8</v>
      </c>
      <c r="AM114" s="200">
        <v>485</v>
      </c>
      <c r="AN114" s="200">
        <v>19</v>
      </c>
      <c r="AO114" s="201" t="s">
        <v>2</v>
      </c>
      <c r="AP114" s="203">
        <v>7.0999999999999994E-2</v>
      </c>
      <c r="AQ114" s="205">
        <v>6.4000000000000001E-2</v>
      </c>
      <c r="AR114" s="205">
        <v>0</v>
      </c>
      <c r="AS114" s="205">
        <v>7.0000000000000001E-3</v>
      </c>
      <c r="AT114" s="205">
        <v>0</v>
      </c>
      <c r="AU114" s="205">
        <v>0</v>
      </c>
      <c r="AV114" s="206">
        <v>0</v>
      </c>
      <c r="AW114" s="203">
        <v>3.5000000000000003E-2</v>
      </c>
      <c r="AX114" s="205">
        <v>0</v>
      </c>
      <c r="AY114" s="205">
        <v>0</v>
      </c>
      <c r="AZ114" s="206">
        <v>3.5000000000000003E-2</v>
      </c>
      <c r="BA114" s="203">
        <v>0.187</v>
      </c>
      <c r="BB114" s="205">
        <v>0.152</v>
      </c>
      <c r="BC114" s="205">
        <v>3.5000000000000003E-2</v>
      </c>
      <c r="BD114" s="205">
        <v>0</v>
      </c>
      <c r="BE114" s="205">
        <v>0</v>
      </c>
      <c r="BF114" s="206">
        <v>0</v>
      </c>
      <c r="BG114" s="199" t="s">
        <v>2</v>
      </c>
      <c r="BH114" s="199">
        <v>0</v>
      </c>
      <c r="BI114" s="200">
        <v>489</v>
      </c>
      <c r="BJ114" s="200">
        <v>62</v>
      </c>
      <c r="BK114" s="200">
        <v>68</v>
      </c>
      <c r="BL114" s="200">
        <v>295</v>
      </c>
      <c r="BM114" s="200">
        <v>252</v>
      </c>
      <c r="BN114" s="200">
        <v>317</v>
      </c>
      <c r="BO114" s="200">
        <v>466</v>
      </c>
      <c r="BP114" s="200">
        <v>279</v>
      </c>
      <c r="BQ114" s="200">
        <v>587</v>
      </c>
      <c r="BR114" s="200">
        <v>143</v>
      </c>
      <c r="BS114" s="200">
        <v>64</v>
      </c>
      <c r="BT114" s="200">
        <v>208</v>
      </c>
      <c r="BU114" s="200">
        <v>301</v>
      </c>
      <c r="BV114" s="200">
        <v>665</v>
      </c>
      <c r="BW114" s="200">
        <v>976</v>
      </c>
      <c r="BX114" s="200">
        <v>264</v>
      </c>
      <c r="BY114" s="200">
        <v>257</v>
      </c>
      <c r="BZ114" s="201">
        <v>301</v>
      </c>
      <c r="CA114" s="203">
        <v>5.67</v>
      </c>
      <c r="CB114" s="203">
        <v>0</v>
      </c>
      <c r="CC114" s="203">
        <v>0.17</v>
      </c>
      <c r="CD114" s="203">
        <v>0</v>
      </c>
      <c r="CE114" s="203">
        <v>0.39</v>
      </c>
      <c r="CF114" s="203">
        <v>0.12</v>
      </c>
      <c r="CG114" s="204">
        <v>4.99</v>
      </c>
      <c r="CH114" s="200" t="s">
        <v>2</v>
      </c>
      <c r="CI114" s="201" t="s">
        <v>2</v>
      </c>
      <c r="CJ114" s="203" t="s">
        <v>2</v>
      </c>
      <c r="CK114" s="203" t="s">
        <v>2</v>
      </c>
      <c r="CL114" s="203" t="s">
        <v>2</v>
      </c>
      <c r="CM114" s="204" t="s">
        <v>2</v>
      </c>
      <c r="CN114" s="199" t="s">
        <v>2</v>
      </c>
      <c r="CO114" s="199" t="s">
        <v>2</v>
      </c>
    </row>
    <row r="115" spans="1:93" s="207" customFormat="1" ht="15" x14ac:dyDescent="0.25">
      <c r="A115" s="220" t="s">
        <v>754</v>
      </c>
      <c r="B115" s="221" t="s">
        <v>140</v>
      </c>
      <c r="C115" s="222" t="s">
        <v>937</v>
      </c>
      <c r="D115" s="290">
        <v>4</v>
      </c>
      <c r="E115" s="199">
        <v>5</v>
      </c>
      <c r="F115" s="200">
        <v>40</v>
      </c>
      <c r="G115" s="201">
        <v>141</v>
      </c>
      <c r="H115" s="202">
        <v>89.5</v>
      </c>
      <c r="I115" s="203">
        <v>1.9</v>
      </c>
      <c r="J115" s="203">
        <v>0.1</v>
      </c>
      <c r="K115" s="203">
        <v>7.9</v>
      </c>
      <c r="L115" s="203">
        <v>1.6</v>
      </c>
      <c r="M115" s="204">
        <v>0.6</v>
      </c>
      <c r="N115" s="200">
        <v>63</v>
      </c>
      <c r="O115" s="200">
        <v>60</v>
      </c>
      <c r="P115" s="203">
        <v>1.3</v>
      </c>
      <c r="Q115" s="203" t="s">
        <v>2</v>
      </c>
      <c r="R115" s="200" t="s">
        <v>2</v>
      </c>
      <c r="S115" s="200" t="s">
        <v>2</v>
      </c>
      <c r="T115" s="200" t="s">
        <v>2</v>
      </c>
      <c r="U115" s="205" t="s">
        <v>2</v>
      </c>
      <c r="V115" s="205" t="s">
        <v>2</v>
      </c>
      <c r="W115" s="204" t="s">
        <v>2</v>
      </c>
      <c r="X115" s="203">
        <v>22</v>
      </c>
      <c r="Y115" s="205">
        <v>0.06</v>
      </c>
      <c r="Z115" s="205">
        <v>0.12</v>
      </c>
      <c r="AA115" s="205">
        <v>0.5</v>
      </c>
      <c r="AB115" s="205" t="s">
        <v>2</v>
      </c>
      <c r="AC115" s="205" t="s">
        <v>2</v>
      </c>
      <c r="AD115" s="200" t="s">
        <v>2</v>
      </c>
      <c r="AE115" s="200" t="s">
        <v>2</v>
      </c>
      <c r="AF115" s="203" t="s">
        <v>2</v>
      </c>
      <c r="AG115" s="204" t="s">
        <v>2</v>
      </c>
      <c r="AH115" s="200">
        <v>0</v>
      </c>
      <c r="AI115" s="200">
        <v>23</v>
      </c>
      <c r="AJ115" s="203" t="s">
        <v>2</v>
      </c>
      <c r="AK115" s="203" t="s">
        <v>2</v>
      </c>
      <c r="AL115" s="204" t="s">
        <v>2</v>
      </c>
      <c r="AM115" s="200">
        <v>270</v>
      </c>
      <c r="AN115" s="200" t="s">
        <v>2</v>
      </c>
      <c r="AO115" s="201" t="s">
        <v>2</v>
      </c>
      <c r="AP115" s="203" t="s">
        <v>2</v>
      </c>
      <c r="AQ115" s="205" t="s">
        <v>2</v>
      </c>
      <c r="AR115" s="205" t="s">
        <v>2</v>
      </c>
      <c r="AS115" s="205" t="s">
        <v>2</v>
      </c>
      <c r="AT115" s="205" t="s">
        <v>2</v>
      </c>
      <c r="AU115" s="205" t="s">
        <v>2</v>
      </c>
      <c r="AV115" s="206" t="s">
        <v>2</v>
      </c>
      <c r="AW115" s="203" t="s">
        <v>2</v>
      </c>
      <c r="AX115" s="205" t="s">
        <v>2</v>
      </c>
      <c r="AY115" s="205" t="s">
        <v>2</v>
      </c>
      <c r="AZ115" s="206" t="s">
        <v>2</v>
      </c>
      <c r="BA115" s="203" t="s">
        <v>2</v>
      </c>
      <c r="BB115" s="205" t="s">
        <v>2</v>
      </c>
      <c r="BC115" s="205" t="s">
        <v>2</v>
      </c>
      <c r="BD115" s="205" t="s">
        <v>2</v>
      </c>
      <c r="BE115" s="205" t="s">
        <v>2</v>
      </c>
      <c r="BF115" s="206" t="s">
        <v>2</v>
      </c>
      <c r="BG115" s="199" t="s">
        <v>2</v>
      </c>
      <c r="BH115" s="199">
        <v>0</v>
      </c>
      <c r="BI115" s="200" t="s">
        <v>2</v>
      </c>
      <c r="BJ115" s="200" t="s">
        <v>2</v>
      </c>
      <c r="BK115" s="200" t="s">
        <v>2</v>
      </c>
      <c r="BL115" s="200" t="s">
        <v>2</v>
      </c>
      <c r="BM115" s="200" t="s">
        <v>2</v>
      </c>
      <c r="BN115" s="200" t="s">
        <v>2</v>
      </c>
      <c r="BO115" s="200" t="s">
        <v>2</v>
      </c>
      <c r="BP115" s="200" t="s">
        <v>2</v>
      </c>
      <c r="BQ115" s="200" t="s">
        <v>2</v>
      </c>
      <c r="BR115" s="200" t="s">
        <v>2</v>
      </c>
      <c r="BS115" s="200" t="s">
        <v>2</v>
      </c>
      <c r="BT115" s="200" t="s">
        <v>2</v>
      </c>
      <c r="BU115" s="200" t="s">
        <v>2</v>
      </c>
      <c r="BV115" s="200" t="s">
        <v>2</v>
      </c>
      <c r="BW115" s="200" t="s">
        <v>2</v>
      </c>
      <c r="BX115" s="200" t="s">
        <v>2</v>
      </c>
      <c r="BY115" s="200" t="s">
        <v>2</v>
      </c>
      <c r="BZ115" s="201" t="s">
        <v>2</v>
      </c>
      <c r="CA115" s="203" t="s">
        <v>2</v>
      </c>
      <c r="CB115" s="203" t="s">
        <v>2</v>
      </c>
      <c r="CC115" s="203" t="s">
        <v>2</v>
      </c>
      <c r="CD115" s="203" t="s">
        <v>2</v>
      </c>
      <c r="CE115" s="203" t="s">
        <v>2</v>
      </c>
      <c r="CF115" s="203" t="s">
        <v>2</v>
      </c>
      <c r="CG115" s="204" t="s">
        <v>2</v>
      </c>
      <c r="CH115" s="200" t="s">
        <v>2</v>
      </c>
      <c r="CI115" s="201" t="s">
        <v>2</v>
      </c>
      <c r="CJ115" s="203" t="s">
        <v>2</v>
      </c>
      <c r="CK115" s="203" t="s">
        <v>2</v>
      </c>
      <c r="CL115" s="203" t="s">
        <v>2</v>
      </c>
      <c r="CM115" s="204" t="s">
        <v>2</v>
      </c>
      <c r="CN115" s="199" t="s">
        <v>2</v>
      </c>
      <c r="CO115" s="199" t="s">
        <v>2</v>
      </c>
    </row>
    <row r="116" spans="1:93" s="207" customFormat="1" ht="15" x14ac:dyDescent="0.25">
      <c r="A116" s="220" t="s">
        <v>755</v>
      </c>
      <c r="B116" s="221" t="s">
        <v>141</v>
      </c>
      <c r="C116" s="222" t="s">
        <v>938</v>
      </c>
      <c r="D116" s="290">
        <v>4</v>
      </c>
      <c r="E116" s="199">
        <v>25</v>
      </c>
      <c r="F116" s="200">
        <v>30</v>
      </c>
      <c r="G116" s="201">
        <v>90</v>
      </c>
      <c r="H116" s="202">
        <v>92.1</v>
      </c>
      <c r="I116" s="203">
        <v>0.8</v>
      </c>
      <c r="J116" s="203" t="s">
        <v>2</v>
      </c>
      <c r="K116" s="203">
        <v>6.6</v>
      </c>
      <c r="L116" s="203">
        <v>2</v>
      </c>
      <c r="M116" s="204">
        <v>0.5</v>
      </c>
      <c r="N116" s="200">
        <v>63</v>
      </c>
      <c r="O116" s="200">
        <v>50</v>
      </c>
      <c r="P116" s="203">
        <v>0.9</v>
      </c>
      <c r="Q116" s="203" t="s">
        <v>2</v>
      </c>
      <c r="R116" s="200">
        <v>7</v>
      </c>
      <c r="S116" s="200">
        <v>215</v>
      </c>
      <c r="T116" s="200">
        <v>56</v>
      </c>
      <c r="U116" s="205" t="s">
        <v>2</v>
      </c>
      <c r="V116" s="205">
        <v>101</v>
      </c>
      <c r="W116" s="204" t="s">
        <v>2</v>
      </c>
      <c r="X116" s="203">
        <v>40</v>
      </c>
      <c r="Y116" s="205">
        <v>0.02</v>
      </c>
      <c r="Z116" s="205">
        <v>0.03</v>
      </c>
      <c r="AA116" s="205">
        <v>0.3</v>
      </c>
      <c r="AB116" s="205" t="s">
        <v>2</v>
      </c>
      <c r="AC116" s="205" t="s">
        <v>2</v>
      </c>
      <c r="AD116" s="200" t="s">
        <v>2</v>
      </c>
      <c r="AE116" s="200" t="s">
        <v>2</v>
      </c>
      <c r="AF116" s="203" t="s">
        <v>2</v>
      </c>
      <c r="AG116" s="204" t="s">
        <v>2</v>
      </c>
      <c r="AH116" s="200">
        <v>0</v>
      </c>
      <c r="AI116" s="200">
        <v>1</v>
      </c>
      <c r="AJ116" s="203" t="s">
        <v>2</v>
      </c>
      <c r="AK116" s="203" t="s">
        <v>2</v>
      </c>
      <c r="AL116" s="204" t="s">
        <v>2</v>
      </c>
      <c r="AM116" s="200">
        <v>15</v>
      </c>
      <c r="AN116" s="200" t="s">
        <v>2</v>
      </c>
      <c r="AO116" s="201" t="s">
        <v>2</v>
      </c>
      <c r="AP116" s="203" t="s">
        <v>2</v>
      </c>
      <c r="AQ116" s="205" t="s">
        <v>2</v>
      </c>
      <c r="AR116" s="205" t="s">
        <v>2</v>
      </c>
      <c r="AS116" s="205" t="s">
        <v>2</v>
      </c>
      <c r="AT116" s="205" t="s">
        <v>2</v>
      </c>
      <c r="AU116" s="205" t="s">
        <v>2</v>
      </c>
      <c r="AV116" s="206" t="s">
        <v>2</v>
      </c>
      <c r="AW116" s="203" t="s">
        <v>2</v>
      </c>
      <c r="AX116" s="205" t="s">
        <v>2</v>
      </c>
      <c r="AY116" s="205" t="s">
        <v>2</v>
      </c>
      <c r="AZ116" s="206" t="s">
        <v>2</v>
      </c>
      <c r="BA116" s="203" t="s">
        <v>2</v>
      </c>
      <c r="BB116" s="205" t="s">
        <v>2</v>
      </c>
      <c r="BC116" s="205" t="s">
        <v>2</v>
      </c>
      <c r="BD116" s="205" t="s">
        <v>2</v>
      </c>
      <c r="BE116" s="205" t="s">
        <v>2</v>
      </c>
      <c r="BF116" s="206" t="s">
        <v>2</v>
      </c>
      <c r="BG116" s="199" t="s">
        <v>2</v>
      </c>
      <c r="BH116" s="199">
        <v>0</v>
      </c>
      <c r="BI116" s="200" t="s">
        <v>2</v>
      </c>
      <c r="BJ116" s="200" t="s">
        <v>2</v>
      </c>
      <c r="BK116" s="200" t="s">
        <v>2</v>
      </c>
      <c r="BL116" s="200" t="s">
        <v>2</v>
      </c>
      <c r="BM116" s="200" t="s">
        <v>2</v>
      </c>
      <c r="BN116" s="200" t="s">
        <v>2</v>
      </c>
      <c r="BO116" s="200" t="s">
        <v>2</v>
      </c>
      <c r="BP116" s="200" t="s">
        <v>2</v>
      </c>
      <c r="BQ116" s="200" t="s">
        <v>2</v>
      </c>
      <c r="BR116" s="200" t="s">
        <v>2</v>
      </c>
      <c r="BS116" s="200" t="s">
        <v>2</v>
      </c>
      <c r="BT116" s="200" t="s">
        <v>2</v>
      </c>
      <c r="BU116" s="200" t="s">
        <v>2</v>
      </c>
      <c r="BV116" s="200" t="s">
        <v>2</v>
      </c>
      <c r="BW116" s="200" t="s">
        <v>2</v>
      </c>
      <c r="BX116" s="200" t="s">
        <v>2</v>
      </c>
      <c r="BY116" s="200" t="s">
        <v>2</v>
      </c>
      <c r="BZ116" s="201" t="s">
        <v>2</v>
      </c>
      <c r="CA116" s="203" t="s">
        <v>2</v>
      </c>
      <c r="CB116" s="203" t="s">
        <v>2</v>
      </c>
      <c r="CC116" s="203" t="s">
        <v>2</v>
      </c>
      <c r="CD116" s="203" t="s">
        <v>2</v>
      </c>
      <c r="CE116" s="203" t="s">
        <v>2</v>
      </c>
      <c r="CF116" s="203" t="s">
        <v>2</v>
      </c>
      <c r="CG116" s="204" t="s">
        <v>2</v>
      </c>
      <c r="CH116" s="200" t="s">
        <v>2</v>
      </c>
      <c r="CI116" s="201" t="s">
        <v>2</v>
      </c>
      <c r="CJ116" s="203" t="s">
        <v>2</v>
      </c>
      <c r="CK116" s="203" t="s">
        <v>2</v>
      </c>
      <c r="CL116" s="203" t="s">
        <v>2</v>
      </c>
      <c r="CM116" s="204" t="s">
        <v>2</v>
      </c>
      <c r="CN116" s="199" t="s">
        <v>2</v>
      </c>
      <c r="CO116" s="199" t="s">
        <v>2</v>
      </c>
    </row>
    <row r="117" spans="1:93" s="207" customFormat="1" ht="15" x14ac:dyDescent="0.25">
      <c r="A117" s="220" t="s">
        <v>756</v>
      </c>
      <c r="B117" s="221" t="s">
        <v>142</v>
      </c>
      <c r="C117" s="222" t="s">
        <v>939</v>
      </c>
      <c r="D117" s="290">
        <v>4</v>
      </c>
      <c r="E117" s="199">
        <v>80</v>
      </c>
      <c r="F117" s="200">
        <v>129</v>
      </c>
      <c r="G117" s="201">
        <v>508</v>
      </c>
      <c r="H117" s="202">
        <v>77</v>
      </c>
      <c r="I117" s="203">
        <v>2.1</v>
      </c>
      <c r="J117" s="203">
        <v>7.9</v>
      </c>
      <c r="K117" s="203">
        <v>12.3</v>
      </c>
      <c r="L117" s="203">
        <v>1.8</v>
      </c>
      <c r="M117" s="204">
        <v>0.7</v>
      </c>
      <c r="N117" s="200">
        <v>56</v>
      </c>
      <c r="O117" s="200">
        <v>6</v>
      </c>
      <c r="P117" s="203">
        <v>1.2</v>
      </c>
      <c r="Q117" s="203" t="s">
        <v>2</v>
      </c>
      <c r="R117" s="200" t="s">
        <v>2</v>
      </c>
      <c r="S117" s="200" t="s">
        <v>2</v>
      </c>
      <c r="T117" s="200" t="s">
        <v>2</v>
      </c>
      <c r="U117" s="205" t="s">
        <v>2</v>
      </c>
      <c r="V117" s="205" t="s">
        <v>2</v>
      </c>
      <c r="W117" s="204" t="s">
        <v>2</v>
      </c>
      <c r="X117" s="203">
        <v>11</v>
      </c>
      <c r="Y117" s="205" t="s">
        <v>2</v>
      </c>
      <c r="Z117" s="205" t="s">
        <v>2</v>
      </c>
      <c r="AA117" s="205" t="s">
        <v>2</v>
      </c>
      <c r="AB117" s="205" t="s">
        <v>2</v>
      </c>
      <c r="AC117" s="205" t="s">
        <v>2</v>
      </c>
      <c r="AD117" s="200" t="s">
        <v>2</v>
      </c>
      <c r="AE117" s="200" t="s">
        <v>2</v>
      </c>
      <c r="AF117" s="203" t="s">
        <v>2</v>
      </c>
      <c r="AG117" s="204" t="s">
        <v>2</v>
      </c>
      <c r="AH117" s="200">
        <v>0</v>
      </c>
      <c r="AI117" s="200">
        <v>1926</v>
      </c>
      <c r="AJ117" s="203" t="s">
        <v>2</v>
      </c>
      <c r="AK117" s="203" t="s">
        <v>2</v>
      </c>
      <c r="AL117" s="204" t="s">
        <v>2</v>
      </c>
      <c r="AM117" s="200">
        <v>21756</v>
      </c>
      <c r="AN117" s="200">
        <v>2718</v>
      </c>
      <c r="AO117" s="201">
        <v>0</v>
      </c>
      <c r="AP117" s="203">
        <v>2.0510000000000002</v>
      </c>
      <c r="AQ117" s="205">
        <v>1.58</v>
      </c>
      <c r="AR117" s="205">
        <v>0</v>
      </c>
      <c r="AS117" s="205">
        <v>0.41699999999999998</v>
      </c>
      <c r="AT117" s="205">
        <v>2.7E-2</v>
      </c>
      <c r="AU117" s="205">
        <v>0</v>
      </c>
      <c r="AV117" s="206">
        <v>0</v>
      </c>
      <c r="AW117" s="203">
        <v>1.764</v>
      </c>
      <c r="AX117" s="205">
        <v>0</v>
      </c>
      <c r="AY117" s="205">
        <v>1.6E-2</v>
      </c>
      <c r="AZ117" s="206">
        <v>1.748</v>
      </c>
      <c r="BA117" s="203">
        <v>1.548</v>
      </c>
      <c r="BB117" s="205">
        <v>1.5209999999999999</v>
      </c>
      <c r="BC117" s="205">
        <v>2.7E-2</v>
      </c>
      <c r="BD117" s="205">
        <v>0</v>
      </c>
      <c r="BE117" s="205">
        <v>0</v>
      </c>
      <c r="BF117" s="206">
        <v>0</v>
      </c>
      <c r="BG117" s="199" t="s">
        <v>2</v>
      </c>
      <c r="BH117" s="199">
        <v>0</v>
      </c>
      <c r="BI117" s="200" t="s">
        <v>2</v>
      </c>
      <c r="BJ117" s="200" t="s">
        <v>2</v>
      </c>
      <c r="BK117" s="200" t="s">
        <v>2</v>
      </c>
      <c r="BL117" s="200" t="s">
        <v>2</v>
      </c>
      <c r="BM117" s="200" t="s">
        <v>2</v>
      </c>
      <c r="BN117" s="200" t="s">
        <v>2</v>
      </c>
      <c r="BO117" s="200" t="s">
        <v>2</v>
      </c>
      <c r="BP117" s="200" t="s">
        <v>2</v>
      </c>
      <c r="BQ117" s="200" t="s">
        <v>2</v>
      </c>
      <c r="BR117" s="200" t="s">
        <v>2</v>
      </c>
      <c r="BS117" s="200" t="s">
        <v>2</v>
      </c>
      <c r="BT117" s="200" t="s">
        <v>2</v>
      </c>
      <c r="BU117" s="200" t="s">
        <v>2</v>
      </c>
      <c r="BV117" s="200" t="s">
        <v>2</v>
      </c>
      <c r="BW117" s="200" t="s">
        <v>2</v>
      </c>
      <c r="BX117" s="200" t="s">
        <v>2</v>
      </c>
      <c r="BY117" s="200" t="s">
        <v>2</v>
      </c>
      <c r="BZ117" s="201" t="s">
        <v>2</v>
      </c>
      <c r="CA117" s="203" t="s">
        <v>2</v>
      </c>
      <c r="CB117" s="203" t="s">
        <v>2</v>
      </c>
      <c r="CC117" s="203" t="s">
        <v>2</v>
      </c>
      <c r="CD117" s="203" t="s">
        <v>2</v>
      </c>
      <c r="CE117" s="203" t="s">
        <v>2</v>
      </c>
      <c r="CF117" s="203" t="s">
        <v>2</v>
      </c>
      <c r="CG117" s="204" t="s">
        <v>2</v>
      </c>
      <c r="CH117" s="200">
        <v>49667</v>
      </c>
      <c r="CI117" s="201">
        <v>0</v>
      </c>
      <c r="CJ117" s="203" t="s">
        <v>2</v>
      </c>
      <c r="CK117" s="203" t="s">
        <v>2</v>
      </c>
      <c r="CL117" s="203" t="s">
        <v>2</v>
      </c>
      <c r="CM117" s="204" t="s">
        <v>2</v>
      </c>
      <c r="CN117" s="199" t="s">
        <v>2</v>
      </c>
      <c r="CO117" s="199" t="s">
        <v>2</v>
      </c>
    </row>
    <row r="118" spans="1:93" s="207" customFormat="1" ht="15" x14ac:dyDescent="0.25">
      <c r="A118" s="220" t="s">
        <v>757</v>
      </c>
      <c r="B118" s="221" t="s">
        <v>143</v>
      </c>
      <c r="C118" s="222" t="s">
        <v>940</v>
      </c>
      <c r="D118" s="290">
        <v>4</v>
      </c>
      <c r="E118" s="199">
        <v>0</v>
      </c>
      <c r="F118" s="200">
        <v>82</v>
      </c>
      <c r="G118" s="201">
        <v>331</v>
      </c>
      <c r="H118" s="202">
        <v>80.8</v>
      </c>
      <c r="I118" s="203">
        <v>7.7</v>
      </c>
      <c r="J118" s="203">
        <v>1.8</v>
      </c>
      <c r="K118" s="203">
        <v>8.6999999999999993</v>
      </c>
      <c r="L118" s="203">
        <v>0.7</v>
      </c>
      <c r="M118" s="204">
        <v>1</v>
      </c>
      <c r="N118" s="200">
        <v>52</v>
      </c>
      <c r="O118" s="200">
        <v>58</v>
      </c>
      <c r="P118" s="203">
        <v>1.1000000000000001</v>
      </c>
      <c r="Q118" s="203">
        <v>1.17</v>
      </c>
      <c r="R118" s="200">
        <v>14</v>
      </c>
      <c r="S118" s="200">
        <v>484</v>
      </c>
      <c r="T118" s="200">
        <v>72</v>
      </c>
      <c r="U118" s="205">
        <v>0.70199999999999996</v>
      </c>
      <c r="V118" s="205">
        <v>427</v>
      </c>
      <c r="W118" s="204">
        <v>0.6</v>
      </c>
      <c r="X118" s="203">
        <v>10</v>
      </c>
      <c r="Y118" s="205">
        <v>0.19</v>
      </c>
      <c r="Z118" s="205">
        <v>0.15</v>
      </c>
      <c r="AA118" s="205">
        <v>0.8</v>
      </c>
      <c r="AB118" s="205">
        <v>0.92900000000000005</v>
      </c>
      <c r="AC118" s="205">
        <v>0.17599999999999999</v>
      </c>
      <c r="AD118" s="200">
        <v>172</v>
      </c>
      <c r="AE118" s="200">
        <v>0</v>
      </c>
      <c r="AF118" s="203" t="s">
        <v>2</v>
      </c>
      <c r="AG118" s="204">
        <v>0</v>
      </c>
      <c r="AH118" s="200">
        <v>0</v>
      </c>
      <c r="AI118" s="200">
        <v>2</v>
      </c>
      <c r="AJ118" s="203" t="s">
        <v>2</v>
      </c>
      <c r="AK118" s="203" t="s">
        <v>2</v>
      </c>
      <c r="AL118" s="204" t="s">
        <v>2</v>
      </c>
      <c r="AM118" s="200">
        <v>25</v>
      </c>
      <c r="AN118" s="200" t="s">
        <v>2</v>
      </c>
      <c r="AO118" s="201" t="s">
        <v>2</v>
      </c>
      <c r="AP118" s="203">
        <v>0.92900000000000005</v>
      </c>
      <c r="AQ118" s="205">
        <v>0.67400000000000004</v>
      </c>
      <c r="AR118" s="205">
        <v>0</v>
      </c>
      <c r="AS118" s="205">
        <v>0.249</v>
      </c>
      <c r="AT118" s="205">
        <v>0</v>
      </c>
      <c r="AU118" s="205">
        <v>0</v>
      </c>
      <c r="AV118" s="206">
        <v>0</v>
      </c>
      <c r="AW118" s="203">
        <v>1.518</v>
      </c>
      <c r="AX118" s="205">
        <v>0</v>
      </c>
      <c r="AY118" s="205">
        <v>1.2999999999999999E-2</v>
      </c>
      <c r="AZ118" s="206">
        <v>1.492</v>
      </c>
      <c r="BA118" s="203">
        <v>3.7829999999999999</v>
      </c>
      <c r="BB118" s="205">
        <v>3.3380000000000001</v>
      </c>
      <c r="BC118" s="205">
        <v>0.44500000000000001</v>
      </c>
      <c r="BD118" s="205">
        <v>0</v>
      </c>
      <c r="BE118" s="205">
        <v>0</v>
      </c>
      <c r="BF118" s="206">
        <v>0</v>
      </c>
      <c r="BG118" s="199" t="s">
        <v>2</v>
      </c>
      <c r="BH118" s="199">
        <v>0</v>
      </c>
      <c r="BI118" s="200">
        <v>392</v>
      </c>
      <c r="BJ118" s="200">
        <v>116</v>
      </c>
      <c r="BK118" s="200">
        <v>79</v>
      </c>
      <c r="BL118" s="200">
        <v>391</v>
      </c>
      <c r="BM118" s="200">
        <v>317</v>
      </c>
      <c r="BN118" s="200">
        <v>423</v>
      </c>
      <c r="BO118" s="200">
        <v>670</v>
      </c>
      <c r="BP118" s="200">
        <v>452</v>
      </c>
      <c r="BQ118" s="200">
        <v>460</v>
      </c>
      <c r="BR118" s="200">
        <v>164</v>
      </c>
      <c r="BS118" s="200">
        <v>79</v>
      </c>
      <c r="BT118" s="200">
        <v>276</v>
      </c>
      <c r="BU118" s="200">
        <v>377</v>
      </c>
      <c r="BV118" s="200">
        <v>1452</v>
      </c>
      <c r="BW118" s="200">
        <v>925</v>
      </c>
      <c r="BX118" s="200">
        <v>356</v>
      </c>
      <c r="BY118" s="200">
        <v>323</v>
      </c>
      <c r="BZ118" s="201">
        <v>453</v>
      </c>
      <c r="CA118" s="203" t="s">
        <v>2</v>
      </c>
      <c r="CB118" s="203" t="s">
        <v>2</v>
      </c>
      <c r="CC118" s="203" t="s">
        <v>2</v>
      </c>
      <c r="CD118" s="203" t="s">
        <v>2</v>
      </c>
      <c r="CE118" s="203" t="s">
        <v>2</v>
      </c>
      <c r="CF118" s="203" t="s">
        <v>2</v>
      </c>
      <c r="CG118" s="204" t="s">
        <v>2</v>
      </c>
      <c r="CH118" s="200" t="s">
        <v>2</v>
      </c>
      <c r="CI118" s="201" t="s">
        <v>2</v>
      </c>
      <c r="CJ118" s="203">
        <v>40.71</v>
      </c>
      <c r="CK118" s="203">
        <v>19.12</v>
      </c>
      <c r="CL118" s="203">
        <v>21.6</v>
      </c>
      <c r="CM118" s="204" t="s">
        <v>2</v>
      </c>
      <c r="CN118" s="199" t="s">
        <v>2</v>
      </c>
      <c r="CO118" s="199">
        <v>80</v>
      </c>
    </row>
    <row r="119" spans="1:93" s="207" customFormat="1" ht="15" x14ac:dyDescent="0.25">
      <c r="A119" s="220" t="s">
        <v>758</v>
      </c>
      <c r="B119" s="221" t="s">
        <v>144</v>
      </c>
      <c r="C119" s="222" t="s">
        <v>941</v>
      </c>
      <c r="D119" s="290">
        <v>4</v>
      </c>
      <c r="E119" s="199">
        <v>5</v>
      </c>
      <c r="F119" s="200">
        <v>52</v>
      </c>
      <c r="G119" s="201">
        <v>185</v>
      </c>
      <c r="H119" s="202">
        <v>86.5</v>
      </c>
      <c r="I119" s="203">
        <v>5.5</v>
      </c>
      <c r="J119" s="203">
        <v>0.13</v>
      </c>
      <c r="K119" s="203">
        <v>7.17</v>
      </c>
      <c r="L119" s="203">
        <v>2</v>
      </c>
      <c r="M119" s="204">
        <v>0.7</v>
      </c>
      <c r="N119" s="200">
        <v>38</v>
      </c>
      <c r="O119" s="200">
        <v>91</v>
      </c>
      <c r="P119" s="203">
        <v>1.4</v>
      </c>
      <c r="Q119" s="203">
        <v>0.41</v>
      </c>
      <c r="R119" s="200">
        <v>23</v>
      </c>
      <c r="S119" s="200">
        <v>164</v>
      </c>
      <c r="T119" s="200">
        <v>17</v>
      </c>
      <c r="U119" s="205">
        <v>0.188</v>
      </c>
      <c r="V119" s="205">
        <v>164</v>
      </c>
      <c r="W119" s="204">
        <v>0.6</v>
      </c>
      <c r="X119" s="203">
        <v>10</v>
      </c>
      <c r="Y119" s="205">
        <v>0.2</v>
      </c>
      <c r="Z119" s="205">
        <v>0.13</v>
      </c>
      <c r="AA119" s="205">
        <v>0.8</v>
      </c>
      <c r="AB119" s="205">
        <v>0.38</v>
      </c>
      <c r="AC119" s="205">
        <v>8.7999999999999995E-2</v>
      </c>
      <c r="AD119" s="200">
        <v>61</v>
      </c>
      <c r="AE119" s="200">
        <v>0</v>
      </c>
      <c r="AF119" s="203" t="s">
        <v>2</v>
      </c>
      <c r="AG119" s="204">
        <v>0</v>
      </c>
      <c r="AH119" s="200">
        <v>0</v>
      </c>
      <c r="AI119" s="200">
        <v>1</v>
      </c>
      <c r="AJ119" s="203" t="s">
        <v>2</v>
      </c>
      <c r="AK119" s="203">
        <v>0.1</v>
      </c>
      <c r="AL119" s="204">
        <v>33</v>
      </c>
      <c r="AM119" s="200">
        <v>6</v>
      </c>
      <c r="AN119" s="200">
        <v>6</v>
      </c>
      <c r="AO119" s="201">
        <v>6</v>
      </c>
      <c r="AP119" s="203">
        <v>4.5999999999999999E-2</v>
      </c>
      <c r="AQ119" s="205">
        <v>3.2000000000000001E-2</v>
      </c>
      <c r="AR119" s="205">
        <v>0</v>
      </c>
      <c r="AS119" s="205">
        <v>8.0000000000000002E-3</v>
      </c>
      <c r="AT119" s="205">
        <v>0</v>
      </c>
      <c r="AU119" s="205">
        <v>0</v>
      </c>
      <c r="AV119" s="206">
        <v>0</v>
      </c>
      <c r="AW119" s="203">
        <v>2.1999999999999999E-2</v>
      </c>
      <c r="AX119" s="205">
        <v>0</v>
      </c>
      <c r="AY119" s="205">
        <v>0</v>
      </c>
      <c r="AZ119" s="206">
        <v>2.1999999999999999E-2</v>
      </c>
      <c r="BA119" s="203">
        <v>5.8000000000000003E-2</v>
      </c>
      <c r="BB119" s="205">
        <v>4.2000000000000003E-2</v>
      </c>
      <c r="BC119" s="205">
        <v>1.6E-2</v>
      </c>
      <c r="BD119" s="205">
        <v>0</v>
      </c>
      <c r="BE119" s="205">
        <v>0</v>
      </c>
      <c r="BF119" s="206">
        <v>0</v>
      </c>
      <c r="BG119" s="199" t="s">
        <v>2</v>
      </c>
      <c r="BH119" s="199">
        <v>0</v>
      </c>
      <c r="BI119" s="200">
        <v>274</v>
      </c>
      <c r="BJ119" s="200">
        <v>87</v>
      </c>
      <c r="BK119" s="200">
        <v>60</v>
      </c>
      <c r="BL119" s="200">
        <v>271</v>
      </c>
      <c r="BM119" s="200">
        <v>225</v>
      </c>
      <c r="BN119" s="200">
        <v>324</v>
      </c>
      <c r="BO119" s="200">
        <v>463</v>
      </c>
      <c r="BP119" s="200">
        <v>316</v>
      </c>
      <c r="BQ119" s="200">
        <v>366</v>
      </c>
      <c r="BR119" s="200">
        <v>132</v>
      </c>
      <c r="BS119" s="200">
        <v>43</v>
      </c>
      <c r="BT119" s="200">
        <v>192</v>
      </c>
      <c r="BU119" s="200">
        <v>259</v>
      </c>
      <c r="BV119" s="200">
        <v>1062</v>
      </c>
      <c r="BW119" s="200">
        <v>656</v>
      </c>
      <c r="BX119" s="200">
        <v>211</v>
      </c>
      <c r="BY119" s="200">
        <v>272</v>
      </c>
      <c r="BZ119" s="201">
        <v>273</v>
      </c>
      <c r="CA119" s="203">
        <v>4.13</v>
      </c>
      <c r="CB119" s="203" t="s">
        <v>2</v>
      </c>
      <c r="CC119" s="203" t="s">
        <v>2</v>
      </c>
      <c r="CD119" s="203" t="s">
        <v>2</v>
      </c>
      <c r="CE119" s="203" t="s">
        <v>2</v>
      </c>
      <c r="CF119" s="203" t="s">
        <v>2</v>
      </c>
      <c r="CG119" s="204" t="s">
        <v>2</v>
      </c>
      <c r="CH119" s="200">
        <v>0</v>
      </c>
      <c r="CI119" s="201">
        <v>0</v>
      </c>
      <c r="CJ119" s="203" t="s">
        <v>2</v>
      </c>
      <c r="CK119" s="203" t="s">
        <v>2</v>
      </c>
      <c r="CL119" s="203" t="s">
        <v>2</v>
      </c>
      <c r="CM119" s="204" t="s">
        <v>2</v>
      </c>
      <c r="CN119" s="199">
        <v>15</v>
      </c>
      <c r="CO119" s="199" t="s">
        <v>2</v>
      </c>
    </row>
    <row r="120" spans="1:93" s="207" customFormat="1" ht="15" x14ac:dyDescent="0.25">
      <c r="A120" s="220" t="s">
        <v>759</v>
      </c>
      <c r="B120" s="221" t="s">
        <v>145</v>
      </c>
      <c r="C120" s="222" t="s">
        <v>942</v>
      </c>
      <c r="D120" s="290">
        <v>4</v>
      </c>
      <c r="E120" s="199">
        <v>24</v>
      </c>
      <c r="F120" s="200">
        <v>29</v>
      </c>
      <c r="G120" s="201">
        <v>110</v>
      </c>
      <c r="H120" s="202">
        <v>92.5</v>
      </c>
      <c r="I120" s="203">
        <v>1.3</v>
      </c>
      <c r="J120" s="203">
        <v>0.28000000000000003</v>
      </c>
      <c r="K120" s="203">
        <v>5.22</v>
      </c>
      <c r="L120" s="203">
        <v>0.7</v>
      </c>
      <c r="M120" s="204">
        <v>0.7</v>
      </c>
      <c r="N120" s="200">
        <v>32</v>
      </c>
      <c r="O120" s="200">
        <v>49</v>
      </c>
      <c r="P120" s="203">
        <v>1.1000000000000001</v>
      </c>
      <c r="Q120" s="203">
        <v>0.52</v>
      </c>
      <c r="R120" s="200">
        <v>17</v>
      </c>
      <c r="S120" s="200">
        <v>212</v>
      </c>
      <c r="T120" s="200">
        <v>23</v>
      </c>
      <c r="U120" s="205">
        <v>0.13700000000000001</v>
      </c>
      <c r="V120" s="205">
        <v>70</v>
      </c>
      <c r="W120" s="204">
        <v>0.6</v>
      </c>
      <c r="X120" s="203">
        <v>10</v>
      </c>
      <c r="Y120" s="205">
        <v>0.03</v>
      </c>
      <c r="Z120" s="205">
        <v>0.04</v>
      </c>
      <c r="AA120" s="205">
        <v>0.2</v>
      </c>
      <c r="AB120" s="205">
        <v>0.16900000000000001</v>
      </c>
      <c r="AC120" s="205">
        <v>7.1999999999999995E-2</v>
      </c>
      <c r="AD120" s="200">
        <v>16</v>
      </c>
      <c r="AE120" s="200">
        <v>0</v>
      </c>
      <c r="AF120" s="203" t="s">
        <v>2</v>
      </c>
      <c r="AG120" s="204">
        <v>0</v>
      </c>
      <c r="AH120" s="200">
        <v>0</v>
      </c>
      <c r="AI120" s="200">
        <v>1</v>
      </c>
      <c r="AJ120" s="203" t="s">
        <v>2</v>
      </c>
      <c r="AK120" s="203" t="s">
        <v>2</v>
      </c>
      <c r="AL120" s="204" t="s">
        <v>2</v>
      </c>
      <c r="AM120" s="200">
        <v>15</v>
      </c>
      <c r="AN120" s="200" t="s">
        <v>2</v>
      </c>
      <c r="AO120" s="201" t="s">
        <v>2</v>
      </c>
      <c r="AP120" s="203">
        <v>6.7000000000000004E-2</v>
      </c>
      <c r="AQ120" s="205">
        <v>0.06</v>
      </c>
      <c r="AR120" s="205">
        <v>0</v>
      </c>
      <c r="AS120" s="205">
        <v>5.0000000000000001E-3</v>
      </c>
      <c r="AT120" s="205">
        <v>0</v>
      </c>
      <c r="AU120" s="205">
        <v>0</v>
      </c>
      <c r="AV120" s="206">
        <v>0</v>
      </c>
      <c r="AW120" s="203">
        <v>5.6000000000000001E-2</v>
      </c>
      <c r="AX120" s="205">
        <v>0</v>
      </c>
      <c r="AY120" s="205" t="s">
        <v>2</v>
      </c>
      <c r="AZ120" s="206">
        <v>5.6000000000000001E-2</v>
      </c>
      <c r="BA120" s="203">
        <v>0.156</v>
      </c>
      <c r="BB120" s="205">
        <v>0.14799999999999999</v>
      </c>
      <c r="BC120" s="205">
        <v>8.0000000000000002E-3</v>
      </c>
      <c r="BD120" s="205">
        <v>0</v>
      </c>
      <c r="BE120" s="205">
        <v>0</v>
      </c>
      <c r="BF120" s="206">
        <v>0</v>
      </c>
      <c r="BG120" s="199" t="s">
        <v>2</v>
      </c>
      <c r="BH120" s="199">
        <v>0</v>
      </c>
      <c r="BI120" s="200">
        <v>95</v>
      </c>
      <c r="BJ120" s="200">
        <v>21</v>
      </c>
      <c r="BK120" s="200">
        <v>21</v>
      </c>
      <c r="BL120" s="200">
        <v>61</v>
      </c>
      <c r="BM120" s="200">
        <v>74</v>
      </c>
      <c r="BN120" s="200">
        <v>84</v>
      </c>
      <c r="BO120" s="200">
        <v>113</v>
      </c>
      <c r="BP120" s="200">
        <v>81</v>
      </c>
      <c r="BQ120" s="200">
        <v>137</v>
      </c>
      <c r="BR120" s="200">
        <v>33</v>
      </c>
      <c r="BS120" s="200" t="s">
        <v>2</v>
      </c>
      <c r="BT120" s="200">
        <v>55</v>
      </c>
      <c r="BU120" s="200">
        <v>86</v>
      </c>
      <c r="BV120" s="200">
        <v>176</v>
      </c>
      <c r="BW120" s="200">
        <v>393</v>
      </c>
      <c r="BX120" s="200">
        <v>94</v>
      </c>
      <c r="BY120" s="200">
        <v>126</v>
      </c>
      <c r="BZ120" s="201">
        <v>86</v>
      </c>
      <c r="CA120" s="203" t="s">
        <v>2</v>
      </c>
      <c r="CB120" s="203" t="s">
        <v>2</v>
      </c>
      <c r="CC120" s="203" t="s">
        <v>2</v>
      </c>
      <c r="CD120" s="203" t="s">
        <v>2</v>
      </c>
      <c r="CE120" s="203" t="s">
        <v>2</v>
      </c>
      <c r="CF120" s="203" t="s">
        <v>2</v>
      </c>
      <c r="CG120" s="204" t="s">
        <v>2</v>
      </c>
      <c r="CH120" s="200" t="s">
        <v>2</v>
      </c>
      <c r="CI120" s="201" t="s">
        <v>2</v>
      </c>
      <c r="CJ120" s="203" t="s">
        <v>2</v>
      </c>
      <c r="CK120" s="203" t="s">
        <v>2</v>
      </c>
      <c r="CL120" s="203" t="s">
        <v>2</v>
      </c>
      <c r="CM120" s="204" t="s">
        <v>2</v>
      </c>
      <c r="CN120" s="199" t="s">
        <v>2</v>
      </c>
      <c r="CO120" s="199" t="s">
        <v>2</v>
      </c>
    </row>
    <row r="121" spans="1:93" s="207" customFormat="1" ht="15" x14ac:dyDescent="0.25">
      <c r="A121" s="220" t="s">
        <v>760</v>
      </c>
      <c r="B121" s="221" t="s">
        <v>146</v>
      </c>
      <c r="C121" s="222" t="s">
        <v>943</v>
      </c>
      <c r="D121" s="290">
        <v>4</v>
      </c>
      <c r="E121" s="199">
        <v>20</v>
      </c>
      <c r="F121" s="200">
        <v>26</v>
      </c>
      <c r="G121" s="201">
        <v>94</v>
      </c>
      <c r="H121" s="202">
        <v>92.5</v>
      </c>
      <c r="I121" s="203">
        <v>1.3</v>
      </c>
      <c r="J121" s="203" t="s">
        <v>2</v>
      </c>
      <c r="K121" s="203">
        <v>5.2</v>
      </c>
      <c r="L121" s="203">
        <v>0.9</v>
      </c>
      <c r="M121" s="204">
        <v>1</v>
      </c>
      <c r="N121" s="200">
        <v>80</v>
      </c>
      <c r="O121" s="200">
        <v>41</v>
      </c>
      <c r="P121" s="203">
        <v>1</v>
      </c>
      <c r="Q121" s="203">
        <v>0.44</v>
      </c>
      <c r="R121" s="200">
        <v>16</v>
      </c>
      <c r="S121" s="200">
        <v>123</v>
      </c>
      <c r="T121" s="200">
        <v>23</v>
      </c>
      <c r="U121" s="205">
        <v>0.26</v>
      </c>
      <c r="V121" s="205">
        <v>180</v>
      </c>
      <c r="W121" s="204" t="s">
        <v>2</v>
      </c>
      <c r="X121" s="203">
        <v>60</v>
      </c>
      <c r="Y121" s="205">
        <v>0.03</v>
      </c>
      <c r="Z121" s="205">
        <v>0.1</v>
      </c>
      <c r="AA121" s="205">
        <v>1</v>
      </c>
      <c r="AB121" s="205" t="s">
        <v>2</v>
      </c>
      <c r="AC121" s="205" t="s">
        <v>2</v>
      </c>
      <c r="AD121" s="200" t="s">
        <v>2</v>
      </c>
      <c r="AE121" s="200" t="s">
        <v>2</v>
      </c>
      <c r="AF121" s="203" t="s">
        <v>2</v>
      </c>
      <c r="AG121" s="204" t="s">
        <v>2</v>
      </c>
      <c r="AH121" s="200">
        <v>0</v>
      </c>
      <c r="AI121" s="200">
        <v>114</v>
      </c>
      <c r="AJ121" s="203">
        <v>0</v>
      </c>
      <c r="AK121" s="203" t="s">
        <v>2</v>
      </c>
      <c r="AL121" s="204" t="s">
        <v>2</v>
      </c>
      <c r="AM121" s="200">
        <v>1370</v>
      </c>
      <c r="AN121" s="200" t="s">
        <v>2</v>
      </c>
      <c r="AO121" s="201" t="s">
        <v>2</v>
      </c>
      <c r="AP121" s="203" t="s">
        <v>2</v>
      </c>
      <c r="AQ121" s="205" t="s">
        <v>2</v>
      </c>
      <c r="AR121" s="205" t="s">
        <v>2</v>
      </c>
      <c r="AS121" s="205" t="s">
        <v>2</v>
      </c>
      <c r="AT121" s="205" t="s">
        <v>2</v>
      </c>
      <c r="AU121" s="205" t="s">
        <v>2</v>
      </c>
      <c r="AV121" s="206" t="s">
        <v>2</v>
      </c>
      <c r="AW121" s="203" t="s">
        <v>2</v>
      </c>
      <c r="AX121" s="205" t="s">
        <v>2</v>
      </c>
      <c r="AY121" s="205" t="s">
        <v>2</v>
      </c>
      <c r="AZ121" s="206" t="s">
        <v>2</v>
      </c>
      <c r="BA121" s="203" t="s">
        <v>2</v>
      </c>
      <c r="BB121" s="205" t="s">
        <v>2</v>
      </c>
      <c r="BC121" s="205" t="s">
        <v>2</v>
      </c>
      <c r="BD121" s="205" t="s">
        <v>2</v>
      </c>
      <c r="BE121" s="205" t="s">
        <v>2</v>
      </c>
      <c r="BF121" s="206" t="s">
        <v>2</v>
      </c>
      <c r="BG121" s="199" t="s">
        <v>2</v>
      </c>
      <c r="BH121" s="199">
        <v>0</v>
      </c>
      <c r="BI121" s="200" t="s">
        <v>2</v>
      </c>
      <c r="BJ121" s="200" t="s">
        <v>2</v>
      </c>
      <c r="BK121" s="200" t="s">
        <v>2</v>
      </c>
      <c r="BL121" s="200" t="s">
        <v>2</v>
      </c>
      <c r="BM121" s="200" t="s">
        <v>2</v>
      </c>
      <c r="BN121" s="200" t="s">
        <v>2</v>
      </c>
      <c r="BO121" s="200" t="s">
        <v>2</v>
      </c>
      <c r="BP121" s="200" t="s">
        <v>2</v>
      </c>
      <c r="BQ121" s="200" t="s">
        <v>2</v>
      </c>
      <c r="BR121" s="200" t="s">
        <v>2</v>
      </c>
      <c r="BS121" s="200" t="s">
        <v>2</v>
      </c>
      <c r="BT121" s="200" t="s">
        <v>2</v>
      </c>
      <c r="BU121" s="200" t="s">
        <v>2</v>
      </c>
      <c r="BV121" s="200" t="s">
        <v>2</v>
      </c>
      <c r="BW121" s="200" t="s">
        <v>2</v>
      </c>
      <c r="BX121" s="200" t="s">
        <v>2</v>
      </c>
      <c r="BY121" s="200" t="s">
        <v>2</v>
      </c>
      <c r="BZ121" s="201" t="s">
        <v>2</v>
      </c>
      <c r="CA121" s="203" t="s">
        <v>2</v>
      </c>
      <c r="CB121" s="203" t="s">
        <v>2</v>
      </c>
      <c r="CC121" s="203" t="s">
        <v>2</v>
      </c>
      <c r="CD121" s="203" t="s">
        <v>2</v>
      </c>
      <c r="CE121" s="203" t="s">
        <v>2</v>
      </c>
      <c r="CF121" s="203" t="s">
        <v>2</v>
      </c>
      <c r="CG121" s="204" t="s">
        <v>2</v>
      </c>
      <c r="CH121" s="200" t="s">
        <v>2</v>
      </c>
      <c r="CI121" s="201" t="s">
        <v>2</v>
      </c>
      <c r="CJ121" s="203" t="s">
        <v>2</v>
      </c>
      <c r="CK121" s="203" t="s">
        <v>2</v>
      </c>
      <c r="CL121" s="203" t="s">
        <v>2</v>
      </c>
      <c r="CM121" s="204" t="s">
        <v>2</v>
      </c>
      <c r="CN121" s="199" t="s">
        <v>2</v>
      </c>
      <c r="CO121" s="199" t="s">
        <v>2</v>
      </c>
    </row>
    <row r="122" spans="1:93" s="207" customFormat="1" ht="15" x14ac:dyDescent="0.25">
      <c r="A122" s="220" t="s">
        <v>761</v>
      </c>
      <c r="B122" s="221" t="s">
        <v>147</v>
      </c>
      <c r="C122" s="222" t="s">
        <v>944</v>
      </c>
      <c r="D122" s="290">
        <v>4</v>
      </c>
      <c r="E122" s="199">
        <v>17</v>
      </c>
      <c r="F122" s="200">
        <v>45</v>
      </c>
      <c r="G122" s="201">
        <v>171</v>
      </c>
      <c r="H122" s="202">
        <v>88</v>
      </c>
      <c r="I122" s="203">
        <v>1.8</v>
      </c>
      <c r="J122" s="203">
        <v>0.11</v>
      </c>
      <c r="K122" s="203">
        <v>9.2899999999999991</v>
      </c>
      <c r="L122" s="203">
        <v>1.1000000000000001</v>
      </c>
      <c r="M122" s="204">
        <v>0.8</v>
      </c>
      <c r="N122" s="200">
        <v>38</v>
      </c>
      <c r="O122" s="200">
        <v>58</v>
      </c>
      <c r="P122" s="203">
        <v>0.8</v>
      </c>
      <c r="Q122" s="203">
        <v>1.43</v>
      </c>
      <c r="R122" s="200">
        <v>8</v>
      </c>
      <c r="S122" s="200">
        <v>221</v>
      </c>
      <c r="T122" s="200">
        <v>23</v>
      </c>
      <c r="U122" s="205">
        <v>0.2</v>
      </c>
      <c r="V122" s="205">
        <v>70</v>
      </c>
      <c r="W122" s="204">
        <v>1.5</v>
      </c>
      <c r="X122" s="203">
        <v>10</v>
      </c>
      <c r="Y122" s="205">
        <v>0.03</v>
      </c>
      <c r="Z122" s="205">
        <v>0.04</v>
      </c>
      <c r="AA122" s="205">
        <v>0.2</v>
      </c>
      <c r="AB122" s="205">
        <v>0.122</v>
      </c>
      <c r="AC122" s="205">
        <v>0.14699999999999999</v>
      </c>
      <c r="AD122" s="200">
        <v>19</v>
      </c>
      <c r="AE122" s="200">
        <v>0</v>
      </c>
      <c r="AF122" s="203">
        <v>0.9</v>
      </c>
      <c r="AG122" s="204">
        <v>0</v>
      </c>
      <c r="AH122" s="200">
        <v>0</v>
      </c>
      <c r="AI122" s="200">
        <v>0</v>
      </c>
      <c r="AJ122" s="203">
        <v>0</v>
      </c>
      <c r="AK122" s="203">
        <v>0.02</v>
      </c>
      <c r="AL122" s="204">
        <v>0.4</v>
      </c>
      <c r="AM122" s="200">
        <v>1</v>
      </c>
      <c r="AN122" s="200">
        <v>0</v>
      </c>
      <c r="AO122" s="201">
        <v>0</v>
      </c>
      <c r="AP122" s="203">
        <v>2.5999999999999999E-2</v>
      </c>
      <c r="AQ122" s="205">
        <v>1.4999999999999999E-2</v>
      </c>
      <c r="AR122" s="205">
        <v>0</v>
      </c>
      <c r="AS122" s="205">
        <v>2E-3</v>
      </c>
      <c r="AT122" s="205">
        <v>0</v>
      </c>
      <c r="AU122" s="205">
        <v>0</v>
      </c>
      <c r="AV122" s="206">
        <v>0</v>
      </c>
      <c r="AW122" s="203">
        <v>2.3E-2</v>
      </c>
      <c r="AX122" s="205">
        <v>0</v>
      </c>
      <c r="AY122" s="205">
        <v>0</v>
      </c>
      <c r="AZ122" s="206">
        <v>6.0000000000000001E-3</v>
      </c>
      <c r="BA122" s="203">
        <v>6.2E-2</v>
      </c>
      <c r="BB122" s="205">
        <v>0.06</v>
      </c>
      <c r="BC122" s="205">
        <v>2E-3</v>
      </c>
      <c r="BD122" s="205">
        <v>0</v>
      </c>
      <c r="BE122" s="205">
        <v>0</v>
      </c>
      <c r="BF122" s="206">
        <v>0</v>
      </c>
      <c r="BG122" s="199" t="s">
        <v>2</v>
      </c>
      <c r="BH122" s="199">
        <v>0</v>
      </c>
      <c r="BI122" s="200">
        <v>60</v>
      </c>
      <c r="BJ122" s="200">
        <v>16</v>
      </c>
      <c r="BK122" s="200">
        <v>20</v>
      </c>
      <c r="BL122" s="200">
        <v>41</v>
      </c>
      <c r="BM122" s="200">
        <v>22</v>
      </c>
      <c r="BN122" s="200">
        <v>25</v>
      </c>
      <c r="BO122" s="200">
        <v>44</v>
      </c>
      <c r="BP122" s="200">
        <v>23</v>
      </c>
      <c r="BQ122" s="200">
        <v>160</v>
      </c>
      <c r="BR122" s="200">
        <v>14</v>
      </c>
      <c r="BS122" s="200">
        <v>19</v>
      </c>
      <c r="BT122" s="200">
        <v>30</v>
      </c>
      <c r="BU122" s="200">
        <v>58</v>
      </c>
      <c r="BV122" s="200">
        <v>70</v>
      </c>
      <c r="BW122" s="200">
        <v>220</v>
      </c>
      <c r="BX122" s="200">
        <v>41</v>
      </c>
      <c r="BY122" s="200">
        <v>30</v>
      </c>
      <c r="BZ122" s="201">
        <v>27</v>
      </c>
      <c r="CA122" s="203">
        <v>4.28</v>
      </c>
      <c r="CB122" s="203">
        <v>0</v>
      </c>
      <c r="CC122" s="203">
        <v>0</v>
      </c>
      <c r="CD122" s="203">
        <v>0.01</v>
      </c>
      <c r="CE122" s="203">
        <v>1.1599999999999999</v>
      </c>
      <c r="CF122" s="203">
        <v>1.95</v>
      </c>
      <c r="CG122" s="204">
        <v>1.1599999999999999</v>
      </c>
      <c r="CH122" s="200">
        <v>0</v>
      </c>
      <c r="CI122" s="201">
        <v>0</v>
      </c>
      <c r="CJ122" s="203" t="s">
        <v>2</v>
      </c>
      <c r="CK122" s="203" t="s">
        <v>2</v>
      </c>
      <c r="CL122" s="203" t="s">
        <v>2</v>
      </c>
      <c r="CM122" s="204" t="s">
        <v>2</v>
      </c>
      <c r="CN122" s="199">
        <v>15</v>
      </c>
      <c r="CO122" s="199">
        <v>13</v>
      </c>
    </row>
    <row r="123" spans="1:93" s="207" customFormat="1" ht="15" x14ac:dyDescent="0.25">
      <c r="A123" s="220" t="s">
        <v>762</v>
      </c>
      <c r="B123" s="221" t="s">
        <v>148</v>
      </c>
      <c r="C123" s="222" t="s">
        <v>945</v>
      </c>
      <c r="D123" s="290">
        <v>4</v>
      </c>
      <c r="E123" s="199">
        <v>39</v>
      </c>
      <c r="F123" s="200">
        <v>164</v>
      </c>
      <c r="G123" s="201">
        <v>672</v>
      </c>
      <c r="H123" s="202">
        <v>57.9</v>
      </c>
      <c r="I123" s="203">
        <v>9.5</v>
      </c>
      <c r="J123" s="203">
        <v>0.5</v>
      </c>
      <c r="K123" s="203">
        <v>30.3</v>
      </c>
      <c r="L123" s="203">
        <v>0.8</v>
      </c>
      <c r="M123" s="204">
        <v>1.8</v>
      </c>
      <c r="N123" s="200">
        <v>76</v>
      </c>
      <c r="O123" s="200">
        <v>164</v>
      </c>
      <c r="P123" s="203">
        <v>1.4</v>
      </c>
      <c r="Q123" s="203">
        <v>0.28000000000000003</v>
      </c>
      <c r="R123" s="200">
        <v>1</v>
      </c>
      <c r="S123" s="200">
        <v>367</v>
      </c>
      <c r="T123" s="200">
        <v>56</v>
      </c>
      <c r="U123" s="205">
        <v>0.621</v>
      </c>
      <c r="V123" s="205">
        <v>94</v>
      </c>
      <c r="W123" s="204" t="s">
        <v>2</v>
      </c>
      <c r="X123" s="203">
        <v>17</v>
      </c>
      <c r="Y123" s="205">
        <v>0.17</v>
      </c>
      <c r="Z123" s="205">
        <v>0.09</v>
      </c>
      <c r="AA123" s="205">
        <v>1.7</v>
      </c>
      <c r="AB123" s="205">
        <v>0.22800000000000001</v>
      </c>
      <c r="AC123" s="205">
        <v>0.16800000000000001</v>
      </c>
      <c r="AD123" s="200">
        <v>28</v>
      </c>
      <c r="AE123" s="200">
        <v>0</v>
      </c>
      <c r="AF123" s="203" t="s">
        <v>2</v>
      </c>
      <c r="AG123" s="204">
        <v>0</v>
      </c>
      <c r="AH123" s="200">
        <v>0</v>
      </c>
      <c r="AI123" s="200">
        <v>1</v>
      </c>
      <c r="AJ123" s="203" t="s">
        <v>2</v>
      </c>
      <c r="AK123" s="203" t="s">
        <v>2</v>
      </c>
      <c r="AL123" s="204" t="s">
        <v>2</v>
      </c>
      <c r="AM123" s="200">
        <v>10</v>
      </c>
      <c r="AN123" s="200" t="s">
        <v>2</v>
      </c>
      <c r="AO123" s="201" t="s">
        <v>2</v>
      </c>
      <c r="AP123" s="203">
        <v>8.7999999999999995E-2</v>
      </c>
      <c r="AQ123" s="205">
        <v>7.6999999999999999E-2</v>
      </c>
      <c r="AR123" s="205">
        <v>0</v>
      </c>
      <c r="AS123" s="205">
        <v>0</v>
      </c>
      <c r="AT123" s="205">
        <v>0</v>
      </c>
      <c r="AU123" s="205">
        <v>0</v>
      </c>
      <c r="AV123" s="206">
        <v>0</v>
      </c>
      <c r="AW123" s="203">
        <v>0.104</v>
      </c>
      <c r="AX123" s="205">
        <v>0</v>
      </c>
      <c r="AY123" s="205">
        <v>0</v>
      </c>
      <c r="AZ123" s="206">
        <v>6.2E-2</v>
      </c>
      <c r="BA123" s="203">
        <v>0.312</v>
      </c>
      <c r="BB123" s="205">
        <v>0.28499999999999998</v>
      </c>
      <c r="BC123" s="205">
        <v>2.7E-2</v>
      </c>
      <c r="BD123" s="205">
        <v>0</v>
      </c>
      <c r="BE123" s="205">
        <v>0</v>
      </c>
      <c r="BF123" s="206">
        <v>0</v>
      </c>
      <c r="BG123" s="199" t="s">
        <v>2</v>
      </c>
      <c r="BH123" s="199">
        <v>0</v>
      </c>
      <c r="BI123" s="200">
        <v>264</v>
      </c>
      <c r="BJ123" s="200">
        <v>72</v>
      </c>
      <c r="BK123" s="200">
        <v>59</v>
      </c>
      <c r="BL123" s="200">
        <v>206</v>
      </c>
      <c r="BM123" s="200">
        <v>200</v>
      </c>
      <c r="BN123" s="200">
        <v>266</v>
      </c>
      <c r="BO123" s="200">
        <v>326</v>
      </c>
      <c r="BP123" s="200">
        <v>205</v>
      </c>
      <c r="BQ123" s="200">
        <v>338</v>
      </c>
      <c r="BR123" s="200">
        <v>115</v>
      </c>
      <c r="BS123" s="200">
        <v>54</v>
      </c>
      <c r="BT123" s="200">
        <v>100</v>
      </c>
      <c r="BU123" s="200">
        <v>239</v>
      </c>
      <c r="BV123" s="200">
        <v>505</v>
      </c>
      <c r="BW123" s="200">
        <v>957</v>
      </c>
      <c r="BX123" s="200">
        <v>221</v>
      </c>
      <c r="BY123" s="200">
        <v>344</v>
      </c>
      <c r="BZ123" s="201">
        <v>252</v>
      </c>
      <c r="CA123" s="203" t="s">
        <v>2</v>
      </c>
      <c r="CB123" s="203" t="s">
        <v>2</v>
      </c>
      <c r="CC123" s="203" t="s">
        <v>2</v>
      </c>
      <c r="CD123" s="203" t="s">
        <v>2</v>
      </c>
      <c r="CE123" s="203" t="s">
        <v>2</v>
      </c>
      <c r="CF123" s="203" t="s">
        <v>2</v>
      </c>
      <c r="CG123" s="204" t="s">
        <v>2</v>
      </c>
      <c r="CH123" s="200" t="s">
        <v>2</v>
      </c>
      <c r="CI123" s="201" t="s">
        <v>2</v>
      </c>
      <c r="CJ123" s="203" t="s">
        <v>2</v>
      </c>
      <c r="CK123" s="203" t="s">
        <v>2</v>
      </c>
      <c r="CL123" s="203" t="s">
        <v>2</v>
      </c>
      <c r="CM123" s="204" t="s">
        <v>2</v>
      </c>
      <c r="CN123" s="199" t="s">
        <v>2</v>
      </c>
      <c r="CO123" s="199" t="s">
        <v>2</v>
      </c>
    </row>
    <row r="124" spans="1:93" s="207" customFormat="1" ht="15" x14ac:dyDescent="0.25">
      <c r="A124" s="220" t="s">
        <v>763</v>
      </c>
      <c r="B124" s="221" t="s">
        <v>149</v>
      </c>
      <c r="C124" s="222" t="s">
        <v>946</v>
      </c>
      <c r="D124" s="290">
        <v>4</v>
      </c>
      <c r="E124" s="199">
        <v>0</v>
      </c>
      <c r="F124" s="200">
        <v>342</v>
      </c>
      <c r="G124" s="201">
        <v>1396</v>
      </c>
      <c r="H124" s="202">
        <v>14</v>
      </c>
      <c r="I124" s="203">
        <v>20</v>
      </c>
      <c r="J124" s="203">
        <v>2.4</v>
      </c>
      <c r="K124" s="203">
        <v>60.2</v>
      </c>
      <c r="L124" s="203">
        <v>2.2000000000000002</v>
      </c>
      <c r="M124" s="204">
        <v>3.4</v>
      </c>
      <c r="N124" s="200">
        <v>89</v>
      </c>
      <c r="O124" s="200">
        <v>285</v>
      </c>
      <c r="P124" s="203">
        <v>6.4</v>
      </c>
      <c r="Q124" s="203">
        <v>1.05</v>
      </c>
      <c r="R124" s="200">
        <v>5</v>
      </c>
      <c r="S124" s="200">
        <v>1368</v>
      </c>
      <c r="T124" s="200">
        <v>210</v>
      </c>
      <c r="U124" s="205">
        <v>2.3180000000000001</v>
      </c>
      <c r="V124" s="205">
        <v>350</v>
      </c>
      <c r="W124" s="204" t="s">
        <v>2</v>
      </c>
      <c r="X124" s="203">
        <v>0</v>
      </c>
      <c r="Y124" s="205">
        <v>0.64</v>
      </c>
      <c r="Z124" s="205">
        <v>0.15</v>
      </c>
      <c r="AA124" s="205">
        <v>1.6</v>
      </c>
      <c r="AB124" s="205">
        <v>0.85099999999999998</v>
      </c>
      <c r="AC124" s="205">
        <v>0.629</v>
      </c>
      <c r="AD124" s="200">
        <v>104</v>
      </c>
      <c r="AE124" s="200">
        <v>0</v>
      </c>
      <c r="AF124" s="203" t="s">
        <v>2</v>
      </c>
      <c r="AG124" s="204">
        <v>0</v>
      </c>
      <c r="AH124" s="200">
        <v>0</v>
      </c>
      <c r="AI124" s="200">
        <v>3</v>
      </c>
      <c r="AJ124" s="203" t="s">
        <v>2</v>
      </c>
      <c r="AK124" s="203" t="s">
        <v>2</v>
      </c>
      <c r="AL124" s="204" t="s">
        <v>2</v>
      </c>
      <c r="AM124" s="200">
        <v>30</v>
      </c>
      <c r="AN124" s="200" t="s">
        <v>2</v>
      </c>
      <c r="AO124" s="201" t="s">
        <v>2</v>
      </c>
      <c r="AP124" s="203">
        <v>0.33</v>
      </c>
      <c r="AQ124" s="205">
        <v>0.28799999999999998</v>
      </c>
      <c r="AR124" s="205">
        <v>0</v>
      </c>
      <c r="AS124" s="205">
        <v>0</v>
      </c>
      <c r="AT124" s="205">
        <v>0</v>
      </c>
      <c r="AU124" s="205">
        <v>0</v>
      </c>
      <c r="AV124" s="206">
        <v>0</v>
      </c>
      <c r="AW124" s="203">
        <v>0.38800000000000001</v>
      </c>
      <c r="AX124" s="205">
        <v>0</v>
      </c>
      <c r="AY124" s="205">
        <v>0</v>
      </c>
      <c r="AZ124" s="206">
        <v>0.23</v>
      </c>
      <c r="BA124" s="203">
        <v>1.1659999999999999</v>
      </c>
      <c r="BB124" s="205">
        <v>1.0640000000000001</v>
      </c>
      <c r="BC124" s="205">
        <v>0.10199999999999999</v>
      </c>
      <c r="BD124" s="205">
        <v>0</v>
      </c>
      <c r="BE124" s="205">
        <v>0</v>
      </c>
      <c r="BF124" s="206">
        <v>0</v>
      </c>
      <c r="BG124" s="199" t="s">
        <v>2</v>
      </c>
      <c r="BH124" s="199">
        <v>0</v>
      </c>
      <c r="BI124" s="200">
        <v>985</v>
      </c>
      <c r="BJ124" s="200">
        <v>267</v>
      </c>
      <c r="BK124" s="200">
        <v>221</v>
      </c>
      <c r="BL124" s="200">
        <v>767</v>
      </c>
      <c r="BM124" s="200">
        <v>747</v>
      </c>
      <c r="BN124" s="200">
        <v>991</v>
      </c>
      <c r="BO124" s="200">
        <v>1215</v>
      </c>
      <c r="BP124" s="200">
        <v>765</v>
      </c>
      <c r="BQ124" s="200">
        <v>1262</v>
      </c>
      <c r="BR124" s="200">
        <v>430</v>
      </c>
      <c r="BS124" s="200">
        <v>201</v>
      </c>
      <c r="BT124" s="200">
        <v>375</v>
      </c>
      <c r="BU124" s="200">
        <v>892</v>
      </c>
      <c r="BV124" s="200">
        <v>1884</v>
      </c>
      <c r="BW124" s="200">
        <v>3570</v>
      </c>
      <c r="BX124" s="200">
        <v>826</v>
      </c>
      <c r="BY124" s="200">
        <v>1285</v>
      </c>
      <c r="BZ124" s="201">
        <v>939</v>
      </c>
      <c r="CA124" s="203" t="s">
        <v>2</v>
      </c>
      <c r="CB124" s="203" t="s">
        <v>2</v>
      </c>
      <c r="CC124" s="203" t="s">
        <v>2</v>
      </c>
      <c r="CD124" s="203" t="s">
        <v>2</v>
      </c>
      <c r="CE124" s="203" t="s">
        <v>2</v>
      </c>
      <c r="CF124" s="203" t="s">
        <v>2</v>
      </c>
      <c r="CG124" s="204" t="s">
        <v>2</v>
      </c>
      <c r="CH124" s="200" t="s">
        <v>2</v>
      </c>
      <c r="CI124" s="201" t="s">
        <v>2</v>
      </c>
      <c r="CJ124" s="203" t="s">
        <v>2</v>
      </c>
      <c r="CK124" s="203" t="s">
        <v>2</v>
      </c>
      <c r="CL124" s="203" t="s">
        <v>2</v>
      </c>
      <c r="CM124" s="204" t="s">
        <v>2</v>
      </c>
      <c r="CN124" s="199" t="s">
        <v>2</v>
      </c>
      <c r="CO124" s="199" t="s">
        <v>2</v>
      </c>
    </row>
    <row r="125" spans="1:93" s="207" customFormat="1" ht="15" x14ac:dyDescent="0.25">
      <c r="A125" s="220" t="s">
        <v>764</v>
      </c>
      <c r="B125" s="221" t="s">
        <v>150</v>
      </c>
      <c r="C125" s="222" t="s">
        <v>947</v>
      </c>
      <c r="D125" s="290">
        <v>4</v>
      </c>
      <c r="E125" s="199">
        <v>13</v>
      </c>
      <c r="F125" s="200">
        <v>21</v>
      </c>
      <c r="G125" s="201">
        <v>73</v>
      </c>
      <c r="H125" s="202">
        <v>94.5</v>
      </c>
      <c r="I125" s="203">
        <v>2.2000000000000002</v>
      </c>
      <c r="J125" s="203">
        <v>0.21</v>
      </c>
      <c r="K125" s="203">
        <v>2.4900000000000002</v>
      </c>
      <c r="L125" s="203">
        <v>0.9</v>
      </c>
      <c r="M125" s="204">
        <v>0.6</v>
      </c>
      <c r="N125" s="200">
        <v>56</v>
      </c>
      <c r="O125" s="200">
        <v>45</v>
      </c>
      <c r="P125" s="203">
        <v>1.3</v>
      </c>
      <c r="Q125" s="203">
        <v>0.2</v>
      </c>
      <c r="R125" s="200">
        <v>6</v>
      </c>
      <c r="S125" s="200">
        <v>234</v>
      </c>
      <c r="T125" s="200">
        <v>18</v>
      </c>
      <c r="U125" s="205">
        <v>0.3</v>
      </c>
      <c r="V125" s="205">
        <v>100</v>
      </c>
      <c r="W125" s="204">
        <v>1</v>
      </c>
      <c r="X125" s="203">
        <v>19</v>
      </c>
      <c r="Y125" s="205">
        <v>0.03</v>
      </c>
      <c r="Z125" s="205">
        <v>0.09</v>
      </c>
      <c r="AA125" s="205">
        <v>0.9</v>
      </c>
      <c r="AB125" s="205">
        <v>0.14000000000000001</v>
      </c>
      <c r="AC125" s="205">
        <v>0.23300000000000001</v>
      </c>
      <c r="AD125" s="200">
        <v>64</v>
      </c>
      <c r="AE125" s="200">
        <v>0</v>
      </c>
      <c r="AF125" s="203">
        <v>1.4</v>
      </c>
      <c r="AG125" s="204">
        <v>0</v>
      </c>
      <c r="AH125" s="200">
        <v>0</v>
      </c>
      <c r="AI125" s="200">
        <v>83</v>
      </c>
      <c r="AJ125" s="203">
        <v>0</v>
      </c>
      <c r="AK125" s="203">
        <v>0.92</v>
      </c>
      <c r="AL125" s="204">
        <v>47</v>
      </c>
      <c r="AM125" s="200">
        <v>1000</v>
      </c>
      <c r="AN125" s="200">
        <v>0</v>
      </c>
      <c r="AO125" s="201">
        <v>0</v>
      </c>
      <c r="AP125" s="203">
        <v>0.04</v>
      </c>
      <c r="AQ125" s="205">
        <v>3.7999999999999999E-2</v>
      </c>
      <c r="AR125" s="205">
        <v>0</v>
      </c>
      <c r="AS125" s="205">
        <v>2E-3</v>
      </c>
      <c r="AT125" s="205">
        <v>0</v>
      </c>
      <c r="AU125" s="205">
        <v>0</v>
      </c>
      <c r="AV125" s="206">
        <v>0</v>
      </c>
      <c r="AW125" s="203">
        <v>4.0000000000000001E-3</v>
      </c>
      <c r="AX125" s="205">
        <v>0</v>
      </c>
      <c r="AY125" s="205">
        <v>0</v>
      </c>
      <c r="AZ125" s="206">
        <v>4.0000000000000001E-3</v>
      </c>
      <c r="BA125" s="203">
        <v>0.16600000000000001</v>
      </c>
      <c r="BB125" s="205">
        <v>6.7000000000000004E-2</v>
      </c>
      <c r="BC125" s="205">
        <v>9.9000000000000005E-2</v>
      </c>
      <c r="BD125" s="205">
        <v>0</v>
      </c>
      <c r="BE125" s="205">
        <v>0</v>
      </c>
      <c r="BF125" s="206">
        <v>0</v>
      </c>
      <c r="BG125" s="199" t="s">
        <v>2</v>
      </c>
      <c r="BH125" s="199">
        <v>0</v>
      </c>
      <c r="BI125" s="200">
        <v>78</v>
      </c>
      <c r="BJ125" s="200">
        <v>18</v>
      </c>
      <c r="BK125" s="200">
        <v>12</v>
      </c>
      <c r="BL125" s="200">
        <v>55</v>
      </c>
      <c r="BM125" s="200">
        <v>63</v>
      </c>
      <c r="BN125" s="200">
        <v>56</v>
      </c>
      <c r="BO125" s="200">
        <v>96</v>
      </c>
      <c r="BP125" s="200">
        <v>52</v>
      </c>
      <c r="BQ125" s="200">
        <v>78</v>
      </c>
      <c r="BR125" s="200">
        <v>25</v>
      </c>
      <c r="BS125" s="200">
        <v>25</v>
      </c>
      <c r="BT125" s="200">
        <v>41</v>
      </c>
      <c r="BU125" s="200">
        <v>74</v>
      </c>
      <c r="BV125" s="200">
        <v>140</v>
      </c>
      <c r="BW125" s="200">
        <v>226</v>
      </c>
      <c r="BX125" s="200">
        <v>69</v>
      </c>
      <c r="BY125" s="200">
        <v>66</v>
      </c>
      <c r="BZ125" s="201">
        <v>92</v>
      </c>
      <c r="CA125" s="203">
        <v>3.9</v>
      </c>
      <c r="CB125" s="203" t="s">
        <v>2</v>
      </c>
      <c r="CC125" s="203" t="s">
        <v>2</v>
      </c>
      <c r="CD125" s="203" t="s">
        <v>2</v>
      </c>
      <c r="CE125" s="203" t="s">
        <v>2</v>
      </c>
      <c r="CF125" s="203" t="s">
        <v>2</v>
      </c>
      <c r="CG125" s="204" t="s">
        <v>2</v>
      </c>
      <c r="CH125" s="200">
        <v>0</v>
      </c>
      <c r="CI125" s="201">
        <v>1900</v>
      </c>
      <c r="CJ125" s="203" t="s">
        <v>2</v>
      </c>
      <c r="CK125" s="203" t="s">
        <v>2</v>
      </c>
      <c r="CL125" s="203" t="s">
        <v>2</v>
      </c>
      <c r="CM125" s="204" t="s">
        <v>2</v>
      </c>
      <c r="CN125" s="199" t="s">
        <v>2</v>
      </c>
      <c r="CO125" s="199" t="s">
        <v>2</v>
      </c>
    </row>
    <row r="126" spans="1:93" s="207" customFormat="1" ht="15" x14ac:dyDescent="0.25">
      <c r="A126" s="220" t="s">
        <v>765</v>
      </c>
      <c r="B126" s="221" t="s">
        <v>151</v>
      </c>
      <c r="C126" s="222" t="s">
        <v>948</v>
      </c>
      <c r="D126" s="290">
        <v>4</v>
      </c>
      <c r="E126" s="199">
        <v>29</v>
      </c>
      <c r="F126" s="200">
        <v>28</v>
      </c>
      <c r="G126" s="201">
        <v>84</v>
      </c>
      <c r="H126" s="202">
        <v>92</v>
      </c>
      <c r="I126" s="203">
        <v>1.5</v>
      </c>
      <c r="J126" s="203" t="s">
        <v>2</v>
      </c>
      <c r="K126" s="203">
        <v>5.5</v>
      </c>
      <c r="L126" s="203">
        <v>2</v>
      </c>
      <c r="M126" s="204">
        <v>1</v>
      </c>
      <c r="N126" s="200">
        <v>44</v>
      </c>
      <c r="O126" s="200">
        <v>32</v>
      </c>
      <c r="P126" s="203">
        <v>0.9</v>
      </c>
      <c r="Q126" s="203" t="s">
        <v>2</v>
      </c>
      <c r="R126" s="200" t="s">
        <v>2</v>
      </c>
      <c r="S126" s="200" t="s">
        <v>2</v>
      </c>
      <c r="T126" s="200" t="s">
        <v>2</v>
      </c>
      <c r="U126" s="205" t="s">
        <v>2</v>
      </c>
      <c r="V126" s="205" t="s">
        <v>2</v>
      </c>
      <c r="W126" s="204" t="s">
        <v>2</v>
      </c>
      <c r="X126" s="203">
        <v>5</v>
      </c>
      <c r="Y126" s="205">
        <v>1.04</v>
      </c>
      <c r="Z126" s="205">
        <v>0.03</v>
      </c>
      <c r="AA126" s="205">
        <v>0.4</v>
      </c>
      <c r="AB126" s="205" t="s">
        <v>2</v>
      </c>
      <c r="AC126" s="205" t="s">
        <v>2</v>
      </c>
      <c r="AD126" s="200" t="s">
        <v>2</v>
      </c>
      <c r="AE126" s="200" t="s">
        <v>2</v>
      </c>
      <c r="AF126" s="203" t="s">
        <v>2</v>
      </c>
      <c r="AG126" s="204" t="s">
        <v>2</v>
      </c>
      <c r="AH126" s="200">
        <v>0</v>
      </c>
      <c r="AI126" s="200">
        <v>14</v>
      </c>
      <c r="AJ126" s="203" t="s">
        <v>2</v>
      </c>
      <c r="AK126" s="203" t="s">
        <v>2</v>
      </c>
      <c r="AL126" s="204" t="s">
        <v>2</v>
      </c>
      <c r="AM126" s="200">
        <v>170</v>
      </c>
      <c r="AN126" s="200" t="s">
        <v>2</v>
      </c>
      <c r="AO126" s="201" t="s">
        <v>2</v>
      </c>
      <c r="AP126" s="203" t="s">
        <v>2</v>
      </c>
      <c r="AQ126" s="205" t="s">
        <v>2</v>
      </c>
      <c r="AR126" s="205" t="s">
        <v>2</v>
      </c>
      <c r="AS126" s="205" t="s">
        <v>2</v>
      </c>
      <c r="AT126" s="205" t="s">
        <v>2</v>
      </c>
      <c r="AU126" s="205" t="s">
        <v>2</v>
      </c>
      <c r="AV126" s="206" t="s">
        <v>2</v>
      </c>
      <c r="AW126" s="203" t="s">
        <v>2</v>
      </c>
      <c r="AX126" s="205" t="s">
        <v>2</v>
      </c>
      <c r="AY126" s="205" t="s">
        <v>2</v>
      </c>
      <c r="AZ126" s="206" t="s">
        <v>2</v>
      </c>
      <c r="BA126" s="203" t="s">
        <v>2</v>
      </c>
      <c r="BB126" s="205" t="s">
        <v>2</v>
      </c>
      <c r="BC126" s="205" t="s">
        <v>2</v>
      </c>
      <c r="BD126" s="205" t="s">
        <v>2</v>
      </c>
      <c r="BE126" s="205" t="s">
        <v>2</v>
      </c>
      <c r="BF126" s="206" t="s">
        <v>2</v>
      </c>
      <c r="BG126" s="199" t="s">
        <v>2</v>
      </c>
      <c r="BH126" s="199">
        <v>0</v>
      </c>
      <c r="BI126" s="200" t="s">
        <v>2</v>
      </c>
      <c r="BJ126" s="200" t="s">
        <v>2</v>
      </c>
      <c r="BK126" s="200" t="s">
        <v>2</v>
      </c>
      <c r="BL126" s="200" t="s">
        <v>2</v>
      </c>
      <c r="BM126" s="200" t="s">
        <v>2</v>
      </c>
      <c r="BN126" s="200" t="s">
        <v>2</v>
      </c>
      <c r="BO126" s="200" t="s">
        <v>2</v>
      </c>
      <c r="BP126" s="200" t="s">
        <v>2</v>
      </c>
      <c r="BQ126" s="200" t="s">
        <v>2</v>
      </c>
      <c r="BR126" s="200" t="s">
        <v>2</v>
      </c>
      <c r="BS126" s="200" t="s">
        <v>2</v>
      </c>
      <c r="BT126" s="200" t="s">
        <v>2</v>
      </c>
      <c r="BU126" s="200" t="s">
        <v>2</v>
      </c>
      <c r="BV126" s="200" t="s">
        <v>2</v>
      </c>
      <c r="BW126" s="200" t="s">
        <v>2</v>
      </c>
      <c r="BX126" s="200" t="s">
        <v>2</v>
      </c>
      <c r="BY126" s="200" t="s">
        <v>2</v>
      </c>
      <c r="BZ126" s="201" t="s">
        <v>2</v>
      </c>
      <c r="CA126" s="203" t="s">
        <v>2</v>
      </c>
      <c r="CB126" s="203" t="s">
        <v>2</v>
      </c>
      <c r="CC126" s="203" t="s">
        <v>2</v>
      </c>
      <c r="CD126" s="203" t="s">
        <v>2</v>
      </c>
      <c r="CE126" s="203" t="s">
        <v>2</v>
      </c>
      <c r="CF126" s="203" t="s">
        <v>2</v>
      </c>
      <c r="CG126" s="204" t="s">
        <v>2</v>
      </c>
      <c r="CH126" s="200" t="s">
        <v>2</v>
      </c>
      <c r="CI126" s="201" t="s">
        <v>2</v>
      </c>
      <c r="CJ126" s="203" t="s">
        <v>2</v>
      </c>
      <c r="CK126" s="203" t="s">
        <v>2</v>
      </c>
      <c r="CL126" s="203" t="s">
        <v>2</v>
      </c>
      <c r="CM126" s="204" t="s">
        <v>2</v>
      </c>
      <c r="CN126" s="199" t="s">
        <v>2</v>
      </c>
      <c r="CO126" s="199" t="s">
        <v>2</v>
      </c>
    </row>
    <row r="127" spans="1:93" s="207" customFormat="1" ht="15" x14ac:dyDescent="0.25">
      <c r="A127" s="220" t="s">
        <v>766</v>
      </c>
      <c r="B127" s="221" t="s">
        <v>152</v>
      </c>
      <c r="C127" s="222" t="s">
        <v>951</v>
      </c>
      <c r="D127" s="290">
        <v>4</v>
      </c>
      <c r="E127" s="199">
        <v>3</v>
      </c>
      <c r="F127" s="200">
        <v>35</v>
      </c>
      <c r="G127" s="201">
        <v>95</v>
      </c>
      <c r="H127" s="202">
        <v>90.5</v>
      </c>
      <c r="I127" s="203">
        <v>2.9</v>
      </c>
      <c r="J127" s="203" t="s">
        <v>2</v>
      </c>
      <c r="K127" s="203">
        <v>5.8</v>
      </c>
      <c r="L127" s="203">
        <v>3</v>
      </c>
      <c r="M127" s="204">
        <v>0.8</v>
      </c>
      <c r="N127" s="200">
        <v>52</v>
      </c>
      <c r="O127" s="200">
        <v>53</v>
      </c>
      <c r="P127" s="203">
        <v>1.2</v>
      </c>
      <c r="Q127" s="203" t="s">
        <v>2</v>
      </c>
      <c r="R127" s="200" t="s">
        <v>2</v>
      </c>
      <c r="S127" s="200" t="s">
        <v>2</v>
      </c>
      <c r="T127" s="200" t="s">
        <v>2</v>
      </c>
      <c r="U127" s="205" t="s">
        <v>2</v>
      </c>
      <c r="V127" s="205" t="s">
        <v>2</v>
      </c>
      <c r="W127" s="204" t="s">
        <v>2</v>
      </c>
      <c r="X127" s="203">
        <v>48</v>
      </c>
      <c r="Y127" s="205">
        <v>0.19</v>
      </c>
      <c r="Z127" s="205">
        <v>0.13</v>
      </c>
      <c r="AA127" s="205">
        <v>1.1000000000000001</v>
      </c>
      <c r="AB127" s="205" t="s">
        <v>2</v>
      </c>
      <c r="AC127" s="205" t="s">
        <v>2</v>
      </c>
      <c r="AD127" s="200" t="s">
        <v>2</v>
      </c>
      <c r="AE127" s="200" t="s">
        <v>2</v>
      </c>
      <c r="AF127" s="203" t="s">
        <v>2</v>
      </c>
      <c r="AG127" s="204" t="s">
        <v>2</v>
      </c>
      <c r="AH127" s="200">
        <v>0</v>
      </c>
      <c r="AI127" s="200">
        <v>49</v>
      </c>
      <c r="AJ127" s="203" t="s">
        <v>2</v>
      </c>
      <c r="AK127" s="203" t="s">
        <v>2</v>
      </c>
      <c r="AL127" s="204" t="s">
        <v>2</v>
      </c>
      <c r="AM127" s="200">
        <v>585</v>
      </c>
      <c r="AN127" s="200" t="s">
        <v>2</v>
      </c>
      <c r="AO127" s="201" t="s">
        <v>2</v>
      </c>
      <c r="AP127" s="203" t="s">
        <v>2</v>
      </c>
      <c r="AQ127" s="205" t="s">
        <v>2</v>
      </c>
      <c r="AR127" s="205" t="s">
        <v>2</v>
      </c>
      <c r="AS127" s="205" t="s">
        <v>2</v>
      </c>
      <c r="AT127" s="205" t="s">
        <v>2</v>
      </c>
      <c r="AU127" s="205" t="s">
        <v>2</v>
      </c>
      <c r="AV127" s="206" t="s">
        <v>2</v>
      </c>
      <c r="AW127" s="203" t="s">
        <v>2</v>
      </c>
      <c r="AX127" s="205" t="s">
        <v>2</v>
      </c>
      <c r="AY127" s="205" t="s">
        <v>2</v>
      </c>
      <c r="AZ127" s="206" t="s">
        <v>2</v>
      </c>
      <c r="BA127" s="203" t="s">
        <v>2</v>
      </c>
      <c r="BB127" s="205" t="s">
        <v>2</v>
      </c>
      <c r="BC127" s="205" t="s">
        <v>2</v>
      </c>
      <c r="BD127" s="205" t="s">
        <v>2</v>
      </c>
      <c r="BE127" s="205" t="s">
        <v>2</v>
      </c>
      <c r="BF127" s="206" t="s">
        <v>2</v>
      </c>
      <c r="BG127" s="199" t="s">
        <v>2</v>
      </c>
      <c r="BH127" s="199">
        <v>0</v>
      </c>
      <c r="BI127" s="200" t="s">
        <v>2</v>
      </c>
      <c r="BJ127" s="200" t="s">
        <v>2</v>
      </c>
      <c r="BK127" s="200" t="s">
        <v>2</v>
      </c>
      <c r="BL127" s="200" t="s">
        <v>2</v>
      </c>
      <c r="BM127" s="200" t="s">
        <v>2</v>
      </c>
      <c r="BN127" s="200" t="s">
        <v>2</v>
      </c>
      <c r="BO127" s="200" t="s">
        <v>2</v>
      </c>
      <c r="BP127" s="200" t="s">
        <v>2</v>
      </c>
      <c r="BQ127" s="200" t="s">
        <v>2</v>
      </c>
      <c r="BR127" s="200" t="s">
        <v>2</v>
      </c>
      <c r="BS127" s="200" t="s">
        <v>2</v>
      </c>
      <c r="BT127" s="200" t="s">
        <v>2</v>
      </c>
      <c r="BU127" s="200" t="s">
        <v>2</v>
      </c>
      <c r="BV127" s="200" t="s">
        <v>2</v>
      </c>
      <c r="BW127" s="200" t="s">
        <v>2</v>
      </c>
      <c r="BX127" s="200" t="s">
        <v>2</v>
      </c>
      <c r="BY127" s="200" t="s">
        <v>2</v>
      </c>
      <c r="BZ127" s="201" t="s">
        <v>2</v>
      </c>
      <c r="CA127" s="203" t="s">
        <v>2</v>
      </c>
      <c r="CB127" s="203" t="s">
        <v>2</v>
      </c>
      <c r="CC127" s="203" t="s">
        <v>2</v>
      </c>
      <c r="CD127" s="203" t="s">
        <v>2</v>
      </c>
      <c r="CE127" s="203" t="s">
        <v>2</v>
      </c>
      <c r="CF127" s="203" t="s">
        <v>2</v>
      </c>
      <c r="CG127" s="204" t="s">
        <v>2</v>
      </c>
      <c r="CH127" s="200" t="s">
        <v>2</v>
      </c>
      <c r="CI127" s="201" t="s">
        <v>2</v>
      </c>
      <c r="CJ127" s="203" t="s">
        <v>2</v>
      </c>
      <c r="CK127" s="203" t="s">
        <v>2</v>
      </c>
      <c r="CL127" s="203" t="s">
        <v>2</v>
      </c>
      <c r="CM127" s="204" t="s">
        <v>2</v>
      </c>
      <c r="CN127" s="199" t="s">
        <v>2</v>
      </c>
      <c r="CO127" s="199" t="s">
        <v>2</v>
      </c>
    </row>
    <row r="128" spans="1:93" s="207" customFormat="1" ht="15" x14ac:dyDescent="0.25">
      <c r="A128" s="220" t="s">
        <v>767</v>
      </c>
      <c r="B128" s="221" t="s">
        <v>153</v>
      </c>
      <c r="C128" s="222" t="s">
        <v>949</v>
      </c>
      <c r="D128" s="290">
        <v>4</v>
      </c>
      <c r="E128" s="199">
        <v>13</v>
      </c>
      <c r="F128" s="200">
        <v>26</v>
      </c>
      <c r="G128" s="201">
        <v>69</v>
      </c>
      <c r="H128" s="202">
        <v>93.5</v>
      </c>
      <c r="I128" s="203">
        <v>0.6</v>
      </c>
      <c r="J128" s="203">
        <v>0.23</v>
      </c>
      <c r="K128" s="203">
        <v>5.47</v>
      </c>
      <c r="L128" s="203">
        <v>2.6</v>
      </c>
      <c r="M128" s="204">
        <v>0.2</v>
      </c>
      <c r="N128" s="200">
        <v>10</v>
      </c>
      <c r="O128" s="200">
        <v>8</v>
      </c>
      <c r="P128" s="203">
        <v>0.9</v>
      </c>
      <c r="Q128" s="203">
        <v>0.12</v>
      </c>
      <c r="R128" s="200">
        <v>2</v>
      </c>
      <c r="S128" s="200">
        <v>133</v>
      </c>
      <c r="T128" s="200">
        <v>10</v>
      </c>
      <c r="U128" s="205">
        <v>3.6999999999999998E-2</v>
      </c>
      <c r="V128" s="205">
        <v>137</v>
      </c>
      <c r="W128" s="204">
        <v>0.6</v>
      </c>
      <c r="X128" s="203">
        <v>30</v>
      </c>
      <c r="Y128" s="205">
        <v>0.05</v>
      </c>
      <c r="Z128" s="205">
        <v>0.04</v>
      </c>
      <c r="AA128" s="205">
        <v>0.4</v>
      </c>
      <c r="AB128" s="205">
        <v>0.39100000000000001</v>
      </c>
      <c r="AC128" s="205">
        <v>1.7000000000000001E-2</v>
      </c>
      <c r="AD128" s="200">
        <v>12</v>
      </c>
      <c r="AE128" s="200">
        <v>0</v>
      </c>
      <c r="AF128" s="203" t="s">
        <v>2</v>
      </c>
      <c r="AG128" s="204">
        <v>0</v>
      </c>
      <c r="AH128" s="200">
        <v>0</v>
      </c>
      <c r="AI128" s="200">
        <v>3</v>
      </c>
      <c r="AJ128" s="203">
        <v>0</v>
      </c>
      <c r="AK128" s="203">
        <v>0.15</v>
      </c>
      <c r="AL128" s="204">
        <v>0</v>
      </c>
      <c r="AM128" s="200">
        <v>25</v>
      </c>
      <c r="AN128" s="200">
        <v>24</v>
      </c>
      <c r="AO128" s="201">
        <v>0</v>
      </c>
      <c r="AP128" s="203">
        <v>1.9E-2</v>
      </c>
      <c r="AQ128" s="205">
        <v>1.0999999999999999E-2</v>
      </c>
      <c r="AR128" s="205">
        <v>0</v>
      </c>
      <c r="AS128" s="205">
        <v>8.0000000000000002E-3</v>
      </c>
      <c r="AT128" s="205">
        <v>0</v>
      </c>
      <c r="AU128" s="205">
        <v>0</v>
      </c>
      <c r="AV128" s="206">
        <v>0</v>
      </c>
      <c r="AW128" s="203">
        <v>0.03</v>
      </c>
      <c r="AX128" s="205">
        <v>0</v>
      </c>
      <c r="AY128" s="205">
        <v>0</v>
      </c>
      <c r="AZ128" s="206">
        <v>0.03</v>
      </c>
      <c r="BA128" s="203">
        <v>0.184</v>
      </c>
      <c r="BB128" s="205">
        <v>0.157</v>
      </c>
      <c r="BC128" s="205">
        <v>2.7E-2</v>
      </c>
      <c r="BD128" s="205">
        <v>0</v>
      </c>
      <c r="BE128" s="205">
        <v>0</v>
      </c>
      <c r="BF128" s="206">
        <v>0</v>
      </c>
      <c r="BG128" s="199" t="s">
        <v>2</v>
      </c>
      <c r="BH128" s="199">
        <v>0</v>
      </c>
      <c r="BI128" s="200">
        <v>77</v>
      </c>
      <c r="BJ128" s="200">
        <v>21</v>
      </c>
      <c r="BK128" s="200">
        <v>8</v>
      </c>
      <c r="BL128" s="200">
        <v>37</v>
      </c>
      <c r="BM128" s="200">
        <v>44</v>
      </c>
      <c r="BN128" s="200">
        <v>50</v>
      </c>
      <c r="BO128" s="200">
        <v>77</v>
      </c>
      <c r="BP128" s="200">
        <v>44</v>
      </c>
      <c r="BQ128" s="200">
        <v>21</v>
      </c>
      <c r="BR128" s="200">
        <v>8</v>
      </c>
      <c r="BS128" s="200" t="s">
        <v>2</v>
      </c>
      <c r="BT128" s="200">
        <v>44</v>
      </c>
      <c r="BU128" s="200">
        <v>71</v>
      </c>
      <c r="BV128" s="200">
        <v>98</v>
      </c>
      <c r="BW128" s="200">
        <v>148</v>
      </c>
      <c r="BX128" s="200">
        <v>50</v>
      </c>
      <c r="BY128" s="200">
        <v>50</v>
      </c>
      <c r="BZ128" s="201">
        <v>83</v>
      </c>
      <c r="CA128" s="203">
        <v>3.98</v>
      </c>
      <c r="CB128" s="203" t="s">
        <v>2</v>
      </c>
      <c r="CC128" s="203" t="s">
        <v>2</v>
      </c>
      <c r="CD128" s="203" t="s">
        <v>2</v>
      </c>
      <c r="CE128" s="203" t="s">
        <v>2</v>
      </c>
      <c r="CF128" s="203" t="s">
        <v>2</v>
      </c>
      <c r="CG128" s="204" t="s">
        <v>2</v>
      </c>
      <c r="CH128" s="200">
        <v>0</v>
      </c>
      <c r="CI128" s="201">
        <v>64</v>
      </c>
      <c r="CJ128" s="203" t="s">
        <v>2</v>
      </c>
      <c r="CK128" s="203" t="s">
        <v>2</v>
      </c>
      <c r="CL128" s="203" t="s">
        <v>2</v>
      </c>
      <c r="CM128" s="204" t="s">
        <v>2</v>
      </c>
      <c r="CN128" s="199" t="s">
        <v>2</v>
      </c>
      <c r="CO128" s="199" t="s">
        <v>2</v>
      </c>
    </row>
    <row r="129" spans="1:93" s="207" customFormat="1" ht="15" x14ac:dyDescent="0.25">
      <c r="A129" s="220" t="s">
        <v>768</v>
      </c>
      <c r="B129" s="221" t="s">
        <v>154</v>
      </c>
      <c r="C129" s="222" t="s">
        <v>950</v>
      </c>
      <c r="D129" s="290">
        <v>4</v>
      </c>
      <c r="E129" s="199">
        <v>0</v>
      </c>
      <c r="F129" s="200">
        <v>49</v>
      </c>
      <c r="G129" s="201">
        <v>162</v>
      </c>
      <c r="H129" s="202">
        <v>86.5</v>
      </c>
      <c r="I129" s="203">
        <v>4.3</v>
      </c>
      <c r="J129" s="203" t="s">
        <v>2</v>
      </c>
      <c r="K129" s="203">
        <v>7.9</v>
      </c>
      <c r="L129" s="203">
        <v>2.5</v>
      </c>
      <c r="M129" s="204">
        <v>1.3</v>
      </c>
      <c r="N129" s="200">
        <v>260</v>
      </c>
      <c r="O129" s="200">
        <v>980</v>
      </c>
      <c r="P129" s="203">
        <v>4.0999999999999996</v>
      </c>
      <c r="Q129" s="203" t="s">
        <v>2</v>
      </c>
      <c r="R129" s="200">
        <v>15</v>
      </c>
      <c r="S129" s="200">
        <v>598</v>
      </c>
      <c r="T129" s="200">
        <v>98</v>
      </c>
      <c r="U129" s="205" t="s">
        <v>2</v>
      </c>
      <c r="V129" s="205" t="s">
        <v>2</v>
      </c>
      <c r="W129" s="204" t="s">
        <v>2</v>
      </c>
      <c r="X129" s="203">
        <v>34</v>
      </c>
      <c r="Y129" s="205">
        <v>0</v>
      </c>
      <c r="Z129" s="205">
        <v>0</v>
      </c>
      <c r="AA129" s="205">
        <v>0</v>
      </c>
      <c r="AB129" s="205" t="s">
        <v>2</v>
      </c>
      <c r="AC129" s="205" t="s">
        <v>2</v>
      </c>
      <c r="AD129" s="200" t="s">
        <v>2</v>
      </c>
      <c r="AE129" s="200" t="s">
        <v>2</v>
      </c>
      <c r="AF129" s="203" t="s">
        <v>2</v>
      </c>
      <c r="AG129" s="204" t="s">
        <v>2</v>
      </c>
      <c r="AH129" s="200">
        <v>0</v>
      </c>
      <c r="AI129" s="200">
        <v>338</v>
      </c>
      <c r="AJ129" s="203" t="s">
        <v>2</v>
      </c>
      <c r="AK129" s="203" t="s">
        <v>2</v>
      </c>
      <c r="AL129" s="204" t="s">
        <v>2</v>
      </c>
      <c r="AM129" s="200">
        <v>4050</v>
      </c>
      <c r="AN129" s="200" t="s">
        <v>2</v>
      </c>
      <c r="AO129" s="201" t="s">
        <v>2</v>
      </c>
      <c r="AP129" s="203" t="s">
        <v>2</v>
      </c>
      <c r="AQ129" s="205" t="s">
        <v>2</v>
      </c>
      <c r="AR129" s="205" t="s">
        <v>2</v>
      </c>
      <c r="AS129" s="205" t="s">
        <v>2</v>
      </c>
      <c r="AT129" s="205" t="s">
        <v>2</v>
      </c>
      <c r="AU129" s="205" t="s">
        <v>2</v>
      </c>
      <c r="AV129" s="206" t="s">
        <v>2</v>
      </c>
      <c r="AW129" s="203" t="s">
        <v>2</v>
      </c>
      <c r="AX129" s="205" t="s">
        <v>2</v>
      </c>
      <c r="AY129" s="205" t="s">
        <v>2</v>
      </c>
      <c r="AZ129" s="206" t="s">
        <v>2</v>
      </c>
      <c r="BA129" s="203" t="s">
        <v>2</v>
      </c>
      <c r="BB129" s="205" t="s">
        <v>2</v>
      </c>
      <c r="BC129" s="205" t="s">
        <v>2</v>
      </c>
      <c r="BD129" s="205" t="s">
        <v>2</v>
      </c>
      <c r="BE129" s="205" t="s">
        <v>2</v>
      </c>
      <c r="BF129" s="206" t="s">
        <v>2</v>
      </c>
      <c r="BG129" s="199" t="s">
        <v>2</v>
      </c>
      <c r="BH129" s="199">
        <v>0</v>
      </c>
      <c r="BI129" s="200" t="s">
        <v>2</v>
      </c>
      <c r="BJ129" s="200" t="s">
        <v>2</v>
      </c>
      <c r="BK129" s="200" t="s">
        <v>2</v>
      </c>
      <c r="BL129" s="200" t="s">
        <v>2</v>
      </c>
      <c r="BM129" s="200" t="s">
        <v>2</v>
      </c>
      <c r="BN129" s="200" t="s">
        <v>2</v>
      </c>
      <c r="BO129" s="200" t="s">
        <v>2</v>
      </c>
      <c r="BP129" s="200" t="s">
        <v>2</v>
      </c>
      <c r="BQ129" s="200" t="s">
        <v>2</v>
      </c>
      <c r="BR129" s="200" t="s">
        <v>2</v>
      </c>
      <c r="BS129" s="200" t="s">
        <v>2</v>
      </c>
      <c r="BT129" s="200" t="s">
        <v>2</v>
      </c>
      <c r="BU129" s="200" t="s">
        <v>2</v>
      </c>
      <c r="BV129" s="200" t="s">
        <v>2</v>
      </c>
      <c r="BW129" s="200" t="s">
        <v>2</v>
      </c>
      <c r="BX129" s="200" t="s">
        <v>2</v>
      </c>
      <c r="BY129" s="200" t="s">
        <v>2</v>
      </c>
      <c r="BZ129" s="201" t="s">
        <v>2</v>
      </c>
      <c r="CA129" s="203" t="s">
        <v>2</v>
      </c>
      <c r="CB129" s="203" t="s">
        <v>2</v>
      </c>
      <c r="CC129" s="203" t="s">
        <v>2</v>
      </c>
      <c r="CD129" s="203" t="s">
        <v>2</v>
      </c>
      <c r="CE129" s="203" t="s">
        <v>2</v>
      </c>
      <c r="CF129" s="203" t="s">
        <v>2</v>
      </c>
      <c r="CG129" s="204" t="s">
        <v>2</v>
      </c>
      <c r="CH129" s="200" t="s">
        <v>2</v>
      </c>
      <c r="CI129" s="201" t="s">
        <v>2</v>
      </c>
      <c r="CJ129" s="203" t="s">
        <v>2</v>
      </c>
      <c r="CK129" s="203" t="s">
        <v>2</v>
      </c>
      <c r="CL129" s="203" t="s">
        <v>2</v>
      </c>
      <c r="CM129" s="204" t="s">
        <v>2</v>
      </c>
      <c r="CN129" s="199" t="s">
        <v>2</v>
      </c>
      <c r="CO129" s="199" t="s">
        <v>2</v>
      </c>
    </row>
    <row r="130" spans="1:93" s="207" customFormat="1" ht="15" x14ac:dyDescent="0.25">
      <c r="A130" s="220" t="s">
        <v>769</v>
      </c>
      <c r="B130" s="221" t="s">
        <v>155</v>
      </c>
      <c r="C130" s="222" t="s">
        <v>1070</v>
      </c>
      <c r="D130" s="290">
        <v>4</v>
      </c>
      <c r="E130" s="199">
        <v>0</v>
      </c>
      <c r="F130" s="200">
        <v>46</v>
      </c>
      <c r="G130" s="201">
        <v>192</v>
      </c>
      <c r="H130" s="202">
        <v>86</v>
      </c>
      <c r="I130" s="203">
        <v>7.5</v>
      </c>
      <c r="J130" s="203" t="s">
        <v>2</v>
      </c>
      <c r="K130" s="203">
        <v>4</v>
      </c>
      <c r="L130" s="203" t="s">
        <v>2</v>
      </c>
      <c r="M130" s="204">
        <v>2.5</v>
      </c>
      <c r="N130" s="200">
        <v>319</v>
      </c>
      <c r="O130" s="200" t="s">
        <v>2</v>
      </c>
      <c r="P130" s="203" t="s">
        <v>2</v>
      </c>
      <c r="Q130" s="203" t="s">
        <v>2</v>
      </c>
      <c r="R130" s="200" t="s">
        <v>2</v>
      </c>
      <c r="S130" s="200" t="s">
        <v>2</v>
      </c>
      <c r="T130" s="200" t="s">
        <v>2</v>
      </c>
      <c r="U130" s="205" t="s">
        <v>2</v>
      </c>
      <c r="V130" s="205" t="s">
        <v>2</v>
      </c>
      <c r="W130" s="204" t="s">
        <v>2</v>
      </c>
      <c r="X130" s="203" t="s">
        <v>2</v>
      </c>
      <c r="Y130" s="205" t="s">
        <v>2</v>
      </c>
      <c r="Z130" s="205" t="s">
        <v>2</v>
      </c>
      <c r="AA130" s="205" t="s">
        <v>2</v>
      </c>
      <c r="AB130" s="205" t="s">
        <v>2</v>
      </c>
      <c r="AC130" s="205" t="s">
        <v>2</v>
      </c>
      <c r="AD130" s="200" t="s">
        <v>2</v>
      </c>
      <c r="AE130" s="200" t="s">
        <v>2</v>
      </c>
      <c r="AF130" s="203" t="s">
        <v>2</v>
      </c>
      <c r="AG130" s="204" t="s">
        <v>2</v>
      </c>
      <c r="AH130" s="200">
        <v>0</v>
      </c>
      <c r="AI130" s="200">
        <v>0</v>
      </c>
      <c r="AJ130" s="203" t="s">
        <v>2</v>
      </c>
      <c r="AK130" s="203" t="s">
        <v>2</v>
      </c>
      <c r="AL130" s="204" t="s">
        <v>2</v>
      </c>
      <c r="AM130" s="200" t="s">
        <v>2</v>
      </c>
      <c r="AN130" s="200" t="s">
        <v>2</v>
      </c>
      <c r="AO130" s="201" t="s">
        <v>2</v>
      </c>
      <c r="AP130" s="203" t="s">
        <v>2</v>
      </c>
      <c r="AQ130" s="205" t="s">
        <v>2</v>
      </c>
      <c r="AR130" s="205" t="s">
        <v>2</v>
      </c>
      <c r="AS130" s="205" t="s">
        <v>2</v>
      </c>
      <c r="AT130" s="205" t="s">
        <v>2</v>
      </c>
      <c r="AU130" s="205" t="s">
        <v>2</v>
      </c>
      <c r="AV130" s="206" t="s">
        <v>2</v>
      </c>
      <c r="AW130" s="203" t="s">
        <v>2</v>
      </c>
      <c r="AX130" s="205" t="s">
        <v>2</v>
      </c>
      <c r="AY130" s="205" t="s">
        <v>2</v>
      </c>
      <c r="AZ130" s="206" t="s">
        <v>2</v>
      </c>
      <c r="BA130" s="203" t="s">
        <v>2</v>
      </c>
      <c r="BB130" s="205" t="s">
        <v>2</v>
      </c>
      <c r="BC130" s="205" t="s">
        <v>2</v>
      </c>
      <c r="BD130" s="205" t="s">
        <v>2</v>
      </c>
      <c r="BE130" s="205" t="s">
        <v>2</v>
      </c>
      <c r="BF130" s="206" t="s">
        <v>2</v>
      </c>
      <c r="BG130" s="199" t="s">
        <v>2</v>
      </c>
      <c r="BH130" s="199">
        <v>0</v>
      </c>
      <c r="BI130" s="200" t="s">
        <v>2</v>
      </c>
      <c r="BJ130" s="200" t="s">
        <v>2</v>
      </c>
      <c r="BK130" s="200" t="s">
        <v>2</v>
      </c>
      <c r="BL130" s="200" t="s">
        <v>2</v>
      </c>
      <c r="BM130" s="200" t="s">
        <v>2</v>
      </c>
      <c r="BN130" s="200" t="s">
        <v>2</v>
      </c>
      <c r="BO130" s="200" t="s">
        <v>2</v>
      </c>
      <c r="BP130" s="200" t="s">
        <v>2</v>
      </c>
      <c r="BQ130" s="200" t="s">
        <v>2</v>
      </c>
      <c r="BR130" s="200" t="s">
        <v>2</v>
      </c>
      <c r="BS130" s="200" t="s">
        <v>2</v>
      </c>
      <c r="BT130" s="200" t="s">
        <v>2</v>
      </c>
      <c r="BU130" s="200" t="s">
        <v>2</v>
      </c>
      <c r="BV130" s="200" t="s">
        <v>2</v>
      </c>
      <c r="BW130" s="200" t="s">
        <v>2</v>
      </c>
      <c r="BX130" s="200" t="s">
        <v>2</v>
      </c>
      <c r="BY130" s="200" t="s">
        <v>2</v>
      </c>
      <c r="BZ130" s="201" t="s">
        <v>2</v>
      </c>
      <c r="CA130" s="203" t="s">
        <v>2</v>
      </c>
      <c r="CB130" s="203" t="s">
        <v>2</v>
      </c>
      <c r="CC130" s="203" t="s">
        <v>2</v>
      </c>
      <c r="CD130" s="203" t="s">
        <v>2</v>
      </c>
      <c r="CE130" s="203" t="s">
        <v>2</v>
      </c>
      <c r="CF130" s="203" t="s">
        <v>2</v>
      </c>
      <c r="CG130" s="204" t="s">
        <v>2</v>
      </c>
      <c r="CH130" s="200" t="s">
        <v>2</v>
      </c>
      <c r="CI130" s="201" t="s">
        <v>2</v>
      </c>
      <c r="CJ130" s="203" t="s">
        <v>2</v>
      </c>
      <c r="CK130" s="203" t="s">
        <v>2</v>
      </c>
      <c r="CL130" s="203" t="s">
        <v>2</v>
      </c>
      <c r="CM130" s="204" t="s">
        <v>2</v>
      </c>
      <c r="CN130" s="199" t="s">
        <v>2</v>
      </c>
      <c r="CO130" s="199" t="s">
        <v>2</v>
      </c>
    </row>
    <row r="131" spans="1:93" s="207" customFormat="1" ht="15" x14ac:dyDescent="0.25">
      <c r="A131" s="220" t="s">
        <v>770</v>
      </c>
      <c r="B131" s="221" t="s">
        <v>156</v>
      </c>
      <c r="C131" s="222" t="s">
        <v>952</v>
      </c>
      <c r="D131" s="290">
        <v>4</v>
      </c>
      <c r="E131" s="199">
        <v>0</v>
      </c>
      <c r="F131" s="200">
        <v>48</v>
      </c>
      <c r="G131" s="201">
        <v>114</v>
      </c>
      <c r="H131" s="202">
        <v>86.1</v>
      </c>
      <c r="I131" s="203">
        <v>3.9</v>
      </c>
      <c r="J131" s="203" t="s">
        <v>2</v>
      </c>
      <c r="K131" s="203">
        <v>8</v>
      </c>
      <c r="L131" s="203">
        <v>5.0999999999999996</v>
      </c>
      <c r="M131" s="204">
        <v>2</v>
      </c>
      <c r="N131" s="200">
        <v>211</v>
      </c>
      <c r="O131" s="200">
        <v>3</v>
      </c>
      <c r="P131" s="203" t="s">
        <v>2</v>
      </c>
      <c r="Q131" s="203" t="s">
        <v>2</v>
      </c>
      <c r="R131" s="200" t="s">
        <v>2</v>
      </c>
      <c r="S131" s="200" t="s">
        <v>2</v>
      </c>
      <c r="T131" s="200" t="s">
        <v>2</v>
      </c>
      <c r="U131" s="205" t="s">
        <v>2</v>
      </c>
      <c r="V131" s="205" t="s">
        <v>2</v>
      </c>
      <c r="W131" s="204" t="s">
        <v>2</v>
      </c>
      <c r="X131" s="203">
        <v>75</v>
      </c>
      <c r="Y131" s="205" t="s">
        <v>2</v>
      </c>
      <c r="Z131" s="205" t="s">
        <v>2</v>
      </c>
      <c r="AA131" s="205" t="s">
        <v>2</v>
      </c>
      <c r="AB131" s="205" t="s">
        <v>2</v>
      </c>
      <c r="AC131" s="205" t="s">
        <v>2</v>
      </c>
      <c r="AD131" s="200" t="s">
        <v>2</v>
      </c>
      <c r="AE131" s="200" t="s">
        <v>2</v>
      </c>
      <c r="AF131" s="203" t="s">
        <v>2</v>
      </c>
      <c r="AG131" s="204" t="s">
        <v>2</v>
      </c>
      <c r="AH131" s="200">
        <v>0</v>
      </c>
      <c r="AI131" s="200">
        <v>28</v>
      </c>
      <c r="AJ131" s="203" t="s">
        <v>2</v>
      </c>
      <c r="AK131" s="203" t="s">
        <v>2</v>
      </c>
      <c r="AL131" s="204" t="s">
        <v>2</v>
      </c>
      <c r="AM131" s="200">
        <v>330</v>
      </c>
      <c r="AN131" s="200" t="s">
        <v>2</v>
      </c>
      <c r="AO131" s="201" t="s">
        <v>2</v>
      </c>
      <c r="AP131" s="203" t="s">
        <v>2</v>
      </c>
      <c r="AQ131" s="205" t="s">
        <v>2</v>
      </c>
      <c r="AR131" s="205" t="s">
        <v>2</v>
      </c>
      <c r="AS131" s="205" t="s">
        <v>2</v>
      </c>
      <c r="AT131" s="205" t="s">
        <v>2</v>
      </c>
      <c r="AU131" s="205" t="s">
        <v>2</v>
      </c>
      <c r="AV131" s="206" t="s">
        <v>2</v>
      </c>
      <c r="AW131" s="203" t="s">
        <v>2</v>
      </c>
      <c r="AX131" s="205" t="s">
        <v>2</v>
      </c>
      <c r="AY131" s="205" t="s">
        <v>2</v>
      </c>
      <c r="AZ131" s="206" t="s">
        <v>2</v>
      </c>
      <c r="BA131" s="203" t="s">
        <v>2</v>
      </c>
      <c r="BB131" s="205" t="s">
        <v>2</v>
      </c>
      <c r="BC131" s="205" t="s">
        <v>2</v>
      </c>
      <c r="BD131" s="205" t="s">
        <v>2</v>
      </c>
      <c r="BE131" s="205" t="s">
        <v>2</v>
      </c>
      <c r="BF131" s="206" t="s">
        <v>2</v>
      </c>
      <c r="BG131" s="199" t="s">
        <v>2</v>
      </c>
      <c r="BH131" s="199">
        <v>0</v>
      </c>
      <c r="BI131" s="200" t="s">
        <v>2</v>
      </c>
      <c r="BJ131" s="200" t="s">
        <v>2</v>
      </c>
      <c r="BK131" s="200" t="s">
        <v>2</v>
      </c>
      <c r="BL131" s="200" t="s">
        <v>2</v>
      </c>
      <c r="BM131" s="200" t="s">
        <v>2</v>
      </c>
      <c r="BN131" s="200" t="s">
        <v>2</v>
      </c>
      <c r="BO131" s="200" t="s">
        <v>2</v>
      </c>
      <c r="BP131" s="200" t="s">
        <v>2</v>
      </c>
      <c r="BQ131" s="200" t="s">
        <v>2</v>
      </c>
      <c r="BR131" s="200" t="s">
        <v>2</v>
      </c>
      <c r="BS131" s="200" t="s">
        <v>2</v>
      </c>
      <c r="BT131" s="200" t="s">
        <v>2</v>
      </c>
      <c r="BU131" s="200" t="s">
        <v>2</v>
      </c>
      <c r="BV131" s="200" t="s">
        <v>2</v>
      </c>
      <c r="BW131" s="200" t="s">
        <v>2</v>
      </c>
      <c r="BX131" s="200" t="s">
        <v>2</v>
      </c>
      <c r="BY131" s="200" t="s">
        <v>2</v>
      </c>
      <c r="BZ131" s="201" t="s">
        <v>2</v>
      </c>
      <c r="CA131" s="203" t="s">
        <v>2</v>
      </c>
      <c r="CB131" s="203" t="s">
        <v>2</v>
      </c>
      <c r="CC131" s="203" t="s">
        <v>2</v>
      </c>
      <c r="CD131" s="203" t="s">
        <v>2</v>
      </c>
      <c r="CE131" s="203" t="s">
        <v>2</v>
      </c>
      <c r="CF131" s="203" t="s">
        <v>2</v>
      </c>
      <c r="CG131" s="204" t="s">
        <v>2</v>
      </c>
      <c r="CH131" s="200" t="s">
        <v>2</v>
      </c>
      <c r="CI131" s="201" t="s">
        <v>2</v>
      </c>
      <c r="CJ131" s="203" t="s">
        <v>2</v>
      </c>
      <c r="CK131" s="203" t="s">
        <v>2</v>
      </c>
      <c r="CL131" s="203" t="s">
        <v>2</v>
      </c>
      <c r="CM131" s="204" t="s">
        <v>2</v>
      </c>
      <c r="CN131" s="199" t="s">
        <v>2</v>
      </c>
      <c r="CO131" s="199" t="s">
        <v>2</v>
      </c>
    </row>
    <row r="132" spans="1:93" s="207" customFormat="1" ht="15" x14ac:dyDescent="0.25">
      <c r="A132" s="220" t="s">
        <v>771</v>
      </c>
      <c r="B132" s="221" t="s">
        <v>157</v>
      </c>
      <c r="C132" s="222" t="s">
        <v>953</v>
      </c>
      <c r="D132" s="290">
        <v>4</v>
      </c>
      <c r="E132" s="199">
        <v>0</v>
      </c>
      <c r="F132" s="200">
        <v>96</v>
      </c>
      <c r="G132" s="201">
        <v>401.28</v>
      </c>
      <c r="H132" s="202">
        <v>74.8</v>
      </c>
      <c r="I132" s="203">
        <v>7</v>
      </c>
      <c r="J132" s="203" t="s">
        <v>2</v>
      </c>
      <c r="K132" s="203">
        <v>16.899999999999999</v>
      </c>
      <c r="L132" s="203">
        <v>4.3</v>
      </c>
      <c r="M132" s="204">
        <v>1.3</v>
      </c>
      <c r="N132" s="200">
        <v>200</v>
      </c>
      <c r="O132" s="200">
        <v>27</v>
      </c>
      <c r="P132" s="203">
        <v>1.9</v>
      </c>
      <c r="Q132" s="203" t="s">
        <v>2</v>
      </c>
      <c r="R132" s="200" t="s">
        <v>2</v>
      </c>
      <c r="S132" s="200" t="s">
        <v>2</v>
      </c>
      <c r="T132" s="200" t="s">
        <v>2</v>
      </c>
      <c r="U132" s="205" t="s">
        <v>2</v>
      </c>
      <c r="V132" s="205" t="s">
        <v>2</v>
      </c>
      <c r="W132" s="204" t="s">
        <v>2</v>
      </c>
      <c r="X132" s="203">
        <v>295</v>
      </c>
      <c r="Y132" s="205">
        <v>0.25</v>
      </c>
      <c r="Z132" s="205">
        <v>0.66</v>
      </c>
      <c r="AA132" s="205">
        <v>2.4</v>
      </c>
      <c r="AB132" s="205" t="s">
        <v>2</v>
      </c>
      <c r="AC132" s="205" t="s">
        <v>2</v>
      </c>
      <c r="AD132" s="200" t="s">
        <v>2</v>
      </c>
      <c r="AE132" s="200" t="s">
        <v>2</v>
      </c>
      <c r="AF132" s="203" t="s">
        <v>2</v>
      </c>
      <c r="AG132" s="204" t="s">
        <v>2</v>
      </c>
      <c r="AH132" s="200">
        <v>0</v>
      </c>
      <c r="AI132" s="200">
        <v>690</v>
      </c>
      <c r="AJ132" s="203" t="s">
        <v>2</v>
      </c>
      <c r="AK132" s="203" t="s">
        <v>2</v>
      </c>
      <c r="AL132" s="204" t="s">
        <v>2</v>
      </c>
      <c r="AM132" s="200">
        <v>8280</v>
      </c>
      <c r="AN132" s="200" t="s">
        <v>2</v>
      </c>
      <c r="AO132" s="201" t="s">
        <v>2</v>
      </c>
      <c r="AP132" s="203" t="s">
        <v>2</v>
      </c>
      <c r="AQ132" s="205" t="s">
        <v>2</v>
      </c>
      <c r="AR132" s="205" t="s">
        <v>2</v>
      </c>
      <c r="AS132" s="205" t="s">
        <v>2</v>
      </c>
      <c r="AT132" s="205" t="s">
        <v>2</v>
      </c>
      <c r="AU132" s="205" t="s">
        <v>2</v>
      </c>
      <c r="AV132" s="206" t="s">
        <v>2</v>
      </c>
      <c r="AW132" s="203" t="s">
        <v>2</v>
      </c>
      <c r="AX132" s="205" t="s">
        <v>2</v>
      </c>
      <c r="AY132" s="205" t="s">
        <v>2</v>
      </c>
      <c r="AZ132" s="206" t="s">
        <v>2</v>
      </c>
      <c r="BA132" s="203" t="s">
        <v>2</v>
      </c>
      <c r="BB132" s="205" t="s">
        <v>2</v>
      </c>
      <c r="BC132" s="205" t="s">
        <v>2</v>
      </c>
      <c r="BD132" s="205" t="s">
        <v>2</v>
      </c>
      <c r="BE132" s="205" t="s">
        <v>2</v>
      </c>
      <c r="BF132" s="206" t="s">
        <v>2</v>
      </c>
      <c r="BG132" s="199" t="s">
        <v>2</v>
      </c>
      <c r="BH132" s="199">
        <v>0</v>
      </c>
      <c r="BI132" s="200">
        <v>340</v>
      </c>
      <c r="BJ132" s="200">
        <v>140</v>
      </c>
      <c r="BK132" s="200">
        <v>110</v>
      </c>
      <c r="BL132" s="200">
        <v>420</v>
      </c>
      <c r="BM132" s="200">
        <v>300</v>
      </c>
      <c r="BN132" s="200">
        <v>460</v>
      </c>
      <c r="BO132" s="200">
        <v>710</v>
      </c>
      <c r="BP132" s="200">
        <v>390</v>
      </c>
      <c r="BQ132" s="200">
        <v>350</v>
      </c>
      <c r="BR132" s="200">
        <v>150</v>
      </c>
      <c r="BS132" s="200">
        <v>76</v>
      </c>
      <c r="BT132" s="200">
        <v>227</v>
      </c>
      <c r="BU132" s="200" t="s">
        <v>2</v>
      </c>
      <c r="BV132" s="200" t="s">
        <v>2</v>
      </c>
      <c r="BW132" s="200" t="s">
        <v>2</v>
      </c>
      <c r="BX132" s="200" t="s">
        <v>2</v>
      </c>
      <c r="BY132" s="200" t="s">
        <v>2</v>
      </c>
      <c r="BZ132" s="201" t="s">
        <v>2</v>
      </c>
      <c r="CA132" s="203" t="s">
        <v>2</v>
      </c>
      <c r="CB132" s="203" t="s">
        <v>2</v>
      </c>
      <c r="CC132" s="203" t="s">
        <v>2</v>
      </c>
      <c r="CD132" s="203" t="s">
        <v>2</v>
      </c>
      <c r="CE132" s="203" t="s">
        <v>2</v>
      </c>
      <c r="CF132" s="203" t="s">
        <v>2</v>
      </c>
      <c r="CG132" s="204" t="s">
        <v>2</v>
      </c>
      <c r="CH132" s="200" t="s">
        <v>2</v>
      </c>
      <c r="CI132" s="201" t="s">
        <v>2</v>
      </c>
      <c r="CJ132" s="203" t="s">
        <v>2</v>
      </c>
      <c r="CK132" s="203" t="s">
        <v>2</v>
      </c>
      <c r="CL132" s="203" t="s">
        <v>2</v>
      </c>
      <c r="CM132" s="204" t="s">
        <v>2</v>
      </c>
      <c r="CN132" s="199" t="s">
        <v>2</v>
      </c>
      <c r="CO132" s="199" t="s">
        <v>2</v>
      </c>
    </row>
    <row r="133" spans="1:93" s="207" customFormat="1" ht="15" x14ac:dyDescent="0.25">
      <c r="A133" s="220" t="s">
        <v>772</v>
      </c>
      <c r="B133" s="221" t="s">
        <v>158</v>
      </c>
      <c r="C133" s="222" t="s">
        <v>954</v>
      </c>
      <c r="D133" s="290">
        <v>4</v>
      </c>
      <c r="E133" s="199">
        <v>24</v>
      </c>
      <c r="F133" s="200">
        <v>28</v>
      </c>
      <c r="G133" s="201">
        <v>117.04</v>
      </c>
      <c r="H133" s="202">
        <v>92.8</v>
      </c>
      <c r="I133" s="203">
        <v>1.4</v>
      </c>
      <c r="J133" s="203" t="s">
        <v>2</v>
      </c>
      <c r="K133" s="203">
        <v>5.5</v>
      </c>
      <c r="L133" s="203">
        <v>4.0999999999999996</v>
      </c>
      <c r="M133" s="204">
        <v>0.3</v>
      </c>
      <c r="N133" s="200">
        <v>18</v>
      </c>
      <c r="O133" s="200">
        <v>29</v>
      </c>
      <c r="P133" s="203">
        <v>0.9</v>
      </c>
      <c r="Q133" s="203">
        <v>1.1000000000000001</v>
      </c>
      <c r="R133" s="200">
        <v>9</v>
      </c>
      <c r="S133" s="200">
        <v>486</v>
      </c>
      <c r="T133" s="200">
        <v>88</v>
      </c>
      <c r="U133" s="205" t="s">
        <v>2</v>
      </c>
      <c r="V133" s="205">
        <v>190</v>
      </c>
      <c r="W133" s="204" t="s">
        <v>2</v>
      </c>
      <c r="X133" s="203">
        <v>9</v>
      </c>
      <c r="Y133" s="205">
        <v>0.11</v>
      </c>
      <c r="Z133" s="205">
        <v>0.09</v>
      </c>
      <c r="AA133" s="205">
        <v>0.6</v>
      </c>
      <c r="AB133" s="205" t="s">
        <v>2</v>
      </c>
      <c r="AC133" s="205" t="s">
        <v>2</v>
      </c>
      <c r="AD133" s="200" t="s">
        <v>2</v>
      </c>
      <c r="AE133" s="200" t="s">
        <v>2</v>
      </c>
      <c r="AF133" s="203" t="s">
        <v>2</v>
      </c>
      <c r="AG133" s="204" t="s">
        <v>2</v>
      </c>
      <c r="AH133" s="200">
        <v>0</v>
      </c>
      <c r="AI133" s="200">
        <v>1</v>
      </c>
      <c r="AJ133" s="203" t="s">
        <v>2</v>
      </c>
      <c r="AK133" s="203" t="s">
        <v>2</v>
      </c>
      <c r="AL133" s="204" t="s">
        <v>2</v>
      </c>
      <c r="AM133" s="200">
        <v>15</v>
      </c>
      <c r="AN133" s="200" t="s">
        <v>2</v>
      </c>
      <c r="AO133" s="201" t="s">
        <v>2</v>
      </c>
      <c r="AP133" s="203" t="s">
        <v>2</v>
      </c>
      <c r="AQ133" s="205" t="s">
        <v>2</v>
      </c>
      <c r="AR133" s="205" t="s">
        <v>2</v>
      </c>
      <c r="AS133" s="205" t="s">
        <v>2</v>
      </c>
      <c r="AT133" s="205" t="s">
        <v>2</v>
      </c>
      <c r="AU133" s="205" t="s">
        <v>2</v>
      </c>
      <c r="AV133" s="206" t="s">
        <v>2</v>
      </c>
      <c r="AW133" s="203" t="s">
        <v>2</v>
      </c>
      <c r="AX133" s="205" t="s">
        <v>2</v>
      </c>
      <c r="AY133" s="205" t="s">
        <v>2</v>
      </c>
      <c r="AZ133" s="206" t="s">
        <v>2</v>
      </c>
      <c r="BA133" s="203" t="s">
        <v>2</v>
      </c>
      <c r="BB133" s="205" t="s">
        <v>2</v>
      </c>
      <c r="BC133" s="205" t="s">
        <v>2</v>
      </c>
      <c r="BD133" s="205" t="s">
        <v>2</v>
      </c>
      <c r="BE133" s="205" t="s">
        <v>2</v>
      </c>
      <c r="BF133" s="206" t="s">
        <v>2</v>
      </c>
      <c r="BG133" s="199" t="s">
        <v>2</v>
      </c>
      <c r="BH133" s="199">
        <v>0</v>
      </c>
      <c r="BI133" s="200" t="s">
        <v>2</v>
      </c>
      <c r="BJ133" s="200" t="s">
        <v>2</v>
      </c>
      <c r="BK133" s="200" t="s">
        <v>2</v>
      </c>
      <c r="BL133" s="200" t="s">
        <v>2</v>
      </c>
      <c r="BM133" s="200" t="s">
        <v>2</v>
      </c>
      <c r="BN133" s="200" t="s">
        <v>2</v>
      </c>
      <c r="BO133" s="200" t="s">
        <v>2</v>
      </c>
      <c r="BP133" s="200" t="s">
        <v>2</v>
      </c>
      <c r="BQ133" s="200" t="s">
        <v>2</v>
      </c>
      <c r="BR133" s="200" t="s">
        <v>2</v>
      </c>
      <c r="BS133" s="200" t="s">
        <v>2</v>
      </c>
      <c r="BT133" s="200" t="s">
        <v>2</v>
      </c>
      <c r="BU133" s="200" t="s">
        <v>2</v>
      </c>
      <c r="BV133" s="200" t="s">
        <v>2</v>
      </c>
      <c r="BW133" s="200" t="s">
        <v>2</v>
      </c>
      <c r="BX133" s="200" t="s">
        <v>2</v>
      </c>
      <c r="BY133" s="200" t="s">
        <v>2</v>
      </c>
      <c r="BZ133" s="201" t="s">
        <v>2</v>
      </c>
      <c r="CA133" s="203" t="s">
        <v>2</v>
      </c>
      <c r="CB133" s="203" t="s">
        <v>2</v>
      </c>
      <c r="CC133" s="203" t="s">
        <v>2</v>
      </c>
      <c r="CD133" s="203" t="s">
        <v>2</v>
      </c>
      <c r="CE133" s="203" t="s">
        <v>2</v>
      </c>
      <c r="CF133" s="203" t="s">
        <v>2</v>
      </c>
      <c r="CG133" s="204" t="s">
        <v>2</v>
      </c>
      <c r="CH133" s="200" t="s">
        <v>2</v>
      </c>
      <c r="CI133" s="201" t="s">
        <v>2</v>
      </c>
      <c r="CJ133" s="203" t="s">
        <v>2</v>
      </c>
      <c r="CK133" s="203" t="s">
        <v>2</v>
      </c>
      <c r="CL133" s="203" t="s">
        <v>2</v>
      </c>
      <c r="CM133" s="204" t="s">
        <v>2</v>
      </c>
      <c r="CN133" s="199" t="s">
        <v>2</v>
      </c>
      <c r="CO133" s="199" t="s">
        <v>2</v>
      </c>
    </row>
    <row r="134" spans="1:93" s="207" customFormat="1" ht="15" x14ac:dyDescent="0.25">
      <c r="A134" s="220" t="s">
        <v>773</v>
      </c>
      <c r="B134" s="221" t="s">
        <v>159</v>
      </c>
      <c r="C134" s="222" t="s">
        <v>955</v>
      </c>
      <c r="D134" s="290">
        <v>4</v>
      </c>
      <c r="E134" s="199">
        <v>0</v>
      </c>
      <c r="F134" s="200">
        <v>301</v>
      </c>
      <c r="G134" s="201">
        <v>1258.18</v>
      </c>
      <c r="H134" s="202">
        <v>23</v>
      </c>
      <c r="I134" s="203">
        <v>13</v>
      </c>
      <c r="J134" s="203">
        <v>2.1</v>
      </c>
      <c r="K134" s="203">
        <v>57.5</v>
      </c>
      <c r="L134" s="203">
        <v>36</v>
      </c>
      <c r="M134" s="204">
        <v>4.4000000000000004</v>
      </c>
      <c r="N134" s="200">
        <v>100</v>
      </c>
      <c r="O134" s="200">
        <v>200</v>
      </c>
      <c r="P134" s="203">
        <v>5</v>
      </c>
      <c r="Q134" s="203" t="s">
        <v>2</v>
      </c>
      <c r="R134" s="200" t="s">
        <v>2</v>
      </c>
      <c r="S134" s="200" t="s">
        <v>2</v>
      </c>
      <c r="T134" s="200" t="s">
        <v>2</v>
      </c>
      <c r="U134" s="205" t="s">
        <v>2</v>
      </c>
      <c r="V134" s="205" t="s">
        <v>2</v>
      </c>
      <c r="W134" s="204" t="s">
        <v>2</v>
      </c>
      <c r="X134" s="203">
        <v>1</v>
      </c>
      <c r="Y134" s="205">
        <v>0.11</v>
      </c>
      <c r="Z134" s="205">
        <v>0.14000000000000001</v>
      </c>
      <c r="AA134" s="205">
        <v>1.3</v>
      </c>
      <c r="AB134" s="205" t="s">
        <v>2</v>
      </c>
      <c r="AC134" s="205" t="s">
        <v>2</v>
      </c>
      <c r="AD134" s="200" t="s">
        <v>2</v>
      </c>
      <c r="AE134" s="200" t="s">
        <v>2</v>
      </c>
      <c r="AF134" s="203" t="s">
        <v>2</v>
      </c>
      <c r="AG134" s="204" t="s">
        <v>2</v>
      </c>
      <c r="AH134" s="200">
        <v>0</v>
      </c>
      <c r="AI134" s="200">
        <v>2</v>
      </c>
      <c r="AJ134" s="203" t="s">
        <v>2</v>
      </c>
      <c r="AK134" s="203" t="s">
        <v>2</v>
      </c>
      <c r="AL134" s="204" t="s">
        <v>2</v>
      </c>
      <c r="AM134" s="200">
        <v>20</v>
      </c>
      <c r="AN134" s="200" t="s">
        <v>2</v>
      </c>
      <c r="AO134" s="201" t="s">
        <v>2</v>
      </c>
      <c r="AP134" s="203" t="s">
        <v>2</v>
      </c>
      <c r="AQ134" s="205" t="s">
        <v>2</v>
      </c>
      <c r="AR134" s="205" t="s">
        <v>2</v>
      </c>
      <c r="AS134" s="205" t="s">
        <v>2</v>
      </c>
      <c r="AT134" s="205" t="s">
        <v>2</v>
      </c>
      <c r="AU134" s="205" t="s">
        <v>2</v>
      </c>
      <c r="AV134" s="206" t="s">
        <v>2</v>
      </c>
      <c r="AW134" s="203" t="s">
        <v>2</v>
      </c>
      <c r="AX134" s="205" t="s">
        <v>2</v>
      </c>
      <c r="AY134" s="205" t="s">
        <v>2</v>
      </c>
      <c r="AZ134" s="206" t="s">
        <v>2</v>
      </c>
      <c r="BA134" s="203" t="s">
        <v>2</v>
      </c>
      <c r="BB134" s="205" t="s">
        <v>2</v>
      </c>
      <c r="BC134" s="205" t="s">
        <v>2</v>
      </c>
      <c r="BD134" s="205" t="s">
        <v>2</v>
      </c>
      <c r="BE134" s="205" t="s">
        <v>2</v>
      </c>
      <c r="BF134" s="206" t="s">
        <v>2</v>
      </c>
      <c r="BG134" s="199" t="s">
        <v>2</v>
      </c>
      <c r="BH134" s="199">
        <v>0</v>
      </c>
      <c r="BI134" s="200" t="s">
        <v>2</v>
      </c>
      <c r="BJ134" s="200" t="s">
        <v>2</v>
      </c>
      <c r="BK134" s="200" t="s">
        <v>2</v>
      </c>
      <c r="BL134" s="200" t="s">
        <v>2</v>
      </c>
      <c r="BM134" s="200" t="s">
        <v>2</v>
      </c>
      <c r="BN134" s="200" t="s">
        <v>2</v>
      </c>
      <c r="BO134" s="200" t="s">
        <v>2</v>
      </c>
      <c r="BP134" s="200" t="s">
        <v>2</v>
      </c>
      <c r="BQ134" s="200" t="s">
        <v>2</v>
      </c>
      <c r="BR134" s="200" t="s">
        <v>2</v>
      </c>
      <c r="BS134" s="200" t="s">
        <v>2</v>
      </c>
      <c r="BT134" s="200" t="s">
        <v>2</v>
      </c>
      <c r="BU134" s="200" t="s">
        <v>2</v>
      </c>
      <c r="BV134" s="200" t="s">
        <v>2</v>
      </c>
      <c r="BW134" s="200" t="s">
        <v>2</v>
      </c>
      <c r="BX134" s="200" t="s">
        <v>2</v>
      </c>
      <c r="BY134" s="200" t="s">
        <v>2</v>
      </c>
      <c r="BZ134" s="201" t="s">
        <v>2</v>
      </c>
      <c r="CA134" s="203" t="s">
        <v>2</v>
      </c>
      <c r="CB134" s="203" t="s">
        <v>2</v>
      </c>
      <c r="CC134" s="203" t="s">
        <v>2</v>
      </c>
      <c r="CD134" s="203" t="s">
        <v>2</v>
      </c>
      <c r="CE134" s="203" t="s">
        <v>2</v>
      </c>
      <c r="CF134" s="203" t="s">
        <v>2</v>
      </c>
      <c r="CG134" s="204" t="s">
        <v>2</v>
      </c>
      <c r="CH134" s="200" t="s">
        <v>2</v>
      </c>
      <c r="CI134" s="201" t="s">
        <v>2</v>
      </c>
      <c r="CJ134" s="203" t="s">
        <v>2</v>
      </c>
      <c r="CK134" s="203" t="s">
        <v>2</v>
      </c>
      <c r="CL134" s="203" t="s">
        <v>2</v>
      </c>
      <c r="CM134" s="204" t="s">
        <v>2</v>
      </c>
      <c r="CN134" s="199" t="s">
        <v>2</v>
      </c>
      <c r="CO134" s="199" t="s">
        <v>2</v>
      </c>
    </row>
    <row r="135" spans="1:93" s="207" customFormat="1" ht="15" x14ac:dyDescent="0.25">
      <c r="A135" s="220" t="s">
        <v>774</v>
      </c>
      <c r="B135" s="221" t="s">
        <v>160</v>
      </c>
      <c r="C135" s="222" t="s">
        <v>956</v>
      </c>
      <c r="D135" s="290">
        <v>4</v>
      </c>
      <c r="E135" s="199">
        <v>50</v>
      </c>
      <c r="F135" s="200">
        <v>24</v>
      </c>
      <c r="G135" s="201">
        <v>100.32</v>
      </c>
      <c r="H135" s="202">
        <v>93.7</v>
      </c>
      <c r="I135" s="203">
        <v>2.2000000000000002</v>
      </c>
      <c r="J135" s="203">
        <v>0.14000000000000001</v>
      </c>
      <c r="K135" s="203">
        <v>3.36</v>
      </c>
      <c r="L135" s="203">
        <v>2.2999999999999998</v>
      </c>
      <c r="M135" s="204">
        <v>0.6</v>
      </c>
      <c r="N135" s="200">
        <v>21</v>
      </c>
      <c r="O135" s="200">
        <v>6</v>
      </c>
      <c r="P135" s="203">
        <v>0.9</v>
      </c>
      <c r="Q135" s="203">
        <v>0.54</v>
      </c>
      <c r="R135" s="200">
        <v>2</v>
      </c>
      <c r="S135" s="200">
        <v>202</v>
      </c>
      <c r="T135" s="200">
        <v>14</v>
      </c>
      <c r="U135" s="205">
        <v>0.158</v>
      </c>
      <c r="V135" s="205">
        <v>189</v>
      </c>
      <c r="W135" s="204">
        <v>2.2999999999999998</v>
      </c>
      <c r="X135" s="203">
        <v>10</v>
      </c>
      <c r="Y135" s="205">
        <v>0.16</v>
      </c>
      <c r="Z135" s="205">
        <v>0.03</v>
      </c>
      <c r="AA135" s="205">
        <v>3</v>
      </c>
      <c r="AB135" s="205">
        <v>0.27400000000000002</v>
      </c>
      <c r="AC135" s="205">
        <v>9.0999999999999998E-2</v>
      </c>
      <c r="AD135" s="200">
        <v>52</v>
      </c>
      <c r="AE135" s="200">
        <v>0</v>
      </c>
      <c r="AF135" s="203">
        <v>0.2</v>
      </c>
      <c r="AG135" s="204">
        <v>0</v>
      </c>
      <c r="AH135" s="200">
        <v>0</v>
      </c>
      <c r="AI135" s="200">
        <v>38</v>
      </c>
      <c r="AJ135" s="203" t="s">
        <v>2</v>
      </c>
      <c r="AK135" s="203">
        <v>1.1299999999999999</v>
      </c>
      <c r="AL135" s="204">
        <v>41.6</v>
      </c>
      <c r="AM135" s="200">
        <v>449</v>
      </c>
      <c r="AN135" s="200">
        <v>9</v>
      </c>
      <c r="AO135" s="201">
        <v>0</v>
      </c>
      <c r="AP135" s="203">
        <v>4.5999999999999999E-2</v>
      </c>
      <c r="AQ135" s="205">
        <v>0.04</v>
      </c>
      <c r="AR135" s="205">
        <v>0</v>
      </c>
      <c r="AS135" s="205">
        <v>0</v>
      </c>
      <c r="AT135" s="205">
        <v>0</v>
      </c>
      <c r="AU135" s="205">
        <v>0</v>
      </c>
      <c r="AV135" s="206">
        <v>0</v>
      </c>
      <c r="AW135" s="203">
        <v>6.0000000000000001E-3</v>
      </c>
      <c r="AX135" s="205">
        <v>0</v>
      </c>
      <c r="AY135" s="205">
        <v>0</v>
      </c>
      <c r="AZ135" s="206">
        <v>0</v>
      </c>
      <c r="BA135" s="203">
        <v>8.7999999999999995E-2</v>
      </c>
      <c r="BB135" s="205">
        <v>0.04</v>
      </c>
      <c r="BC135" s="205">
        <v>0.01</v>
      </c>
      <c r="BD135" s="205">
        <v>0</v>
      </c>
      <c r="BE135" s="205">
        <v>0</v>
      </c>
      <c r="BF135" s="206">
        <v>0</v>
      </c>
      <c r="BG135" s="199" t="s">
        <v>2</v>
      </c>
      <c r="BH135" s="199">
        <v>0</v>
      </c>
      <c r="BI135" s="200">
        <v>108</v>
      </c>
      <c r="BJ135" s="200">
        <v>22</v>
      </c>
      <c r="BK135" s="200">
        <v>22</v>
      </c>
      <c r="BL135" s="200">
        <v>54</v>
      </c>
      <c r="BM135" s="200">
        <v>64</v>
      </c>
      <c r="BN135" s="200">
        <v>88</v>
      </c>
      <c r="BO135" s="200">
        <v>99</v>
      </c>
      <c r="BP135" s="200">
        <v>84</v>
      </c>
      <c r="BQ135" s="200">
        <v>107</v>
      </c>
      <c r="BR135" s="200">
        <v>35</v>
      </c>
      <c r="BS135" s="200">
        <v>27</v>
      </c>
      <c r="BT135" s="200">
        <v>36</v>
      </c>
      <c r="BU135" s="200">
        <v>107</v>
      </c>
      <c r="BV135" s="200">
        <v>265</v>
      </c>
      <c r="BW135" s="200">
        <v>374</v>
      </c>
      <c r="BX135" s="200">
        <v>74</v>
      </c>
      <c r="BY135" s="200">
        <v>121</v>
      </c>
      <c r="BZ135" s="201">
        <v>87</v>
      </c>
      <c r="CA135" s="203">
        <v>1.88</v>
      </c>
      <c r="CB135" s="203" t="s">
        <v>2</v>
      </c>
      <c r="CC135" s="203" t="s">
        <v>2</v>
      </c>
      <c r="CD135" s="203" t="s">
        <v>2</v>
      </c>
      <c r="CE135" s="203" t="s">
        <v>2</v>
      </c>
      <c r="CF135" s="203" t="s">
        <v>2</v>
      </c>
      <c r="CG135" s="204" t="s">
        <v>2</v>
      </c>
      <c r="CH135" s="200">
        <v>0</v>
      </c>
      <c r="CI135" s="201">
        <v>710</v>
      </c>
      <c r="CJ135" s="203" t="s">
        <v>2</v>
      </c>
      <c r="CK135" s="203" t="s">
        <v>2</v>
      </c>
      <c r="CL135" s="203" t="s">
        <v>2</v>
      </c>
      <c r="CM135" s="204" t="s">
        <v>2</v>
      </c>
      <c r="CN135" s="199">
        <v>24</v>
      </c>
      <c r="CO135" s="199">
        <v>23</v>
      </c>
    </row>
    <row r="136" spans="1:93" s="207" customFormat="1" ht="15" x14ac:dyDescent="0.25">
      <c r="A136" s="220" t="s">
        <v>775</v>
      </c>
      <c r="B136" s="221" t="s">
        <v>161</v>
      </c>
      <c r="C136" s="222" t="s">
        <v>957</v>
      </c>
      <c r="D136" s="290">
        <v>4</v>
      </c>
      <c r="E136" s="199">
        <v>50</v>
      </c>
      <c r="F136" s="200">
        <v>31</v>
      </c>
      <c r="G136" s="201">
        <v>129.57999999999998</v>
      </c>
      <c r="H136" s="202">
        <v>92</v>
      </c>
      <c r="I136" s="203">
        <v>1.7</v>
      </c>
      <c r="J136" s="203">
        <v>0.21</v>
      </c>
      <c r="K136" s="203">
        <v>5.59</v>
      </c>
      <c r="L136" s="203">
        <v>4.0999999999999996</v>
      </c>
      <c r="M136" s="204">
        <v>0.5</v>
      </c>
      <c r="N136" s="200">
        <v>22</v>
      </c>
      <c r="O136" s="200">
        <v>58</v>
      </c>
      <c r="P136" s="203">
        <v>1</v>
      </c>
      <c r="Q136" s="203">
        <v>1.1000000000000001</v>
      </c>
      <c r="R136" s="200">
        <v>4</v>
      </c>
      <c r="S136" s="200">
        <v>533</v>
      </c>
      <c r="T136" s="200">
        <v>3</v>
      </c>
      <c r="U136" s="205">
        <v>0.26200000000000001</v>
      </c>
      <c r="V136" s="205">
        <v>190</v>
      </c>
      <c r="W136" s="204">
        <v>0.8</v>
      </c>
      <c r="X136" s="203">
        <v>1</v>
      </c>
      <c r="Y136" s="205">
        <v>0.08</v>
      </c>
      <c r="Z136" s="205">
        <v>0.08</v>
      </c>
      <c r="AA136" s="205">
        <v>0.6</v>
      </c>
      <c r="AB136" s="205">
        <v>0.161</v>
      </c>
      <c r="AC136" s="205">
        <v>0.24</v>
      </c>
      <c r="AD136" s="200">
        <v>7</v>
      </c>
      <c r="AE136" s="200">
        <v>0</v>
      </c>
      <c r="AF136" s="203" t="s">
        <v>2</v>
      </c>
      <c r="AG136" s="204">
        <v>0</v>
      </c>
      <c r="AH136" s="200">
        <v>0</v>
      </c>
      <c r="AI136" s="200">
        <v>1</v>
      </c>
      <c r="AJ136" s="203" t="s">
        <v>2</v>
      </c>
      <c r="AK136" s="203">
        <v>1</v>
      </c>
      <c r="AL136" s="204">
        <v>0</v>
      </c>
      <c r="AM136" s="200">
        <v>12</v>
      </c>
      <c r="AN136" s="200" t="s">
        <v>2</v>
      </c>
      <c r="AO136" s="201" t="s">
        <v>2</v>
      </c>
      <c r="AP136" s="203">
        <v>6.9000000000000006E-2</v>
      </c>
      <c r="AQ136" s="205">
        <v>5.0999999999999997E-2</v>
      </c>
      <c r="AR136" s="205">
        <v>0</v>
      </c>
      <c r="AS136" s="205">
        <v>6.0000000000000001E-3</v>
      </c>
      <c r="AT136" s="205">
        <v>0</v>
      </c>
      <c r="AU136" s="205">
        <v>0</v>
      </c>
      <c r="AV136" s="206">
        <v>0</v>
      </c>
      <c r="AW136" s="203">
        <v>7.0000000000000001E-3</v>
      </c>
      <c r="AX136" s="205">
        <v>0</v>
      </c>
      <c r="AY136" s="205">
        <v>0</v>
      </c>
      <c r="AZ136" s="206">
        <v>7.0000000000000001E-3</v>
      </c>
      <c r="BA136" s="203">
        <v>0.13400000000000001</v>
      </c>
      <c r="BB136" s="205">
        <v>0.114</v>
      </c>
      <c r="BC136" s="205">
        <v>0.02</v>
      </c>
      <c r="BD136" s="205">
        <v>0</v>
      </c>
      <c r="BE136" s="205">
        <v>0</v>
      </c>
      <c r="BF136" s="206">
        <v>0</v>
      </c>
      <c r="BG136" s="199" t="s">
        <v>2</v>
      </c>
      <c r="BH136" s="199">
        <v>0</v>
      </c>
      <c r="BI136" s="200">
        <v>134</v>
      </c>
      <c r="BJ136" s="200">
        <v>30</v>
      </c>
      <c r="BK136" s="200">
        <v>27</v>
      </c>
      <c r="BL136" s="200">
        <v>90</v>
      </c>
      <c r="BM136" s="200">
        <v>86</v>
      </c>
      <c r="BN136" s="200">
        <v>106</v>
      </c>
      <c r="BO136" s="200">
        <v>140</v>
      </c>
      <c r="BP136" s="200">
        <v>88</v>
      </c>
      <c r="BQ136" s="200">
        <v>97</v>
      </c>
      <c r="BR136" s="200">
        <v>42</v>
      </c>
      <c r="BS136" s="200">
        <v>22</v>
      </c>
      <c r="BT136" s="200" t="s">
        <v>2</v>
      </c>
      <c r="BU136" s="200">
        <v>124</v>
      </c>
      <c r="BV136" s="200">
        <v>425</v>
      </c>
      <c r="BW136" s="200">
        <v>248</v>
      </c>
      <c r="BX136" s="200">
        <v>87</v>
      </c>
      <c r="BY136" s="200">
        <v>219</v>
      </c>
      <c r="BZ136" s="201">
        <v>127</v>
      </c>
      <c r="CA136" s="203">
        <v>3</v>
      </c>
      <c r="CB136" s="203" t="s">
        <v>2</v>
      </c>
      <c r="CC136" s="203" t="s">
        <v>2</v>
      </c>
      <c r="CD136" s="203" t="s">
        <v>2</v>
      </c>
      <c r="CE136" s="203" t="s">
        <v>2</v>
      </c>
      <c r="CF136" s="203" t="s">
        <v>2</v>
      </c>
      <c r="CG136" s="204" t="s">
        <v>2</v>
      </c>
      <c r="CH136" s="200" t="s">
        <v>2</v>
      </c>
      <c r="CI136" s="201" t="s">
        <v>2</v>
      </c>
      <c r="CJ136" s="203" t="s">
        <v>2</v>
      </c>
      <c r="CK136" s="203" t="s">
        <v>2</v>
      </c>
      <c r="CL136" s="203" t="s">
        <v>2</v>
      </c>
      <c r="CM136" s="204" t="s">
        <v>2</v>
      </c>
      <c r="CN136" s="199">
        <v>19</v>
      </c>
      <c r="CO136" s="199">
        <v>29</v>
      </c>
    </row>
    <row r="137" spans="1:93" s="207" customFormat="1" ht="15" x14ac:dyDescent="0.25">
      <c r="A137" s="220" t="s">
        <v>776</v>
      </c>
      <c r="B137" s="221" t="s">
        <v>162</v>
      </c>
      <c r="C137" s="222" t="s">
        <v>958</v>
      </c>
      <c r="D137" s="290">
        <v>4</v>
      </c>
      <c r="E137" s="199">
        <v>12</v>
      </c>
      <c r="F137" s="200">
        <v>18</v>
      </c>
      <c r="G137" s="201">
        <v>75.239999999999995</v>
      </c>
      <c r="H137" s="202">
        <v>95.1</v>
      </c>
      <c r="I137" s="203">
        <v>0.9</v>
      </c>
      <c r="J137" s="203">
        <v>0.14000000000000001</v>
      </c>
      <c r="K137" s="203">
        <v>3.36</v>
      </c>
      <c r="L137" s="203">
        <v>0.5</v>
      </c>
      <c r="M137" s="204">
        <v>0.5</v>
      </c>
      <c r="N137" s="200">
        <v>28</v>
      </c>
      <c r="O137" s="200">
        <v>45</v>
      </c>
      <c r="P137" s="203">
        <v>0.8</v>
      </c>
      <c r="Q137" s="203">
        <v>7.0000000000000007E-2</v>
      </c>
      <c r="R137" s="200">
        <v>3</v>
      </c>
      <c r="S137" s="200">
        <v>139</v>
      </c>
      <c r="T137" s="200">
        <v>14</v>
      </c>
      <c r="U137" s="205">
        <v>9.1999999999999998E-2</v>
      </c>
      <c r="V137" s="205">
        <v>35</v>
      </c>
      <c r="W137" s="204">
        <v>0.2</v>
      </c>
      <c r="X137" s="203">
        <v>8</v>
      </c>
      <c r="Y137" s="205">
        <v>0.04</v>
      </c>
      <c r="Z137" s="205">
        <v>0.06</v>
      </c>
      <c r="AA137" s="205">
        <v>0.5</v>
      </c>
      <c r="AB137" s="205">
        <v>0.218</v>
      </c>
      <c r="AC137" s="205">
        <v>4.2999999999999997E-2</v>
      </c>
      <c r="AD137" s="200">
        <v>7</v>
      </c>
      <c r="AE137" s="200">
        <v>0</v>
      </c>
      <c r="AF137" s="203" t="s">
        <v>2</v>
      </c>
      <c r="AG137" s="204">
        <v>0</v>
      </c>
      <c r="AH137" s="200">
        <v>0</v>
      </c>
      <c r="AI137" s="200">
        <v>13</v>
      </c>
      <c r="AJ137" s="203" t="s">
        <v>2</v>
      </c>
      <c r="AK137" s="203" t="s">
        <v>2</v>
      </c>
      <c r="AL137" s="204" t="s">
        <v>2</v>
      </c>
      <c r="AM137" s="200">
        <v>160</v>
      </c>
      <c r="AN137" s="200" t="s">
        <v>2</v>
      </c>
      <c r="AO137" s="201" t="s">
        <v>2</v>
      </c>
      <c r="AP137" s="203">
        <v>1.6E-2</v>
      </c>
      <c r="AQ137" s="205">
        <v>1.0999999999999999E-2</v>
      </c>
      <c r="AR137" s="205">
        <v>0</v>
      </c>
      <c r="AS137" s="205">
        <v>5.0000000000000001E-3</v>
      </c>
      <c r="AT137" s="205">
        <v>0</v>
      </c>
      <c r="AU137" s="205">
        <v>0</v>
      </c>
      <c r="AV137" s="206">
        <v>0</v>
      </c>
      <c r="AW137" s="203">
        <v>3.6999999999999998E-2</v>
      </c>
      <c r="AX137" s="205">
        <v>0</v>
      </c>
      <c r="AY137" s="205">
        <v>0</v>
      </c>
      <c r="AZ137" s="206">
        <v>3.6999999999999998E-2</v>
      </c>
      <c r="BA137" s="203">
        <v>8.6999999999999994E-2</v>
      </c>
      <c r="BB137" s="205">
        <v>8.6999999999999994E-2</v>
      </c>
      <c r="BC137" s="205">
        <v>0</v>
      </c>
      <c r="BD137" s="205">
        <v>0</v>
      </c>
      <c r="BE137" s="205">
        <v>0</v>
      </c>
      <c r="BF137" s="206">
        <v>0</v>
      </c>
      <c r="BG137" s="199" t="s">
        <v>2</v>
      </c>
      <c r="BH137" s="199">
        <v>0</v>
      </c>
      <c r="BI137" s="200" t="s">
        <v>2</v>
      </c>
      <c r="BJ137" s="200" t="s">
        <v>2</v>
      </c>
      <c r="BK137" s="200" t="s">
        <v>2</v>
      </c>
      <c r="BL137" s="200" t="s">
        <v>2</v>
      </c>
      <c r="BM137" s="200" t="s">
        <v>2</v>
      </c>
      <c r="BN137" s="200" t="s">
        <v>2</v>
      </c>
      <c r="BO137" s="200" t="s">
        <v>2</v>
      </c>
      <c r="BP137" s="200" t="s">
        <v>2</v>
      </c>
      <c r="BQ137" s="200" t="s">
        <v>2</v>
      </c>
      <c r="BR137" s="200" t="s">
        <v>2</v>
      </c>
      <c r="BS137" s="200" t="s">
        <v>2</v>
      </c>
      <c r="BT137" s="200" t="s">
        <v>2</v>
      </c>
      <c r="BU137" s="200" t="s">
        <v>2</v>
      </c>
      <c r="BV137" s="200" t="s">
        <v>2</v>
      </c>
      <c r="BW137" s="200" t="s">
        <v>2</v>
      </c>
      <c r="BX137" s="200" t="s">
        <v>2</v>
      </c>
      <c r="BY137" s="200" t="s">
        <v>2</v>
      </c>
      <c r="BZ137" s="201" t="s">
        <v>2</v>
      </c>
      <c r="CA137" s="203" t="s">
        <v>2</v>
      </c>
      <c r="CB137" s="203" t="s">
        <v>2</v>
      </c>
      <c r="CC137" s="203" t="s">
        <v>2</v>
      </c>
      <c r="CD137" s="203" t="s">
        <v>2</v>
      </c>
      <c r="CE137" s="203" t="s">
        <v>2</v>
      </c>
      <c r="CF137" s="203" t="s">
        <v>2</v>
      </c>
      <c r="CG137" s="204" t="s">
        <v>2</v>
      </c>
      <c r="CH137" s="200" t="s">
        <v>2</v>
      </c>
      <c r="CI137" s="201" t="s">
        <v>2</v>
      </c>
      <c r="CJ137" s="203" t="s">
        <v>2</v>
      </c>
      <c r="CK137" s="203" t="s">
        <v>2</v>
      </c>
      <c r="CL137" s="203" t="s">
        <v>2</v>
      </c>
      <c r="CM137" s="204" t="s">
        <v>2</v>
      </c>
      <c r="CN137" s="199" t="s">
        <v>2</v>
      </c>
      <c r="CO137" s="199" t="s">
        <v>2</v>
      </c>
    </row>
    <row r="138" spans="1:93" s="207" customFormat="1" ht="15" x14ac:dyDescent="0.25">
      <c r="A138" s="220" t="s">
        <v>777</v>
      </c>
      <c r="B138" s="221" t="s">
        <v>163</v>
      </c>
      <c r="C138" s="222" t="s">
        <v>959</v>
      </c>
      <c r="D138" s="290">
        <v>4</v>
      </c>
      <c r="E138" s="199">
        <v>20</v>
      </c>
      <c r="F138" s="200">
        <v>20</v>
      </c>
      <c r="G138" s="201">
        <v>83.6</v>
      </c>
      <c r="H138" s="202">
        <v>94.4</v>
      </c>
      <c r="I138" s="203">
        <v>0.9</v>
      </c>
      <c r="J138" s="203">
        <v>0.2</v>
      </c>
      <c r="K138" s="203">
        <v>4.0999999999999996</v>
      </c>
      <c r="L138" s="203">
        <v>1.1000000000000001</v>
      </c>
      <c r="M138" s="204">
        <v>0.6</v>
      </c>
      <c r="N138" s="200">
        <v>18</v>
      </c>
      <c r="O138" s="200">
        <v>29</v>
      </c>
      <c r="P138" s="203">
        <v>0.6</v>
      </c>
      <c r="Q138" s="203">
        <v>0.8</v>
      </c>
      <c r="R138" s="200">
        <v>5</v>
      </c>
      <c r="S138" s="200">
        <v>296</v>
      </c>
      <c r="T138" s="200">
        <v>17</v>
      </c>
      <c r="U138" s="205">
        <v>8.8999999999999996E-2</v>
      </c>
      <c r="V138" s="205">
        <v>34</v>
      </c>
      <c r="W138" s="204">
        <v>0.2</v>
      </c>
      <c r="X138" s="203">
        <v>22</v>
      </c>
      <c r="Y138" s="205">
        <v>7.0000000000000007E-2</v>
      </c>
      <c r="Z138" s="205">
        <v>0.04</v>
      </c>
      <c r="AA138" s="205">
        <v>0.3</v>
      </c>
      <c r="AB138" s="205">
        <v>0.21199999999999999</v>
      </c>
      <c r="AC138" s="205">
        <v>4.2999999999999997E-2</v>
      </c>
      <c r="AD138" s="200">
        <v>72</v>
      </c>
      <c r="AE138" s="200">
        <v>0</v>
      </c>
      <c r="AF138" s="203" t="s">
        <v>2</v>
      </c>
      <c r="AG138" s="204">
        <v>0</v>
      </c>
      <c r="AH138" s="200">
        <v>0</v>
      </c>
      <c r="AI138" s="200">
        <v>24</v>
      </c>
      <c r="AJ138" s="203" t="s">
        <v>2</v>
      </c>
      <c r="AK138" s="203" t="s">
        <v>2</v>
      </c>
      <c r="AL138" s="204" t="s">
        <v>2</v>
      </c>
      <c r="AM138" s="200">
        <v>190</v>
      </c>
      <c r="AN138" s="200">
        <v>185</v>
      </c>
      <c r="AO138" s="201">
        <v>0</v>
      </c>
      <c r="AP138" s="203" t="s">
        <v>2</v>
      </c>
      <c r="AQ138" s="205" t="s">
        <v>2</v>
      </c>
      <c r="AR138" s="205" t="s">
        <v>2</v>
      </c>
      <c r="AS138" s="205" t="s">
        <v>2</v>
      </c>
      <c r="AT138" s="205" t="s">
        <v>2</v>
      </c>
      <c r="AU138" s="205" t="s">
        <v>2</v>
      </c>
      <c r="AV138" s="206" t="s">
        <v>2</v>
      </c>
      <c r="AW138" s="203" t="s">
        <v>2</v>
      </c>
      <c r="AX138" s="205" t="s">
        <v>2</v>
      </c>
      <c r="AY138" s="205" t="s">
        <v>2</v>
      </c>
      <c r="AZ138" s="206" t="s">
        <v>2</v>
      </c>
      <c r="BA138" s="203" t="s">
        <v>2</v>
      </c>
      <c r="BB138" s="205" t="s">
        <v>2</v>
      </c>
      <c r="BC138" s="205" t="s">
        <v>2</v>
      </c>
      <c r="BD138" s="205" t="s">
        <v>2</v>
      </c>
      <c r="BE138" s="205" t="s">
        <v>2</v>
      </c>
      <c r="BF138" s="206" t="s">
        <v>2</v>
      </c>
      <c r="BG138" s="199" t="s">
        <v>2</v>
      </c>
      <c r="BH138" s="199">
        <v>0</v>
      </c>
      <c r="BI138" s="200" t="s">
        <v>2</v>
      </c>
      <c r="BJ138" s="200" t="s">
        <v>2</v>
      </c>
      <c r="BK138" s="200" t="s">
        <v>2</v>
      </c>
      <c r="BL138" s="200" t="s">
        <v>2</v>
      </c>
      <c r="BM138" s="200" t="s">
        <v>2</v>
      </c>
      <c r="BN138" s="200" t="s">
        <v>2</v>
      </c>
      <c r="BO138" s="200" t="s">
        <v>2</v>
      </c>
      <c r="BP138" s="200" t="s">
        <v>2</v>
      </c>
      <c r="BQ138" s="200" t="s">
        <v>2</v>
      </c>
      <c r="BR138" s="200" t="s">
        <v>2</v>
      </c>
      <c r="BS138" s="200" t="s">
        <v>2</v>
      </c>
      <c r="BT138" s="200" t="s">
        <v>2</v>
      </c>
      <c r="BU138" s="200" t="s">
        <v>2</v>
      </c>
      <c r="BV138" s="200" t="s">
        <v>2</v>
      </c>
      <c r="BW138" s="200" t="s">
        <v>2</v>
      </c>
      <c r="BX138" s="200" t="s">
        <v>2</v>
      </c>
      <c r="BY138" s="200" t="s">
        <v>2</v>
      </c>
      <c r="BZ138" s="201" t="s">
        <v>2</v>
      </c>
      <c r="CA138" s="203" t="s">
        <v>2</v>
      </c>
      <c r="CB138" s="203" t="s">
        <v>2</v>
      </c>
      <c r="CC138" s="203" t="s">
        <v>2</v>
      </c>
      <c r="CD138" s="203" t="s">
        <v>2</v>
      </c>
      <c r="CE138" s="203" t="s">
        <v>2</v>
      </c>
      <c r="CF138" s="203" t="s">
        <v>2</v>
      </c>
      <c r="CG138" s="204" t="s">
        <v>2</v>
      </c>
      <c r="CH138" s="200">
        <v>0</v>
      </c>
      <c r="CI138" s="201">
        <v>170</v>
      </c>
      <c r="CJ138" s="203" t="s">
        <v>2</v>
      </c>
      <c r="CK138" s="203" t="s">
        <v>2</v>
      </c>
      <c r="CL138" s="203" t="s">
        <v>2</v>
      </c>
      <c r="CM138" s="204" t="s">
        <v>2</v>
      </c>
      <c r="CN138" s="199" t="s">
        <v>2</v>
      </c>
      <c r="CO138" s="199" t="s">
        <v>2</v>
      </c>
    </row>
    <row r="139" spans="1:93" s="207" customFormat="1" ht="15" x14ac:dyDescent="0.25">
      <c r="A139" s="220" t="s">
        <v>778</v>
      </c>
      <c r="B139" s="221" t="s">
        <v>164</v>
      </c>
      <c r="C139" s="222" t="s">
        <v>960</v>
      </c>
      <c r="D139" s="290">
        <v>4</v>
      </c>
      <c r="E139" s="199">
        <v>10</v>
      </c>
      <c r="F139" s="200">
        <v>16</v>
      </c>
      <c r="G139" s="201">
        <v>66.88</v>
      </c>
      <c r="H139" s="202">
        <v>95.4</v>
      </c>
      <c r="I139" s="203">
        <v>0.8</v>
      </c>
      <c r="J139" s="203">
        <v>0</v>
      </c>
      <c r="K139" s="203">
        <v>3.2</v>
      </c>
      <c r="L139" s="203">
        <v>1.4</v>
      </c>
      <c r="M139" s="204">
        <v>0.6</v>
      </c>
      <c r="N139" s="200">
        <v>30</v>
      </c>
      <c r="O139" s="200">
        <v>22</v>
      </c>
      <c r="P139" s="203">
        <v>0.3</v>
      </c>
      <c r="Q139" s="203" t="s">
        <v>2</v>
      </c>
      <c r="R139" s="200" t="s">
        <v>2</v>
      </c>
      <c r="S139" s="200" t="s">
        <v>2</v>
      </c>
      <c r="T139" s="200" t="s">
        <v>2</v>
      </c>
      <c r="U139" s="205" t="s">
        <v>2</v>
      </c>
      <c r="V139" s="205" t="s">
        <v>2</v>
      </c>
      <c r="W139" s="204" t="s">
        <v>2</v>
      </c>
      <c r="X139" s="203" t="s">
        <v>2</v>
      </c>
      <c r="Y139" s="205" t="s">
        <v>2</v>
      </c>
      <c r="Z139" s="205" t="s">
        <v>2</v>
      </c>
      <c r="AA139" s="205" t="s">
        <v>2</v>
      </c>
      <c r="AB139" s="205" t="s">
        <v>2</v>
      </c>
      <c r="AC139" s="205" t="s">
        <v>2</v>
      </c>
      <c r="AD139" s="200" t="s">
        <v>2</v>
      </c>
      <c r="AE139" s="200" t="s">
        <v>2</v>
      </c>
      <c r="AF139" s="203" t="s">
        <v>2</v>
      </c>
      <c r="AG139" s="204" t="s">
        <v>2</v>
      </c>
      <c r="AH139" s="200">
        <v>0</v>
      </c>
      <c r="AI139" s="200">
        <v>0</v>
      </c>
      <c r="AJ139" s="203" t="s">
        <v>2</v>
      </c>
      <c r="AK139" s="203" t="s">
        <v>2</v>
      </c>
      <c r="AL139" s="204" t="s">
        <v>2</v>
      </c>
      <c r="AM139" s="200" t="s">
        <v>2</v>
      </c>
      <c r="AN139" s="200" t="s">
        <v>2</v>
      </c>
      <c r="AO139" s="201" t="s">
        <v>2</v>
      </c>
      <c r="AP139" s="203" t="s">
        <v>2</v>
      </c>
      <c r="AQ139" s="205" t="s">
        <v>2</v>
      </c>
      <c r="AR139" s="205" t="s">
        <v>2</v>
      </c>
      <c r="AS139" s="205" t="s">
        <v>2</v>
      </c>
      <c r="AT139" s="205" t="s">
        <v>2</v>
      </c>
      <c r="AU139" s="205" t="s">
        <v>2</v>
      </c>
      <c r="AV139" s="206" t="s">
        <v>2</v>
      </c>
      <c r="AW139" s="203" t="s">
        <v>2</v>
      </c>
      <c r="AX139" s="205" t="s">
        <v>2</v>
      </c>
      <c r="AY139" s="205" t="s">
        <v>2</v>
      </c>
      <c r="AZ139" s="206" t="s">
        <v>2</v>
      </c>
      <c r="BA139" s="203" t="s">
        <v>2</v>
      </c>
      <c r="BB139" s="205" t="s">
        <v>2</v>
      </c>
      <c r="BC139" s="205" t="s">
        <v>2</v>
      </c>
      <c r="BD139" s="205" t="s">
        <v>2</v>
      </c>
      <c r="BE139" s="205" t="s">
        <v>2</v>
      </c>
      <c r="BF139" s="206" t="s">
        <v>2</v>
      </c>
      <c r="BG139" s="199" t="s">
        <v>2</v>
      </c>
      <c r="BH139" s="199">
        <v>0</v>
      </c>
      <c r="BI139" s="200" t="s">
        <v>2</v>
      </c>
      <c r="BJ139" s="200" t="s">
        <v>2</v>
      </c>
      <c r="BK139" s="200" t="s">
        <v>2</v>
      </c>
      <c r="BL139" s="200" t="s">
        <v>2</v>
      </c>
      <c r="BM139" s="200" t="s">
        <v>2</v>
      </c>
      <c r="BN139" s="200" t="s">
        <v>2</v>
      </c>
      <c r="BO139" s="200" t="s">
        <v>2</v>
      </c>
      <c r="BP139" s="200" t="s">
        <v>2</v>
      </c>
      <c r="BQ139" s="200" t="s">
        <v>2</v>
      </c>
      <c r="BR139" s="200" t="s">
        <v>2</v>
      </c>
      <c r="BS139" s="200" t="s">
        <v>2</v>
      </c>
      <c r="BT139" s="200" t="s">
        <v>2</v>
      </c>
      <c r="BU139" s="200" t="s">
        <v>2</v>
      </c>
      <c r="BV139" s="200" t="s">
        <v>2</v>
      </c>
      <c r="BW139" s="200" t="s">
        <v>2</v>
      </c>
      <c r="BX139" s="200" t="s">
        <v>2</v>
      </c>
      <c r="BY139" s="200" t="s">
        <v>2</v>
      </c>
      <c r="BZ139" s="201" t="s">
        <v>2</v>
      </c>
      <c r="CA139" s="203" t="s">
        <v>2</v>
      </c>
      <c r="CB139" s="203" t="s">
        <v>2</v>
      </c>
      <c r="CC139" s="203" t="s">
        <v>2</v>
      </c>
      <c r="CD139" s="203" t="s">
        <v>2</v>
      </c>
      <c r="CE139" s="203" t="s">
        <v>2</v>
      </c>
      <c r="CF139" s="203" t="s">
        <v>2</v>
      </c>
      <c r="CG139" s="204" t="s">
        <v>2</v>
      </c>
      <c r="CH139" s="200" t="s">
        <v>2</v>
      </c>
      <c r="CI139" s="201" t="s">
        <v>2</v>
      </c>
      <c r="CJ139" s="203" t="s">
        <v>2</v>
      </c>
      <c r="CK139" s="203" t="s">
        <v>2</v>
      </c>
      <c r="CL139" s="203" t="s">
        <v>2</v>
      </c>
      <c r="CM139" s="204" t="s">
        <v>2</v>
      </c>
      <c r="CN139" s="199" t="s">
        <v>2</v>
      </c>
      <c r="CO139" s="199" t="s">
        <v>2</v>
      </c>
    </row>
    <row r="140" spans="1:93" s="207" customFormat="1" ht="15" x14ac:dyDescent="0.25">
      <c r="A140" s="220" t="s">
        <v>779</v>
      </c>
      <c r="B140" s="221" t="s">
        <v>165</v>
      </c>
      <c r="C140" s="222" t="s">
        <v>961</v>
      </c>
      <c r="D140" s="290">
        <v>4</v>
      </c>
      <c r="E140" s="199">
        <v>31</v>
      </c>
      <c r="F140" s="200">
        <v>33</v>
      </c>
      <c r="G140" s="201">
        <v>137.94</v>
      </c>
      <c r="H140" s="202">
        <v>89.7</v>
      </c>
      <c r="I140" s="203">
        <v>3.8</v>
      </c>
      <c r="J140" s="203">
        <v>0</v>
      </c>
      <c r="K140" s="203">
        <v>4.4000000000000004</v>
      </c>
      <c r="L140" s="203">
        <v>2</v>
      </c>
      <c r="M140" s="204">
        <v>2.1</v>
      </c>
      <c r="N140" s="200">
        <v>136</v>
      </c>
      <c r="O140" s="200">
        <v>45</v>
      </c>
      <c r="P140" s="203">
        <v>3.1</v>
      </c>
      <c r="Q140" s="203" t="s">
        <v>2</v>
      </c>
      <c r="R140" s="200">
        <v>98</v>
      </c>
      <c r="S140" s="200">
        <v>612</v>
      </c>
      <c r="T140" s="200">
        <v>63</v>
      </c>
      <c r="U140" s="205" t="s">
        <v>2</v>
      </c>
      <c r="V140" s="205" t="s">
        <v>2</v>
      </c>
      <c r="W140" s="204" t="s">
        <v>2</v>
      </c>
      <c r="X140" s="203" t="s">
        <v>2</v>
      </c>
      <c r="Y140" s="205" t="s">
        <v>2</v>
      </c>
      <c r="Z140" s="205" t="s">
        <v>2</v>
      </c>
      <c r="AA140" s="205" t="s">
        <v>2</v>
      </c>
      <c r="AB140" s="205" t="s">
        <v>2</v>
      </c>
      <c r="AC140" s="205" t="s">
        <v>2</v>
      </c>
      <c r="AD140" s="200" t="s">
        <v>2</v>
      </c>
      <c r="AE140" s="200" t="s">
        <v>2</v>
      </c>
      <c r="AF140" s="203" t="s">
        <v>2</v>
      </c>
      <c r="AG140" s="204" t="s">
        <v>2</v>
      </c>
      <c r="AH140" s="200">
        <v>0</v>
      </c>
      <c r="AI140" s="200">
        <v>0</v>
      </c>
      <c r="AJ140" s="203" t="s">
        <v>2</v>
      </c>
      <c r="AK140" s="203" t="s">
        <v>2</v>
      </c>
      <c r="AL140" s="204" t="s">
        <v>2</v>
      </c>
      <c r="AM140" s="200" t="s">
        <v>2</v>
      </c>
      <c r="AN140" s="200" t="s">
        <v>2</v>
      </c>
      <c r="AO140" s="201" t="s">
        <v>2</v>
      </c>
      <c r="AP140" s="203" t="s">
        <v>2</v>
      </c>
      <c r="AQ140" s="205" t="s">
        <v>2</v>
      </c>
      <c r="AR140" s="205" t="s">
        <v>2</v>
      </c>
      <c r="AS140" s="205" t="s">
        <v>2</v>
      </c>
      <c r="AT140" s="205" t="s">
        <v>2</v>
      </c>
      <c r="AU140" s="205" t="s">
        <v>2</v>
      </c>
      <c r="AV140" s="206" t="s">
        <v>2</v>
      </c>
      <c r="AW140" s="203" t="s">
        <v>2</v>
      </c>
      <c r="AX140" s="205" t="s">
        <v>2</v>
      </c>
      <c r="AY140" s="205" t="s">
        <v>2</v>
      </c>
      <c r="AZ140" s="206" t="s">
        <v>2</v>
      </c>
      <c r="BA140" s="203" t="s">
        <v>2</v>
      </c>
      <c r="BB140" s="205" t="s">
        <v>2</v>
      </c>
      <c r="BC140" s="205" t="s">
        <v>2</v>
      </c>
      <c r="BD140" s="205" t="s">
        <v>2</v>
      </c>
      <c r="BE140" s="205" t="s">
        <v>2</v>
      </c>
      <c r="BF140" s="206" t="s">
        <v>2</v>
      </c>
      <c r="BG140" s="199" t="s">
        <v>2</v>
      </c>
      <c r="BH140" s="199">
        <v>0</v>
      </c>
      <c r="BI140" s="200" t="s">
        <v>2</v>
      </c>
      <c r="BJ140" s="200" t="s">
        <v>2</v>
      </c>
      <c r="BK140" s="200" t="s">
        <v>2</v>
      </c>
      <c r="BL140" s="200" t="s">
        <v>2</v>
      </c>
      <c r="BM140" s="200" t="s">
        <v>2</v>
      </c>
      <c r="BN140" s="200" t="s">
        <v>2</v>
      </c>
      <c r="BO140" s="200" t="s">
        <v>2</v>
      </c>
      <c r="BP140" s="200" t="s">
        <v>2</v>
      </c>
      <c r="BQ140" s="200" t="s">
        <v>2</v>
      </c>
      <c r="BR140" s="200" t="s">
        <v>2</v>
      </c>
      <c r="BS140" s="200" t="s">
        <v>2</v>
      </c>
      <c r="BT140" s="200" t="s">
        <v>2</v>
      </c>
      <c r="BU140" s="200" t="s">
        <v>2</v>
      </c>
      <c r="BV140" s="200" t="s">
        <v>2</v>
      </c>
      <c r="BW140" s="200" t="s">
        <v>2</v>
      </c>
      <c r="BX140" s="200" t="s">
        <v>2</v>
      </c>
      <c r="BY140" s="200" t="s">
        <v>2</v>
      </c>
      <c r="BZ140" s="201" t="s">
        <v>2</v>
      </c>
      <c r="CA140" s="203" t="s">
        <v>2</v>
      </c>
      <c r="CB140" s="203" t="s">
        <v>2</v>
      </c>
      <c r="CC140" s="203" t="s">
        <v>2</v>
      </c>
      <c r="CD140" s="203" t="s">
        <v>2</v>
      </c>
      <c r="CE140" s="203" t="s">
        <v>2</v>
      </c>
      <c r="CF140" s="203" t="s">
        <v>2</v>
      </c>
      <c r="CG140" s="204" t="s">
        <v>2</v>
      </c>
      <c r="CH140" s="200" t="s">
        <v>2</v>
      </c>
      <c r="CI140" s="201" t="s">
        <v>2</v>
      </c>
      <c r="CJ140" s="203" t="s">
        <v>2</v>
      </c>
      <c r="CK140" s="203" t="s">
        <v>2</v>
      </c>
      <c r="CL140" s="203" t="s">
        <v>2</v>
      </c>
      <c r="CM140" s="204" t="s">
        <v>2</v>
      </c>
      <c r="CN140" s="199" t="s">
        <v>2</v>
      </c>
      <c r="CO140" s="199" t="s">
        <v>2</v>
      </c>
    </row>
    <row r="141" spans="1:93" s="207" customFormat="1" ht="15" x14ac:dyDescent="0.25">
      <c r="A141" s="220" t="s">
        <v>780</v>
      </c>
      <c r="B141" s="221" t="s">
        <v>166</v>
      </c>
      <c r="C141" s="222" t="s">
        <v>962</v>
      </c>
      <c r="D141" s="290">
        <v>4</v>
      </c>
      <c r="E141" s="199">
        <v>0</v>
      </c>
      <c r="F141" s="200">
        <v>42</v>
      </c>
      <c r="G141" s="201">
        <v>175.56</v>
      </c>
      <c r="H141" s="202">
        <v>89.2</v>
      </c>
      <c r="I141" s="203">
        <v>2.2000000000000002</v>
      </c>
      <c r="J141" s="203">
        <v>0.2</v>
      </c>
      <c r="K141" s="203">
        <v>7.8</v>
      </c>
      <c r="L141" s="203">
        <v>0.4</v>
      </c>
      <c r="M141" s="204">
        <v>0.6</v>
      </c>
      <c r="N141" s="200">
        <v>5</v>
      </c>
      <c r="O141" s="200">
        <v>52</v>
      </c>
      <c r="P141" s="203">
        <v>0.9</v>
      </c>
      <c r="Q141" s="203" t="s">
        <v>2</v>
      </c>
      <c r="R141" s="200" t="s">
        <v>2</v>
      </c>
      <c r="S141" s="200" t="s">
        <v>2</v>
      </c>
      <c r="T141" s="200" t="s">
        <v>2</v>
      </c>
      <c r="U141" s="205" t="s">
        <v>2</v>
      </c>
      <c r="V141" s="205" t="s">
        <v>2</v>
      </c>
      <c r="W141" s="204" t="s">
        <v>2</v>
      </c>
      <c r="X141" s="203">
        <v>34</v>
      </c>
      <c r="Y141" s="205">
        <v>0.09</v>
      </c>
      <c r="Z141" s="205">
        <v>0.2</v>
      </c>
      <c r="AA141" s="205">
        <v>0.7</v>
      </c>
      <c r="AB141" s="205" t="s">
        <v>2</v>
      </c>
      <c r="AC141" s="205" t="s">
        <v>2</v>
      </c>
      <c r="AD141" s="200" t="s">
        <v>2</v>
      </c>
      <c r="AE141" s="200" t="s">
        <v>2</v>
      </c>
      <c r="AF141" s="203" t="s">
        <v>2</v>
      </c>
      <c r="AG141" s="204" t="s">
        <v>2</v>
      </c>
      <c r="AH141" s="200">
        <v>0</v>
      </c>
      <c r="AI141" s="200">
        <v>0</v>
      </c>
      <c r="AJ141" s="203" t="s">
        <v>2</v>
      </c>
      <c r="AK141" s="203" t="s">
        <v>2</v>
      </c>
      <c r="AL141" s="204" t="s">
        <v>2</v>
      </c>
      <c r="AM141" s="200" t="s">
        <v>2</v>
      </c>
      <c r="AN141" s="200" t="s">
        <v>2</v>
      </c>
      <c r="AO141" s="201" t="s">
        <v>2</v>
      </c>
      <c r="AP141" s="203" t="s">
        <v>2</v>
      </c>
      <c r="AQ141" s="205" t="s">
        <v>2</v>
      </c>
      <c r="AR141" s="205" t="s">
        <v>2</v>
      </c>
      <c r="AS141" s="205" t="s">
        <v>2</v>
      </c>
      <c r="AT141" s="205" t="s">
        <v>2</v>
      </c>
      <c r="AU141" s="205" t="s">
        <v>2</v>
      </c>
      <c r="AV141" s="206" t="s">
        <v>2</v>
      </c>
      <c r="AW141" s="203" t="s">
        <v>2</v>
      </c>
      <c r="AX141" s="205" t="s">
        <v>2</v>
      </c>
      <c r="AY141" s="205" t="s">
        <v>2</v>
      </c>
      <c r="AZ141" s="206" t="s">
        <v>2</v>
      </c>
      <c r="BA141" s="203" t="s">
        <v>2</v>
      </c>
      <c r="BB141" s="205" t="s">
        <v>2</v>
      </c>
      <c r="BC141" s="205" t="s">
        <v>2</v>
      </c>
      <c r="BD141" s="205" t="s">
        <v>2</v>
      </c>
      <c r="BE141" s="205" t="s">
        <v>2</v>
      </c>
      <c r="BF141" s="206" t="s">
        <v>2</v>
      </c>
      <c r="BG141" s="199" t="s">
        <v>2</v>
      </c>
      <c r="BH141" s="199">
        <v>0</v>
      </c>
      <c r="BI141" s="200" t="s">
        <v>2</v>
      </c>
      <c r="BJ141" s="200" t="s">
        <v>2</v>
      </c>
      <c r="BK141" s="200" t="s">
        <v>2</v>
      </c>
      <c r="BL141" s="200" t="s">
        <v>2</v>
      </c>
      <c r="BM141" s="200" t="s">
        <v>2</v>
      </c>
      <c r="BN141" s="200" t="s">
        <v>2</v>
      </c>
      <c r="BO141" s="200" t="s">
        <v>2</v>
      </c>
      <c r="BP141" s="200" t="s">
        <v>2</v>
      </c>
      <c r="BQ141" s="200" t="s">
        <v>2</v>
      </c>
      <c r="BR141" s="200" t="s">
        <v>2</v>
      </c>
      <c r="BS141" s="200" t="s">
        <v>2</v>
      </c>
      <c r="BT141" s="200" t="s">
        <v>2</v>
      </c>
      <c r="BU141" s="200" t="s">
        <v>2</v>
      </c>
      <c r="BV141" s="200" t="s">
        <v>2</v>
      </c>
      <c r="BW141" s="200" t="s">
        <v>2</v>
      </c>
      <c r="BX141" s="200" t="s">
        <v>2</v>
      </c>
      <c r="BY141" s="200" t="s">
        <v>2</v>
      </c>
      <c r="BZ141" s="201" t="s">
        <v>2</v>
      </c>
      <c r="CA141" s="203" t="s">
        <v>2</v>
      </c>
      <c r="CB141" s="203" t="s">
        <v>2</v>
      </c>
      <c r="CC141" s="203" t="s">
        <v>2</v>
      </c>
      <c r="CD141" s="203" t="s">
        <v>2</v>
      </c>
      <c r="CE141" s="203" t="s">
        <v>2</v>
      </c>
      <c r="CF141" s="203" t="s">
        <v>2</v>
      </c>
      <c r="CG141" s="204" t="s">
        <v>2</v>
      </c>
      <c r="CH141" s="200" t="s">
        <v>2</v>
      </c>
      <c r="CI141" s="201" t="s">
        <v>2</v>
      </c>
      <c r="CJ141" s="203" t="s">
        <v>2</v>
      </c>
      <c r="CK141" s="203" t="s">
        <v>2</v>
      </c>
      <c r="CL141" s="203" t="s">
        <v>2</v>
      </c>
      <c r="CM141" s="204" t="s">
        <v>2</v>
      </c>
      <c r="CN141" s="199" t="s">
        <v>2</v>
      </c>
      <c r="CO141" s="199" t="s">
        <v>2</v>
      </c>
    </row>
    <row r="142" spans="1:93" s="207" customFormat="1" ht="15" x14ac:dyDescent="0.25">
      <c r="A142" s="220" t="s">
        <v>781</v>
      </c>
      <c r="B142" s="221" t="s">
        <v>167</v>
      </c>
      <c r="C142" s="222" t="s">
        <v>963</v>
      </c>
      <c r="D142" s="290">
        <v>4</v>
      </c>
      <c r="E142" s="199">
        <v>11</v>
      </c>
      <c r="F142" s="200">
        <v>65</v>
      </c>
      <c r="G142" s="201">
        <v>271.7</v>
      </c>
      <c r="H142" s="202">
        <v>82.9</v>
      </c>
      <c r="I142" s="203">
        <v>1</v>
      </c>
      <c r="J142" s="223">
        <v>7.0000000000000007E-2</v>
      </c>
      <c r="K142" s="203">
        <v>15.13</v>
      </c>
      <c r="L142" s="203">
        <v>1.2</v>
      </c>
      <c r="M142" s="204">
        <v>0.9</v>
      </c>
      <c r="N142" s="200">
        <v>19</v>
      </c>
      <c r="O142" s="200">
        <v>51</v>
      </c>
      <c r="P142" s="203">
        <v>0.5</v>
      </c>
      <c r="Q142" s="203">
        <v>0.39</v>
      </c>
      <c r="R142" s="200">
        <v>40</v>
      </c>
      <c r="S142" s="200">
        <v>556</v>
      </c>
      <c r="T142" s="200">
        <v>23</v>
      </c>
      <c r="U142" s="205">
        <v>0.26100000000000001</v>
      </c>
      <c r="V142" s="205">
        <v>257</v>
      </c>
      <c r="W142" s="204">
        <v>0.7</v>
      </c>
      <c r="X142" s="203">
        <v>25</v>
      </c>
      <c r="Y142" s="205">
        <v>0.11</v>
      </c>
      <c r="Z142" s="205">
        <v>0.04</v>
      </c>
      <c r="AA142" s="205">
        <v>0.4</v>
      </c>
      <c r="AB142" s="205">
        <v>0.377</v>
      </c>
      <c r="AC142" s="205">
        <v>0.25800000000000001</v>
      </c>
      <c r="AD142" s="200">
        <v>13</v>
      </c>
      <c r="AE142" s="200">
        <v>0</v>
      </c>
      <c r="AF142" s="203" t="s">
        <v>2</v>
      </c>
      <c r="AG142" s="204">
        <v>0</v>
      </c>
      <c r="AH142" s="200">
        <v>0</v>
      </c>
      <c r="AI142" s="200">
        <v>1</v>
      </c>
      <c r="AJ142" s="203" t="s">
        <v>2</v>
      </c>
      <c r="AK142" s="203" t="s">
        <v>2</v>
      </c>
      <c r="AL142" s="204" t="s">
        <v>2</v>
      </c>
      <c r="AM142" s="200">
        <v>10</v>
      </c>
      <c r="AN142" s="200" t="s">
        <v>2</v>
      </c>
      <c r="AO142" s="201" t="s">
        <v>2</v>
      </c>
      <c r="AP142" s="203">
        <v>0.03</v>
      </c>
      <c r="AQ142" s="205">
        <v>2.8000000000000001E-2</v>
      </c>
      <c r="AR142" s="205">
        <v>0</v>
      </c>
      <c r="AS142" s="205">
        <v>1E-3</v>
      </c>
      <c r="AT142" s="205">
        <v>0</v>
      </c>
      <c r="AU142" s="205">
        <v>0</v>
      </c>
      <c r="AV142" s="206">
        <v>0</v>
      </c>
      <c r="AW142" s="203">
        <v>0.02</v>
      </c>
      <c r="AX142" s="205">
        <v>2E-3</v>
      </c>
      <c r="AY142" s="205">
        <v>0</v>
      </c>
      <c r="AZ142" s="206">
        <v>1.4E-2</v>
      </c>
      <c r="BA142" s="203">
        <v>0.02</v>
      </c>
      <c r="BB142" s="205">
        <v>1.4E-2</v>
      </c>
      <c r="BC142" s="205">
        <v>6.0000000000000001E-3</v>
      </c>
      <c r="BD142" s="205">
        <v>0</v>
      </c>
      <c r="BE142" s="205">
        <v>0</v>
      </c>
      <c r="BF142" s="206">
        <v>0</v>
      </c>
      <c r="BG142" s="199" t="s">
        <v>2</v>
      </c>
      <c r="BH142" s="199">
        <v>0</v>
      </c>
      <c r="BI142" s="200">
        <v>94</v>
      </c>
      <c r="BJ142" s="200">
        <v>22</v>
      </c>
      <c r="BK142" s="200">
        <v>20</v>
      </c>
      <c r="BL142" s="200">
        <v>47</v>
      </c>
      <c r="BM142" s="200">
        <v>51</v>
      </c>
      <c r="BN142" s="200">
        <v>55</v>
      </c>
      <c r="BO142" s="200">
        <v>69</v>
      </c>
      <c r="BP142" s="200">
        <v>54</v>
      </c>
      <c r="BQ142" s="200">
        <v>88</v>
      </c>
      <c r="BR142" s="200">
        <v>38</v>
      </c>
      <c r="BS142" s="200">
        <v>22</v>
      </c>
      <c r="BT142" s="200">
        <v>29</v>
      </c>
      <c r="BU142" s="200">
        <v>54</v>
      </c>
      <c r="BV142" s="200">
        <v>369</v>
      </c>
      <c r="BW142" s="200">
        <v>139</v>
      </c>
      <c r="BX142" s="200">
        <v>156</v>
      </c>
      <c r="BY142" s="200">
        <v>136</v>
      </c>
      <c r="BZ142" s="201">
        <v>60</v>
      </c>
      <c r="CA142" s="203" t="s">
        <v>2</v>
      </c>
      <c r="CB142" s="203" t="s">
        <v>2</v>
      </c>
      <c r="CC142" s="203" t="s">
        <v>2</v>
      </c>
      <c r="CD142" s="203" t="s">
        <v>2</v>
      </c>
      <c r="CE142" s="203" t="s">
        <v>2</v>
      </c>
      <c r="CF142" s="203" t="s">
        <v>2</v>
      </c>
      <c r="CG142" s="204" t="s">
        <v>2</v>
      </c>
      <c r="CH142" s="200" t="s">
        <v>2</v>
      </c>
      <c r="CI142" s="201" t="s">
        <v>2</v>
      </c>
      <c r="CJ142" s="203" t="s">
        <v>2</v>
      </c>
      <c r="CK142" s="203" t="s">
        <v>2</v>
      </c>
      <c r="CL142" s="203" t="s">
        <v>2</v>
      </c>
      <c r="CM142" s="204" t="s">
        <v>2</v>
      </c>
      <c r="CN142" s="199" t="s">
        <v>2</v>
      </c>
      <c r="CO142" s="199" t="s">
        <v>2</v>
      </c>
    </row>
    <row r="143" spans="1:93" s="207" customFormat="1" ht="15" x14ac:dyDescent="0.25">
      <c r="A143" s="220" t="s">
        <v>782</v>
      </c>
      <c r="B143" s="221" t="s">
        <v>168</v>
      </c>
      <c r="C143" s="222" t="s">
        <v>964</v>
      </c>
      <c r="D143" s="290">
        <v>4</v>
      </c>
      <c r="E143" s="199">
        <v>18</v>
      </c>
      <c r="F143" s="200">
        <v>36</v>
      </c>
      <c r="G143" s="201">
        <v>150.47999999999999</v>
      </c>
      <c r="H143" s="202">
        <v>90</v>
      </c>
      <c r="I143" s="203">
        <v>4.9000000000000004</v>
      </c>
      <c r="J143" s="203" t="s">
        <v>2</v>
      </c>
      <c r="K143" s="203">
        <v>4</v>
      </c>
      <c r="L143" s="203">
        <v>1.5</v>
      </c>
      <c r="M143" s="204">
        <v>1.1000000000000001</v>
      </c>
      <c r="N143" s="200">
        <v>140</v>
      </c>
      <c r="O143" s="200">
        <v>80</v>
      </c>
      <c r="P143" s="203">
        <v>1.2</v>
      </c>
      <c r="Q143" s="203" t="s">
        <v>2</v>
      </c>
      <c r="R143" s="200" t="s">
        <v>2</v>
      </c>
      <c r="S143" s="200" t="s">
        <v>2</v>
      </c>
      <c r="T143" s="200" t="s">
        <v>2</v>
      </c>
      <c r="U143" s="205" t="s">
        <v>2</v>
      </c>
      <c r="V143" s="205" t="s">
        <v>2</v>
      </c>
      <c r="W143" s="204" t="s">
        <v>2</v>
      </c>
      <c r="X143" s="203" t="s">
        <v>2</v>
      </c>
      <c r="Y143" s="205" t="s">
        <v>2</v>
      </c>
      <c r="Z143" s="205" t="s">
        <v>2</v>
      </c>
      <c r="AA143" s="205" t="s">
        <v>2</v>
      </c>
      <c r="AB143" s="205" t="s">
        <v>2</v>
      </c>
      <c r="AC143" s="205" t="s">
        <v>2</v>
      </c>
      <c r="AD143" s="200" t="s">
        <v>2</v>
      </c>
      <c r="AE143" s="200" t="s">
        <v>2</v>
      </c>
      <c r="AF143" s="203" t="s">
        <v>2</v>
      </c>
      <c r="AG143" s="204" t="s">
        <v>2</v>
      </c>
      <c r="AH143" s="200">
        <v>0</v>
      </c>
      <c r="AI143" s="200">
        <v>0</v>
      </c>
      <c r="AJ143" s="203" t="s">
        <v>2</v>
      </c>
      <c r="AK143" s="203" t="s">
        <v>2</v>
      </c>
      <c r="AL143" s="204" t="s">
        <v>2</v>
      </c>
      <c r="AM143" s="200" t="s">
        <v>2</v>
      </c>
      <c r="AN143" s="200" t="s">
        <v>2</v>
      </c>
      <c r="AO143" s="201" t="s">
        <v>2</v>
      </c>
      <c r="AP143" s="203" t="s">
        <v>2</v>
      </c>
      <c r="AQ143" s="205" t="s">
        <v>2</v>
      </c>
      <c r="AR143" s="205" t="s">
        <v>2</v>
      </c>
      <c r="AS143" s="205" t="s">
        <v>2</v>
      </c>
      <c r="AT143" s="205" t="s">
        <v>2</v>
      </c>
      <c r="AU143" s="205" t="s">
        <v>2</v>
      </c>
      <c r="AV143" s="206" t="s">
        <v>2</v>
      </c>
      <c r="AW143" s="203" t="s">
        <v>2</v>
      </c>
      <c r="AX143" s="205" t="s">
        <v>2</v>
      </c>
      <c r="AY143" s="205" t="s">
        <v>2</v>
      </c>
      <c r="AZ143" s="206" t="s">
        <v>2</v>
      </c>
      <c r="BA143" s="203" t="s">
        <v>2</v>
      </c>
      <c r="BB143" s="205" t="s">
        <v>2</v>
      </c>
      <c r="BC143" s="205" t="s">
        <v>2</v>
      </c>
      <c r="BD143" s="205" t="s">
        <v>2</v>
      </c>
      <c r="BE143" s="205" t="s">
        <v>2</v>
      </c>
      <c r="BF143" s="206" t="s">
        <v>2</v>
      </c>
      <c r="BG143" s="199" t="s">
        <v>2</v>
      </c>
      <c r="BH143" s="199">
        <v>0</v>
      </c>
      <c r="BI143" s="200" t="s">
        <v>2</v>
      </c>
      <c r="BJ143" s="200" t="s">
        <v>2</v>
      </c>
      <c r="BK143" s="200" t="s">
        <v>2</v>
      </c>
      <c r="BL143" s="200" t="s">
        <v>2</v>
      </c>
      <c r="BM143" s="200" t="s">
        <v>2</v>
      </c>
      <c r="BN143" s="200" t="s">
        <v>2</v>
      </c>
      <c r="BO143" s="200" t="s">
        <v>2</v>
      </c>
      <c r="BP143" s="200" t="s">
        <v>2</v>
      </c>
      <c r="BQ143" s="200" t="s">
        <v>2</v>
      </c>
      <c r="BR143" s="200" t="s">
        <v>2</v>
      </c>
      <c r="BS143" s="200" t="s">
        <v>2</v>
      </c>
      <c r="BT143" s="200" t="s">
        <v>2</v>
      </c>
      <c r="BU143" s="200" t="s">
        <v>2</v>
      </c>
      <c r="BV143" s="200" t="s">
        <v>2</v>
      </c>
      <c r="BW143" s="200" t="s">
        <v>2</v>
      </c>
      <c r="BX143" s="200" t="s">
        <v>2</v>
      </c>
      <c r="BY143" s="200" t="s">
        <v>2</v>
      </c>
      <c r="BZ143" s="201" t="s">
        <v>2</v>
      </c>
      <c r="CA143" s="203" t="s">
        <v>2</v>
      </c>
      <c r="CB143" s="203" t="s">
        <v>2</v>
      </c>
      <c r="CC143" s="203" t="s">
        <v>2</v>
      </c>
      <c r="CD143" s="203" t="s">
        <v>2</v>
      </c>
      <c r="CE143" s="203" t="s">
        <v>2</v>
      </c>
      <c r="CF143" s="203" t="s">
        <v>2</v>
      </c>
      <c r="CG143" s="204" t="s">
        <v>2</v>
      </c>
      <c r="CH143" s="200" t="s">
        <v>2</v>
      </c>
      <c r="CI143" s="201" t="s">
        <v>2</v>
      </c>
      <c r="CJ143" s="203" t="s">
        <v>2</v>
      </c>
      <c r="CK143" s="203" t="s">
        <v>2</v>
      </c>
      <c r="CL143" s="203" t="s">
        <v>2</v>
      </c>
      <c r="CM143" s="204" t="s">
        <v>2</v>
      </c>
      <c r="CN143" s="199" t="s">
        <v>2</v>
      </c>
      <c r="CO143" s="199" t="s">
        <v>2</v>
      </c>
    </row>
    <row r="144" spans="1:93" s="207" customFormat="1" ht="15" x14ac:dyDescent="0.25">
      <c r="A144" s="220" t="s">
        <v>783</v>
      </c>
      <c r="B144" s="221" t="s">
        <v>169</v>
      </c>
      <c r="C144" s="222" t="s">
        <v>965</v>
      </c>
      <c r="D144" s="290">
        <v>4</v>
      </c>
      <c r="E144" s="199">
        <v>18</v>
      </c>
      <c r="F144" s="200">
        <v>31</v>
      </c>
      <c r="G144" s="201">
        <v>129.57999999999998</v>
      </c>
      <c r="H144" s="202">
        <v>92.2</v>
      </c>
      <c r="I144" s="203">
        <v>0.99</v>
      </c>
      <c r="J144" s="203">
        <v>0.3</v>
      </c>
      <c r="K144" s="203">
        <v>6.04</v>
      </c>
      <c r="L144" s="203">
        <v>2</v>
      </c>
      <c r="M144" s="204">
        <v>0.47</v>
      </c>
      <c r="N144" s="200">
        <v>7</v>
      </c>
      <c r="O144" s="200">
        <v>26</v>
      </c>
      <c r="P144" s="203">
        <v>0.43</v>
      </c>
      <c r="Q144" s="203">
        <v>0.25</v>
      </c>
      <c r="R144" s="200">
        <v>2</v>
      </c>
      <c r="S144" s="200">
        <v>211</v>
      </c>
      <c r="T144" s="200">
        <v>12</v>
      </c>
      <c r="U144" s="205">
        <v>0.112</v>
      </c>
      <c r="V144" s="205">
        <v>17</v>
      </c>
      <c r="W144" s="204">
        <v>0.1</v>
      </c>
      <c r="X144" s="203">
        <v>190</v>
      </c>
      <c r="Y144" s="205">
        <v>5.3999999999999999E-2</v>
      </c>
      <c r="Z144" s="205">
        <v>8.5000000000000006E-2</v>
      </c>
      <c r="AA144" s="205">
        <v>0.97899999999999998</v>
      </c>
      <c r="AB144" s="205">
        <v>0.317</v>
      </c>
      <c r="AC144" s="205">
        <v>0.29099999999999998</v>
      </c>
      <c r="AD144" s="200">
        <v>18</v>
      </c>
      <c r="AE144" s="200">
        <v>0</v>
      </c>
      <c r="AF144" s="203" t="s">
        <v>2</v>
      </c>
      <c r="AG144" s="204" t="s">
        <v>2</v>
      </c>
      <c r="AH144" s="200">
        <v>0</v>
      </c>
      <c r="AI144" s="200">
        <v>157</v>
      </c>
      <c r="AJ144" s="203">
        <v>0</v>
      </c>
      <c r="AK144" s="203">
        <v>1.58</v>
      </c>
      <c r="AL144" s="204">
        <v>4.9000000000000004</v>
      </c>
      <c r="AM144" s="200">
        <v>1624</v>
      </c>
      <c r="AN144" s="200">
        <v>20</v>
      </c>
      <c r="AO144" s="201">
        <v>490</v>
      </c>
      <c r="AP144" s="203">
        <v>5.8999999999999997E-2</v>
      </c>
      <c r="AQ144" s="205">
        <v>5.6000000000000001E-2</v>
      </c>
      <c r="AR144" s="205">
        <v>0</v>
      </c>
      <c r="AS144" s="205">
        <v>4.0000000000000001E-3</v>
      </c>
      <c r="AT144" s="205">
        <v>0</v>
      </c>
      <c r="AU144" s="205">
        <v>0</v>
      </c>
      <c r="AV144" s="206">
        <v>0</v>
      </c>
      <c r="AW144" s="203">
        <v>7.0000000000000001E-3</v>
      </c>
      <c r="AX144" s="205">
        <v>4.0000000000000001E-3</v>
      </c>
      <c r="AY144" s="205">
        <v>0</v>
      </c>
      <c r="AZ144" s="206">
        <v>4.0000000000000001E-3</v>
      </c>
      <c r="BA144" s="203">
        <v>0.156</v>
      </c>
      <c r="BB144" s="205">
        <v>0.1</v>
      </c>
      <c r="BC144" s="205">
        <v>5.6000000000000001E-2</v>
      </c>
      <c r="BD144" s="205">
        <v>0</v>
      </c>
      <c r="BE144" s="205">
        <v>0</v>
      </c>
      <c r="BF144" s="206">
        <v>0</v>
      </c>
      <c r="BG144" s="199" t="s">
        <v>2</v>
      </c>
      <c r="BH144" s="199">
        <v>0</v>
      </c>
      <c r="BI144" s="200">
        <v>43</v>
      </c>
      <c r="BJ144" s="200">
        <v>12</v>
      </c>
      <c r="BK144" s="200">
        <v>12</v>
      </c>
      <c r="BL144" s="200">
        <v>30</v>
      </c>
      <c r="BM144" s="200">
        <v>37</v>
      </c>
      <c r="BN144" s="200">
        <v>41</v>
      </c>
      <c r="BO144" s="200">
        <v>43</v>
      </c>
      <c r="BP144" s="200">
        <v>32</v>
      </c>
      <c r="BQ144" s="200">
        <v>48</v>
      </c>
      <c r="BR144" s="200">
        <v>20</v>
      </c>
      <c r="BS144" s="200">
        <v>19</v>
      </c>
      <c r="BT144" s="200">
        <v>20</v>
      </c>
      <c r="BU144" s="200">
        <v>40</v>
      </c>
      <c r="BV144" s="200">
        <v>142</v>
      </c>
      <c r="BW144" s="200">
        <v>130</v>
      </c>
      <c r="BX144" s="200">
        <v>37</v>
      </c>
      <c r="BY144" s="200">
        <v>43</v>
      </c>
      <c r="BZ144" s="201">
        <v>40</v>
      </c>
      <c r="CA144" s="203">
        <v>42</v>
      </c>
      <c r="CB144" s="203">
        <v>0</v>
      </c>
      <c r="CC144" s="203">
        <v>0</v>
      </c>
      <c r="CD144" s="203">
        <v>0</v>
      </c>
      <c r="CE144" s="203">
        <v>2.2599999999999998</v>
      </c>
      <c r="CF144" s="203">
        <v>1.94</v>
      </c>
      <c r="CG144" s="204">
        <v>0</v>
      </c>
      <c r="CH144" s="200">
        <v>308</v>
      </c>
      <c r="CI144" s="201">
        <v>51</v>
      </c>
      <c r="CJ144" s="203" t="s">
        <v>2</v>
      </c>
      <c r="CK144" s="203" t="s">
        <v>2</v>
      </c>
      <c r="CL144" s="203" t="s">
        <v>2</v>
      </c>
      <c r="CM144" s="204" t="s">
        <v>2</v>
      </c>
      <c r="CN144" s="199" t="s">
        <v>2</v>
      </c>
      <c r="CO144" s="199" t="s">
        <v>2</v>
      </c>
    </row>
    <row r="145" spans="1:93" s="207" customFormat="1" ht="15" x14ac:dyDescent="0.25">
      <c r="A145" s="220" t="s">
        <v>784</v>
      </c>
      <c r="B145" s="221" t="s">
        <v>170</v>
      </c>
      <c r="C145" s="222" t="s">
        <v>966</v>
      </c>
      <c r="D145" s="290">
        <v>4</v>
      </c>
      <c r="E145" s="199">
        <v>10</v>
      </c>
      <c r="F145" s="200">
        <v>34</v>
      </c>
      <c r="G145" s="201">
        <v>142.12</v>
      </c>
      <c r="H145" s="202">
        <v>91</v>
      </c>
      <c r="I145" s="203">
        <v>1.3</v>
      </c>
      <c r="J145" s="203">
        <v>0.2</v>
      </c>
      <c r="K145" s="203">
        <v>7.1</v>
      </c>
      <c r="L145" s="203">
        <v>1.4</v>
      </c>
      <c r="M145" s="204">
        <v>0.6</v>
      </c>
      <c r="N145" s="200">
        <v>86</v>
      </c>
      <c r="O145" s="200">
        <v>120</v>
      </c>
      <c r="P145" s="203">
        <v>3.6</v>
      </c>
      <c r="Q145" s="203">
        <v>0.32</v>
      </c>
      <c r="R145" s="200">
        <v>15</v>
      </c>
      <c r="S145" s="200">
        <v>275</v>
      </c>
      <c r="T145" s="200">
        <v>12</v>
      </c>
      <c r="U145" s="205">
        <v>1.1000000000000001</v>
      </c>
      <c r="V145" s="205">
        <v>140</v>
      </c>
      <c r="W145" s="204">
        <v>0.3</v>
      </c>
      <c r="X145" s="203">
        <v>250</v>
      </c>
      <c r="Y145" s="205">
        <v>0.37</v>
      </c>
      <c r="Z145" s="205">
        <v>0.51</v>
      </c>
      <c r="AA145" s="205">
        <v>2.5</v>
      </c>
      <c r="AB145" s="205">
        <v>0.16800000000000001</v>
      </c>
      <c r="AC145" s="205">
        <v>0.16800000000000001</v>
      </c>
      <c r="AD145" s="200">
        <v>26</v>
      </c>
      <c r="AE145" s="200">
        <v>0</v>
      </c>
      <c r="AF145" s="203" t="s">
        <v>2</v>
      </c>
      <c r="AG145" s="204">
        <v>0</v>
      </c>
      <c r="AH145" s="200">
        <v>0</v>
      </c>
      <c r="AI145" s="200">
        <v>437</v>
      </c>
      <c r="AJ145" s="203" t="s">
        <v>2</v>
      </c>
      <c r="AK145" s="203" t="s">
        <v>2</v>
      </c>
      <c r="AL145" s="204" t="s">
        <v>2</v>
      </c>
      <c r="AM145" s="200">
        <v>3607</v>
      </c>
      <c r="AN145" s="200">
        <v>3271</v>
      </c>
      <c r="AO145" s="201" t="s">
        <v>2</v>
      </c>
      <c r="AP145" s="203">
        <v>0.03</v>
      </c>
      <c r="AQ145" s="205" t="s">
        <v>2</v>
      </c>
      <c r="AR145" s="205" t="s">
        <v>2</v>
      </c>
      <c r="AS145" s="205" t="s">
        <v>2</v>
      </c>
      <c r="AT145" s="205" t="s">
        <v>2</v>
      </c>
      <c r="AU145" s="205" t="s">
        <v>2</v>
      </c>
      <c r="AV145" s="206" t="s">
        <v>2</v>
      </c>
      <c r="AW145" s="203" t="s">
        <v>2</v>
      </c>
      <c r="AX145" s="205" t="s">
        <v>2</v>
      </c>
      <c r="AY145" s="205" t="s">
        <v>2</v>
      </c>
      <c r="AZ145" s="206" t="s">
        <v>2</v>
      </c>
      <c r="BA145" s="203" t="s">
        <v>2</v>
      </c>
      <c r="BB145" s="205" t="s">
        <v>2</v>
      </c>
      <c r="BC145" s="205" t="s">
        <v>2</v>
      </c>
      <c r="BD145" s="205" t="s">
        <v>2</v>
      </c>
      <c r="BE145" s="205" t="s">
        <v>2</v>
      </c>
      <c r="BF145" s="206" t="s">
        <v>2</v>
      </c>
      <c r="BG145" s="199" t="s">
        <v>2</v>
      </c>
      <c r="BH145" s="199">
        <v>0</v>
      </c>
      <c r="BI145" s="200">
        <v>44</v>
      </c>
      <c r="BJ145" s="200">
        <v>12</v>
      </c>
      <c r="BK145" s="200">
        <v>13</v>
      </c>
      <c r="BL145" s="200">
        <v>31</v>
      </c>
      <c r="BM145" s="200">
        <v>37</v>
      </c>
      <c r="BN145" s="200">
        <v>42</v>
      </c>
      <c r="BO145" s="200">
        <v>52</v>
      </c>
      <c r="BP145" s="200">
        <v>32</v>
      </c>
      <c r="BQ145" s="200">
        <v>48</v>
      </c>
      <c r="BR145" s="200">
        <v>20</v>
      </c>
      <c r="BS145" s="200">
        <v>19</v>
      </c>
      <c r="BT145" s="200">
        <v>21</v>
      </c>
      <c r="BU145" s="200">
        <v>41</v>
      </c>
      <c r="BV145" s="200">
        <v>143</v>
      </c>
      <c r="BW145" s="200">
        <v>132</v>
      </c>
      <c r="BX145" s="200">
        <v>37</v>
      </c>
      <c r="BY145" s="200">
        <v>44</v>
      </c>
      <c r="BZ145" s="201">
        <v>40</v>
      </c>
      <c r="CA145" s="203" t="s">
        <v>2</v>
      </c>
      <c r="CB145" s="203" t="s">
        <v>2</v>
      </c>
      <c r="CC145" s="203" t="s">
        <v>2</v>
      </c>
      <c r="CD145" s="203" t="s">
        <v>2</v>
      </c>
      <c r="CE145" s="203" t="s">
        <v>2</v>
      </c>
      <c r="CF145" s="203" t="s">
        <v>2</v>
      </c>
      <c r="CG145" s="204" t="s">
        <v>2</v>
      </c>
      <c r="CH145" s="200" t="s">
        <v>2</v>
      </c>
      <c r="CI145" s="201" t="s">
        <v>2</v>
      </c>
      <c r="CJ145" s="203" t="s">
        <v>2</v>
      </c>
      <c r="CK145" s="203" t="s">
        <v>2</v>
      </c>
      <c r="CL145" s="203" t="s">
        <v>2</v>
      </c>
      <c r="CM145" s="204" t="s">
        <v>2</v>
      </c>
      <c r="CN145" s="199" t="s">
        <v>2</v>
      </c>
      <c r="CO145" s="199" t="s">
        <v>2</v>
      </c>
    </row>
    <row r="146" spans="1:93" s="207" customFormat="1" ht="15" x14ac:dyDescent="0.25">
      <c r="A146" s="220" t="s">
        <v>785</v>
      </c>
      <c r="B146" s="221" t="s">
        <v>171</v>
      </c>
      <c r="C146" s="222" t="s">
        <v>967</v>
      </c>
      <c r="D146" s="290">
        <v>4</v>
      </c>
      <c r="E146" s="199">
        <v>10</v>
      </c>
      <c r="F146" s="200">
        <v>31</v>
      </c>
      <c r="G146" s="201">
        <v>129.57999999999998</v>
      </c>
      <c r="H146" s="202">
        <v>92</v>
      </c>
      <c r="I146" s="203">
        <v>1.3</v>
      </c>
      <c r="J146" s="203">
        <v>0.13</v>
      </c>
      <c r="K146" s="203">
        <v>6.07</v>
      </c>
      <c r="L146" s="203">
        <v>1.5</v>
      </c>
      <c r="M146" s="204">
        <v>0.5</v>
      </c>
      <c r="N146" s="200">
        <v>6</v>
      </c>
      <c r="O146" s="200">
        <v>25</v>
      </c>
      <c r="P146" s="203">
        <v>0.8</v>
      </c>
      <c r="Q146" s="203">
        <v>0.13</v>
      </c>
      <c r="R146" s="200">
        <v>3</v>
      </c>
      <c r="S146" s="200">
        <v>175</v>
      </c>
      <c r="T146" s="200">
        <v>10</v>
      </c>
      <c r="U146" s="205">
        <v>0.122</v>
      </c>
      <c r="V146" s="205">
        <v>66</v>
      </c>
      <c r="W146" s="204">
        <v>0</v>
      </c>
      <c r="X146" s="203">
        <v>103</v>
      </c>
      <c r="Y146" s="205">
        <v>0.04</v>
      </c>
      <c r="Z146" s="205">
        <v>0.05</v>
      </c>
      <c r="AA146" s="205">
        <v>0.9</v>
      </c>
      <c r="AB146" s="205">
        <v>9.9000000000000005E-2</v>
      </c>
      <c r="AC146" s="205">
        <v>0.224</v>
      </c>
      <c r="AD146" s="200">
        <v>11</v>
      </c>
      <c r="AE146" s="200">
        <v>0</v>
      </c>
      <c r="AF146" s="203" t="s">
        <v>2</v>
      </c>
      <c r="AG146" s="204">
        <v>0</v>
      </c>
      <c r="AH146" s="200">
        <v>0</v>
      </c>
      <c r="AI146" s="200">
        <v>17</v>
      </c>
      <c r="AJ146" s="203" t="s">
        <v>2</v>
      </c>
      <c r="AK146" s="203" t="s">
        <v>2</v>
      </c>
      <c r="AL146" s="204" t="s">
        <v>2</v>
      </c>
      <c r="AM146" s="200">
        <v>198</v>
      </c>
      <c r="AN146" s="200">
        <v>22</v>
      </c>
      <c r="AO146" s="201" t="s">
        <v>2</v>
      </c>
      <c r="AP146" s="203">
        <v>5.8000000000000003E-2</v>
      </c>
      <c r="AQ146" s="205">
        <v>0.05</v>
      </c>
      <c r="AR146" s="205">
        <v>0</v>
      </c>
      <c r="AS146" s="205">
        <v>8.0000000000000002E-3</v>
      </c>
      <c r="AT146" s="205">
        <v>0</v>
      </c>
      <c r="AU146" s="205">
        <v>0</v>
      </c>
      <c r="AV146" s="206">
        <v>0</v>
      </c>
      <c r="AW146" s="203">
        <v>8.0000000000000002E-3</v>
      </c>
      <c r="AX146" s="205">
        <v>0</v>
      </c>
      <c r="AY146" s="205">
        <v>0</v>
      </c>
      <c r="AZ146" s="206">
        <v>8.0000000000000002E-3</v>
      </c>
      <c r="BA146" s="203">
        <v>6.2E-2</v>
      </c>
      <c r="BB146" s="205">
        <v>5.3999999999999999E-2</v>
      </c>
      <c r="BC146" s="205">
        <v>8.0000000000000002E-3</v>
      </c>
      <c r="BD146" s="205">
        <v>0</v>
      </c>
      <c r="BE146" s="205">
        <v>0</v>
      </c>
      <c r="BF146" s="206">
        <v>0</v>
      </c>
      <c r="BG146" s="199" t="s">
        <v>2</v>
      </c>
      <c r="BH146" s="199">
        <v>0</v>
      </c>
      <c r="BI146" s="200">
        <v>65</v>
      </c>
      <c r="BJ146" s="200">
        <v>17</v>
      </c>
      <c r="BK146" s="200">
        <v>8</v>
      </c>
      <c r="BL146" s="200">
        <v>43</v>
      </c>
      <c r="BM146" s="200">
        <v>41</v>
      </c>
      <c r="BN146" s="200">
        <v>26</v>
      </c>
      <c r="BO146" s="200">
        <v>49</v>
      </c>
      <c r="BP146" s="200">
        <v>42</v>
      </c>
      <c r="BQ146" s="200">
        <v>21</v>
      </c>
      <c r="BR146" s="200">
        <v>13</v>
      </c>
      <c r="BS146" s="200">
        <v>23</v>
      </c>
      <c r="BT146" s="200">
        <v>24</v>
      </c>
      <c r="BU146" s="200">
        <v>55</v>
      </c>
      <c r="BV146" s="200">
        <v>139</v>
      </c>
      <c r="BW146" s="200">
        <v>178</v>
      </c>
      <c r="BX146" s="200">
        <v>42</v>
      </c>
      <c r="BY146" s="200">
        <v>48</v>
      </c>
      <c r="BZ146" s="201">
        <v>39</v>
      </c>
      <c r="CA146" s="203">
        <v>2.4</v>
      </c>
      <c r="CB146" s="203">
        <v>0</v>
      </c>
      <c r="CC146" s="203">
        <v>0</v>
      </c>
      <c r="CD146" s="203">
        <v>0</v>
      </c>
      <c r="CE146" s="203">
        <v>1.1200000000000001</v>
      </c>
      <c r="CF146" s="203">
        <v>1.1599999999999999</v>
      </c>
      <c r="CG146" s="204">
        <v>0.11</v>
      </c>
      <c r="CH146" s="200" t="s">
        <v>2</v>
      </c>
      <c r="CI146" s="201" t="s">
        <v>2</v>
      </c>
      <c r="CJ146" s="203" t="s">
        <v>2</v>
      </c>
      <c r="CK146" s="203" t="s">
        <v>2</v>
      </c>
      <c r="CL146" s="203" t="s">
        <v>2</v>
      </c>
      <c r="CM146" s="204" t="s">
        <v>2</v>
      </c>
      <c r="CN146" s="199">
        <v>9</v>
      </c>
      <c r="CO146" s="199">
        <v>55</v>
      </c>
    </row>
    <row r="147" spans="1:93" s="207" customFormat="1" ht="15" x14ac:dyDescent="0.25">
      <c r="A147" s="220" t="s">
        <v>786</v>
      </c>
      <c r="B147" s="221" t="s">
        <v>173</v>
      </c>
      <c r="C147" s="222" t="s">
        <v>968</v>
      </c>
      <c r="D147" s="290">
        <v>4</v>
      </c>
      <c r="E147" s="199">
        <v>36</v>
      </c>
      <c r="F147" s="200">
        <v>19</v>
      </c>
      <c r="G147" s="201">
        <v>79.419999999999987</v>
      </c>
      <c r="H147" s="202">
        <v>95</v>
      </c>
      <c r="I147" s="203">
        <v>0.8</v>
      </c>
      <c r="J147" s="203">
        <v>0</v>
      </c>
      <c r="K147" s="203">
        <v>3.9</v>
      </c>
      <c r="L147" s="203" t="s">
        <v>2</v>
      </c>
      <c r="M147" s="204">
        <v>0.3</v>
      </c>
      <c r="N147" s="200">
        <v>21</v>
      </c>
      <c r="O147" s="200">
        <v>5</v>
      </c>
      <c r="P147" s="203" t="s">
        <v>2</v>
      </c>
      <c r="Q147" s="203" t="s">
        <v>2</v>
      </c>
      <c r="R147" s="200" t="s">
        <v>2</v>
      </c>
      <c r="S147" s="200" t="s">
        <v>2</v>
      </c>
      <c r="T147" s="200" t="s">
        <v>2</v>
      </c>
      <c r="U147" s="205" t="s">
        <v>2</v>
      </c>
      <c r="V147" s="205" t="s">
        <v>2</v>
      </c>
      <c r="W147" s="204" t="s">
        <v>2</v>
      </c>
      <c r="X147" s="203" t="s">
        <v>2</v>
      </c>
      <c r="Y147" s="205" t="s">
        <v>2</v>
      </c>
      <c r="Z147" s="205" t="s">
        <v>2</v>
      </c>
      <c r="AA147" s="205" t="s">
        <v>2</v>
      </c>
      <c r="AB147" s="205" t="s">
        <v>2</v>
      </c>
      <c r="AC147" s="205" t="s">
        <v>2</v>
      </c>
      <c r="AD147" s="200" t="s">
        <v>2</v>
      </c>
      <c r="AE147" s="200" t="s">
        <v>2</v>
      </c>
      <c r="AF147" s="203" t="s">
        <v>2</v>
      </c>
      <c r="AG147" s="204" t="s">
        <v>2</v>
      </c>
      <c r="AH147" s="200">
        <v>0</v>
      </c>
      <c r="AI147" s="200">
        <v>0</v>
      </c>
      <c r="AJ147" s="203" t="s">
        <v>2</v>
      </c>
      <c r="AK147" s="203" t="s">
        <v>2</v>
      </c>
      <c r="AL147" s="204" t="s">
        <v>2</v>
      </c>
      <c r="AM147" s="200" t="s">
        <v>2</v>
      </c>
      <c r="AN147" s="200" t="s">
        <v>2</v>
      </c>
      <c r="AO147" s="201" t="s">
        <v>2</v>
      </c>
      <c r="AP147" s="203" t="s">
        <v>2</v>
      </c>
      <c r="AQ147" s="205" t="s">
        <v>2</v>
      </c>
      <c r="AR147" s="205" t="s">
        <v>2</v>
      </c>
      <c r="AS147" s="205" t="s">
        <v>2</v>
      </c>
      <c r="AT147" s="205" t="s">
        <v>2</v>
      </c>
      <c r="AU147" s="205" t="s">
        <v>2</v>
      </c>
      <c r="AV147" s="206" t="s">
        <v>2</v>
      </c>
      <c r="AW147" s="203" t="s">
        <v>2</v>
      </c>
      <c r="AX147" s="205" t="s">
        <v>2</v>
      </c>
      <c r="AY147" s="205" t="s">
        <v>2</v>
      </c>
      <c r="AZ147" s="206" t="s">
        <v>2</v>
      </c>
      <c r="BA147" s="203" t="s">
        <v>2</v>
      </c>
      <c r="BB147" s="205" t="s">
        <v>2</v>
      </c>
      <c r="BC147" s="205" t="s">
        <v>2</v>
      </c>
      <c r="BD147" s="205" t="s">
        <v>2</v>
      </c>
      <c r="BE147" s="205" t="s">
        <v>2</v>
      </c>
      <c r="BF147" s="206" t="s">
        <v>2</v>
      </c>
      <c r="BG147" s="199" t="s">
        <v>2</v>
      </c>
      <c r="BH147" s="199">
        <v>0</v>
      </c>
      <c r="BI147" s="200" t="s">
        <v>2</v>
      </c>
      <c r="BJ147" s="200" t="s">
        <v>2</v>
      </c>
      <c r="BK147" s="200" t="s">
        <v>2</v>
      </c>
      <c r="BL147" s="200" t="s">
        <v>2</v>
      </c>
      <c r="BM147" s="200" t="s">
        <v>2</v>
      </c>
      <c r="BN147" s="200" t="s">
        <v>2</v>
      </c>
      <c r="BO147" s="200" t="s">
        <v>2</v>
      </c>
      <c r="BP147" s="200" t="s">
        <v>2</v>
      </c>
      <c r="BQ147" s="200" t="s">
        <v>2</v>
      </c>
      <c r="BR147" s="200" t="s">
        <v>2</v>
      </c>
      <c r="BS147" s="200" t="s">
        <v>2</v>
      </c>
      <c r="BT147" s="200" t="s">
        <v>2</v>
      </c>
      <c r="BU147" s="200" t="s">
        <v>2</v>
      </c>
      <c r="BV147" s="200" t="s">
        <v>2</v>
      </c>
      <c r="BW147" s="200" t="s">
        <v>2</v>
      </c>
      <c r="BX147" s="200" t="s">
        <v>2</v>
      </c>
      <c r="BY147" s="200" t="s">
        <v>2</v>
      </c>
      <c r="BZ147" s="201" t="s">
        <v>2</v>
      </c>
      <c r="CA147" s="203" t="s">
        <v>2</v>
      </c>
      <c r="CB147" s="203" t="s">
        <v>2</v>
      </c>
      <c r="CC147" s="203" t="s">
        <v>2</v>
      </c>
      <c r="CD147" s="203" t="s">
        <v>2</v>
      </c>
      <c r="CE147" s="203" t="s">
        <v>2</v>
      </c>
      <c r="CF147" s="203" t="s">
        <v>2</v>
      </c>
      <c r="CG147" s="204" t="s">
        <v>2</v>
      </c>
      <c r="CH147" s="200" t="s">
        <v>2</v>
      </c>
      <c r="CI147" s="201" t="s">
        <v>2</v>
      </c>
      <c r="CJ147" s="203" t="s">
        <v>2</v>
      </c>
      <c r="CK147" s="203" t="s">
        <v>2</v>
      </c>
      <c r="CL147" s="203" t="s">
        <v>2</v>
      </c>
      <c r="CM147" s="204" t="s">
        <v>2</v>
      </c>
      <c r="CN147" s="199" t="s">
        <v>2</v>
      </c>
      <c r="CO147" s="199" t="s">
        <v>2</v>
      </c>
    </row>
    <row r="148" spans="1:93" s="207" customFormat="1" ht="15" x14ac:dyDescent="0.25">
      <c r="A148" s="220" t="s">
        <v>787</v>
      </c>
      <c r="B148" s="221" t="s">
        <v>174</v>
      </c>
      <c r="C148" s="222" t="s">
        <v>969</v>
      </c>
      <c r="D148" s="290">
        <v>4</v>
      </c>
      <c r="E148" s="199">
        <v>15</v>
      </c>
      <c r="F148" s="200">
        <v>35</v>
      </c>
      <c r="G148" s="201">
        <v>146.30000000000001</v>
      </c>
      <c r="H148" s="202">
        <v>90.3</v>
      </c>
      <c r="I148" s="203">
        <v>1.9</v>
      </c>
      <c r="J148" s="203" t="s">
        <v>2</v>
      </c>
      <c r="K148" s="203">
        <v>6.8</v>
      </c>
      <c r="L148" s="203">
        <v>2</v>
      </c>
      <c r="M148" s="204">
        <v>1</v>
      </c>
      <c r="N148" s="200">
        <v>130</v>
      </c>
      <c r="O148" s="200">
        <v>46</v>
      </c>
      <c r="P148" s="203">
        <v>0.4</v>
      </c>
      <c r="Q148" s="203" t="s">
        <v>2</v>
      </c>
      <c r="R148" s="200" t="s">
        <v>2</v>
      </c>
      <c r="S148" s="200" t="s">
        <v>2</v>
      </c>
      <c r="T148" s="200" t="s">
        <v>2</v>
      </c>
      <c r="U148" s="205" t="s">
        <v>2</v>
      </c>
      <c r="V148" s="205" t="s">
        <v>2</v>
      </c>
      <c r="W148" s="204" t="s">
        <v>2</v>
      </c>
      <c r="X148" s="203">
        <v>12</v>
      </c>
      <c r="Y148" s="205">
        <v>0.15</v>
      </c>
      <c r="Z148" s="205">
        <v>0.05</v>
      </c>
      <c r="AA148" s="205">
        <v>0.4</v>
      </c>
      <c r="AB148" s="205" t="s">
        <v>2</v>
      </c>
      <c r="AC148" s="205" t="s">
        <v>2</v>
      </c>
      <c r="AD148" s="200" t="s">
        <v>2</v>
      </c>
      <c r="AE148" s="200" t="s">
        <v>2</v>
      </c>
      <c r="AF148" s="203" t="s">
        <v>2</v>
      </c>
      <c r="AG148" s="204" t="s">
        <v>2</v>
      </c>
      <c r="AH148" s="200">
        <v>0</v>
      </c>
      <c r="AI148" s="200">
        <v>1</v>
      </c>
      <c r="AJ148" s="203" t="s">
        <v>2</v>
      </c>
      <c r="AK148" s="203" t="s">
        <v>2</v>
      </c>
      <c r="AL148" s="204" t="s">
        <v>2</v>
      </c>
      <c r="AM148" s="200">
        <v>10</v>
      </c>
      <c r="AN148" s="200" t="s">
        <v>2</v>
      </c>
      <c r="AO148" s="201" t="s">
        <v>2</v>
      </c>
      <c r="AP148" s="203" t="s">
        <v>2</v>
      </c>
      <c r="AQ148" s="205" t="s">
        <v>2</v>
      </c>
      <c r="AR148" s="205" t="s">
        <v>2</v>
      </c>
      <c r="AS148" s="205" t="s">
        <v>2</v>
      </c>
      <c r="AT148" s="205" t="s">
        <v>2</v>
      </c>
      <c r="AU148" s="205" t="s">
        <v>2</v>
      </c>
      <c r="AV148" s="206" t="s">
        <v>2</v>
      </c>
      <c r="AW148" s="203" t="s">
        <v>2</v>
      </c>
      <c r="AX148" s="205" t="s">
        <v>2</v>
      </c>
      <c r="AY148" s="205" t="s">
        <v>2</v>
      </c>
      <c r="AZ148" s="206" t="s">
        <v>2</v>
      </c>
      <c r="BA148" s="203" t="s">
        <v>2</v>
      </c>
      <c r="BB148" s="205" t="s">
        <v>2</v>
      </c>
      <c r="BC148" s="205" t="s">
        <v>2</v>
      </c>
      <c r="BD148" s="205" t="s">
        <v>2</v>
      </c>
      <c r="BE148" s="205" t="s">
        <v>2</v>
      </c>
      <c r="BF148" s="206" t="s">
        <v>2</v>
      </c>
      <c r="BG148" s="199" t="s">
        <v>2</v>
      </c>
      <c r="BH148" s="199">
        <v>0</v>
      </c>
      <c r="BI148" s="200" t="s">
        <v>2</v>
      </c>
      <c r="BJ148" s="200" t="s">
        <v>2</v>
      </c>
      <c r="BK148" s="200" t="s">
        <v>2</v>
      </c>
      <c r="BL148" s="200" t="s">
        <v>2</v>
      </c>
      <c r="BM148" s="200" t="s">
        <v>2</v>
      </c>
      <c r="BN148" s="200" t="s">
        <v>2</v>
      </c>
      <c r="BO148" s="200" t="s">
        <v>2</v>
      </c>
      <c r="BP148" s="200" t="s">
        <v>2</v>
      </c>
      <c r="BQ148" s="200" t="s">
        <v>2</v>
      </c>
      <c r="BR148" s="200" t="s">
        <v>2</v>
      </c>
      <c r="BS148" s="200" t="s">
        <v>2</v>
      </c>
      <c r="BT148" s="200" t="s">
        <v>2</v>
      </c>
      <c r="BU148" s="200" t="s">
        <v>2</v>
      </c>
      <c r="BV148" s="200" t="s">
        <v>2</v>
      </c>
      <c r="BW148" s="200" t="s">
        <v>2</v>
      </c>
      <c r="BX148" s="200" t="s">
        <v>2</v>
      </c>
      <c r="BY148" s="200" t="s">
        <v>2</v>
      </c>
      <c r="BZ148" s="201" t="s">
        <v>2</v>
      </c>
      <c r="CA148" s="203" t="s">
        <v>2</v>
      </c>
      <c r="CB148" s="203" t="s">
        <v>2</v>
      </c>
      <c r="CC148" s="203" t="s">
        <v>2</v>
      </c>
      <c r="CD148" s="203" t="s">
        <v>2</v>
      </c>
      <c r="CE148" s="203" t="s">
        <v>2</v>
      </c>
      <c r="CF148" s="203" t="s">
        <v>2</v>
      </c>
      <c r="CG148" s="204" t="s">
        <v>2</v>
      </c>
      <c r="CH148" s="200" t="s">
        <v>2</v>
      </c>
      <c r="CI148" s="201" t="s">
        <v>2</v>
      </c>
      <c r="CJ148" s="203" t="s">
        <v>2</v>
      </c>
      <c r="CK148" s="203" t="s">
        <v>2</v>
      </c>
      <c r="CL148" s="203" t="s">
        <v>2</v>
      </c>
      <c r="CM148" s="204" t="s">
        <v>2</v>
      </c>
      <c r="CN148" s="199" t="s">
        <v>2</v>
      </c>
      <c r="CO148" s="199" t="s">
        <v>2</v>
      </c>
    </row>
    <row r="149" spans="1:93" s="207" customFormat="1" ht="15" x14ac:dyDescent="0.25">
      <c r="A149" s="220" t="s">
        <v>788</v>
      </c>
      <c r="B149" s="221" t="s">
        <v>175</v>
      </c>
      <c r="C149" s="222" t="s">
        <v>970</v>
      </c>
      <c r="D149" s="290">
        <v>4</v>
      </c>
      <c r="E149" s="199">
        <v>30</v>
      </c>
      <c r="F149" s="200">
        <v>26</v>
      </c>
      <c r="G149" s="201">
        <v>108.67999999999999</v>
      </c>
      <c r="H149" s="202">
        <v>93.2</v>
      </c>
      <c r="I149" s="203">
        <v>2.7</v>
      </c>
      <c r="J149" s="203">
        <v>0.28000000000000003</v>
      </c>
      <c r="K149" s="203">
        <v>3.12</v>
      </c>
      <c r="L149" s="203">
        <v>1.7</v>
      </c>
      <c r="M149" s="204">
        <v>0.7</v>
      </c>
      <c r="N149" s="200">
        <v>100</v>
      </c>
      <c r="O149" s="200">
        <v>26</v>
      </c>
      <c r="P149" s="203">
        <v>2.1</v>
      </c>
      <c r="Q149" s="203">
        <v>0.45</v>
      </c>
      <c r="R149" s="200">
        <v>17</v>
      </c>
      <c r="S149" s="200">
        <v>390</v>
      </c>
      <c r="T149" s="200">
        <v>18</v>
      </c>
      <c r="U149" s="224" t="s">
        <v>176</v>
      </c>
      <c r="V149" s="205">
        <v>90</v>
      </c>
      <c r="W149" s="204">
        <v>0.9</v>
      </c>
      <c r="X149" s="203">
        <v>11</v>
      </c>
      <c r="Y149" s="205">
        <v>0.09</v>
      </c>
      <c r="Z149" s="205">
        <v>0.13</v>
      </c>
      <c r="AA149" s="205">
        <v>0.9</v>
      </c>
      <c r="AB149" s="205">
        <v>4.2000000000000003E-2</v>
      </c>
      <c r="AC149" s="205">
        <v>0.20699999999999999</v>
      </c>
      <c r="AD149" s="200">
        <v>36</v>
      </c>
      <c r="AE149" s="200">
        <v>0</v>
      </c>
      <c r="AF149" s="203" t="s">
        <v>2</v>
      </c>
      <c r="AG149" s="204">
        <v>0</v>
      </c>
      <c r="AH149" s="200">
        <v>0</v>
      </c>
      <c r="AI149" s="200">
        <v>162</v>
      </c>
      <c r="AJ149" s="203" t="s">
        <v>2</v>
      </c>
      <c r="AK149" s="203" t="s">
        <v>2</v>
      </c>
      <c r="AL149" s="204" t="s">
        <v>2</v>
      </c>
      <c r="AM149" s="200">
        <v>1940</v>
      </c>
      <c r="AN149" s="200" t="s">
        <v>2</v>
      </c>
      <c r="AO149" s="201" t="s">
        <v>2</v>
      </c>
      <c r="AP149" s="203">
        <v>0.20699999999999999</v>
      </c>
      <c r="AQ149" s="205">
        <v>0.14599999999999999</v>
      </c>
      <c r="AR149" s="205">
        <v>0</v>
      </c>
      <c r="AS149" s="205">
        <v>1.0999999999999999E-2</v>
      </c>
      <c r="AT149" s="205">
        <v>0</v>
      </c>
      <c r="AU149" s="205">
        <v>0</v>
      </c>
      <c r="AV149" s="206">
        <v>0</v>
      </c>
      <c r="AW149" s="203">
        <v>5.1999999999999998E-2</v>
      </c>
      <c r="AX149" s="205">
        <v>2.5999999999999999E-2</v>
      </c>
      <c r="AY149" s="205">
        <v>0.03</v>
      </c>
      <c r="AZ149" s="206">
        <v>2.5000000000000001E-2</v>
      </c>
      <c r="BA149" s="203">
        <v>2.1999999999999999E-2</v>
      </c>
      <c r="BB149" s="205">
        <v>0.01</v>
      </c>
      <c r="BC149" s="205">
        <v>1.2E-2</v>
      </c>
      <c r="BD149" s="205">
        <v>0</v>
      </c>
      <c r="BE149" s="205">
        <v>0</v>
      </c>
      <c r="BF149" s="206">
        <v>0</v>
      </c>
      <c r="BG149" s="199" t="s">
        <v>2</v>
      </c>
      <c r="BH149" s="199">
        <v>0</v>
      </c>
      <c r="BI149" s="200">
        <v>200</v>
      </c>
      <c r="BJ149" s="200">
        <v>54</v>
      </c>
      <c r="BK149" s="200">
        <v>41</v>
      </c>
      <c r="BL149" s="200">
        <v>171</v>
      </c>
      <c r="BM149" s="200">
        <v>156</v>
      </c>
      <c r="BN149" s="200">
        <v>181</v>
      </c>
      <c r="BO149" s="200">
        <v>318</v>
      </c>
      <c r="BP149" s="200">
        <v>156</v>
      </c>
      <c r="BQ149" s="200">
        <v>217</v>
      </c>
      <c r="BR149" s="200">
        <v>50</v>
      </c>
      <c r="BS149" s="200">
        <v>32</v>
      </c>
      <c r="BT149" s="200">
        <v>156</v>
      </c>
      <c r="BU149" s="200" t="s">
        <v>2</v>
      </c>
      <c r="BV149" s="200" t="s">
        <v>2</v>
      </c>
      <c r="BW149" s="200" t="s">
        <v>2</v>
      </c>
      <c r="BX149" s="200" t="s">
        <v>2</v>
      </c>
      <c r="BY149" s="200" t="s">
        <v>2</v>
      </c>
      <c r="BZ149" s="201" t="s">
        <v>2</v>
      </c>
      <c r="CA149" s="203" t="s">
        <v>2</v>
      </c>
      <c r="CB149" s="203" t="s">
        <v>2</v>
      </c>
      <c r="CC149" s="203" t="s">
        <v>2</v>
      </c>
      <c r="CD149" s="203" t="s">
        <v>2</v>
      </c>
      <c r="CE149" s="203" t="s">
        <v>2</v>
      </c>
      <c r="CF149" s="203" t="s">
        <v>2</v>
      </c>
      <c r="CG149" s="204" t="s">
        <v>2</v>
      </c>
      <c r="CH149" s="200" t="s">
        <v>2</v>
      </c>
      <c r="CI149" s="201" t="s">
        <v>2</v>
      </c>
      <c r="CJ149" s="203" t="s">
        <v>2</v>
      </c>
      <c r="CK149" s="203" t="s">
        <v>2</v>
      </c>
      <c r="CL149" s="203" t="s">
        <v>2</v>
      </c>
      <c r="CM149" s="204" t="s">
        <v>2</v>
      </c>
      <c r="CN149" s="199" t="s">
        <v>2</v>
      </c>
      <c r="CO149" s="199" t="s">
        <v>2</v>
      </c>
    </row>
    <row r="150" spans="1:93" s="207" customFormat="1" ht="15" x14ac:dyDescent="0.25">
      <c r="A150" s="220" t="s">
        <v>789</v>
      </c>
      <c r="B150" s="221" t="s">
        <v>177</v>
      </c>
      <c r="C150" s="222" t="s">
        <v>971</v>
      </c>
      <c r="D150" s="290">
        <v>4</v>
      </c>
      <c r="E150" s="199">
        <v>0</v>
      </c>
      <c r="F150" s="200">
        <v>281</v>
      </c>
      <c r="G150" s="201">
        <v>1174.58</v>
      </c>
      <c r="H150" s="202">
        <v>20</v>
      </c>
      <c r="I150" s="203">
        <v>11.2</v>
      </c>
      <c r="J150" s="203">
        <v>1.1000000000000001</v>
      </c>
      <c r="K150" s="203">
        <v>56.6</v>
      </c>
      <c r="L150" s="203">
        <v>20.8</v>
      </c>
      <c r="M150" s="204">
        <v>11.1</v>
      </c>
      <c r="N150" s="200">
        <v>378</v>
      </c>
      <c r="O150" s="200">
        <v>124</v>
      </c>
      <c r="P150" s="203">
        <v>8.8000000000000007</v>
      </c>
      <c r="Q150" s="223" t="s">
        <v>178</v>
      </c>
      <c r="R150" s="200">
        <v>102</v>
      </c>
      <c r="S150" s="200">
        <v>1125</v>
      </c>
      <c r="T150" s="200">
        <v>770</v>
      </c>
      <c r="U150" s="205">
        <v>4.3</v>
      </c>
      <c r="V150" s="205">
        <v>610</v>
      </c>
      <c r="W150" s="204">
        <v>7.4</v>
      </c>
      <c r="X150" s="203">
        <v>0</v>
      </c>
      <c r="Y150" s="205">
        <v>0.01</v>
      </c>
      <c r="Z150" s="205">
        <v>0.22</v>
      </c>
      <c r="AA150" s="205">
        <v>0.20200000000000001</v>
      </c>
      <c r="AB150" s="205">
        <v>3.0179999999999998</v>
      </c>
      <c r="AC150" s="205">
        <v>0.30299999999999999</v>
      </c>
      <c r="AD150" s="200">
        <v>580</v>
      </c>
      <c r="AE150" s="200">
        <v>0</v>
      </c>
      <c r="AF150" s="203" t="s">
        <v>2</v>
      </c>
      <c r="AG150" s="204">
        <v>0</v>
      </c>
      <c r="AH150" s="200">
        <v>0</v>
      </c>
      <c r="AI150" s="200">
        <v>0</v>
      </c>
      <c r="AJ150" s="203" t="s">
        <v>2</v>
      </c>
      <c r="AK150" s="203">
        <v>5</v>
      </c>
      <c r="AL150" s="204">
        <v>24.4</v>
      </c>
      <c r="AM150" s="200" t="s">
        <v>2</v>
      </c>
      <c r="AN150" s="200" t="s">
        <v>2</v>
      </c>
      <c r="AO150" s="201" t="s">
        <v>2</v>
      </c>
      <c r="AP150" s="203">
        <v>6.0999999999999999E-2</v>
      </c>
      <c r="AQ150" s="205">
        <v>5.5E-2</v>
      </c>
      <c r="AR150" s="205">
        <v>0</v>
      </c>
      <c r="AS150" s="205">
        <v>3.0000000000000001E-3</v>
      </c>
      <c r="AT150" s="205">
        <v>0</v>
      </c>
      <c r="AU150" s="205">
        <v>0</v>
      </c>
      <c r="AV150" s="206">
        <v>0</v>
      </c>
      <c r="AW150" s="203">
        <v>2.7E-2</v>
      </c>
      <c r="AX150" s="205">
        <v>8.9999999999999993E-3</v>
      </c>
      <c r="AY150" s="205">
        <v>0.01</v>
      </c>
      <c r="AZ150" s="206">
        <v>8.9999999999999993E-3</v>
      </c>
      <c r="BA150" s="203">
        <v>0.10199999999999999</v>
      </c>
      <c r="BB150" s="205">
        <v>4.0000000000000001E-3</v>
      </c>
      <c r="BC150" s="205">
        <v>1E-3</v>
      </c>
      <c r="BD150" s="205">
        <v>0</v>
      </c>
      <c r="BE150" s="205">
        <v>0</v>
      </c>
      <c r="BF150" s="206">
        <v>0</v>
      </c>
      <c r="BG150" s="199" t="s">
        <v>2</v>
      </c>
      <c r="BH150" s="199">
        <v>0</v>
      </c>
      <c r="BI150" s="200" t="s">
        <v>2</v>
      </c>
      <c r="BJ150" s="200" t="s">
        <v>2</v>
      </c>
      <c r="BK150" s="200" t="s">
        <v>2</v>
      </c>
      <c r="BL150" s="200" t="s">
        <v>2</v>
      </c>
      <c r="BM150" s="200" t="s">
        <v>2</v>
      </c>
      <c r="BN150" s="200" t="s">
        <v>2</v>
      </c>
      <c r="BO150" s="200" t="s">
        <v>2</v>
      </c>
      <c r="BP150" s="200" t="s">
        <v>2</v>
      </c>
      <c r="BQ150" s="200" t="s">
        <v>2</v>
      </c>
      <c r="BR150" s="200" t="s">
        <v>2</v>
      </c>
      <c r="BS150" s="200" t="s">
        <v>2</v>
      </c>
      <c r="BT150" s="200" t="s">
        <v>2</v>
      </c>
      <c r="BU150" s="200" t="s">
        <v>2</v>
      </c>
      <c r="BV150" s="200" t="s">
        <v>2</v>
      </c>
      <c r="BW150" s="200" t="s">
        <v>2</v>
      </c>
      <c r="BX150" s="200" t="s">
        <v>2</v>
      </c>
      <c r="BY150" s="200" t="s">
        <v>2</v>
      </c>
      <c r="BZ150" s="201" t="s">
        <v>2</v>
      </c>
      <c r="CA150" s="203">
        <v>2.97</v>
      </c>
      <c r="CB150" s="203" t="s">
        <v>2</v>
      </c>
      <c r="CC150" s="203" t="s">
        <v>2</v>
      </c>
      <c r="CD150" s="203" t="s">
        <v>2</v>
      </c>
      <c r="CE150" s="203" t="s">
        <v>2</v>
      </c>
      <c r="CF150" s="203" t="s">
        <v>2</v>
      </c>
      <c r="CG150" s="204" t="s">
        <v>2</v>
      </c>
      <c r="CH150" s="200" t="s">
        <v>2</v>
      </c>
      <c r="CI150" s="201" t="s">
        <v>2</v>
      </c>
      <c r="CJ150" s="203" t="s">
        <v>2</v>
      </c>
      <c r="CK150" s="203" t="s">
        <v>2</v>
      </c>
      <c r="CL150" s="203" t="s">
        <v>2</v>
      </c>
      <c r="CM150" s="204" t="s">
        <v>2</v>
      </c>
      <c r="CN150" s="199" t="s">
        <v>2</v>
      </c>
      <c r="CO150" s="199" t="s">
        <v>2</v>
      </c>
    </row>
    <row r="151" spans="1:93" s="207" customFormat="1" ht="15" x14ac:dyDescent="0.25">
      <c r="A151" s="220" t="s">
        <v>790</v>
      </c>
      <c r="B151" s="221" t="s">
        <v>179</v>
      </c>
      <c r="C151" s="222" t="s">
        <v>972</v>
      </c>
      <c r="D151" s="290">
        <v>4</v>
      </c>
      <c r="E151" s="199">
        <v>4</v>
      </c>
      <c r="F151" s="200">
        <v>25</v>
      </c>
      <c r="G151" s="201">
        <v>104.5</v>
      </c>
      <c r="H151" s="202">
        <v>86.2</v>
      </c>
      <c r="I151" s="203">
        <v>1.9</v>
      </c>
      <c r="J151" s="203">
        <v>0.1</v>
      </c>
      <c r="K151" s="203">
        <v>9.1</v>
      </c>
      <c r="L151" s="203">
        <v>5</v>
      </c>
      <c r="M151" s="204">
        <v>2.7</v>
      </c>
      <c r="N151" s="200">
        <v>85</v>
      </c>
      <c r="O151" s="200">
        <v>34</v>
      </c>
      <c r="P151" s="203">
        <v>0.9</v>
      </c>
      <c r="Q151" s="203">
        <v>0.57999999999999996</v>
      </c>
      <c r="R151" s="200">
        <v>9</v>
      </c>
      <c r="S151" s="200">
        <v>226</v>
      </c>
      <c r="T151" s="200">
        <v>67</v>
      </c>
      <c r="U151" s="205">
        <v>0.373</v>
      </c>
      <c r="V151" s="205">
        <v>61</v>
      </c>
      <c r="W151" s="204">
        <v>0.7</v>
      </c>
      <c r="X151" s="203">
        <v>0</v>
      </c>
      <c r="Y151" s="205">
        <v>5.0000000000000001E-3</v>
      </c>
      <c r="Z151" s="205">
        <v>0.03</v>
      </c>
      <c r="AA151" s="205">
        <v>0.5</v>
      </c>
      <c r="AB151" s="205">
        <v>0.30199999999999999</v>
      </c>
      <c r="AC151" s="205">
        <v>3.2000000000000001E-2</v>
      </c>
      <c r="AD151" s="200">
        <v>85</v>
      </c>
      <c r="AE151" s="200">
        <v>0</v>
      </c>
      <c r="AF151" s="203" t="s">
        <v>2</v>
      </c>
      <c r="AG151" s="204">
        <v>0</v>
      </c>
      <c r="AH151" s="200">
        <v>0</v>
      </c>
      <c r="AI151" s="200">
        <v>0</v>
      </c>
      <c r="AJ151" s="203" t="s">
        <v>2</v>
      </c>
      <c r="AK151" s="203">
        <v>0.87</v>
      </c>
      <c r="AL151" s="204">
        <v>2.2999999999999998</v>
      </c>
      <c r="AM151" s="200" t="s">
        <v>2</v>
      </c>
      <c r="AN151" s="200" t="s">
        <v>2</v>
      </c>
      <c r="AO151" s="201" t="s">
        <v>2</v>
      </c>
      <c r="AP151" s="203">
        <v>6.0000000000000001E-3</v>
      </c>
      <c r="AQ151" s="205">
        <v>5.0000000000000001E-3</v>
      </c>
      <c r="AR151" s="205">
        <v>0</v>
      </c>
      <c r="AS151" s="205">
        <v>0</v>
      </c>
      <c r="AT151" s="205">
        <v>0</v>
      </c>
      <c r="AU151" s="205">
        <v>0</v>
      </c>
      <c r="AV151" s="206">
        <v>0</v>
      </c>
      <c r="AW151" s="203">
        <v>3.0000000000000001E-3</v>
      </c>
      <c r="AX151" s="205">
        <v>1E-3</v>
      </c>
      <c r="AY151" s="205">
        <v>0</v>
      </c>
      <c r="AZ151" s="206">
        <v>1E-3</v>
      </c>
      <c r="BA151" s="203">
        <v>0.01</v>
      </c>
      <c r="BB151" s="205">
        <v>0</v>
      </c>
      <c r="BC151" s="205">
        <v>0</v>
      </c>
      <c r="BD151" s="205">
        <v>1E-3</v>
      </c>
      <c r="BE151" s="205">
        <v>8.0000000000000002E-3</v>
      </c>
      <c r="BF151" s="206">
        <v>0</v>
      </c>
      <c r="BG151" s="199" t="s">
        <v>2</v>
      </c>
      <c r="BH151" s="199">
        <v>0</v>
      </c>
      <c r="BI151" s="200" t="s">
        <v>2</v>
      </c>
      <c r="BJ151" s="200" t="s">
        <v>2</v>
      </c>
      <c r="BK151" s="200" t="s">
        <v>2</v>
      </c>
      <c r="BL151" s="200" t="s">
        <v>2</v>
      </c>
      <c r="BM151" s="200" t="s">
        <v>2</v>
      </c>
      <c r="BN151" s="200" t="s">
        <v>2</v>
      </c>
      <c r="BO151" s="200" t="s">
        <v>2</v>
      </c>
      <c r="BP151" s="200" t="s">
        <v>2</v>
      </c>
      <c r="BQ151" s="200" t="s">
        <v>2</v>
      </c>
      <c r="BR151" s="200" t="s">
        <v>2</v>
      </c>
      <c r="BS151" s="200" t="s">
        <v>2</v>
      </c>
      <c r="BT151" s="200" t="s">
        <v>2</v>
      </c>
      <c r="BU151" s="200" t="s">
        <v>2</v>
      </c>
      <c r="BV151" s="200" t="s">
        <v>2</v>
      </c>
      <c r="BW151" s="200" t="s">
        <v>2</v>
      </c>
      <c r="BX151" s="200" t="s">
        <v>2</v>
      </c>
      <c r="BY151" s="200" t="s">
        <v>2</v>
      </c>
      <c r="BZ151" s="201" t="s">
        <v>2</v>
      </c>
      <c r="CA151" s="203">
        <v>0.28000000000000003</v>
      </c>
      <c r="CB151" s="203" t="s">
        <v>2</v>
      </c>
      <c r="CC151" s="203" t="s">
        <v>2</v>
      </c>
      <c r="CD151" s="203" t="s">
        <v>2</v>
      </c>
      <c r="CE151" s="203" t="s">
        <v>2</v>
      </c>
      <c r="CF151" s="203" t="s">
        <v>2</v>
      </c>
      <c r="CG151" s="204" t="s">
        <v>2</v>
      </c>
      <c r="CH151" s="200" t="s">
        <v>2</v>
      </c>
      <c r="CI151" s="201" t="s">
        <v>2</v>
      </c>
      <c r="CJ151" s="203" t="s">
        <v>2</v>
      </c>
      <c r="CK151" s="203" t="s">
        <v>2</v>
      </c>
      <c r="CL151" s="203" t="s">
        <v>2</v>
      </c>
      <c r="CM151" s="204" t="s">
        <v>2</v>
      </c>
      <c r="CN151" s="199" t="s">
        <v>2</v>
      </c>
      <c r="CO151" s="199" t="s">
        <v>2</v>
      </c>
    </row>
    <row r="152" spans="1:93" s="207" customFormat="1" ht="15" x14ac:dyDescent="0.25">
      <c r="A152" s="220" t="s">
        <v>791</v>
      </c>
      <c r="B152" s="221" t="s">
        <v>180</v>
      </c>
      <c r="C152" s="222" t="s">
        <v>973</v>
      </c>
      <c r="D152" s="290">
        <v>4</v>
      </c>
      <c r="E152" s="199">
        <v>10</v>
      </c>
      <c r="F152" s="200">
        <v>15</v>
      </c>
      <c r="G152" s="201">
        <v>62.699999999999996</v>
      </c>
      <c r="H152" s="202">
        <v>95.7</v>
      </c>
      <c r="I152" s="203">
        <v>1.2</v>
      </c>
      <c r="J152" s="203">
        <v>0.11</v>
      </c>
      <c r="K152" s="203">
        <v>2.39</v>
      </c>
      <c r="L152" s="203">
        <v>0.5</v>
      </c>
      <c r="M152" s="204">
        <v>0.6</v>
      </c>
      <c r="N152" s="200">
        <v>38</v>
      </c>
      <c r="O152" s="200">
        <v>37</v>
      </c>
      <c r="P152" s="203">
        <v>1.1000000000000001</v>
      </c>
      <c r="Q152" s="223" t="s">
        <v>181</v>
      </c>
      <c r="R152" s="200">
        <v>14</v>
      </c>
      <c r="S152" s="200">
        <v>254</v>
      </c>
      <c r="T152" s="200">
        <v>18</v>
      </c>
      <c r="U152" s="205">
        <v>0.8</v>
      </c>
      <c r="V152" s="205">
        <v>180</v>
      </c>
      <c r="W152" s="204">
        <v>0.8</v>
      </c>
      <c r="X152" s="203">
        <v>30</v>
      </c>
      <c r="Y152" s="205">
        <v>0.3</v>
      </c>
      <c r="Z152" s="205">
        <v>0.09</v>
      </c>
      <c r="AA152" s="205">
        <v>0.2</v>
      </c>
      <c r="AB152" s="205">
        <v>0.13400000000000001</v>
      </c>
      <c r="AC152" s="205">
        <v>0.09</v>
      </c>
      <c r="AD152" s="200">
        <v>38</v>
      </c>
      <c r="AE152" s="200">
        <v>0</v>
      </c>
      <c r="AF152" s="203" t="s">
        <v>2</v>
      </c>
      <c r="AG152" s="204">
        <v>0</v>
      </c>
      <c r="AH152" s="200">
        <v>0</v>
      </c>
      <c r="AI152" s="200">
        <v>370</v>
      </c>
      <c r="AJ152" s="203" t="s">
        <v>2</v>
      </c>
      <c r="AK152" s="203">
        <v>0.28999999999999998</v>
      </c>
      <c r="AL152" s="204">
        <v>173.6</v>
      </c>
      <c r="AM152" s="200">
        <v>4443</v>
      </c>
      <c r="AN152" s="200">
        <v>0</v>
      </c>
      <c r="AO152" s="201">
        <v>0</v>
      </c>
      <c r="AP152" s="203">
        <v>0.02</v>
      </c>
      <c r="AQ152" s="205">
        <v>1.7999999999999999E-2</v>
      </c>
      <c r="AR152" s="205">
        <v>0</v>
      </c>
      <c r="AS152" s="205">
        <v>2E-3</v>
      </c>
      <c r="AT152" s="205">
        <v>0</v>
      </c>
      <c r="AU152" s="205">
        <v>0</v>
      </c>
      <c r="AV152" s="206">
        <v>0</v>
      </c>
      <c r="AW152" s="203">
        <v>6.0000000000000001E-3</v>
      </c>
      <c r="AX152" s="205">
        <v>2E-3</v>
      </c>
      <c r="AY152" s="205">
        <v>0</v>
      </c>
      <c r="AZ152" s="206">
        <v>5.0000000000000001E-3</v>
      </c>
      <c r="BA152" s="203">
        <v>8.2000000000000003E-2</v>
      </c>
      <c r="BB152" s="205">
        <v>2.4E-2</v>
      </c>
      <c r="BC152" s="205">
        <v>5.8000000000000003E-2</v>
      </c>
      <c r="BD152" s="205">
        <v>0</v>
      </c>
      <c r="BE152" s="205">
        <v>0</v>
      </c>
      <c r="BF152" s="206">
        <v>0</v>
      </c>
      <c r="BG152" s="199" t="s">
        <v>2</v>
      </c>
      <c r="BH152" s="199">
        <v>0</v>
      </c>
      <c r="BI152" s="200">
        <v>84</v>
      </c>
      <c r="BJ152" s="200">
        <v>16</v>
      </c>
      <c r="BK152" s="200">
        <v>9</v>
      </c>
      <c r="BL152" s="200">
        <v>55</v>
      </c>
      <c r="BM152" s="200">
        <v>59</v>
      </c>
      <c r="BN152" s="200">
        <v>70</v>
      </c>
      <c r="BO152" s="200">
        <v>79</v>
      </c>
      <c r="BP152" s="200">
        <v>84</v>
      </c>
      <c r="BQ152" s="200">
        <v>71</v>
      </c>
      <c r="BR152" s="200">
        <v>22</v>
      </c>
      <c r="BS152" s="200">
        <v>16</v>
      </c>
      <c r="BT152" s="200">
        <v>32</v>
      </c>
      <c r="BU152" s="200">
        <v>56</v>
      </c>
      <c r="BV152" s="200">
        <v>142</v>
      </c>
      <c r="BW152" s="200">
        <v>182</v>
      </c>
      <c r="BX152" s="200">
        <v>57</v>
      </c>
      <c r="BY152" s="200">
        <v>48</v>
      </c>
      <c r="BZ152" s="201">
        <v>39</v>
      </c>
      <c r="CA152" s="203">
        <v>0.78</v>
      </c>
      <c r="CB152" s="203">
        <v>0</v>
      </c>
      <c r="CC152" s="203">
        <v>0</v>
      </c>
      <c r="CD152" s="203">
        <v>0</v>
      </c>
      <c r="CE152" s="203">
        <v>0.43</v>
      </c>
      <c r="CF152" s="203">
        <v>0.36</v>
      </c>
      <c r="CG152" s="204">
        <v>0</v>
      </c>
      <c r="CH152" s="200">
        <v>0</v>
      </c>
      <c r="CI152" s="201">
        <v>1730</v>
      </c>
      <c r="CJ152" s="203" t="s">
        <v>2</v>
      </c>
      <c r="CK152" s="203" t="s">
        <v>2</v>
      </c>
      <c r="CL152" s="203" t="s">
        <v>2</v>
      </c>
      <c r="CM152" s="204" t="s">
        <v>2</v>
      </c>
      <c r="CN152" s="199">
        <v>38</v>
      </c>
      <c r="CO152" s="199">
        <v>13</v>
      </c>
    </row>
    <row r="153" spans="1:93" s="207" customFormat="1" ht="15" x14ac:dyDescent="0.25">
      <c r="A153" s="220" t="s">
        <v>792</v>
      </c>
      <c r="B153" s="221" t="s">
        <v>182</v>
      </c>
      <c r="C153" s="222" t="s">
        <v>974</v>
      </c>
      <c r="D153" s="290">
        <v>4</v>
      </c>
      <c r="E153" s="199">
        <v>20</v>
      </c>
      <c r="F153" s="200">
        <v>31</v>
      </c>
      <c r="G153" s="201">
        <v>129.57999999999998</v>
      </c>
      <c r="H153" s="202">
        <v>91.4</v>
      </c>
      <c r="I153" s="203">
        <v>2.8</v>
      </c>
      <c r="J153" s="203">
        <v>0.18</v>
      </c>
      <c r="K153" s="203">
        <v>4.5199999999999996</v>
      </c>
      <c r="L153" s="203">
        <v>1.5</v>
      </c>
      <c r="M153" s="204">
        <v>1.1000000000000001</v>
      </c>
      <c r="N153" s="200">
        <v>182</v>
      </c>
      <c r="O153" s="200">
        <v>57</v>
      </c>
      <c r="P153" s="203">
        <v>7.7</v>
      </c>
      <c r="Q153" s="203">
        <v>0.79</v>
      </c>
      <c r="R153" s="200">
        <v>16</v>
      </c>
      <c r="S153" s="200">
        <v>417</v>
      </c>
      <c r="T153" s="200">
        <v>79</v>
      </c>
      <c r="U153" s="205">
        <v>0.123</v>
      </c>
      <c r="V153" s="205">
        <v>255</v>
      </c>
      <c r="W153" s="204">
        <v>0.9</v>
      </c>
      <c r="X153" s="203">
        <v>77</v>
      </c>
      <c r="Y153" s="205">
        <v>0.13</v>
      </c>
      <c r="Z153" s="205">
        <v>0.26</v>
      </c>
      <c r="AA153" s="205">
        <v>1.1000000000000001</v>
      </c>
      <c r="AB153" s="205">
        <v>7.1999999999999995E-2</v>
      </c>
      <c r="AC153" s="205">
        <v>0.6</v>
      </c>
      <c r="AD153" s="200">
        <v>123</v>
      </c>
      <c r="AE153" s="200">
        <v>0</v>
      </c>
      <c r="AF153" s="203" t="s">
        <v>2</v>
      </c>
      <c r="AG153" s="204">
        <v>0</v>
      </c>
      <c r="AH153" s="200">
        <v>0</v>
      </c>
      <c r="AI153" s="200">
        <v>380</v>
      </c>
      <c r="AJ153" s="203" t="s">
        <v>2</v>
      </c>
      <c r="AK153" s="203" t="s">
        <v>2</v>
      </c>
      <c r="AL153" s="204" t="s">
        <v>2</v>
      </c>
      <c r="AM153" s="200">
        <v>4560</v>
      </c>
      <c r="AN153" s="200" t="s">
        <v>2</v>
      </c>
      <c r="AO153" s="201" t="s">
        <v>2</v>
      </c>
      <c r="AP153" s="203">
        <v>3.7999999999999999E-2</v>
      </c>
      <c r="AQ153" s="205">
        <v>0.03</v>
      </c>
      <c r="AR153" s="205">
        <v>0</v>
      </c>
      <c r="AS153" s="205">
        <v>6.0000000000000001E-3</v>
      </c>
      <c r="AT153" s="205">
        <v>0</v>
      </c>
      <c r="AU153" s="205">
        <v>0</v>
      </c>
      <c r="AV153" s="206">
        <v>0</v>
      </c>
      <c r="AW153" s="203">
        <v>1.7000000000000001E-2</v>
      </c>
      <c r="AX153" s="205">
        <v>3.0000000000000001E-3</v>
      </c>
      <c r="AY153" s="205">
        <v>0</v>
      </c>
      <c r="AZ153" s="206">
        <v>1.4E-2</v>
      </c>
      <c r="BA153" s="203">
        <v>0.12</v>
      </c>
      <c r="BB153" s="205">
        <v>0.11700000000000001</v>
      </c>
      <c r="BC153" s="205">
        <v>2E-3</v>
      </c>
      <c r="BD153" s="205">
        <v>0</v>
      </c>
      <c r="BE153" s="205">
        <v>0</v>
      </c>
      <c r="BF153" s="206">
        <v>0</v>
      </c>
      <c r="BG153" s="199" t="s">
        <v>2</v>
      </c>
      <c r="BH153" s="199">
        <v>0</v>
      </c>
      <c r="BI153" s="200">
        <v>219</v>
      </c>
      <c r="BJ153" s="200">
        <v>65</v>
      </c>
      <c r="BK153" s="200">
        <v>30</v>
      </c>
      <c r="BL153" s="200">
        <v>212</v>
      </c>
      <c r="BM153" s="200">
        <v>164</v>
      </c>
      <c r="BN153" s="200">
        <v>248</v>
      </c>
      <c r="BO153" s="200">
        <v>388</v>
      </c>
      <c r="BP153" s="200">
        <v>221</v>
      </c>
      <c r="BQ153" s="200">
        <v>248</v>
      </c>
      <c r="BR153" s="200">
        <v>110</v>
      </c>
      <c r="BS153" s="200">
        <v>40</v>
      </c>
      <c r="BT153" s="200">
        <v>147</v>
      </c>
      <c r="BU153" s="200">
        <v>256</v>
      </c>
      <c r="BV153" s="200">
        <v>567</v>
      </c>
      <c r="BW153" s="200">
        <v>493</v>
      </c>
      <c r="BX153" s="200">
        <v>214</v>
      </c>
      <c r="BY153" s="200">
        <v>246</v>
      </c>
      <c r="BZ153" s="201">
        <v>182</v>
      </c>
      <c r="CA153" s="203" t="s">
        <v>2</v>
      </c>
      <c r="CB153" s="203" t="s">
        <v>2</v>
      </c>
      <c r="CC153" s="203" t="s">
        <v>2</v>
      </c>
      <c r="CD153" s="203" t="s">
        <v>2</v>
      </c>
      <c r="CE153" s="203" t="s">
        <v>2</v>
      </c>
      <c r="CF153" s="203" t="s">
        <v>2</v>
      </c>
      <c r="CG153" s="204" t="s">
        <v>2</v>
      </c>
      <c r="CH153" s="200" t="s">
        <v>2</v>
      </c>
      <c r="CI153" s="201" t="s">
        <v>2</v>
      </c>
      <c r="CJ153" s="203" t="s">
        <v>2</v>
      </c>
      <c r="CK153" s="203" t="s">
        <v>2</v>
      </c>
      <c r="CL153" s="203" t="s">
        <v>2</v>
      </c>
      <c r="CM153" s="204" t="s">
        <v>2</v>
      </c>
      <c r="CN153" s="199" t="s">
        <v>2</v>
      </c>
      <c r="CO153" s="199" t="s">
        <v>2</v>
      </c>
    </row>
    <row r="154" spans="1:93" s="207" customFormat="1" ht="15" x14ac:dyDescent="0.25">
      <c r="A154" s="220" t="s">
        <v>793</v>
      </c>
      <c r="B154" s="221" t="s">
        <v>183</v>
      </c>
      <c r="C154" s="222" t="s">
        <v>975</v>
      </c>
      <c r="D154" s="290">
        <v>4</v>
      </c>
      <c r="E154" s="199">
        <v>0</v>
      </c>
      <c r="F154" s="200">
        <v>30</v>
      </c>
      <c r="G154" s="201">
        <v>125.39999999999999</v>
      </c>
      <c r="H154" s="202">
        <v>91.5</v>
      </c>
      <c r="I154" s="203">
        <v>2.9</v>
      </c>
      <c r="J154" s="203" t="s">
        <v>2</v>
      </c>
      <c r="K154" s="203">
        <v>4.5</v>
      </c>
      <c r="L154" s="203">
        <v>1.8</v>
      </c>
      <c r="M154" s="204">
        <v>1.1000000000000001</v>
      </c>
      <c r="N154" s="200" t="s">
        <v>2</v>
      </c>
      <c r="O154" s="200" t="s">
        <v>2</v>
      </c>
      <c r="P154" s="203" t="s">
        <v>2</v>
      </c>
      <c r="Q154" s="203" t="s">
        <v>2</v>
      </c>
      <c r="R154" s="200">
        <v>72</v>
      </c>
      <c r="S154" s="200">
        <v>461</v>
      </c>
      <c r="T154" s="200">
        <v>81</v>
      </c>
      <c r="U154" s="205" t="s">
        <v>2</v>
      </c>
      <c r="V154" s="205" t="s">
        <v>2</v>
      </c>
      <c r="W154" s="204" t="s">
        <v>2</v>
      </c>
      <c r="X154" s="203">
        <v>68</v>
      </c>
      <c r="Y154" s="205" t="s">
        <v>2</v>
      </c>
      <c r="Z154" s="205" t="s">
        <v>2</v>
      </c>
      <c r="AA154" s="205" t="s">
        <v>2</v>
      </c>
      <c r="AB154" s="205" t="s">
        <v>2</v>
      </c>
      <c r="AC154" s="205" t="s">
        <v>2</v>
      </c>
      <c r="AD154" s="200" t="s">
        <v>2</v>
      </c>
      <c r="AE154" s="200" t="s">
        <v>2</v>
      </c>
      <c r="AF154" s="203" t="s">
        <v>2</v>
      </c>
      <c r="AG154" s="204" t="s">
        <v>2</v>
      </c>
      <c r="AH154" s="200">
        <v>0</v>
      </c>
      <c r="AI154" s="200">
        <v>52</v>
      </c>
      <c r="AJ154" s="203" t="s">
        <v>2</v>
      </c>
      <c r="AK154" s="203" t="s">
        <v>2</v>
      </c>
      <c r="AL154" s="204" t="s">
        <v>2</v>
      </c>
      <c r="AM154" s="200">
        <v>620</v>
      </c>
      <c r="AN154" s="200" t="s">
        <v>2</v>
      </c>
      <c r="AO154" s="201" t="s">
        <v>2</v>
      </c>
      <c r="AP154" s="203" t="s">
        <v>2</v>
      </c>
      <c r="AQ154" s="205" t="s">
        <v>2</v>
      </c>
      <c r="AR154" s="205" t="s">
        <v>2</v>
      </c>
      <c r="AS154" s="205" t="s">
        <v>2</v>
      </c>
      <c r="AT154" s="205" t="s">
        <v>2</v>
      </c>
      <c r="AU154" s="205" t="s">
        <v>2</v>
      </c>
      <c r="AV154" s="206" t="s">
        <v>2</v>
      </c>
      <c r="AW154" s="203" t="s">
        <v>2</v>
      </c>
      <c r="AX154" s="205" t="s">
        <v>2</v>
      </c>
      <c r="AY154" s="205" t="s">
        <v>2</v>
      </c>
      <c r="AZ154" s="206" t="s">
        <v>2</v>
      </c>
      <c r="BA154" s="203" t="s">
        <v>2</v>
      </c>
      <c r="BB154" s="205" t="s">
        <v>2</v>
      </c>
      <c r="BC154" s="205" t="s">
        <v>2</v>
      </c>
      <c r="BD154" s="205" t="s">
        <v>2</v>
      </c>
      <c r="BE154" s="205" t="s">
        <v>2</v>
      </c>
      <c r="BF154" s="206" t="s">
        <v>2</v>
      </c>
      <c r="BG154" s="199" t="s">
        <v>2</v>
      </c>
      <c r="BH154" s="199">
        <v>0</v>
      </c>
      <c r="BI154" s="200" t="s">
        <v>2</v>
      </c>
      <c r="BJ154" s="200" t="s">
        <v>2</v>
      </c>
      <c r="BK154" s="200" t="s">
        <v>2</v>
      </c>
      <c r="BL154" s="200" t="s">
        <v>2</v>
      </c>
      <c r="BM154" s="200" t="s">
        <v>2</v>
      </c>
      <c r="BN154" s="200" t="s">
        <v>2</v>
      </c>
      <c r="BO154" s="200" t="s">
        <v>2</v>
      </c>
      <c r="BP154" s="200" t="s">
        <v>2</v>
      </c>
      <c r="BQ154" s="200" t="s">
        <v>2</v>
      </c>
      <c r="BR154" s="200" t="s">
        <v>2</v>
      </c>
      <c r="BS154" s="200" t="s">
        <v>2</v>
      </c>
      <c r="BT154" s="200" t="s">
        <v>2</v>
      </c>
      <c r="BU154" s="200" t="s">
        <v>2</v>
      </c>
      <c r="BV154" s="200" t="s">
        <v>2</v>
      </c>
      <c r="BW154" s="200" t="s">
        <v>2</v>
      </c>
      <c r="BX154" s="200" t="s">
        <v>2</v>
      </c>
      <c r="BY154" s="200" t="s">
        <v>2</v>
      </c>
      <c r="BZ154" s="201" t="s">
        <v>2</v>
      </c>
      <c r="CA154" s="203" t="s">
        <v>2</v>
      </c>
      <c r="CB154" s="203" t="s">
        <v>2</v>
      </c>
      <c r="CC154" s="203" t="s">
        <v>2</v>
      </c>
      <c r="CD154" s="203" t="s">
        <v>2</v>
      </c>
      <c r="CE154" s="203" t="s">
        <v>2</v>
      </c>
      <c r="CF154" s="203" t="s">
        <v>2</v>
      </c>
      <c r="CG154" s="204" t="s">
        <v>2</v>
      </c>
      <c r="CH154" s="200" t="s">
        <v>2</v>
      </c>
      <c r="CI154" s="201" t="s">
        <v>2</v>
      </c>
      <c r="CJ154" s="203" t="s">
        <v>2</v>
      </c>
      <c r="CK154" s="203" t="s">
        <v>2</v>
      </c>
      <c r="CL154" s="203" t="s">
        <v>2</v>
      </c>
      <c r="CM154" s="204" t="s">
        <v>2</v>
      </c>
      <c r="CN154" s="199" t="s">
        <v>2</v>
      </c>
      <c r="CO154" s="199" t="s">
        <v>2</v>
      </c>
    </row>
    <row r="155" spans="1:93" s="207" customFormat="1" ht="15" x14ac:dyDescent="0.25">
      <c r="A155" s="220" t="s">
        <v>794</v>
      </c>
      <c r="B155" s="221" t="s">
        <v>184</v>
      </c>
      <c r="C155" s="222" t="s">
        <v>976</v>
      </c>
      <c r="D155" s="290">
        <v>4</v>
      </c>
      <c r="E155" s="199">
        <v>0</v>
      </c>
      <c r="F155" s="200">
        <v>27</v>
      </c>
      <c r="G155" s="201">
        <v>112.85999999999999</v>
      </c>
      <c r="H155" s="202">
        <v>92</v>
      </c>
      <c r="I155" s="203">
        <v>3.4</v>
      </c>
      <c r="J155" s="203">
        <v>0.31</v>
      </c>
      <c r="K155" s="203">
        <v>2.69</v>
      </c>
      <c r="L155" s="203">
        <v>1.6</v>
      </c>
      <c r="M155" s="204">
        <v>1.6</v>
      </c>
      <c r="N155" s="200">
        <v>341</v>
      </c>
      <c r="O155" s="200">
        <v>76</v>
      </c>
      <c r="P155" s="203">
        <v>4.0999999999999996</v>
      </c>
      <c r="Q155" s="203">
        <v>0.9</v>
      </c>
      <c r="R155" s="200">
        <v>20</v>
      </c>
      <c r="S155" s="200">
        <v>611</v>
      </c>
      <c r="T155" s="200">
        <v>55</v>
      </c>
      <c r="U155" s="205">
        <v>0.88500000000000001</v>
      </c>
      <c r="V155" s="205">
        <v>162</v>
      </c>
      <c r="W155" s="204">
        <v>0.9</v>
      </c>
      <c r="X155" s="203">
        <v>63</v>
      </c>
      <c r="Y155" s="205">
        <v>0.36</v>
      </c>
      <c r="Z155" s="205">
        <v>1.3</v>
      </c>
      <c r="AA155" s="205">
        <v>1.3</v>
      </c>
      <c r="AB155" s="205">
        <v>6.4000000000000001E-2</v>
      </c>
      <c r="AC155" s="205">
        <v>0.192</v>
      </c>
      <c r="AD155" s="200">
        <v>85</v>
      </c>
      <c r="AE155" s="200">
        <v>0</v>
      </c>
      <c r="AF155" s="203" t="s">
        <v>2</v>
      </c>
      <c r="AG155" s="204">
        <v>0</v>
      </c>
      <c r="AH155" s="200">
        <v>0</v>
      </c>
      <c r="AI155" s="200">
        <v>442</v>
      </c>
      <c r="AJ155" s="203" t="s">
        <v>2</v>
      </c>
      <c r="AK155" s="203" t="s">
        <v>2</v>
      </c>
      <c r="AL155" s="204">
        <v>1140</v>
      </c>
      <c r="AM155" s="200">
        <v>5300</v>
      </c>
      <c r="AN155" s="200" t="s">
        <v>2</v>
      </c>
      <c r="AO155" s="201" t="s">
        <v>2</v>
      </c>
      <c r="AP155" s="203">
        <v>9.0999999999999998E-2</v>
      </c>
      <c r="AQ155" s="205">
        <v>7.2999999999999995E-2</v>
      </c>
      <c r="AR155" s="205">
        <v>0</v>
      </c>
      <c r="AS155" s="205">
        <v>1.2E-2</v>
      </c>
      <c r="AT155" s="205">
        <v>0</v>
      </c>
      <c r="AU155" s="205">
        <v>0</v>
      </c>
      <c r="AV155" s="206">
        <v>0</v>
      </c>
      <c r="AW155" s="203">
        <v>7.5999999999999998E-2</v>
      </c>
      <c r="AX155" s="205">
        <v>0</v>
      </c>
      <c r="AY155" s="205">
        <v>0</v>
      </c>
      <c r="AZ155" s="206">
        <v>7.5999999999999998E-2</v>
      </c>
      <c r="BA155" s="203">
        <v>0.14699999999999999</v>
      </c>
      <c r="BB155" s="205">
        <v>0.14499999999999999</v>
      </c>
      <c r="BC155" s="205">
        <v>2E-3</v>
      </c>
      <c r="BD155" s="205">
        <v>0</v>
      </c>
      <c r="BE155" s="205">
        <v>0</v>
      </c>
      <c r="BF155" s="206">
        <v>0</v>
      </c>
      <c r="BG155" s="199" t="s">
        <v>2</v>
      </c>
      <c r="BH155" s="199">
        <v>0</v>
      </c>
      <c r="BI155" s="200">
        <v>127</v>
      </c>
      <c r="BJ155" s="200">
        <v>36</v>
      </c>
      <c r="BK155" s="200">
        <v>31</v>
      </c>
      <c r="BL155" s="200">
        <v>133</v>
      </c>
      <c r="BM155" s="200">
        <v>99</v>
      </c>
      <c r="BN155" s="200">
        <v>137</v>
      </c>
      <c r="BO155" s="200">
        <v>195</v>
      </c>
      <c r="BP155" s="200">
        <v>119</v>
      </c>
      <c r="BQ155" s="200">
        <v>121</v>
      </c>
      <c r="BR155" s="200">
        <v>52</v>
      </c>
      <c r="BS155" s="200">
        <v>29</v>
      </c>
      <c r="BT155" s="200">
        <v>80</v>
      </c>
      <c r="BU155" s="200">
        <v>139</v>
      </c>
      <c r="BV155" s="200">
        <v>229</v>
      </c>
      <c r="BW155" s="200">
        <v>292</v>
      </c>
      <c r="BX155" s="200">
        <v>132</v>
      </c>
      <c r="BY155" s="200">
        <v>121</v>
      </c>
      <c r="BZ155" s="201">
        <v>111</v>
      </c>
      <c r="CA155" s="203" t="s">
        <v>2</v>
      </c>
      <c r="CB155" s="203" t="s">
        <v>2</v>
      </c>
      <c r="CC155" s="203" t="s">
        <v>2</v>
      </c>
      <c r="CD155" s="203" t="s">
        <v>2</v>
      </c>
      <c r="CE155" s="203" t="s">
        <v>2</v>
      </c>
      <c r="CF155" s="203" t="s">
        <v>2</v>
      </c>
      <c r="CG155" s="204" t="s">
        <v>2</v>
      </c>
      <c r="CH155" s="200" t="s">
        <v>2</v>
      </c>
      <c r="CI155" s="201" t="s">
        <v>2</v>
      </c>
      <c r="CJ155" s="203" t="s">
        <v>2</v>
      </c>
      <c r="CK155" s="203" t="s">
        <v>2</v>
      </c>
      <c r="CL155" s="203" t="s">
        <v>2</v>
      </c>
      <c r="CM155" s="204" t="s">
        <v>2</v>
      </c>
      <c r="CN155" s="199" t="s">
        <v>2</v>
      </c>
      <c r="CO155" s="199" t="s">
        <v>2</v>
      </c>
    </row>
    <row r="156" spans="1:93" s="207" customFormat="1" ht="15" x14ac:dyDescent="0.25">
      <c r="A156" s="220" t="s">
        <v>795</v>
      </c>
      <c r="B156" s="221" t="s">
        <v>185</v>
      </c>
      <c r="C156" s="222" t="s">
        <v>977</v>
      </c>
      <c r="D156" s="290">
        <v>4</v>
      </c>
      <c r="E156" s="199">
        <v>38</v>
      </c>
      <c r="F156" s="200">
        <v>47</v>
      </c>
      <c r="G156" s="201">
        <v>196.45999999999998</v>
      </c>
      <c r="H156" s="202">
        <v>86.2</v>
      </c>
      <c r="I156" s="203">
        <v>3.3</v>
      </c>
      <c r="J156" s="203">
        <v>0.31</v>
      </c>
      <c r="K156" s="203">
        <v>7.79</v>
      </c>
      <c r="L156" s="203">
        <v>1.6</v>
      </c>
      <c r="M156" s="204">
        <v>2.4</v>
      </c>
      <c r="N156" s="200">
        <v>288</v>
      </c>
      <c r="O156" s="200">
        <v>123</v>
      </c>
      <c r="P156" s="203">
        <v>5.4</v>
      </c>
      <c r="Q156" s="203">
        <v>0.5</v>
      </c>
      <c r="R156" s="200">
        <v>56</v>
      </c>
      <c r="S156" s="200">
        <v>476</v>
      </c>
      <c r="T156" s="200">
        <v>164</v>
      </c>
      <c r="U156" s="205">
        <v>1.85</v>
      </c>
      <c r="V156" s="205">
        <v>200</v>
      </c>
      <c r="W156" s="204">
        <v>89</v>
      </c>
      <c r="X156" s="203">
        <v>89</v>
      </c>
      <c r="Y156" s="205">
        <v>0.08</v>
      </c>
      <c r="Z156" s="205">
        <v>1.1599999999999999</v>
      </c>
      <c r="AA156" s="205">
        <v>1.4</v>
      </c>
      <c r="AB156" s="205" t="s">
        <v>2</v>
      </c>
      <c r="AC156" s="205" t="s">
        <v>2</v>
      </c>
      <c r="AD156" s="200" t="s">
        <v>2</v>
      </c>
      <c r="AE156" s="200" t="s">
        <v>2</v>
      </c>
      <c r="AF156" s="203" t="s">
        <v>2</v>
      </c>
      <c r="AG156" s="204" t="s">
        <v>2</v>
      </c>
      <c r="AH156" s="200">
        <v>0</v>
      </c>
      <c r="AI156" s="200">
        <v>340</v>
      </c>
      <c r="AJ156" s="203" t="s">
        <v>2</v>
      </c>
      <c r="AK156" s="203" t="s">
        <v>2</v>
      </c>
      <c r="AL156" s="204" t="s">
        <v>2</v>
      </c>
      <c r="AM156" s="200">
        <v>4080</v>
      </c>
      <c r="AN156" s="200" t="s">
        <v>2</v>
      </c>
      <c r="AO156" s="201" t="s">
        <v>2</v>
      </c>
      <c r="AP156" s="203" t="s">
        <v>2</v>
      </c>
      <c r="AQ156" s="205" t="s">
        <v>2</v>
      </c>
      <c r="AR156" s="205" t="s">
        <v>2</v>
      </c>
      <c r="AS156" s="205" t="s">
        <v>2</v>
      </c>
      <c r="AT156" s="205" t="s">
        <v>2</v>
      </c>
      <c r="AU156" s="205" t="s">
        <v>2</v>
      </c>
      <c r="AV156" s="206" t="s">
        <v>2</v>
      </c>
      <c r="AW156" s="203" t="s">
        <v>2</v>
      </c>
      <c r="AX156" s="205" t="s">
        <v>2</v>
      </c>
      <c r="AY156" s="205" t="s">
        <v>2</v>
      </c>
      <c r="AZ156" s="206" t="s">
        <v>2</v>
      </c>
      <c r="BA156" s="203" t="s">
        <v>2</v>
      </c>
      <c r="BB156" s="205" t="s">
        <v>2</v>
      </c>
      <c r="BC156" s="205" t="s">
        <v>2</v>
      </c>
      <c r="BD156" s="205" t="s">
        <v>2</v>
      </c>
      <c r="BE156" s="205" t="s">
        <v>2</v>
      </c>
      <c r="BF156" s="206" t="s">
        <v>2</v>
      </c>
      <c r="BG156" s="199" t="s">
        <v>2</v>
      </c>
      <c r="BH156" s="199">
        <v>0</v>
      </c>
      <c r="BI156" s="200" t="s">
        <v>2</v>
      </c>
      <c r="BJ156" s="200" t="s">
        <v>2</v>
      </c>
      <c r="BK156" s="200" t="s">
        <v>2</v>
      </c>
      <c r="BL156" s="200" t="s">
        <v>2</v>
      </c>
      <c r="BM156" s="200" t="s">
        <v>2</v>
      </c>
      <c r="BN156" s="200" t="s">
        <v>2</v>
      </c>
      <c r="BO156" s="200" t="s">
        <v>2</v>
      </c>
      <c r="BP156" s="200" t="s">
        <v>2</v>
      </c>
      <c r="BQ156" s="200" t="s">
        <v>2</v>
      </c>
      <c r="BR156" s="200" t="s">
        <v>2</v>
      </c>
      <c r="BS156" s="200" t="s">
        <v>2</v>
      </c>
      <c r="BT156" s="200" t="s">
        <v>2</v>
      </c>
      <c r="BU156" s="200" t="s">
        <v>2</v>
      </c>
      <c r="BV156" s="200" t="s">
        <v>2</v>
      </c>
      <c r="BW156" s="200" t="s">
        <v>2</v>
      </c>
      <c r="BX156" s="200" t="s">
        <v>2</v>
      </c>
      <c r="BY156" s="200" t="s">
        <v>2</v>
      </c>
      <c r="BZ156" s="201" t="s">
        <v>2</v>
      </c>
      <c r="CA156" s="203" t="s">
        <v>2</v>
      </c>
      <c r="CB156" s="203" t="s">
        <v>2</v>
      </c>
      <c r="CC156" s="203" t="s">
        <v>2</v>
      </c>
      <c r="CD156" s="203" t="s">
        <v>2</v>
      </c>
      <c r="CE156" s="203" t="s">
        <v>2</v>
      </c>
      <c r="CF156" s="203" t="s">
        <v>2</v>
      </c>
      <c r="CG156" s="204" t="s">
        <v>2</v>
      </c>
      <c r="CH156" s="200" t="s">
        <v>2</v>
      </c>
      <c r="CI156" s="201" t="s">
        <v>2</v>
      </c>
      <c r="CJ156" s="203" t="s">
        <v>2</v>
      </c>
      <c r="CK156" s="203" t="s">
        <v>2</v>
      </c>
      <c r="CL156" s="203" t="s">
        <v>2</v>
      </c>
      <c r="CM156" s="204" t="s">
        <v>2</v>
      </c>
      <c r="CN156" s="199" t="s">
        <v>2</v>
      </c>
      <c r="CO156" s="199" t="s">
        <v>2</v>
      </c>
    </row>
    <row r="157" spans="1:93" s="207" customFormat="1" ht="15" x14ac:dyDescent="0.25">
      <c r="A157" s="220" t="s">
        <v>796</v>
      </c>
      <c r="B157" s="221" t="s">
        <v>186</v>
      </c>
      <c r="C157" s="222" t="s">
        <v>978</v>
      </c>
      <c r="D157" s="290">
        <v>4</v>
      </c>
      <c r="E157" s="199">
        <v>14</v>
      </c>
      <c r="F157" s="200">
        <v>48</v>
      </c>
      <c r="G157" s="201">
        <v>200.64</v>
      </c>
      <c r="H157" s="202">
        <v>86.7</v>
      </c>
      <c r="I157" s="203">
        <v>3.2</v>
      </c>
      <c r="J157" s="203">
        <v>0.4</v>
      </c>
      <c r="K157" s="203">
        <v>7.8</v>
      </c>
      <c r="L157" s="203">
        <v>1.5</v>
      </c>
      <c r="M157" s="204">
        <v>1.9</v>
      </c>
      <c r="N157" s="200">
        <v>288</v>
      </c>
      <c r="O157" s="200">
        <v>80</v>
      </c>
      <c r="P157" s="203">
        <v>6.1</v>
      </c>
      <c r="Q157" s="203" t="s">
        <v>2</v>
      </c>
      <c r="R157" s="200" t="s">
        <v>2</v>
      </c>
      <c r="S157" s="200" t="s">
        <v>2</v>
      </c>
      <c r="T157" s="200" t="s">
        <v>2</v>
      </c>
      <c r="U157" s="205" t="s">
        <v>2</v>
      </c>
      <c r="V157" s="205" t="s">
        <v>2</v>
      </c>
      <c r="W157" s="204" t="s">
        <v>2</v>
      </c>
      <c r="X157" s="203">
        <v>27</v>
      </c>
      <c r="Y157" s="205">
        <v>0.08</v>
      </c>
      <c r="Z157" s="205">
        <v>0.28000000000000003</v>
      </c>
      <c r="AA157" s="205">
        <v>0.3</v>
      </c>
      <c r="AB157" s="205" t="s">
        <v>2</v>
      </c>
      <c r="AC157" s="205" t="s">
        <v>2</v>
      </c>
      <c r="AD157" s="200" t="s">
        <v>2</v>
      </c>
      <c r="AE157" s="200" t="s">
        <v>2</v>
      </c>
      <c r="AF157" s="203" t="s">
        <v>2</v>
      </c>
      <c r="AG157" s="204" t="s">
        <v>2</v>
      </c>
      <c r="AH157" s="200">
        <v>0</v>
      </c>
      <c r="AI157" s="200">
        <v>238</v>
      </c>
      <c r="AJ157" s="203" t="s">
        <v>2</v>
      </c>
      <c r="AK157" s="203" t="s">
        <v>2</v>
      </c>
      <c r="AL157" s="204" t="s">
        <v>2</v>
      </c>
      <c r="AM157" s="200">
        <v>2855</v>
      </c>
      <c r="AN157" s="200" t="s">
        <v>2</v>
      </c>
      <c r="AO157" s="201" t="s">
        <v>2</v>
      </c>
      <c r="AP157" s="203" t="s">
        <v>2</v>
      </c>
      <c r="AQ157" s="205" t="s">
        <v>2</v>
      </c>
      <c r="AR157" s="205" t="s">
        <v>2</v>
      </c>
      <c r="AS157" s="205" t="s">
        <v>2</v>
      </c>
      <c r="AT157" s="205" t="s">
        <v>2</v>
      </c>
      <c r="AU157" s="205" t="s">
        <v>2</v>
      </c>
      <c r="AV157" s="206" t="s">
        <v>2</v>
      </c>
      <c r="AW157" s="203" t="s">
        <v>2</v>
      </c>
      <c r="AX157" s="205" t="s">
        <v>2</v>
      </c>
      <c r="AY157" s="205" t="s">
        <v>2</v>
      </c>
      <c r="AZ157" s="206" t="s">
        <v>2</v>
      </c>
      <c r="BA157" s="203" t="s">
        <v>2</v>
      </c>
      <c r="BB157" s="205" t="s">
        <v>2</v>
      </c>
      <c r="BC157" s="205" t="s">
        <v>2</v>
      </c>
      <c r="BD157" s="205" t="s">
        <v>2</v>
      </c>
      <c r="BE157" s="205" t="s">
        <v>2</v>
      </c>
      <c r="BF157" s="206" t="s">
        <v>2</v>
      </c>
      <c r="BG157" s="199" t="s">
        <v>2</v>
      </c>
      <c r="BH157" s="199">
        <v>0</v>
      </c>
      <c r="BI157" s="200">
        <v>110</v>
      </c>
      <c r="BJ157" s="200">
        <v>40</v>
      </c>
      <c r="BK157" s="200" t="s">
        <v>2</v>
      </c>
      <c r="BL157" s="200">
        <v>120</v>
      </c>
      <c r="BM157" s="200">
        <v>100</v>
      </c>
      <c r="BN157" s="200">
        <v>120</v>
      </c>
      <c r="BO157" s="200">
        <v>170</v>
      </c>
      <c r="BP157" s="200">
        <v>100</v>
      </c>
      <c r="BQ157" s="200">
        <v>100</v>
      </c>
      <c r="BR157" s="200">
        <v>40</v>
      </c>
      <c r="BS157" s="200" t="s">
        <v>2</v>
      </c>
      <c r="BT157" s="200" t="s">
        <v>2</v>
      </c>
      <c r="BU157" s="200" t="s">
        <v>2</v>
      </c>
      <c r="BV157" s="200" t="s">
        <v>2</v>
      </c>
      <c r="BW157" s="200" t="s">
        <v>2</v>
      </c>
      <c r="BX157" s="200" t="s">
        <v>2</v>
      </c>
      <c r="BY157" s="200" t="s">
        <v>2</v>
      </c>
      <c r="BZ157" s="201" t="s">
        <v>2</v>
      </c>
      <c r="CA157" s="203" t="s">
        <v>2</v>
      </c>
      <c r="CB157" s="203" t="s">
        <v>2</v>
      </c>
      <c r="CC157" s="203" t="s">
        <v>2</v>
      </c>
      <c r="CD157" s="203" t="s">
        <v>2</v>
      </c>
      <c r="CE157" s="203" t="s">
        <v>2</v>
      </c>
      <c r="CF157" s="203" t="s">
        <v>2</v>
      </c>
      <c r="CG157" s="204" t="s">
        <v>2</v>
      </c>
      <c r="CH157" s="200" t="s">
        <v>2</v>
      </c>
      <c r="CI157" s="201" t="s">
        <v>2</v>
      </c>
      <c r="CJ157" s="203" t="s">
        <v>2</v>
      </c>
      <c r="CK157" s="203" t="s">
        <v>2</v>
      </c>
      <c r="CL157" s="203" t="s">
        <v>2</v>
      </c>
      <c r="CM157" s="204" t="s">
        <v>2</v>
      </c>
      <c r="CN157" s="199" t="s">
        <v>2</v>
      </c>
      <c r="CO157" s="199" t="s">
        <v>2</v>
      </c>
    </row>
    <row r="158" spans="1:93" s="207" customFormat="1" ht="15" x14ac:dyDescent="0.25">
      <c r="A158" s="220" t="s">
        <v>797</v>
      </c>
      <c r="B158" s="221" t="s">
        <v>187</v>
      </c>
      <c r="C158" s="222" t="s">
        <v>979</v>
      </c>
      <c r="D158" s="290">
        <v>4</v>
      </c>
      <c r="E158" s="199">
        <v>20</v>
      </c>
      <c r="F158" s="200">
        <v>34</v>
      </c>
      <c r="G158" s="201">
        <v>142.12</v>
      </c>
      <c r="H158" s="202">
        <v>91.4</v>
      </c>
      <c r="I158" s="203">
        <v>2.2000000000000002</v>
      </c>
      <c r="J158" s="203">
        <v>0.52</v>
      </c>
      <c r="K158" s="203">
        <v>5.08</v>
      </c>
      <c r="L158" s="203">
        <v>3.5</v>
      </c>
      <c r="M158" s="204">
        <v>0.8</v>
      </c>
      <c r="N158" s="200">
        <v>202</v>
      </c>
      <c r="O158" s="200">
        <v>83</v>
      </c>
      <c r="P158" s="203">
        <v>4.8</v>
      </c>
      <c r="Q158" s="203">
        <v>0.91</v>
      </c>
      <c r="R158" s="200">
        <v>91</v>
      </c>
      <c r="S158" s="200">
        <v>148</v>
      </c>
      <c r="T158" s="200">
        <v>73</v>
      </c>
      <c r="U158" s="205">
        <v>1.86</v>
      </c>
      <c r="V158" s="205">
        <v>220</v>
      </c>
      <c r="W158" s="204">
        <v>0.3</v>
      </c>
      <c r="X158" s="203">
        <v>27</v>
      </c>
      <c r="Y158" s="205">
        <v>0.08</v>
      </c>
      <c r="Z158" s="205">
        <v>0.35</v>
      </c>
      <c r="AA158" s="205">
        <v>0.8</v>
      </c>
      <c r="AB158" s="205">
        <v>0.23799999999999999</v>
      </c>
      <c r="AC158" s="205">
        <v>0.129</v>
      </c>
      <c r="AD158" s="200">
        <v>64</v>
      </c>
      <c r="AE158" s="200">
        <v>0</v>
      </c>
      <c r="AF158" s="203" t="s">
        <v>2</v>
      </c>
      <c r="AG158" s="204">
        <v>0</v>
      </c>
      <c r="AH158" s="200">
        <v>0</v>
      </c>
      <c r="AI158" s="200">
        <v>264</v>
      </c>
      <c r="AJ158" s="203" t="s">
        <v>2</v>
      </c>
      <c r="AK158" s="203" t="s">
        <v>2</v>
      </c>
      <c r="AL158" s="204">
        <v>414.8</v>
      </c>
      <c r="AM158" s="200">
        <v>3142</v>
      </c>
      <c r="AN158" s="200">
        <v>0</v>
      </c>
      <c r="AO158" s="201">
        <v>46</v>
      </c>
      <c r="AP158" s="203">
        <v>4.1000000000000002E-2</v>
      </c>
      <c r="AQ158" s="205">
        <v>3.5999999999999997E-2</v>
      </c>
      <c r="AR158" s="205">
        <v>0</v>
      </c>
      <c r="AS158" s="205">
        <v>5.0000000000000001E-3</v>
      </c>
      <c r="AT158" s="205">
        <v>0</v>
      </c>
      <c r="AU158" s="205">
        <v>0</v>
      </c>
      <c r="AV158" s="206">
        <v>0</v>
      </c>
      <c r="AW158" s="203">
        <v>8.7999999999999995E-2</v>
      </c>
      <c r="AX158" s="205">
        <v>0</v>
      </c>
      <c r="AY158" s="205">
        <v>0</v>
      </c>
      <c r="AZ158" s="206">
        <v>8.7999999999999995E-2</v>
      </c>
      <c r="BA158" s="203">
        <v>0.38900000000000001</v>
      </c>
      <c r="BB158" s="205">
        <v>7.2999999999999995E-2</v>
      </c>
      <c r="BC158" s="205">
        <v>0.316</v>
      </c>
      <c r="BD158" s="205">
        <v>0</v>
      </c>
      <c r="BE158" s="205">
        <v>0</v>
      </c>
      <c r="BF158" s="206">
        <v>0</v>
      </c>
      <c r="BG158" s="199" t="s">
        <v>2</v>
      </c>
      <c r="BH158" s="199">
        <v>0</v>
      </c>
      <c r="BI158" s="200">
        <v>110</v>
      </c>
      <c r="BJ158" s="200">
        <v>36</v>
      </c>
      <c r="BK158" s="200">
        <v>39</v>
      </c>
      <c r="BL158" s="200">
        <v>130</v>
      </c>
      <c r="BM158" s="200">
        <v>104</v>
      </c>
      <c r="BN158" s="200">
        <v>127</v>
      </c>
      <c r="BO158" s="200">
        <v>191</v>
      </c>
      <c r="BP158" s="200">
        <v>104</v>
      </c>
      <c r="BQ158" s="200">
        <v>117</v>
      </c>
      <c r="BR158" s="200">
        <v>51</v>
      </c>
      <c r="BS158" s="200">
        <v>28</v>
      </c>
      <c r="BT158" s="200">
        <v>77</v>
      </c>
      <c r="BU158" s="200">
        <v>132</v>
      </c>
      <c r="BV158" s="200">
        <v>301</v>
      </c>
      <c r="BW158" s="200">
        <v>277</v>
      </c>
      <c r="BX158" s="200">
        <v>122</v>
      </c>
      <c r="BY158" s="200">
        <v>104</v>
      </c>
      <c r="BZ158" s="201">
        <v>99</v>
      </c>
      <c r="CA158" s="203">
        <v>0.3</v>
      </c>
      <c r="CB158" s="203" t="s">
        <v>2</v>
      </c>
      <c r="CC158" s="203" t="s">
        <v>2</v>
      </c>
      <c r="CD158" s="203" t="s">
        <v>2</v>
      </c>
      <c r="CE158" s="203" t="s">
        <v>2</v>
      </c>
      <c r="CF158" s="203" t="s">
        <v>2</v>
      </c>
      <c r="CG158" s="204" t="s">
        <v>2</v>
      </c>
      <c r="CH158" s="200">
        <v>0</v>
      </c>
      <c r="CI158" s="201">
        <v>5650</v>
      </c>
      <c r="CJ158" s="203" t="s">
        <v>2</v>
      </c>
      <c r="CK158" s="203" t="s">
        <v>2</v>
      </c>
      <c r="CL158" s="203" t="s">
        <v>2</v>
      </c>
      <c r="CM158" s="204" t="s">
        <v>2</v>
      </c>
      <c r="CN158" s="199" t="s">
        <v>2</v>
      </c>
      <c r="CO158" s="199" t="s">
        <v>2</v>
      </c>
    </row>
    <row r="159" spans="1:93" s="207" customFormat="1" ht="15" x14ac:dyDescent="0.25">
      <c r="A159" s="220" t="s">
        <v>798</v>
      </c>
      <c r="B159" s="221" t="s">
        <v>188</v>
      </c>
      <c r="C159" s="222" t="s">
        <v>980</v>
      </c>
      <c r="D159" s="290">
        <v>4</v>
      </c>
      <c r="E159" s="199">
        <v>5</v>
      </c>
      <c r="F159" s="200">
        <v>28</v>
      </c>
      <c r="G159" s="201">
        <v>117.03999999999999</v>
      </c>
      <c r="H159" s="202">
        <v>91.9</v>
      </c>
      <c r="I159" s="203">
        <v>2.6</v>
      </c>
      <c r="J159" s="203">
        <v>0.21</v>
      </c>
      <c r="K159" s="203">
        <v>3.39</v>
      </c>
      <c r="L159" s="203">
        <v>1.4</v>
      </c>
      <c r="M159" s="204">
        <v>1.3</v>
      </c>
      <c r="N159" s="200">
        <v>48</v>
      </c>
      <c r="O159" s="200">
        <v>54</v>
      </c>
      <c r="P159" s="203">
        <v>2.7</v>
      </c>
      <c r="Q159" s="203">
        <v>0.28999999999999998</v>
      </c>
      <c r="R159" s="200">
        <v>19</v>
      </c>
      <c r="S159" s="200">
        <v>498</v>
      </c>
      <c r="T159" s="200">
        <v>60</v>
      </c>
      <c r="U159" s="205">
        <v>0.25600000000000001</v>
      </c>
      <c r="V159" s="205">
        <v>37</v>
      </c>
      <c r="W159" s="204">
        <v>0.9</v>
      </c>
      <c r="X159" s="203">
        <v>11</v>
      </c>
      <c r="Y159" s="205">
        <v>0.13</v>
      </c>
      <c r="Z159" s="205">
        <v>0.26</v>
      </c>
      <c r="AA159" s="205">
        <v>0.9</v>
      </c>
      <c r="AB159" s="205">
        <v>0.22500000000000001</v>
      </c>
      <c r="AC159" s="205">
        <v>0.19</v>
      </c>
      <c r="AD159" s="200">
        <v>80</v>
      </c>
      <c r="AE159" s="200">
        <v>0</v>
      </c>
      <c r="AF159" s="203" t="s">
        <v>2</v>
      </c>
      <c r="AG159" s="204">
        <v>0</v>
      </c>
      <c r="AH159" s="200">
        <v>0</v>
      </c>
      <c r="AI159" s="200">
        <v>153</v>
      </c>
      <c r="AJ159" s="203" t="s">
        <v>2</v>
      </c>
      <c r="AK159" s="203" t="s">
        <v>2</v>
      </c>
      <c r="AL159" s="204" t="s">
        <v>2</v>
      </c>
      <c r="AM159" s="200">
        <v>1830</v>
      </c>
      <c r="AN159" s="200" t="s">
        <v>2</v>
      </c>
      <c r="AO159" s="201" t="s">
        <v>2</v>
      </c>
      <c r="AP159" s="203">
        <v>6.5000000000000002E-2</v>
      </c>
      <c r="AQ159" s="205">
        <v>5.8999999999999997E-2</v>
      </c>
      <c r="AR159" s="205">
        <v>0</v>
      </c>
      <c r="AS159" s="205">
        <v>6.0000000000000001E-3</v>
      </c>
      <c r="AT159" s="205">
        <v>0</v>
      </c>
      <c r="AU159" s="205">
        <v>0</v>
      </c>
      <c r="AV159" s="206">
        <v>0</v>
      </c>
      <c r="AW159" s="203">
        <v>1.2E-2</v>
      </c>
      <c r="AX159" s="205">
        <v>0</v>
      </c>
      <c r="AY159" s="205">
        <v>0</v>
      </c>
      <c r="AZ159" s="206">
        <v>1.2E-2</v>
      </c>
      <c r="BA159" s="203">
        <v>0.13400000000000001</v>
      </c>
      <c r="BB159" s="205">
        <v>0.113</v>
      </c>
      <c r="BC159" s="205">
        <v>2.1000000000000001E-2</v>
      </c>
      <c r="BD159" s="205">
        <v>0</v>
      </c>
      <c r="BE159" s="205">
        <v>0</v>
      </c>
      <c r="BF159" s="206">
        <v>0</v>
      </c>
      <c r="BG159" s="199" t="s">
        <v>2</v>
      </c>
      <c r="BH159" s="199">
        <v>0</v>
      </c>
      <c r="BI159" s="200">
        <v>228</v>
      </c>
      <c r="BJ159" s="200">
        <v>86</v>
      </c>
      <c r="BK159" s="200">
        <v>35</v>
      </c>
      <c r="BL159" s="200" t="s">
        <v>2</v>
      </c>
      <c r="BM159" s="200" t="s">
        <v>2</v>
      </c>
      <c r="BN159" s="200" t="s">
        <v>2</v>
      </c>
      <c r="BO159" s="200" t="s">
        <v>2</v>
      </c>
      <c r="BP159" s="200" t="s">
        <v>2</v>
      </c>
      <c r="BQ159" s="200" t="s">
        <v>2</v>
      </c>
      <c r="BR159" s="200" t="s">
        <v>2</v>
      </c>
      <c r="BS159" s="200">
        <v>47</v>
      </c>
      <c r="BT159" s="200" t="s">
        <v>2</v>
      </c>
      <c r="BU159" s="200" t="s">
        <v>2</v>
      </c>
      <c r="BV159" s="200" t="s">
        <v>2</v>
      </c>
      <c r="BW159" s="200" t="s">
        <v>2</v>
      </c>
      <c r="BX159" s="200" t="s">
        <v>2</v>
      </c>
      <c r="BY159" s="200" t="s">
        <v>2</v>
      </c>
      <c r="BZ159" s="201" t="s">
        <v>2</v>
      </c>
      <c r="CA159" s="203" t="s">
        <v>2</v>
      </c>
      <c r="CB159" s="203" t="s">
        <v>2</v>
      </c>
      <c r="CC159" s="203" t="s">
        <v>2</v>
      </c>
      <c r="CD159" s="203" t="s">
        <v>2</v>
      </c>
      <c r="CE159" s="203" t="s">
        <v>2</v>
      </c>
      <c r="CF159" s="203" t="s">
        <v>2</v>
      </c>
      <c r="CG159" s="204" t="s">
        <v>2</v>
      </c>
      <c r="CH159" s="200" t="s">
        <v>2</v>
      </c>
      <c r="CI159" s="201" t="s">
        <v>2</v>
      </c>
      <c r="CJ159" s="203" t="s">
        <v>2</v>
      </c>
      <c r="CK159" s="203" t="s">
        <v>2</v>
      </c>
      <c r="CL159" s="203" t="s">
        <v>2</v>
      </c>
      <c r="CM159" s="204" t="s">
        <v>2</v>
      </c>
      <c r="CN159" s="199" t="s">
        <v>2</v>
      </c>
      <c r="CO159" s="199" t="s">
        <v>2</v>
      </c>
    </row>
    <row r="160" spans="1:93" s="207" customFormat="1" ht="15" x14ac:dyDescent="0.25">
      <c r="A160" s="220" t="s">
        <v>799</v>
      </c>
      <c r="B160" s="221" t="s">
        <v>189</v>
      </c>
      <c r="C160" s="222" t="s">
        <v>981</v>
      </c>
      <c r="D160" s="290">
        <v>4</v>
      </c>
      <c r="E160" s="199">
        <v>16</v>
      </c>
      <c r="F160" s="200">
        <v>36</v>
      </c>
      <c r="G160" s="201">
        <v>150.47999999999999</v>
      </c>
      <c r="H160" s="202">
        <v>90.3</v>
      </c>
      <c r="I160" s="203">
        <v>2.7</v>
      </c>
      <c r="J160" s="203" t="s">
        <v>2</v>
      </c>
      <c r="K160" s="203">
        <v>6.4</v>
      </c>
      <c r="L160" s="203">
        <v>3.6</v>
      </c>
      <c r="M160" s="204">
        <v>0.6</v>
      </c>
      <c r="N160" s="200">
        <v>246</v>
      </c>
      <c r="O160" s="200">
        <v>15</v>
      </c>
      <c r="P160" s="203">
        <v>1</v>
      </c>
      <c r="Q160" s="203">
        <v>0.52</v>
      </c>
      <c r="R160" s="200">
        <v>2</v>
      </c>
      <c r="S160" s="200">
        <v>211</v>
      </c>
      <c r="T160" s="200">
        <v>89</v>
      </c>
      <c r="U160" s="205" t="s">
        <v>2</v>
      </c>
      <c r="V160" s="205">
        <v>250</v>
      </c>
      <c r="W160" s="204" t="s">
        <v>2</v>
      </c>
      <c r="X160" s="203">
        <v>110</v>
      </c>
      <c r="Y160" s="205" t="s">
        <v>2</v>
      </c>
      <c r="Z160" s="205" t="s">
        <v>2</v>
      </c>
      <c r="AA160" s="205" t="s">
        <v>2</v>
      </c>
      <c r="AB160" s="205" t="s">
        <v>2</v>
      </c>
      <c r="AC160" s="205" t="s">
        <v>2</v>
      </c>
      <c r="AD160" s="200" t="s">
        <v>2</v>
      </c>
      <c r="AE160" s="200" t="s">
        <v>2</v>
      </c>
      <c r="AF160" s="203" t="s">
        <v>2</v>
      </c>
      <c r="AG160" s="204" t="s">
        <v>2</v>
      </c>
      <c r="AH160" s="200">
        <v>0</v>
      </c>
      <c r="AI160" s="200">
        <v>363</v>
      </c>
      <c r="AJ160" s="203" t="s">
        <v>2</v>
      </c>
      <c r="AK160" s="203" t="s">
        <v>2</v>
      </c>
      <c r="AL160" s="204" t="s">
        <v>2</v>
      </c>
      <c r="AM160" s="200">
        <v>4360</v>
      </c>
      <c r="AN160" s="200" t="s">
        <v>2</v>
      </c>
      <c r="AO160" s="201" t="s">
        <v>2</v>
      </c>
      <c r="AP160" s="203" t="s">
        <v>2</v>
      </c>
      <c r="AQ160" s="205" t="s">
        <v>2</v>
      </c>
      <c r="AR160" s="205" t="s">
        <v>2</v>
      </c>
      <c r="AS160" s="205" t="s">
        <v>2</v>
      </c>
      <c r="AT160" s="205" t="s">
        <v>2</v>
      </c>
      <c r="AU160" s="205" t="s">
        <v>2</v>
      </c>
      <c r="AV160" s="206" t="s">
        <v>2</v>
      </c>
      <c r="AW160" s="203" t="s">
        <v>2</v>
      </c>
      <c r="AX160" s="205" t="s">
        <v>2</v>
      </c>
      <c r="AY160" s="205" t="s">
        <v>2</v>
      </c>
      <c r="AZ160" s="206" t="s">
        <v>2</v>
      </c>
      <c r="BA160" s="203" t="s">
        <v>2</v>
      </c>
      <c r="BB160" s="205" t="s">
        <v>2</v>
      </c>
      <c r="BC160" s="205" t="s">
        <v>2</v>
      </c>
      <c r="BD160" s="205" t="s">
        <v>2</v>
      </c>
      <c r="BE160" s="205" t="s">
        <v>2</v>
      </c>
      <c r="BF160" s="206" t="s">
        <v>2</v>
      </c>
      <c r="BG160" s="199" t="s">
        <v>2</v>
      </c>
      <c r="BH160" s="199">
        <v>0</v>
      </c>
      <c r="BI160" s="200" t="s">
        <v>2</v>
      </c>
      <c r="BJ160" s="200" t="s">
        <v>2</v>
      </c>
      <c r="BK160" s="200" t="s">
        <v>2</v>
      </c>
      <c r="BL160" s="200" t="s">
        <v>2</v>
      </c>
      <c r="BM160" s="200" t="s">
        <v>2</v>
      </c>
      <c r="BN160" s="200" t="s">
        <v>2</v>
      </c>
      <c r="BO160" s="200" t="s">
        <v>2</v>
      </c>
      <c r="BP160" s="200" t="s">
        <v>2</v>
      </c>
      <c r="BQ160" s="200" t="s">
        <v>2</v>
      </c>
      <c r="BR160" s="200" t="s">
        <v>2</v>
      </c>
      <c r="BS160" s="200" t="s">
        <v>2</v>
      </c>
      <c r="BT160" s="200" t="s">
        <v>2</v>
      </c>
      <c r="BU160" s="200" t="s">
        <v>2</v>
      </c>
      <c r="BV160" s="200" t="s">
        <v>2</v>
      </c>
      <c r="BW160" s="200" t="s">
        <v>2</v>
      </c>
      <c r="BX160" s="200" t="s">
        <v>2</v>
      </c>
      <c r="BY160" s="200" t="s">
        <v>2</v>
      </c>
      <c r="BZ160" s="201" t="s">
        <v>2</v>
      </c>
      <c r="CA160" s="203" t="s">
        <v>2</v>
      </c>
      <c r="CB160" s="203" t="s">
        <v>2</v>
      </c>
      <c r="CC160" s="203" t="s">
        <v>2</v>
      </c>
      <c r="CD160" s="203" t="s">
        <v>2</v>
      </c>
      <c r="CE160" s="203" t="s">
        <v>2</v>
      </c>
      <c r="CF160" s="203" t="s">
        <v>2</v>
      </c>
      <c r="CG160" s="204" t="s">
        <v>2</v>
      </c>
      <c r="CH160" s="200" t="s">
        <v>2</v>
      </c>
      <c r="CI160" s="201" t="s">
        <v>2</v>
      </c>
      <c r="CJ160" s="203" t="s">
        <v>2</v>
      </c>
      <c r="CK160" s="203" t="s">
        <v>2</v>
      </c>
      <c r="CL160" s="203" t="s">
        <v>2</v>
      </c>
      <c r="CM160" s="204" t="s">
        <v>2</v>
      </c>
      <c r="CN160" s="199" t="s">
        <v>2</v>
      </c>
      <c r="CO160" s="199" t="s">
        <v>2</v>
      </c>
    </row>
    <row r="161" spans="1:93" s="207" customFormat="1" ht="15" x14ac:dyDescent="0.25">
      <c r="A161" s="220" t="s">
        <v>800</v>
      </c>
      <c r="B161" s="221" t="s">
        <v>190</v>
      </c>
      <c r="C161" s="222" t="s">
        <v>982</v>
      </c>
      <c r="D161" s="290">
        <v>4</v>
      </c>
      <c r="E161" s="199">
        <v>0</v>
      </c>
      <c r="F161" s="200">
        <v>31</v>
      </c>
      <c r="G161" s="201">
        <v>129.57999999999998</v>
      </c>
      <c r="H161" s="202">
        <v>91.1</v>
      </c>
      <c r="I161" s="203">
        <v>3.1</v>
      </c>
      <c r="J161" s="203" t="s">
        <v>2</v>
      </c>
      <c r="K161" s="203">
        <v>4.5999999999999996</v>
      </c>
      <c r="L161" s="203">
        <v>1.5</v>
      </c>
      <c r="M161" s="204">
        <v>1.2</v>
      </c>
      <c r="N161" s="200">
        <v>172</v>
      </c>
      <c r="O161" s="200">
        <v>24</v>
      </c>
      <c r="P161" s="203">
        <v>0.2</v>
      </c>
      <c r="Q161" s="203" t="s">
        <v>2</v>
      </c>
      <c r="R161" s="200" t="s">
        <v>2</v>
      </c>
      <c r="S161" s="200" t="s">
        <v>2</v>
      </c>
      <c r="T161" s="200" t="s">
        <v>2</v>
      </c>
      <c r="U161" s="205" t="s">
        <v>2</v>
      </c>
      <c r="V161" s="205" t="s">
        <v>2</v>
      </c>
      <c r="W161" s="204" t="s">
        <v>2</v>
      </c>
      <c r="X161" s="203">
        <v>20</v>
      </c>
      <c r="Y161" s="205" t="s">
        <v>2</v>
      </c>
      <c r="Z161" s="205" t="s">
        <v>2</v>
      </c>
      <c r="AA161" s="205" t="s">
        <v>2</v>
      </c>
      <c r="AB161" s="205" t="s">
        <v>2</v>
      </c>
      <c r="AC161" s="205" t="s">
        <v>2</v>
      </c>
      <c r="AD161" s="200" t="s">
        <v>2</v>
      </c>
      <c r="AE161" s="200" t="s">
        <v>2</v>
      </c>
      <c r="AF161" s="203" t="s">
        <v>2</v>
      </c>
      <c r="AG161" s="204" t="s">
        <v>2</v>
      </c>
      <c r="AH161" s="200">
        <v>0</v>
      </c>
      <c r="AI161" s="200">
        <v>22</v>
      </c>
      <c r="AJ161" s="203" t="s">
        <v>2</v>
      </c>
      <c r="AK161" s="203" t="s">
        <v>2</v>
      </c>
      <c r="AL161" s="204" t="s">
        <v>2</v>
      </c>
      <c r="AM161" s="200">
        <v>260</v>
      </c>
      <c r="AN161" s="200" t="s">
        <v>2</v>
      </c>
      <c r="AO161" s="201" t="s">
        <v>2</v>
      </c>
      <c r="AP161" s="203" t="s">
        <v>2</v>
      </c>
      <c r="AQ161" s="205" t="s">
        <v>2</v>
      </c>
      <c r="AR161" s="205" t="s">
        <v>2</v>
      </c>
      <c r="AS161" s="205" t="s">
        <v>2</v>
      </c>
      <c r="AT161" s="205" t="s">
        <v>2</v>
      </c>
      <c r="AU161" s="205" t="s">
        <v>2</v>
      </c>
      <c r="AV161" s="206" t="s">
        <v>2</v>
      </c>
      <c r="AW161" s="203" t="s">
        <v>2</v>
      </c>
      <c r="AX161" s="205" t="s">
        <v>2</v>
      </c>
      <c r="AY161" s="205" t="s">
        <v>2</v>
      </c>
      <c r="AZ161" s="206" t="s">
        <v>2</v>
      </c>
      <c r="BA161" s="203" t="s">
        <v>2</v>
      </c>
      <c r="BB161" s="205" t="s">
        <v>2</v>
      </c>
      <c r="BC161" s="205" t="s">
        <v>2</v>
      </c>
      <c r="BD161" s="205" t="s">
        <v>2</v>
      </c>
      <c r="BE161" s="205" t="s">
        <v>2</v>
      </c>
      <c r="BF161" s="206" t="s">
        <v>2</v>
      </c>
      <c r="BG161" s="199" t="s">
        <v>2</v>
      </c>
      <c r="BH161" s="199">
        <v>0</v>
      </c>
      <c r="BI161" s="200" t="s">
        <v>2</v>
      </c>
      <c r="BJ161" s="200" t="s">
        <v>2</v>
      </c>
      <c r="BK161" s="200" t="s">
        <v>2</v>
      </c>
      <c r="BL161" s="200" t="s">
        <v>2</v>
      </c>
      <c r="BM161" s="200" t="s">
        <v>2</v>
      </c>
      <c r="BN161" s="200" t="s">
        <v>2</v>
      </c>
      <c r="BO161" s="200" t="s">
        <v>2</v>
      </c>
      <c r="BP161" s="200" t="s">
        <v>2</v>
      </c>
      <c r="BQ161" s="200" t="s">
        <v>2</v>
      </c>
      <c r="BR161" s="200" t="s">
        <v>2</v>
      </c>
      <c r="BS161" s="200" t="s">
        <v>2</v>
      </c>
      <c r="BT161" s="200" t="s">
        <v>2</v>
      </c>
      <c r="BU161" s="200" t="s">
        <v>2</v>
      </c>
      <c r="BV161" s="200" t="s">
        <v>2</v>
      </c>
      <c r="BW161" s="200" t="s">
        <v>2</v>
      </c>
      <c r="BX161" s="200" t="s">
        <v>2</v>
      </c>
      <c r="BY161" s="200" t="s">
        <v>2</v>
      </c>
      <c r="BZ161" s="201" t="s">
        <v>2</v>
      </c>
      <c r="CA161" s="203" t="s">
        <v>2</v>
      </c>
      <c r="CB161" s="203" t="s">
        <v>2</v>
      </c>
      <c r="CC161" s="203" t="s">
        <v>2</v>
      </c>
      <c r="CD161" s="203" t="s">
        <v>2</v>
      </c>
      <c r="CE161" s="203" t="s">
        <v>2</v>
      </c>
      <c r="CF161" s="203" t="s">
        <v>2</v>
      </c>
      <c r="CG161" s="204" t="s">
        <v>2</v>
      </c>
      <c r="CH161" s="200" t="s">
        <v>2</v>
      </c>
      <c r="CI161" s="201" t="s">
        <v>2</v>
      </c>
      <c r="CJ161" s="203" t="s">
        <v>2</v>
      </c>
      <c r="CK161" s="203" t="s">
        <v>2</v>
      </c>
      <c r="CL161" s="203" t="s">
        <v>2</v>
      </c>
      <c r="CM161" s="204" t="s">
        <v>2</v>
      </c>
      <c r="CN161" s="199" t="s">
        <v>2</v>
      </c>
      <c r="CO161" s="199" t="s">
        <v>2</v>
      </c>
    </row>
    <row r="162" spans="1:93" s="207" customFormat="1" ht="15" x14ac:dyDescent="0.25">
      <c r="A162" s="220" t="s">
        <v>801</v>
      </c>
      <c r="B162" s="221" t="s">
        <v>191</v>
      </c>
      <c r="C162" s="222" t="s">
        <v>983</v>
      </c>
      <c r="D162" s="290">
        <v>4</v>
      </c>
      <c r="E162" s="199">
        <v>0</v>
      </c>
      <c r="F162" s="200">
        <v>38</v>
      </c>
      <c r="G162" s="201">
        <v>158.83999999999997</v>
      </c>
      <c r="H162" s="202">
        <v>88.2</v>
      </c>
      <c r="I162" s="203">
        <v>3.2</v>
      </c>
      <c r="J162" s="203" t="s">
        <v>2</v>
      </c>
      <c r="K162" s="203">
        <v>6.3</v>
      </c>
      <c r="L162" s="203">
        <v>4.5</v>
      </c>
      <c r="M162" s="204">
        <v>2.2999999999999998</v>
      </c>
      <c r="N162" s="200">
        <v>229</v>
      </c>
      <c r="O162" s="200">
        <v>2</v>
      </c>
      <c r="P162" s="203">
        <v>3.1</v>
      </c>
      <c r="Q162" s="203" t="s">
        <v>2</v>
      </c>
      <c r="R162" s="200" t="s">
        <v>2</v>
      </c>
      <c r="S162" s="200" t="s">
        <v>2</v>
      </c>
      <c r="T162" s="200" t="s">
        <v>2</v>
      </c>
      <c r="U162" s="205" t="s">
        <v>2</v>
      </c>
      <c r="V162" s="205" t="s">
        <v>2</v>
      </c>
      <c r="W162" s="204" t="s">
        <v>2</v>
      </c>
      <c r="X162" s="203">
        <v>37</v>
      </c>
      <c r="Y162" s="205">
        <v>0.15</v>
      </c>
      <c r="Z162" s="205">
        <v>0.14000000000000001</v>
      </c>
      <c r="AA162" s="205">
        <v>1.2</v>
      </c>
      <c r="AB162" s="205" t="s">
        <v>2</v>
      </c>
      <c r="AC162" s="205" t="s">
        <v>2</v>
      </c>
      <c r="AD162" s="200" t="s">
        <v>2</v>
      </c>
      <c r="AE162" s="200" t="s">
        <v>2</v>
      </c>
      <c r="AF162" s="203" t="s">
        <v>2</v>
      </c>
      <c r="AG162" s="204" t="s">
        <v>2</v>
      </c>
      <c r="AH162" s="200">
        <v>0</v>
      </c>
      <c r="AI162" s="200">
        <v>108</v>
      </c>
      <c r="AJ162" s="203" t="s">
        <v>2</v>
      </c>
      <c r="AK162" s="203" t="s">
        <v>2</v>
      </c>
      <c r="AL162" s="204" t="s">
        <v>2</v>
      </c>
      <c r="AM162" s="200">
        <v>1300</v>
      </c>
      <c r="AN162" s="200" t="s">
        <v>2</v>
      </c>
      <c r="AO162" s="201" t="s">
        <v>2</v>
      </c>
      <c r="AP162" s="203" t="s">
        <v>2</v>
      </c>
      <c r="AQ162" s="205" t="s">
        <v>2</v>
      </c>
      <c r="AR162" s="205" t="s">
        <v>2</v>
      </c>
      <c r="AS162" s="205" t="s">
        <v>2</v>
      </c>
      <c r="AT162" s="205" t="s">
        <v>2</v>
      </c>
      <c r="AU162" s="205" t="s">
        <v>2</v>
      </c>
      <c r="AV162" s="206" t="s">
        <v>2</v>
      </c>
      <c r="AW162" s="203" t="s">
        <v>2</v>
      </c>
      <c r="AX162" s="205" t="s">
        <v>2</v>
      </c>
      <c r="AY162" s="205" t="s">
        <v>2</v>
      </c>
      <c r="AZ162" s="206" t="s">
        <v>2</v>
      </c>
      <c r="BA162" s="203" t="s">
        <v>2</v>
      </c>
      <c r="BB162" s="205" t="s">
        <v>2</v>
      </c>
      <c r="BC162" s="205" t="s">
        <v>2</v>
      </c>
      <c r="BD162" s="205" t="s">
        <v>2</v>
      </c>
      <c r="BE162" s="205" t="s">
        <v>2</v>
      </c>
      <c r="BF162" s="206" t="s">
        <v>2</v>
      </c>
      <c r="BG162" s="199" t="s">
        <v>2</v>
      </c>
      <c r="BH162" s="199">
        <v>0</v>
      </c>
      <c r="BI162" s="200" t="s">
        <v>2</v>
      </c>
      <c r="BJ162" s="200" t="s">
        <v>2</v>
      </c>
      <c r="BK162" s="200" t="s">
        <v>2</v>
      </c>
      <c r="BL162" s="200" t="s">
        <v>2</v>
      </c>
      <c r="BM162" s="200" t="s">
        <v>2</v>
      </c>
      <c r="BN162" s="200" t="s">
        <v>2</v>
      </c>
      <c r="BO162" s="200" t="s">
        <v>2</v>
      </c>
      <c r="BP162" s="200" t="s">
        <v>2</v>
      </c>
      <c r="BQ162" s="200" t="s">
        <v>2</v>
      </c>
      <c r="BR162" s="200" t="s">
        <v>2</v>
      </c>
      <c r="BS162" s="200" t="s">
        <v>2</v>
      </c>
      <c r="BT162" s="200" t="s">
        <v>2</v>
      </c>
      <c r="BU162" s="200" t="s">
        <v>2</v>
      </c>
      <c r="BV162" s="200" t="s">
        <v>2</v>
      </c>
      <c r="BW162" s="200" t="s">
        <v>2</v>
      </c>
      <c r="BX162" s="200" t="s">
        <v>2</v>
      </c>
      <c r="BY162" s="200" t="s">
        <v>2</v>
      </c>
      <c r="BZ162" s="201" t="s">
        <v>2</v>
      </c>
      <c r="CA162" s="203" t="s">
        <v>2</v>
      </c>
      <c r="CB162" s="203" t="s">
        <v>2</v>
      </c>
      <c r="CC162" s="203" t="s">
        <v>2</v>
      </c>
      <c r="CD162" s="203" t="s">
        <v>2</v>
      </c>
      <c r="CE162" s="203" t="s">
        <v>2</v>
      </c>
      <c r="CF162" s="203" t="s">
        <v>2</v>
      </c>
      <c r="CG162" s="204" t="s">
        <v>2</v>
      </c>
      <c r="CH162" s="200" t="s">
        <v>2</v>
      </c>
      <c r="CI162" s="201" t="s">
        <v>2</v>
      </c>
      <c r="CJ162" s="203" t="s">
        <v>2</v>
      </c>
      <c r="CK162" s="203" t="s">
        <v>2</v>
      </c>
      <c r="CL162" s="203" t="s">
        <v>2</v>
      </c>
      <c r="CM162" s="204" t="s">
        <v>2</v>
      </c>
      <c r="CN162" s="199" t="s">
        <v>2</v>
      </c>
      <c r="CO162" s="199" t="s">
        <v>2</v>
      </c>
    </row>
    <row r="163" spans="1:93" s="207" customFormat="1" ht="15" x14ac:dyDescent="0.25">
      <c r="A163" s="220" t="s">
        <v>802</v>
      </c>
      <c r="B163" s="221" t="s">
        <v>192</v>
      </c>
      <c r="C163" s="222" t="s">
        <v>984</v>
      </c>
      <c r="D163" s="290">
        <v>4</v>
      </c>
      <c r="E163" s="199">
        <v>17</v>
      </c>
      <c r="F163" s="200">
        <v>24</v>
      </c>
      <c r="G163" s="201">
        <v>100.32</v>
      </c>
      <c r="H163" s="202">
        <v>93.2</v>
      </c>
      <c r="I163" s="203">
        <v>2</v>
      </c>
      <c r="J163" s="203" t="s">
        <v>2</v>
      </c>
      <c r="K163" s="203">
        <v>3.9</v>
      </c>
      <c r="L163" s="203">
        <v>2.5</v>
      </c>
      <c r="M163" s="204">
        <v>0.9</v>
      </c>
      <c r="N163" s="200">
        <v>176</v>
      </c>
      <c r="O163" s="200">
        <v>34</v>
      </c>
      <c r="P163" s="203">
        <v>1.6</v>
      </c>
      <c r="Q163" s="203">
        <v>0.54</v>
      </c>
      <c r="R163" s="200">
        <v>38</v>
      </c>
      <c r="S163" s="200">
        <v>391</v>
      </c>
      <c r="T163" s="200">
        <v>94</v>
      </c>
      <c r="U163" s="205">
        <v>0.45</v>
      </c>
      <c r="V163" s="205">
        <v>20</v>
      </c>
      <c r="W163" s="204" t="s">
        <v>2</v>
      </c>
      <c r="X163" s="203">
        <v>72</v>
      </c>
      <c r="Y163" s="205">
        <v>0.06</v>
      </c>
      <c r="Z163" s="205">
        <v>0.17</v>
      </c>
      <c r="AA163" s="205">
        <v>0.6</v>
      </c>
      <c r="AB163" s="205" t="s">
        <v>2</v>
      </c>
      <c r="AC163" s="205" t="s">
        <v>2</v>
      </c>
      <c r="AD163" s="200" t="s">
        <v>2</v>
      </c>
      <c r="AE163" s="200" t="s">
        <v>2</v>
      </c>
      <c r="AF163" s="203" t="s">
        <v>2</v>
      </c>
      <c r="AG163" s="204" t="s">
        <v>2</v>
      </c>
      <c r="AH163" s="200">
        <v>0</v>
      </c>
      <c r="AI163" s="200">
        <v>160</v>
      </c>
      <c r="AJ163" s="203" t="s">
        <v>2</v>
      </c>
      <c r="AK163" s="203" t="s">
        <v>2</v>
      </c>
      <c r="AL163" s="204" t="s">
        <v>2</v>
      </c>
      <c r="AM163" s="200">
        <v>1920</v>
      </c>
      <c r="AN163" s="200" t="s">
        <v>2</v>
      </c>
      <c r="AO163" s="201" t="s">
        <v>2</v>
      </c>
      <c r="AP163" s="203" t="s">
        <v>2</v>
      </c>
      <c r="AQ163" s="205" t="s">
        <v>2</v>
      </c>
      <c r="AR163" s="205" t="s">
        <v>2</v>
      </c>
      <c r="AS163" s="205" t="s">
        <v>2</v>
      </c>
      <c r="AT163" s="205" t="s">
        <v>2</v>
      </c>
      <c r="AU163" s="205" t="s">
        <v>2</v>
      </c>
      <c r="AV163" s="206" t="s">
        <v>2</v>
      </c>
      <c r="AW163" s="203" t="s">
        <v>2</v>
      </c>
      <c r="AX163" s="205" t="s">
        <v>2</v>
      </c>
      <c r="AY163" s="205" t="s">
        <v>2</v>
      </c>
      <c r="AZ163" s="206" t="s">
        <v>2</v>
      </c>
      <c r="BA163" s="203" t="s">
        <v>2</v>
      </c>
      <c r="BB163" s="205" t="s">
        <v>2</v>
      </c>
      <c r="BC163" s="205" t="s">
        <v>2</v>
      </c>
      <c r="BD163" s="205" t="s">
        <v>2</v>
      </c>
      <c r="BE163" s="205" t="s">
        <v>2</v>
      </c>
      <c r="BF163" s="206" t="s">
        <v>2</v>
      </c>
      <c r="BG163" s="199" t="s">
        <v>2</v>
      </c>
      <c r="BH163" s="199">
        <v>0</v>
      </c>
      <c r="BI163" s="200" t="s">
        <v>2</v>
      </c>
      <c r="BJ163" s="200" t="s">
        <v>2</v>
      </c>
      <c r="BK163" s="200" t="s">
        <v>2</v>
      </c>
      <c r="BL163" s="200" t="s">
        <v>2</v>
      </c>
      <c r="BM163" s="200" t="s">
        <v>2</v>
      </c>
      <c r="BN163" s="200" t="s">
        <v>2</v>
      </c>
      <c r="BO163" s="200" t="s">
        <v>2</v>
      </c>
      <c r="BP163" s="200" t="s">
        <v>2</v>
      </c>
      <c r="BQ163" s="200" t="s">
        <v>2</v>
      </c>
      <c r="BR163" s="200" t="s">
        <v>2</v>
      </c>
      <c r="BS163" s="200" t="s">
        <v>2</v>
      </c>
      <c r="BT163" s="200" t="s">
        <v>2</v>
      </c>
      <c r="BU163" s="200" t="s">
        <v>2</v>
      </c>
      <c r="BV163" s="200" t="s">
        <v>2</v>
      </c>
      <c r="BW163" s="200" t="s">
        <v>2</v>
      </c>
      <c r="BX163" s="200" t="s">
        <v>2</v>
      </c>
      <c r="BY163" s="200" t="s">
        <v>2</v>
      </c>
      <c r="BZ163" s="201" t="s">
        <v>2</v>
      </c>
      <c r="CA163" s="203" t="s">
        <v>2</v>
      </c>
      <c r="CB163" s="203" t="s">
        <v>2</v>
      </c>
      <c r="CC163" s="203" t="s">
        <v>2</v>
      </c>
      <c r="CD163" s="203" t="s">
        <v>2</v>
      </c>
      <c r="CE163" s="203" t="s">
        <v>2</v>
      </c>
      <c r="CF163" s="203" t="s">
        <v>2</v>
      </c>
      <c r="CG163" s="204" t="s">
        <v>2</v>
      </c>
      <c r="CH163" s="200" t="s">
        <v>2</v>
      </c>
      <c r="CI163" s="201" t="s">
        <v>2</v>
      </c>
      <c r="CJ163" s="203" t="s">
        <v>2</v>
      </c>
      <c r="CK163" s="203" t="s">
        <v>2</v>
      </c>
      <c r="CL163" s="203" t="s">
        <v>2</v>
      </c>
      <c r="CM163" s="204" t="s">
        <v>2</v>
      </c>
      <c r="CN163" s="199" t="s">
        <v>2</v>
      </c>
      <c r="CO163" s="199" t="s">
        <v>2</v>
      </c>
    </row>
    <row r="164" spans="1:93" s="207" customFormat="1" ht="15" x14ac:dyDescent="0.25">
      <c r="A164" s="220" t="s">
        <v>803</v>
      </c>
      <c r="B164" s="221" t="s">
        <v>193</v>
      </c>
      <c r="C164" s="222" t="s">
        <v>985</v>
      </c>
      <c r="D164" s="290">
        <v>4</v>
      </c>
      <c r="E164" s="199">
        <v>15</v>
      </c>
      <c r="F164" s="200">
        <v>22</v>
      </c>
      <c r="G164" s="201">
        <v>91.96</v>
      </c>
      <c r="H164" s="202">
        <v>93.3</v>
      </c>
      <c r="I164" s="203">
        <v>2.6</v>
      </c>
      <c r="J164" s="203">
        <v>0.33</v>
      </c>
      <c r="K164" s="203">
        <v>2.17</v>
      </c>
      <c r="L164" s="203">
        <v>1.8</v>
      </c>
      <c r="M164" s="204">
        <v>1.6</v>
      </c>
      <c r="N164" s="200">
        <v>133</v>
      </c>
      <c r="O164" s="200">
        <v>80</v>
      </c>
      <c r="P164" s="203">
        <v>4.5</v>
      </c>
      <c r="Q164" s="203">
        <v>0.5</v>
      </c>
      <c r="R164" s="200">
        <v>46</v>
      </c>
      <c r="S164" s="200">
        <v>521</v>
      </c>
      <c r="T164" s="200">
        <v>26</v>
      </c>
      <c r="U164" s="205">
        <v>0.42599999999999999</v>
      </c>
      <c r="V164" s="205">
        <v>225</v>
      </c>
      <c r="W164" s="204">
        <v>0.9</v>
      </c>
      <c r="X164" s="203">
        <v>140</v>
      </c>
      <c r="Y164" s="205">
        <v>0.11</v>
      </c>
      <c r="Z164" s="205">
        <v>0.15</v>
      </c>
      <c r="AA164" s="205">
        <v>1.3</v>
      </c>
      <c r="AB164" s="205">
        <v>0.56999999999999995</v>
      </c>
      <c r="AC164" s="224" t="s">
        <v>195</v>
      </c>
      <c r="AD164" s="200">
        <v>62</v>
      </c>
      <c r="AE164" s="200">
        <v>0</v>
      </c>
      <c r="AF164" s="203" t="s">
        <v>2</v>
      </c>
      <c r="AG164" s="204">
        <v>0</v>
      </c>
      <c r="AH164" s="200">
        <v>0</v>
      </c>
      <c r="AI164" s="200">
        <v>337</v>
      </c>
      <c r="AJ164" s="203" t="s">
        <v>2</v>
      </c>
      <c r="AK164" s="203">
        <v>2.5</v>
      </c>
      <c r="AL164" s="204">
        <v>310</v>
      </c>
      <c r="AM164" s="200">
        <v>3930</v>
      </c>
      <c r="AN164" s="200">
        <v>36</v>
      </c>
      <c r="AO164" s="201">
        <v>202</v>
      </c>
      <c r="AP164" s="203">
        <v>1.4E-2</v>
      </c>
      <c r="AQ164" s="205">
        <v>1.2E-2</v>
      </c>
      <c r="AR164" s="205">
        <v>0</v>
      </c>
      <c r="AS164" s="205">
        <v>1E-3</v>
      </c>
      <c r="AT164" s="205">
        <v>0</v>
      </c>
      <c r="AU164" s="205">
        <v>0</v>
      </c>
      <c r="AV164" s="206">
        <v>0</v>
      </c>
      <c r="AW164" s="203">
        <v>0.27500000000000002</v>
      </c>
      <c r="AX164" s="205">
        <v>2E-3</v>
      </c>
      <c r="AY164" s="205">
        <v>0</v>
      </c>
      <c r="AZ164" s="206">
        <v>0.27300000000000002</v>
      </c>
      <c r="BA164" s="203">
        <v>0.04</v>
      </c>
      <c r="BB164" s="205">
        <v>0.04</v>
      </c>
      <c r="BC164" s="205">
        <v>0</v>
      </c>
      <c r="BD164" s="205">
        <v>0</v>
      </c>
      <c r="BE164" s="205">
        <v>0</v>
      </c>
      <c r="BF164" s="206">
        <v>0</v>
      </c>
      <c r="BG164" s="199" t="s">
        <v>2</v>
      </c>
      <c r="BH164" s="199">
        <v>0</v>
      </c>
      <c r="BI164" s="200" t="s">
        <v>2</v>
      </c>
      <c r="BJ164" s="200" t="s">
        <v>2</v>
      </c>
      <c r="BK164" s="200" t="s">
        <v>2</v>
      </c>
      <c r="BL164" s="200" t="s">
        <v>2</v>
      </c>
      <c r="BM164" s="200" t="s">
        <v>2</v>
      </c>
      <c r="BN164" s="200" t="s">
        <v>2</v>
      </c>
      <c r="BO164" s="200" t="s">
        <v>2</v>
      </c>
      <c r="BP164" s="200" t="s">
        <v>2</v>
      </c>
      <c r="BQ164" s="200" t="s">
        <v>2</v>
      </c>
      <c r="BR164" s="200" t="s">
        <v>2</v>
      </c>
      <c r="BS164" s="200" t="s">
        <v>2</v>
      </c>
      <c r="BT164" s="200" t="s">
        <v>2</v>
      </c>
      <c r="BU164" s="200" t="s">
        <v>2</v>
      </c>
      <c r="BV164" s="200" t="s">
        <v>2</v>
      </c>
      <c r="BW164" s="200" t="s">
        <v>2</v>
      </c>
      <c r="BX164" s="200" t="s">
        <v>2</v>
      </c>
      <c r="BY164" s="200" t="s">
        <v>2</v>
      </c>
      <c r="BZ164" s="201" t="s">
        <v>2</v>
      </c>
      <c r="CA164" s="223" t="s">
        <v>194</v>
      </c>
      <c r="CB164" s="203" t="s">
        <v>2</v>
      </c>
      <c r="CC164" s="203" t="s">
        <v>2</v>
      </c>
      <c r="CD164" s="203" t="s">
        <v>2</v>
      </c>
      <c r="CE164" s="203" t="s">
        <v>2</v>
      </c>
      <c r="CF164" s="203" t="s">
        <v>2</v>
      </c>
      <c r="CG164" s="204" t="s">
        <v>2</v>
      </c>
      <c r="CH164" s="200">
        <v>0</v>
      </c>
      <c r="CI164" s="201">
        <v>865</v>
      </c>
      <c r="CJ164" s="203" t="s">
        <v>2</v>
      </c>
      <c r="CK164" s="203" t="s">
        <v>2</v>
      </c>
      <c r="CL164" s="203" t="s">
        <v>2</v>
      </c>
      <c r="CM164" s="204" t="s">
        <v>2</v>
      </c>
      <c r="CN164" s="199">
        <v>5</v>
      </c>
      <c r="CO164" s="199" t="s">
        <v>2</v>
      </c>
    </row>
    <row r="165" spans="1:93" s="207" customFormat="1" ht="15" x14ac:dyDescent="0.25">
      <c r="A165" s="220" t="s">
        <v>804</v>
      </c>
      <c r="B165" s="221" t="s">
        <v>196</v>
      </c>
      <c r="C165" s="222" t="s">
        <v>986</v>
      </c>
      <c r="D165" s="290">
        <v>4</v>
      </c>
      <c r="E165" s="199">
        <v>20</v>
      </c>
      <c r="F165" s="200">
        <v>30</v>
      </c>
      <c r="G165" s="201">
        <v>125.39999999999999</v>
      </c>
      <c r="H165" s="202">
        <v>92</v>
      </c>
      <c r="I165" s="203">
        <v>2.1</v>
      </c>
      <c r="J165" s="203">
        <v>0.55000000000000004</v>
      </c>
      <c r="K165" s="203">
        <v>4.25</v>
      </c>
      <c r="L165" s="203">
        <v>1.6</v>
      </c>
      <c r="M165" s="204">
        <v>1.1000000000000001</v>
      </c>
      <c r="N165" s="200">
        <v>20</v>
      </c>
      <c r="O165" s="200">
        <v>30</v>
      </c>
      <c r="P165" s="203">
        <v>2.9</v>
      </c>
      <c r="Q165" s="203">
        <v>0.41</v>
      </c>
      <c r="R165" s="200">
        <v>39</v>
      </c>
      <c r="S165" s="200">
        <v>237</v>
      </c>
      <c r="T165" s="200">
        <v>35</v>
      </c>
      <c r="U165" s="205">
        <v>0.36</v>
      </c>
      <c r="V165" s="205">
        <v>210</v>
      </c>
      <c r="W165" s="204">
        <v>0.1</v>
      </c>
      <c r="X165" s="203">
        <v>177</v>
      </c>
      <c r="Y165" s="205">
        <v>0.11</v>
      </c>
      <c r="Z165" s="205">
        <v>0.28000000000000003</v>
      </c>
      <c r="AA165" s="205">
        <v>1.4</v>
      </c>
      <c r="AB165" s="205">
        <v>0.4</v>
      </c>
      <c r="AC165" s="205">
        <v>0.09</v>
      </c>
      <c r="AD165" s="200">
        <v>152</v>
      </c>
      <c r="AE165" s="200">
        <v>0</v>
      </c>
      <c r="AF165" s="203" t="s">
        <v>2</v>
      </c>
      <c r="AG165" s="204">
        <v>0</v>
      </c>
      <c r="AH165" s="200">
        <v>0</v>
      </c>
      <c r="AI165" s="200">
        <v>420</v>
      </c>
      <c r="AJ165" s="203" t="s">
        <v>2</v>
      </c>
      <c r="AK165" s="203">
        <v>0.75</v>
      </c>
      <c r="AL165" s="204">
        <v>1640</v>
      </c>
      <c r="AM165" s="200">
        <v>5040</v>
      </c>
      <c r="AN165" s="200">
        <v>0</v>
      </c>
      <c r="AO165" s="201">
        <v>0</v>
      </c>
      <c r="AP165" s="203">
        <v>0.13200000000000001</v>
      </c>
      <c r="AQ165" s="205">
        <v>8.4000000000000005E-2</v>
      </c>
      <c r="AR165" s="205">
        <v>0</v>
      </c>
      <c r="AS165" s="205">
        <v>3.9E-2</v>
      </c>
      <c r="AT165" s="205">
        <v>0</v>
      </c>
      <c r="AU165" s="205">
        <v>0</v>
      </c>
      <c r="AV165" s="206">
        <v>0</v>
      </c>
      <c r="AW165" s="203">
        <v>0.29499999999999998</v>
      </c>
      <c r="AX165" s="205">
        <v>8.0000000000000002E-3</v>
      </c>
      <c r="AY165" s="205">
        <v>0.01</v>
      </c>
      <c r="AZ165" s="206">
        <v>0.28699999999999998</v>
      </c>
      <c r="BA165" s="203">
        <v>0.124</v>
      </c>
      <c r="BB165" s="205">
        <v>0.115</v>
      </c>
      <c r="BC165" s="205">
        <v>8.0000000000000002E-3</v>
      </c>
      <c r="BD165" s="205">
        <v>0</v>
      </c>
      <c r="BE165" s="205">
        <v>0</v>
      </c>
      <c r="BF165" s="206">
        <v>0</v>
      </c>
      <c r="BG165" s="199" t="s">
        <v>2</v>
      </c>
      <c r="BH165" s="199">
        <v>0</v>
      </c>
      <c r="BI165" s="200">
        <v>181</v>
      </c>
      <c r="BJ165" s="200">
        <v>42</v>
      </c>
      <c r="BK165" s="200">
        <v>45</v>
      </c>
      <c r="BL165" s="200">
        <v>145</v>
      </c>
      <c r="BM165" s="200">
        <v>122</v>
      </c>
      <c r="BN165" s="200">
        <v>172</v>
      </c>
      <c r="BO165" s="200">
        <v>204</v>
      </c>
      <c r="BP165" s="200">
        <v>118</v>
      </c>
      <c r="BQ165" s="200">
        <v>122</v>
      </c>
      <c r="BR165" s="200">
        <v>61</v>
      </c>
      <c r="BS165" s="200">
        <v>14</v>
      </c>
      <c r="BT165" s="200">
        <v>82</v>
      </c>
      <c r="BU165" s="200">
        <v>195</v>
      </c>
      <c r="BV165" s="200">
        <v>194</v>
      </c>
      <c r="BW165" s="200">
        <v>249</v>
      </c>
      <c r="BX165" s="200">
        <v>145</v>
      </c>
      <c r="BY165" s="200">
        <v>213</v>
      </c>
      <c r="BZ165" s="201">
        <v>136</v>
      </c>
      <c r="CA165" s="203">
        <v>0.85</v>
      </c>
      <c r="CB165" s="203" t="s">
        <v>2</v>
      </c>
      <c r="CC165" s="203" t="s">
        <v>2</v>
      </c>
      <c r="CD165" s="203" t="s">
        <v>2</v>
      </c>
      <c r="CE165" s="203" t="s">
        <v>2</v>
      </c>
      <c r="CF165" s="203" t="s">
        <v>2</v>
      </c>
      <c r="CG165" s="204" t="s">
        <v>2</v>
      </c>
      <c r="CH165" s="200">
        <v>0</v>
      </c>
      <c r="CI165" s="201">
        <v>5561</v>
      </c>
      <c r="CJ165" s="203" t="s">
        <v>2</v>
      </c>
      <c r="CK165" s="203" t="s">
        <v>2</v>
      </c>
      <c r="CL165" s="203" t="s">
        <v>2</v>
      </c>
      <c r="CM165" s="204" t="s">
        <v>2</v>
      </c>
      <c r="CN165" s="199">
        <v>5</v>
      </c>
      <c r="CO165" s="199" t="s">
        <v>2</v>
      </c>
    </row>
    <row r="166" spans="1:93" s="207" customFormat="1" ht="15" x14ac:dyDescent="0.25">
      <c r="A166" s="220" t="s">
        <v>805</v>
      </c>
      <c r="B166" s="221" t="s">
        <v>197</v>
      </c>
      <c r="C166" s="222" t="s">
        <v>1040</v>
      </c>
      <c r="D166" s="290">
        <v>4</v>
      </c>
      <c r="E166" s="199">
        <v>15</v>
      </c>
      <c r="F166" s="200">
        <v>28</v>
      </c>
      <c r="G166" s="201">
        <v>117.03999999999999</v>
      </c>
      <c r="H166" s="202">
        <v>92</v>
      </c>
      <c r="I166" s="203">
        <v>3.2</v>
      </c>
      <c r="J166" s="223">
        <v>0.24</v>
      </c>
      <c r="K166" s="203">
        <v>3.26</v>
      </c>
      <c r="L166" s="203">
        <v>1</v>
      </c>
      <c r="M166" s="204">
        <v>1.3</v>
      </c>
      <c r="N166" s="200">
        <v>100</v>
      </c>
      <c r="O166" s="200">
        <v>37</v>
      </c>
      <c r="P166" s="203">
        <v>1.4</v>
      </c>
      <c r="Q166" s="203">
        <v>0.35</v>
      </c>
      <c r="R166" s="200">
        <v>37</v>
      </c>
      <c r="S166" s="200">
        <v>331</v>
      </c>
      <c r="T166" s="200">
        <v>15</v>
      </c>
      <c r="U166" s="205">
        <v>0.6</v>
      </c>
      <c r="V166" s="205">
        <v>100</v>
      </c>
      <c r="W166" s="204">
        <v>1</v>
      </c>
      <c r="X166" s="203">
        <v>20</v>
      </c>
      <c r="Y166" s="205">
        <v>0.1</v>
      </c>
      <c r="Z166" s="205">
        <v>0.09</v>
      </c>
      <c r="AA166" s="205">
        <v>0.7</v>
      </c>
      <c r="AB166" s="205">
        <v>6.5000000000000002E-2</v>
      </c>
      <c r="AC166" s="205">
        <v>0.19500000000000001</v>
      </c>
      <c r="AD166" s="200">
        <v>194</v>
      </c>
      <c r="AE166" s="200">
        <v>0</v>
      </c>
      <c r="AF166" s="203">
        <v>1.6</v>
      </c>
      <c r="AG166" s="204">
        <v>0</v>
      </c>
      <c r="AH166" s="200">
        <v>0</v>
      </c>
      <c r="AI166" s="200">
        <v>142</v>
      </c>
      <c r="AJ166" s="203" t="s">
        <v>2</v>
      </c>
      <c r="AK166" s="203">
        <v>2.0299999999999998</v>
      </c>
      <c r="AL166" s="204">
        <v>482.9</v>
      </c>
      <c r="AM166" s="200">
        <v>1701</v>
      </c>
      <c r="AN166" s="200">
        <v>0</v>
      </c>
      <c r="AO166" s="201">
        <v>0</v>
      </c>
      <c r="AP166" s="203">
        <v>6.3E-2</v>
      </c>
      <c r="AQ166" s="205">
        <v>4.9000000000000002E-2</v>
      </c>
      <c r="AR166" s="205">
        <v>0</v>
      </c>
      <c r="AS166" s="205">
        <v>4.0000000000000001E-3</v>
      </c>
      <c r="AT166" s="205">
        <v>0</v>
      </c>
      <c r="AU166" s="205">
        <v>0</v>
      </c>
      <c r="AV166" s="206">
        <v>0</v>
      </c>
      <c r="AW166" s="203">
        <v>0.01</v>
      </c>
      <c r="AX166" s="205">
        <v>5.0000000000000001E-3</v>
      </c>
      <c r="AY166" s="205">
        <v>0.01</v>
      </c>
      <c r="AZ166" s="206">
        <v>5.0000000000000001E-3</v>
      </c>
      <c r="BA166" s="203">
        <v>0.16500000000000001</v>
      </c>
      <c r="BB166" s="205">
        <v>2.5999999999999999E-2</v>
      </c>
      <c r="BC166" s="205">
        <v>0.13800000000000001</v>
      </c>
      <c r="BD166" s="205">
        <v>0</v>
      </c>
      <c r="BE166" s="205">
        <v>0</v>
      </c>
      <c r="BF166" s="206">
        <v>0</v>
      </c>
      <c r="BG166" s="199" t="s">
        <v>2</v>
      </c>
      <c r="BH166" s="199">
        <v>0</v>
      </c>
      <c r="BI166" s="200">
        <v>174</v>
      </c>
      <c r="BJ166" s="200">
        <v>53</v>
      </c>
      <c r="BK166" s="200">
        <v>39</v>
      </c>
      <c r="BL166" s="200">
        <v>129</v>
      </c>
      <c r="BM166" s="200">
        <v>122</v>
      </c>
      <c r="BN166" s="200">
        <v>161</v>
      </c>
      <c r="BO166" s="200">
        <v>223</v>
      </c>
      <c r="BP166" s="200">
        <v>147</v>
      </c>
      <c r="BQ166" s="200">
        <v>162</v>
      </c>
      <c r="BR166" s="200">
        <v>64</v>
      </c>
      <c r="BS166" s="200">
        <v>35</v>
      </c>
      <c r="BT166" s="200">
        <v>108</v>
      </c>
      <c r="BU166" s="200">
        <v>142</v>
      </c>
      <c r="BV166" s="200">
        <v>240</v>
      </c>
      <c r="BW166" s="200">
        <v>343</v>
      </c>
      <c r="BX166" s="200">
        <v>134</v>
      </c>
      <c r="BY166" s="200">
        <v>112</v>
      </c>
      <c r="BZ166" s="201">
        <v>104</v>
      </c>
      <c r="CA166" s="203">
        <v>0.42</v>
      </c>
      <c r="CB166" s="203">
        <v>0.1</v>
      </c>
      <c r="CC166" s="203">
        <v>0</v>
      </c>
      <c r="CD166" s="203">
        <v>0</v>
      </c>
      <c r="CE166" s="203">
        <v>0.15</v>
      </c>
      <c r="CF166" s="203">
        <v>0.11</v>
      </c>
      <c r="CG166" s="204">
        <v>7.0000000000000007E-2</v>
      </c>
      <c r="CH166" s="200">
        <v>0</v>
      </c>
      <c r="CI166" s="201">
        <v>868</v>
      </c>
      <c r="CJ166" s="203" t="s">
        <v>2</v>
      </c>
      <c r="CK166" s="203" t="s">
        <v>2</v>
      </c>
      <c r="CL166" s="203" t="s">
        <v>2</v>
      </c>
      <c r="CM166" s="204" t="s">
        <v>2</v>
      </c>
      <c r="CN166" s="199">
        <v>9</v>
      </c>
      <c r="CO166" s="199">
        <v>57</v>
      </c>
    </row>
    <row r="167" spans="1:93" s="207" customFormat="1" ht="15" x14ac:dyDescent="0.25">
      <c r="A167" s="220" t="s">
        <v>806</v>
      </c>
      <c r="B167" s="221" t="s">
        <v>198</v>
      </c>
      <c r="C167" s="222" t="s">
        <v>987</v>
      </c>
      <c r="D167" s="290">
        <v>4</v>
      </c>
      <c r="E167" s="199">
        <v>0</v>
      </c>
      <c r="F167" s="200">
        <v>293</v>
      </c>
      <c r="G167" s="201">
        <v>1224.74</v>
      </c>
      <c r="H167" s="202">
        <v>14</v>
      </c>
      <c r="I167" s="203">
        <v>34.200000000000003</v>
      </c>
      <c r="J167" s="203">
        <v>1.8</v>
      </c>
      <c r="K167" s="203">
        <v>35</v>
      </c>
      <c r="L167" s="203">
        <v>12</v>
      </c>
      <c r="M167" s="204">
        <v>15</v>
      </c>
      <c r="N167" s="200">
        <v>880</v>
      </c>
      <c r="O167" s="200">
        <v>300</v>
      </c>
      <c r="P167" s="203">
        <v>15.2</v>
      </c>
      <c r="Q167" s="203" t="s">
        <v>2</v>
      </c>
      <c r="R167" s="200" t="s">
        <v>2</v>
      </c>
      <c r="S167" s="200" t="s">
        <v>2</v>
      </c>
      <c r="T167" s="200" t="s">
        <v>2</v>
      </c>
      <c r="U167" s="205" t="s">
        <v>2</v>
      </c>
      <c r="V167" s="205" t="s">
        <v>2</v>
      </c>
      <c r="W167" s="204" t="s">
        <v>2</v>
      </c>
      <c r="X167" s="203">
        <v>10</v>
      </c>
      <c r="Y167" s="205" t="s">
        <v>2</v>
      </c>
      <c r="Z167" s="205" t="s">
        <v>2</v>
      </c>
      <c r="AA167" s="205" t="s">
        <v>2</v>
      </c>
      <c r="AB167" s="205" t="s">
        <v>2</v>
      </c>
      <c r="AC167" s="205" t="s">
        <v>2</v>
      </c>
      <c r="AD167" s="200" t="s">
        <v>2</v>
      </c>
      <c r="AE167" s="200" t="s">
        <v>2</v>
      </c>
      <c r="AF167" s="203" t="s">
        <v>2</v>
      </c>
      <c r="AG167" s="204" t="s">
        <v>2</v>
      </c>
      <c r="AH167" s="200">
        <v>0</v>
      </c>
      <c r="AI167" s="200">
        <v>1083</v>
      </c>
      <c r="AJ167" s="203" t="s">
        <v>2</v>
      </c>
      <c r="AK167" s="203" t="s">
        <v>2</v>
      </c>
      <c r="AL167" s="204" t="s">
        <v>2</v>
      </c>
      <c r="AM167" s="200">
        <v>12996</v>
      </c>
      <c r="AN167" s="200" t="s">
        <v>2</v>
      </c>
      <c r="AO167" s="201" t="s">
        <v>2</v>
      </c>
      <c r="AP167" s="203" t="s">
        <v>2</v>
      </c>
      <c r="AQ167" s="205" t="s">
        <v>2</v>
      </c>
      <c r="AR167" s="205" t="s">
        <v>2</v>
      </c>
      <c r="AS167" s="205" t="s">
        <v>2</v>
      </c>
      <c r="AT167" s="205" t="s">
        <v>2</v>
      </c>
      <c r="AU167" s="205" t="s">
        <v>2</v>
      </c>
      <c r="AV167" s="206" t="s">
        <v>2</v>
      </c>
      <c r="AW167" s="203" t="s">
        <v>2</v>
      </c>
      <c r="AX167" s="205" t="s">
        <v>2</v>
      </c>
      <c r="AY167" s="205" t="s">
        <v>2</v>
      </c>
      <c r="AZ167" s="206" t="s">
        <v>2</v>
      </c>
      <c r="BA167" s="203" t="s">
        <v>2</v>
      </c>
      <c r="BB167" s="205" t="s">
        <v>2</v>
      </c>
      <c r="BC167" s="205" t="s">
        <v>2</v>
      </c>
      <c r="BD167" s="205" t="s">
        <v>2</v>
      </c>
      <c r="BE167" s="205" t="s">
        <v>2</v>
      </c>
      <c r="BF167" s="206" t="s">
        <v>2</v>
      </c>
      <c r="BG167" s="199" t="s">
        <v>2</v>
      </c>
      <c r="BH167" s="199">
        <v>0</v>
      </c>
      <c r="BI167" s="200" t="s">
        <v>2</v>
      </c>
      <c r="BJ167" s="200" t="s">
        <v>2</v>
      </c>
      <c r="BK167" s="200" t="s">
        <v>2</v>
      </c>
      <c r="BL167" s="200" t="s">
        <v>2</v>
      </c>
      <c r="BM167" s="200" t="s">
        <v>2</v>
      </c>
      <c r="BN167" s="200" t="s">
        <v>2</v>
      </c>
      <c r="BO167" s="200" t="s">
        <v>2</v>
      </c>
      <c r="BP167" s="200" t="s">
        <v>2</v>
      </c>
      <c r="BQ167" s="200" t="s">
        <v>2</v>
      </c>
      <c r="BR167" s="200" t="s">
        <v>2</v>
      </c>
      <c r="BS167" s="200" t="s">
        <v>2</v>
      </c>
      <c r="BT167" s="200" t="s">
        <v>2</v>
      </c>
      <c r="BU167" s="200" t="s">
        <v>2</v>
      </c>
      <c r="BV167" s="200" t="s">
        <v>2</v>
      </c>
      <c r="BW167" s="200" t="s">
        <v>2</v>
      </c>
      <c r="BX167" s="200" t="s">
        <v>2</v>
      </c>
      <c r="BY167" s="200" t="s">
        <v>2</v>
      </c>
      <c r="BZ167" s="201" t="s">
        <v>2</v>
      </c>
      <c r="CA167" s="203" t="s">
        <v>2</v>
      </c>
      <c r="CB167" s="203" t="s">
        <v>2</v>
      </c>
      <c r="CC167" s="203" t="s">
        <v>2</v>
      </c>
      <c r="CD167" s="203" t="s">
        <v>2</v>
      </c>
      <c r="CE167" s="203" t="s">
        <v>2</v>
      </c>
      <c r="CF167" s="203" t="s">
        <v>2</v>
      </c>
      <c r="CG167" s="204" t="s">
        <v>2</v>
      </c>
      <c r="CH167" s="200" t="s">
        <v>2</v>
      </c>
      <c r="CI167" s="201" t="s">
        <v>2</v>
      </c>
      <c r="CJ167" s="203" t="s">
        <v>2</v>
      </c>
      <c r="CK167" s="203" t="s">
        <v>2</v>
      </c>
      <c r="CL167" s="203" t="s">
        <v>2</v>
      </c>
      <c r="CM167" s="204" t="s">
        <v>2</v>
      </c>
      <c r="CN167" s="199" t="s">
        <v>2</v>
      </c>
      <c r="CO167" s="199" t="s">
        <v>2</v>
      </c>
    </row>
    <row r="168" spans="1:93" s="207" customFormat="1" ht="15" x14ac:dyDescent="0.25">
      <c r="A168" s="220" t="s">
        <v>807</v>
      </c>
      <c r="B168" s="221" t="s">
        <v>199</v>
      </c>
      <c r="C168" s="222" t="s">
        <v>988</v>
      </c>
      <c r="D168" s="290">
        <v>4</v>
      </c>
      <c r="E168" s="199">
        <v>29</v>
      </c>
      <c r="F168" s="200">
        <v>24</v>
      </c>
      <c r="G168" s="201">
        <v>100.32</v>
      </c>
      <c r="H168" s="202">
        <v>93.3</v>
      </c>
      <c r="I168" s="203">
        <v>1.5</v>
      </c>
      <c r="J168" s="203" t="s">
        <v>2</v>
      </c>
      <c r="K168" s="203">
        <v>4.4000000000000004</v>
      </c>
      <c r="L168" s="203">
        <v>2.1</v>
      </c>
      <c r="M168" s="204">
        <v>0.8</v>
      </c>
      <c r="N168" s="200">
        <v>84</v>
      </c>
      <c r="O168" s="200">
        <v>18</v>
      </c>
      <c r="P168" s="203">
        <v>2.2000000000000002</v>
      </c>
      <c r="Q168" s="203">
        <v>1.48</v>
      </c>
      <c r="R168" s="200">
        <v>5</v>
      </c>
      <c r="S168" s="200">
        <v>222</v>
      </c>
      <c r="T168" s="200" t="s">
        <v>2</v>
      </c>
      <c r="U168" s="205">
        <v>1.49</v>
      </c>
      <c r="V168" s="205">
        <v>480</v>
      </c>
      <c r="W168" s="204" t="s">
        <v>2</v>
      </c>
      <c r="X168" s="203">
        <v>78</v>
      </c>
      <c r="Y168" s="205">
        <v>0.11</v>
      </c>
      <c r="Z168" s="205">
        <v>0.15</v>
      </c>
      <c r="AA168" s="205">
        <v>1.3</v>
      </c>
      <c r="AB168" s="205" t="s">
        <v>2</v>
      </c>
      <c r="AC168" s="205" t="s">
        <v>2</v>
      </c>
      <c r="AD168" s="200" t="s">
        <v>2</v>
      </c>
      <c r="AE168" s="200" t="s">
        <v>2</v>
      </c>
      <c r="AF168" s="203" t="s">
        <v>2</v>
      </c>
      <c r="AG168" s="204" t="s">
        <v>2</v>
      </c>
      <c r="AH168" s="200">
        <v>0</v>
      </c>
      <c r="AI168" s="200">
        <v>194</v>
      </c>
      <c r="AJ168" s="203" t="s">
        <v>2</v>
      </c>
      <c r="AK168" s="203" t="s">
        <v>2</v>
      </c>
      <c r="AL168" s="204" t="s">
        <v>2</v>
      </c>
      <c r="AM168" s="200">
        <v>2325</v>
      </c>
      <c r="AN168" s="200" t="s">
        <v>2</v>
      </c>
      <c r="AO168" s="201" t="s">
        <v>2</v>
      </c>
      <c r="AP168" s="203" t="s">
        <v>2</v>
      </c>
      <c r="AQ168" s="205" t="s">
        <v>2</v>
      </c>
      <c r="AR168" s="205" t="s">
        <v>2</v>
      </c>
      <c r="AS168" s="205" t="s">
        <v>2</v>
      </c>
      <c r="AT168" s="205" t="s">
        <v>2</v>
      </c>
      <c r="AU168" s="205" t="s">
        <v>2</v>
      </c>
      <c r="AV168" s="206" t="s">
        <v>2</v>
      </c>
      <c r="AW168" s="203" t="s">
        <v>2</v>
      </c>
      <c r="AX168" s="205" t="s">
        <v>2</v>
      </c>
      <c r="AY168" s="205" t="s">
        <v>2</v>
      </c>
      <c r="AZ168" s="206" t="s">
        <v>2</v>
      </c>
      <c r="BA168" s="203" t="s">
        <v>2</v>
      </c>
      <c r="BB168" s="205" t="s">
        <v>2</v>
      </c>
      <c r="BC168" s="205" t="s">
        <v>2</v>
      </c>
      <c r="BD168" s="205" t="s">
        <v>2</v>
      </c>
      <c r="BE168" s="205" t="s">
        <v>2</v>
      </c>
      <c r="BF168" s="206" t="s">
        <v>2</v>
      </c>
      <c r="BG168" s="199" t="s">
        <v>2</v>
      </c>
      <c r="BH168" s="199">
        <v>0</v>
      </c>
      <c r="BI168" s="200" t="s">
        <v>2</v>
      </c>
      <c r="BJ168" s="200" t="s">
        <v>2</v>
      </c>
      <c r="BK168" s="200" t="s">
        <v>2</v>
      </c>
      <c r="BL168" s="200" t="s">
        <v>2</v>
      </c>
      <c r="BM168" s="200" t="s">
        <v>2</v>
      </c>
      <c r="BN168" s="200" t="s">
        <v>2</v>
      </c>
      <c r="BO168" s="200" t="s">
        <v>2</v>
      </c>
      <c r="BP168" s="200" t="s">
        <v>2</v>
      </c>
      <c r="BQ168" s="200" t="s">
        <v>2</v>
      </c>
      <c r="BR168" s="200" t="s">
        <v>2</v>
      </c>
      <c r="BS168" s="200" t="s">
        <v>2</v>
      </c>
      <c r="BT168" s="200" t="s">
        <v>2</v>
      </c>
      <c r="BU168" s="200" t="s">
        <v>2</v>
      </c>
      <c r="BV168" s="200" t="s">
        <v>2</v>
      </c>
      <c r="BW168" s="200" t="s">
        <v>2</v>
      </c>
      <c r="BX168" s="200" t="s">
        <v>2</v>
      </c>
      <c r="BY168" s="200" t="s">
        <v>2</v>
      </c>
      <c r="BZ168" s="201" t="s">
        <v>2</v>
      </c>
      <c r="CA168" s="203" t="s">
        <v>2</v>
      </c>
      <c r="CB168" s="203" t="s">
        <v>2</v>
      </c>
      <c r="CC168" s="203" t="s">
        <v>2</v>
      </c>
      <c r="CD168" s="203" t="s">
        <v>2</v>
      </c>
      <c r="CE168" s="203" t="s">
        <v>2</v>
      </c>
      <c r="CF168" s="203" t="s">
        <v>2</v>
      </c>
      <c r="CG168" s="204" t="s">
        <v>2</v>
      </c>
      <c r="CH168" s="200" t="s">
        <v>2</v>
      </c>
      <c r="CI168" s="201" t="s">
        <v>2</v>
      </c>
      <c r="CJ168" s="203" t="s">
        <v>2</v>
      </c>
      <c r="CK168" s="203" t="s">
        <v>2</v>
      </c>
      <c r="CL168" s="203" t="s">
        <v>2</v>
      </c>
      <c r="CM168" s="204" t="s">
        <v>2</v>
      </c>
      <c r="CN168" s="199" t="s">
        <v>2</v>
      </c>
      <c r="CO168" s="199" t="s">
        <v>2</v>
      </c>
    </row>
    <row r="169" spans="1:93" s="207" customFormat="1" ht="15" x14ac:dyDescent="0.25">
      <c r="A169" s="220" t="s">
        <v>808</v>
      </c>
      <c r="B169" s="221" t="s">
        <v>200</v>
      </c>
      <c r="C169" s="222" t="s">
        <v>989</v>
      </c>
      <c r="D169" s="290">
        <v>4</v>
      </c>
      <c r="E169" s="199">
        <v>23</v>
      </c>
      <c r="F169" s="200">
        <v>45</v>
      </c>
      <c r="G169" s="201">
        <v>188.1</v>
      </c>
      <c r="H169" s="202">
        <v>86.4</v>
      </c>
      <c r="I169" s="203">
        <v>5.3</v>
      </c>
      <c r="J169" s="203" t="s">
        <v>2</v>
      </c>
      <c r="K169" s="203">
        <v>5.9</v>
      </c>
      <c r="L169" s="203">
        <v>2.5</v>
      </c>
      <c r="M169" s="204">
        <v>2.4</v>
      </c>
      <c r="N169" s="200">
        <v>169</v>
      </c>
      <c r="O169" s="200">
        <v>65</v>
      </c>
      <c r="P169" s="203">
        <v>2.7</v>
      </c>
      <c r="Q169" s="203">
        <v>0.94</v>
      </c>
      <c r="R169" s="200">
        <v>25</v>
      </c>
      <c r="S169" s="200">
        <v>457</v>
      </c>
      <c r="T169" s="200">
        <v>123</v>
      </c>
      <c r="U169" s="205">
        <v>2.4</v>
      </c>
      <c r="V169" s="205">
        <v>190</v>
      </c>
      <c r="W169" s="204" t="s">
        <v>2</v>
      </c>
      <c r="X169" s="203">
        <v>53</v>
      </c>
      <c r="Y169" s="205">
        <v>7.0000000000000007E-2</v>
      </c>
      <c r="Z169" s="205">
        <v>0.39</v>
      </c>
      <c r="AA169" s="205">
        <v>2.2000000000000002</v>
      </c>
      <c r="AB169" s="205" t="s">
        <v>2</v>
      </c>
      <c r="AC169" s="205" t="s">
        <v>2</v>
      </c>
      <c r="AD169" s="200" t="s">
        <v>2</v>
      </c>
      <c r="AE169" s="200" t="s">
        <v>2</v>
      </c>
      <c r="AF169" s="203" t="s">
        <v>2</v>
      </c>
      <c r="AG169" s="204" t="s">
        <v>2</v>
      </c>
      <c r="AH169" s="200">
        <v>0</v>
      </c>
      <c r="AI169" s="200">
        <v>591</v>
      </c>
      <c r="AJ169" s="203" t="s">
        <v>2</v>
      </c>
      <c r="AK169" s="203" t="s">
        <v>2</v>
      </c>
      <c r="AL169" s="204" t="s">
        <v>2</v>
      </c>
      <c r="AM169" s="200">
        <v>6810</v>
      </c>
      <c r="AN169" s="200">
        <v>573</v>
      </c>
      <c r="AO169" s="201" t="s">
        <v>2</v>
      </c>
      <c r="AP169" s="203" t="s">
        <v>2</v>
      </c>
      <c r="AQ169" s="205" t="s">
        <v>2</v>
      </c>
      <c r="AR169" s="205" t="s">
        <v>2</v>
      </c>
      <c r="AS169" s="205" t="s">
        <v>2</v>
      </c>
      <c r="AT169" s="205" t="s">
        <v>2</v>
      </c>
      <c r="AU169" s="205" t="s">
        <v>2</v>
      </c>
      <c r="AV169" s="206" t="s">
        <v>2</v>
      </c>
      <c r="AW169" s="203" t="s">
        <v>2</v>
      </c>
      <c r="AX169" s="205" t="s">
        <v>2</v>
      </c>
      <c r="AY169" s="205" t="s">
        <v>2</v>
      </c>
      <c r="AZ169" s="206" t="s">
        <v>2</v>
      </c>
      <c r="BA169" s="203" t="s">
        <v>2</v>
      </c>
      <c r="BB169" s="205" t="s">
        <v>2</v>
      </c>
      <c r="BC169" s="205" t="s">
        <v>2</v>
      </c>
      <c r="BD169" s="205" t="s">
        <v>2</v>
      </c>
      <c r="BE169" s="205" t="s">
        <v>2</v>
      </c>
      <c r="BF169" s="206" t="s">
        <v>2</v>
      </c>
      <c r="BG169" s="199" t="s">
        <v>2</v>
      </c>
      <c r="BH169" s="199">
        <v>0</v>
      </c>
      <c r="BI169" s="200" t="s">
        <v>2</v>
      </c>
      <c r="BJ169" s="200" t="s">
        <v>2</v>
      </c>
      <c r="BK169" s="200" t="s">
        <v>2</v>
      </c>
      <c r="BL169" s="200" t="s">
        <v>2</v>
      </c>
      <c r="BM169" s="200" t="s">
        <v>2</v>
      </c>
      <c r="BN169" s="200" t="s">
        <v>2</v>
      </c>
      <c r="BO169" s="200" t="s">
        <v>2</v>
      </c>
      <c r="BP169" s="200" t="s">
        <v>2</v>
      </c>
      <c r="BQ169" s="200" t="s">
        <v>2</v>
      </c>
      <c r="BR169" s="200" t="s">
        <v>2</v>
      </c>
      <c r="BS169" s="200" t="s">
        <v>2</v>
      </c>
      <c r="BT169" s="200" t="s">
        <v>2</v>
      </c>
      <c r="BU169" s="200" t="s">
        <v>2</v>
      </c>
      <c r="BV169" s="200" t="s">
        <v>2</v>
      </c>
      <c r="BW169" s="200" t="s">
        <v>2</v>
      </c>
      <c r="BX169" s="200" t="s">
        <v>2</v>
      </c>
      <c r="BY169" s="200" t="s">
        <v>2</v>
      </c>
      <c r="BZ169" s="201" t="s">
        <v>2</v>
      </c>
      <c r="CA169" s="203" t="s">
        <v>2</v>
      </c>
      <c r="CB169" s="203" t="s">
        <v>2</v>
      </c>
      <c r="CC169" s="203" t="s">
        <v>2</v>
      </c>
      <c r="CD169" s="203" t="s">
        <v>2</v>
      </c>
      <c r="CE169" s="203" t="s">
        <v>2</v>
      </c>
      <c r="CF169" s="203" t="s">
        <v>2</v>
      </c>
      <c r="CG169" s="204" t="s">
        <v>2</v>
      </c>
      <c r="CH169" s="200" t="s">
        <v>2</v>
      </c>
      <c r="CI169" s="201">
        <v>5419</v>
      </c>
      <c r="CJ169" s="203" t="s">
        <v>2</v>
      </c>
      <c r="CK169" s="203" t="s">
        <v>2</v>
      </c>
      <c r="CL169" s="203" t="s">
        <v>2</v>
      </c>
      <c r="CM169" s="204" t="s">
        <v>2</v>
      </c>
      <c r="CN169" s="199" t="s">
        <v>2</v>
      </c>
      <c r="CO169" s="199" t="s">
        <v>2</v>
      </c>
    </row>
    <row r="170" spans="1:93" s="207" customFormat="1" ht="15" x14ac:dyDescent="0.25">
      <c r="A170" s="220" t="s">
        <v>809</v>
      </c>
      <c r="B170" s="221" t="s">
        <v>201</v>
      </c>
      <c r="C170" s="222" t="s">
        <v>990</v>
      </c>
      <c r="D170" s="290">
        <v>4</v>
      </c>
      <c r="E170" s="199">
        <v>0</v>
      </c>
      <c r="F170" s="200">
        <v>299</v>
      </c>
      <c r="G170" s="201">
        <v>1249.82</v>
      </c>
      <c r="H170" s="202">
        <v>14</v>
      </c>
      <c r="I170" s="203">
        <v>32.200000000000003</v>
      </c>
      <c r="J170" s="203">
        <v>2.6</v>
      </c>
      <c r="K170" s="203">
        <v>36.799999999999997</v>
      </c>
      <c r="L170" s="203">
        <v>15</v>
      </c>
      <c r="M170" s="204">
        <v>14.4</v>
      </c>
      <c r="N170" s="200" t="s">
        <v>2</v>
      </c>
      <c r="O170" s="200" t="s">
        <v>2</v>
      </c>
      <c r="P170" s="203" t="s">
        <v>2</v>
      </c>
      <c r="Q170" s="203" t="s">
        <v>2</v>
      </c>
      <c r="R170" s="200" t="s">
        <v>2</v>
      </c>
      <c r="S170" s="200" t="s">
        <v>2</v>
      </c>
      <c r="T170" s="200" t="s">
        <v>2</v>
      </c>
      <c r="U170" s="205" t="s">
        <v>2</v>
      </c>
      <c r="V170" s="205" t="s">
        <v>2</v>
      </c>
      <c r="W170" s="204" t="s">
        <v>2</v>
      </c>
      <c r="X170" s="203" t="s">
        <v>2</v>
      </c>
      <c r="Y170" s="205" t="s">
        <v>2</v>
      </c>
      <c r="Z170" s="205" t="s">
        <v>2</v>
      </c>
      <c r="AA170" s="205" t="s">
        <v>2</v>
      </c>
      <c r="AB170" s="205" t="s">
        <v>2</v>
      </c>
      <c r="AC170" s="205" t="s">
        <v>2</v>
      </c>
      <c r="AD170" s="200" t="s">
        <v>2</v>
      </c>
      <c r="AE170" s="200" t="s">
        <v>2</v>
      </c>
      <c r="AF170" s="203" t="s">
        <v>2</v>
      </c>
      <c r="AG170" s="204" t="s">
        <v>2</v>
      </c>
      <c r="AH170" s="200">
        <v>0</v>
      </c>
      <c r="AI170" s="200">
        <v>130</v>
      </c>
      <c r="AJ170" s="203" t="s">
        <v>2</v>
      </c>
      <c r="AK170" s="203" t="s">
        <v>2</v>
      </c>
      <c r="AL170" s="204" t="s">
        <v>2</v>
      </c>
      <c r="AM170" s="200">
        <v>1560</v>
      </c>
      <c r="AN170" s="200" t="s">
        <v>2</v>
      </c>
      <c r="AO170" s="201" t="s">
        <v>2</v>
      </c>
      <c r="AP170" s="203" t="s">
        <v>2</v>
      </c>
      <c r="AQ170" s="205" t="s">
        <v>2</v>
      </c>
      <c r="AR170" s="205" t="s">
        <v>2</v>
      </c>
      <c r="AS170" s="205" t="s">
        <v>2</v>
      </c>
      <c r="AT170" s="205" t="s">
        <v>2</v>
      </c>
      <c r="AU170" s="205" t="s">
        <v>2</v>
      </c>
      <c r="AV170" s="206" t="s">
        <v>2</v>
      </c>
      <c r="AW170" s="203" t="s">
        <v>2</v>
      </c>
      <c r="AX170" s="205" t="s">
        <v>2</v>
      </c>
      <c r="AY170" s="205" t="s">
        <v>2</v>
      </c>
      <c r="AZ170" s="206" t="s">
        <v>2</v>
      </c>
      <c r="BA170" s="203" t="s">
        <v>2</v>
      </c>
      <c r="BB170" s="205" t="s">
        <v>2</v>
      </c>
      <c r="BC170" s="205" t="s">
        <v>2</v>
      </c>
      <c r="BD170" s="205" t="s">
        <v>2</v>
      </c>
      <c r="BE170" s="205" t="s">
        <v>2</v>
      </c>
      <c r="BF170" s="206" t="s">
        <v>2</v>
      </c>
      <c r="BG170" s="199" t="s">
        <v>2</v>
      </c>
      <c r="BH170" s="199">
        <v>0</v>
      </c>
      <c r="BI170" s="200" t="s">
        <v>2</v>
      </c>
      <c r="BJ170" s="200" t="s">
        <v>2</v>
      </c>
      <c r="BK170" s="200" t="s">
        <v>2</v>
      </c>
      <c r="BL170" s="200" t="s">
        <v>2</v>
      </c>
      <c r="BM170" s="200" t="s">
        <v>2</v>
      </c>
      <c r="BN170" s="200" t="s">
        <v>2</v>
      </c>
      <c r="BO170" s="200" t="s">
        <v>2</v>
      </c>
      <c r="BP170" s="200" t="s">
        <v>2</v>
      </c>
      <c r="BQ170" s="200" t="s">
        <v>2</v>
      </c>
      <c r="BR170" s="200" t="s">
        <v>2</v>
      </c>
      <c r="BS170" s="200" t="s">
        <v>2</v>
      </c>
      <c r="BT170" s="200" t="s">
        <v>2</v>
      </c>
      <c r="BU170" s="200" t="s">
        <v>2</v>
      </c>
      <c r="BV170" s="200" t="s">
        <v>2</v>
      </c>
      <c r="BW170" s="200" t="s">
        <v>2</v>
      </c>
      <c r="BX170" s="200" t="s">
        <v>2</v>
      </c>
      <c r="BY170" s="200" t="s">
        <v>2</v>
      </c>
      <c r="BZ170" s="201" t="s">
        <v>2</v>
      </c>
      <c r="CA170" s="203" t="s">
        <v>2</v>
      </c>
      <c r="CB170" s="203" t="s">
        <v>2</v>
      </c>
      <c r="CC170" s="203" t="s">
        <v>2</v>
      </c>
      <c r="CD170" s="203" t="s">
        <v>2</v>
      </c>
      <c r="CE170" s="203" t="s">
        <v>2</v>
      </c>
      <c r="CF170" s="203" t="s">
        <v>2</v>
      </c>
      <c r="CG170" s="204" t="s">
        <v>2</v>
      </c>
      <c r="CH170" s="200" t="s">
        <v>2</v>
      </c>
      <c r="CI170" s="201" t="s">
        <v>2</v>
      </c>
      <c r="CJ170" s="203" t="s">
        <v>2</v>
      </c>
      <c r="CK170" s="203" t="s">
        <v>2</v>
      </c>
      <c r="CL170" s="203" t="s">
        <v>2</v>
      </c>
      <c r="CM170" s="204" t="s">
        <v>2</v>
      </c>
      <c r="CN170" s="199" t="s">
        <v>2</v>
      </c>
      <c r="CO170" s="199" t="s">
        <v>2</v>
      </c>
    </row>
    <row r="171" spans="1:93" s="207" customFormat="1" ht="15" x14ac:dyDescent="0.25">
      <c r="A171" s="220" t="s">
        <v>810</v>
      </c>
      <c r="B171" s="221" t="s">
        <v>202</v>
      </c>
      <c r="C171" s="222" t="s">
        <v>1041</v>
      </c>
      <c r="D171" s="290">
        <v>4</v>
      </c>
      <c r="E171" s="199">
        <v>25</v>
      </c>
      <c r="F171" s="200">
        <v>45</v>
      </c>
      <c r="G171" s="201">
        <v>188.1</v>
      </c>
      <c r="H171" s="202">
        <v>86.7</v>
      </c>
      <c r="I171" s="203">
        <v>4.7</v>
      </c>
      <c r="J171" s="203" t="s">
        <v>2</v>
      </c>
      <c r="K171" s="203">
        <v>6.6</v>
      </c>
      <c r="L171" s="203">
        <v>3.8</v>
      </c>
      <c r="M171" s="204">
        <v>2</v>
      </c>
      <c r="N171" s="200">
        <v>316</v>
      </c>
      <c r="O171" s="200">
        <v>55</v>
      </c>
      <c r="P171" s="203">
        <v>2.2000000000000002</v>
      </c>
      <c r="Q171" s="203">
        <v>1.05</v>
      </c>
      <c r="R171" s="200">
        <v>5</v>
      </c>
      <c r="S171" s="200">
        <v>216</v>
      </c>
      <c r="T171" s="200">
        <v>28</v>
      </c>
      <c r="U171" s="205">
        <v>3.63</v>
      </c>
      <c r="V171" s="205">
        <v>390</v>
      </c>
      <c r="W171" s="204" t="s">
        <v>2</v>
      </c>
      <c r="X171" s="203">
        <v>57</v>
      </c>
      <c r="Y171" s="205" t="s">
        <v>2</v>
      </c>
      <c r="Z171" s="205" t="s">
        <v>2</v>
      </c>
      <c r="AA171" s="205" t="s">
        <v>2</v>
      </c>
      <c r="AB171" s="205" t="s">
        <v>2</v>
      </c>
      <c r="AC171" s="205" t="s">
        <v>2</v>
      </c>
      <c r="AD171" s="200" t="s">
        <v>2</v>
      </c>
      <c r="AE171" s="200" t="s">
        <v>2</v>
      </c>
      <c r="AF171" s="203" t="s">
        <v>2</v>
      </c>
      <c r="AG171" s="204" t="s">
        <v>2</v>
      </c>
      <c r="AH171" s="200">
        <v>0</v>
      </c>
      <c r="AI171" s="200">
        <v>0</v>
      </c>
      <c r="AJ171" s="203" t="s">
        <v>2</v>
      </c>
      <c r="AK171" s="203" t="s">
        <v>2</v>
      </c>
      <c r="AL171" s="204" t="s">
        <v>2</v>
      </c>
      <c r="AM171" s="200" t="s">
        <v>2</v>
      </c>
      <c r="AN171" s="200" t="s">
        <v>2</v>
      </c>
      <c r="AO171" s="201" t="s">
        <v>2</v>
      </c>
      <c r="AP171" s="203" t="s">
        <v>2</v>
      </c>
      <c r="AQ171" s="205" t="s">
        <v>2</v>
      </c>
      <c r="AR171" s="205" t="s">
        <v>2</v>
      </c>
      <c r="AS171" s="205" t="s">
        <v>2</v>
      </c>
      <c r="AT171" s="205" t="s">
        <v>2</v>
      </c>
      <c r="AU171" s="205" t="s">
        <v>2</v>
      </c>
      <c r="AV171" s="206" t="s">
        <v>2</v>
      </c>
      <c r="AW171" s="203" t="s">
        <v>2</v>
      </c>
      <c r="AX171" s="205" t="s">
        <v>2</v>
      </c>
      <c r="AY171" s="205" t="s">
        <v>2</v>
      </c>
      <c r="AZ171" s="206" t="s">
        <v>2</v>
      </c>
      <c r="BA171" s="203" t="s">
        <v>2</v>
      </c>
      <c r="BB171" s="205" t="s">
        <v>2</v>
      </c>
      <c r="BC171" s="205" t="s">
        <v>2</v>
      </c>
      <c r="BD171" s="205" t="s">
        <v>2</v>
      </c>
      <c r="BE171" s="205" t="s">
        <v>2</v>
      </c>
      <c r="BF171" s="206" t="s">
        <v>2</v>
      </c>
      <c r="BG171" s="199" t="s">
        <v>2</v>
      </c>
      <c r="BH171" s="199">
        <v>0</v>
      </c>
      <c r="BI171" s="200" t="s">
        <v>2</v>
      </c>
      <c r="BJ171" s="200" t="s">
        <v>2</v>
      </c>
      <c r="BK171" s="200" t="s">
        <v>2</v>
      </c>
      <c r="BL171" s="200" t="s">
        <v>2</v>
      </c>
      <c r="BM171" s="200" t="s">
        <v>2</v>
      </c>
      <c r="BN171" s="200" t="s">
        <v>2</v>
      </c>
      <c r="BO171" s="200" t="s">
        <v>2</v>
      </c>
      <c r="BP171" s="200" t="s">
        <v>2</v>
      </c>
      <c r="BQ171" s="200" t="s">
        <v>2</v>
      </c>
      <c r="BR171" s="200" t="s">
        <v>2</v>
      </c>
      <c r="BS171" s="200" t="s">
        <v>2</v>
      </c>
      <c r="BT171" s="200" t="s">
        <v>2</v>
      </c>
      <c r="BU171" s="200" t="s">
        <v>2</v>
      </c>
      <c r="BV171" s="200" t="s">
        <v>2</v>
      </c>
      <c r="BW171" s="200" t="s">
        <v>2</v>
      </c>
      <c r="BX171" s="200" t="s">
        <v>2</v>
      </c>
      <c r="BY171" s="200" t="s">
        <v>2</v>
      </c>
      <c r="BZ171" s="201" t="s">
        <v>2</v>
      </c>
      <c r="CA171" s="203" t="s">
        <v>2</v>
      </c>
      <c r="CB171" s="203" t="s">
        <v>2</v>
      </c>
      <c r="CC171" s="203" t="s">
        <v>2</v>
      </c>
      <c r="CD171" s="203" t="s">
        <v>2</v>
      </c>
      <c r="CE171" s="203" t="s">
        <v>2</v>
      </c>
      <c r="CF171" s="203" t="s">
        <v>2</v>
      </c>
      <c r="CG171" s="204" t="s">
        <v>2</v>
      </c>
      <c r="CH171" s="200" t="s">
        <v>2</v>
      </c>
      <c r="CI171" s="201" t="s">
        <v>2</v>
      </c>
      <c r="CJ171" s="203" t="s">
        <v>2</v>
      </c>
      <c r="CK171" s="203" t="s">
        <v>2</v>
      </c>
      <c r="CL171" s="203" t="s">
        <v>2</v>
      </c>
      <c r="CM171" s="204" t="s">
        <v>2</v>
      </c>
      <c r="CN171" s="199" t="s">
        <v>2</v>
      </c>
      <c r="CO171" s="199" t="s">
        <v>2</v>
      </c>
    </row>
    <row r="172" spans="1:93" s="207" customFormat="1" ht="15" x14ac:dyDescent="0.25">
      <c r="A172" s="220" t="s">
        <v>811</v>
      </c>
      <c r="B172" s="221" t="s">
        <v>203</v>
      </c>
      <c r="C172" s="222" t="s">
        <v>991</v>
      </c>
      <c r="D172" s="290">
        <v>4</v>
      </c>
      <c r="E172" s="199">
        <v>55</v>
      </c>
      <c r="F172" s="200">
        <v>35</v>
      </c>
      <c r="G172" s="201">
        <v>146.29999999999998</v>
      </c>
      <c r="H172" s="202">
        <v>90.4</v>
      </c>
      <c r="I172" s="203">
        <v>5.0999999999999996</v>
      </c>
      <c r="J172" s="203" t="s">
        <v>2</v>
      </c>
      <c r="K172" s="203">
        <v>3.7</v>
      </c>
      <c r="L172" s="203">
        <v>1.9</v>
      </c>
      <c r="M172" s="204">
        <v>0.8</v>
      </c>
      <c r="N172" s="200">
        <v>180</v>
      </c>
      <c r="O172" s="200">
        <v>59</v>
      </c>
      <c r="P172" s="203" t="s">
        <v>2</v>
      </c>
      <c r="Q172" s="203" t="s">
        <v>2</v>
      </c>
      <c r="R172" s="200" t="s">
        <v>2</v>
      </c>
      <c r="S172" s="200" t="s">
        <v>2</v>
      </c>
      <c r="T172" s="200" t="s">
        <v>2</v>
      </c>
      <c r="U172" s="205" t="s">
        <v>2</v>
      </c>
      <c r="V172" s="205" t="s">
        <v>2</v>
      </c>
      <c r="W172" s="204" t="s">
        <v>2</v>
      </c>
      <c r="X172" s="203" t="s">
        <v>2</v>
      </c>
      <c r="Y172" s="205" t="s">
        <v>2</v>
      </c>
      <c r="Z172" s="205" t="s">
        <v>2</v>
      </c>
      <c r="AA172" s="205" t="s">
        <v>2</v>
      </c>
      <c r="AB172" s="205" t="s">
        <v>2</v>
      </c>
      <c r="AC172" s="205" t="s">
        <v>2</v>
      </c>
      <c r="AD172" s="200" t="s">
        <v>2</v>
      </c>
      <c r="AE172" s="200" t="s">
        <v>2</v>
      </c>
      <c r="AF172" s="203" t="s">
        <v>2</v>
      </c>
      <c r="AG172" s="204" t="s">
        <v>2</v>
      </c>
      <c r="AH172" s="200">
        <v>0</v>
      </c>
      <c r="AI172" s="200">
        <v>0</v>
      </c>
      <c r="AJ172" s="203" t="s">
        <v>2</v>
      </c>
      <c r="AK172" s="203" t="s">
        <v>2</v>
      </c>
      <c r="AL172" s="204" t="s">
        <v>2</v>
      </c>
      <c r="AM172" s="200" t="s">
        <v>2</v>
      </c>
      <c r="AN172" s="200" t="s">
        <v>2</v>
      </c>
      <c r="AO172" s="201" t="s">
        <v>2</v>
      </c>
      <c r="AP172" s="203" t="s">
        <v>2</v>
      </c>
      <c r="AQ172" s="205" t="s">
        <v>2</v>
      </c>
      <c r="AR172" s="205" t="s">
        <v>2</v>
      </c>
      <c r="AS172" s="205" t="s">
        <v>2</v>
      </c>
      <c r="AT172" s="205" t="s">
        <v>2</v>
      </c>
      <c r="AU172" s="205" t="s">
        <v>2</v>
      </c>
      <c r="AV172" s="206" t="s">
        <v>2</v>
      </c>
      <c r="AW172" s="203" t="s">
        <v>2</v>
      </c>
      <c r="AX172" s="205" t="s">
        <v>2</v>
      </c>
      <c r="AY172" s="205" t="s">
        <v>2</v>
      </c>
      <c r="AZ172" s="206" t="s">
        <v>2</v>
      </c>
      <c r="BA172" s="203" t="s">
        <v>2</v>
      </c>
      <c r="BB172" s="205" t="s">
        <v>2</v>
      </c>
      <c r="BC172" s="205" t="s">
        <v>2</v>
      </c>
      <c r="BD172" s="205" t="s">
        <v>2</v>
      </c>
      <c r="BE172" s="205" t="s">
        <v>2</v>
      </c>
      <c r="BF172" s="206" t="s">
        <v>2</v>
      </c>
      <c r="BG172" s="199" t="s">
        <v>2</v>
      </c>
      <c r="BH172" s="199">
        <v>0</v>
      </c>
      <c r="BI172" s="200" t="s">
        <v>2</v>
      </c>
      <c r="BJ172" s="200" t="s">
        <v>2</v>
      </c>
      <c r="BK172" s="200" t="s">
        <v>2</v>
      </c>
      <c r="BL172" s="200" t="s">
        <v>2</v>
      </c>
      <c r="BM172" s="200" t="s">
        <v>2</v>
      </c>
      <c r="BN172" s="200" t="s">
        <v>2</v>
      </c>
      <c r="BO172" s="200" t="s">
        <v>2</v>
      </c>
      <c r="BP172" s="200" t="s">
        <v>2</v>
      </c>
      <c r="BQ172" s="200" t="s">
        <v>2</v>
      </c>
      <c r="BR172" s="200" t="s">
        <v>2</v>
      </c>
      <c r="BS172" s="200" t="s">
        <v>2</v>
      </c>
      <c r="BT172" s="200" t="s">
        <v>2</v>
      </c>
      <c r="BU172" s="200" t="s">
        <v>2</v>
      </c>
      <c r="BV172" s="200" t="s">
        <v>2</v>
      </c>
      <c r="BW172" s="200" t="s">
        <v>2</v>
      </c>
      <c r="BX172" s="200" t="s">
        <v>2</v>
      </c>
      <c r="BY172" s="200" t="s">
        <v>2</v>
      </c>
      <c r="BZ172" s="201" t="s">
        <v>2</v>
      </c>
      <c r="CA172" s="203" t="s">
        <v>2</v>
      </c>
      <c r="CB172" s="203" t="s">
        <v>2</v>
      </c>
      <c r="CC172" s="203" t="s">
        <v>2</v>
      </c>
      <c r="CD172" s="203" t="s">
        <v>2</v>
      </c>
      <c r="CE172" s="203" t="s">
        <v>2</v>
      </c>
      <c r="CF172" s="203" t="s">
        <v>2</v>
      </c>
      <c r="CG172" s="204" t="s">
        <v>2</v>
      </c>
      <c r="CH172" s="200" t="s">
        <v>2</v>
      </c>
      <c r="CI172" s="201" t="s">
        <v>2</v>
      </c>
      <c r="CJ172" s="203" t="s">
        <v>2</v>
      </c>
      <c r="CK172" s="203" t="s">
        <v>2</v>
      </c>
      <c r="CL172" s="203" t="s">
        <v>2</v>
      </c>
      <c r="CM172" s="204" t="s">
        <v>2</v>
      </c>
      <c r="CN172" s="199" t="s">
        <v>2</v>
      </c>
      <c r="CO172" s="199" t="s">
        <v>2</v>
      </c>
    </row>
    <row r="173" spans="1:93" s="207" customFormat="1" ht="15" x14ac:dyDescent="0.25">
      <c r="A173" s="220" t="s">
        <v>812</v>
      </c>
      <c r="B173" s="221" t="s">
        <v>204</v>
      </c>
      <c r="C173" s="222" t="s">
        <v>992</v>
      </c>
      <c r="D173" s="290">
        <v>4</v>
      </c>
      <c r="E173" s="199">
        <v>10</v>
      </c>
      <c r="F173" s="200">
        <v>18</v>
      </c>
      <c r="G173" s="201">
        <v>75.239999999999995</v>
      </c>
      <c r="H173" s="202">
        <v>95</v>
      </c>
      <c r="I173" s="203">
        <v>1.5</v>
      </c>
      <c r="J173" s="203">
        <v>0.27</v>
      </c>
      <c r="K173" s="203">
        <v>2.4300000000000002</v>
      </c>
      <c r="L173" s="203">
        <v>0.5</v>
      </c>
      <c r="M173" s="204">
        <v>0.8</v>
      </c>
      <c r="N173" s="200">
        <v>77</v>
      </c>
      <c r="O173" s="200">
        <v>34</v>
      </c>
      <c r="P173" s="223" t="s">
        <v>205</v>
      </c>
      <c r="Q173" s="203">
        <v>0.4</v>
      </c>
      <c r="R173" s="200">
        <v>59</v>
      </c>
      <c r="S173" s="200">
        <v>333</v>
      </c>
      <c r="T173" s="200">
        <v>18</v>
      </c>
      <c r="U173" s="205">
        <v>0.75</v>
      </c>
      <c r="V173" s="205">
        <v>220</v>
      </c>
      <c r="W173" s="204">
        <v>0.8</v>
      </c>
      <c r="X173" s="203">
        <v>15</v>
      </c>
      <c r="Y173" s="205">
        <v>0.14000000000000001</v>
      </c>
      <c r="Z173" s="205">
        <v>0.12</v>
      </c>
      <c r="AA173" s="205">
        <v>0.7</v>
      </c>
      <c r="AB173" s="205" t="s">
        <v>2</v>
      </c>
      <c r="AC173" s="205" t="s">
        <v>2</v>
      </c>
      <c r="AD173" s="200" t="s">
        <v>2</v>
      </c>
      <c r="AE173" s="200" t="s">
        <v>2</v>
      </c>
      <c r="AF173" s="203">
        <v>0.7</v>
      </c>
      <c r="AG173" s="204" t="s">
        <v>2</v>
      </c>
      <c r="AH173" s="200">
        <v>0</v>
      </c>
      <c r="AI173" s="200">
        <v>88</v>
      </c>
      <c r="AJ173" s="203" t="s">
        <v>2</v>
      </c>
      <c r="AK173" s="203" t="s">
        <v>2</v>
      </c>
      <c r="AL173" s="204" t="s">
        <v>2</v>
      </c>
      <c r="AM173" s="200">
        <v>1050</v>
      </c>
      <c r="AN173" s="200" t="s">
        <v>2</v>
      </c>
      <c r="AO173" s="201" t="s">
        <v>2</v>
      </c>
      <c r="AP173" s="203">
        <v>5.8999999999999997E-2</v>
      </c>
      <c r="AQ173" s="205">
        <v>5.2999999999999999E-2</v>
      </c>
      <c r="AR173" s="205">
        <v>0</v>
      </c>
      <c r="AS173" s="205">
        <v>6.0000000000000001E-3</v>
      </c>
      <c r="AT173" s="205">
        <v>0</v>
      </c>
      <c r="AU173" s="205">
        <v>0</v>
      </c>
      <c r="AV173" s="206">
        <v>0</v>
      </c>
      <c r="AW173" s="203">
        <v>0.01</v>
      </c>
      <c r="AX173" s="205">
        <v>0</v>
      </c>
      <c r="AY173" s="205">
        <v>2E-3</v>
      </c>
      <c r="AZ173" s="206">
        <v>8.0000000000000002E-3</v>
      </c>
      <c r="BA173" s="203">
        <v>0.2</v>
      </c>
      <c r="BB173" s="205">
        <v>8.2000000000000003E-2</v>
      </c>
      <c r="BC173" s="205">
        <v>0.11</v>
      </c>
      <c r="BD173" s="205">
        <v>0</v>
      </c>
      <c r="BE173" s="205">
        <v>0</v>
      </c>
      <c r="BF173" s="205">
        <v>0</v>
      </c>
      <c r="BG173" s="199" t="s">
        <v>2</v>
      </c>
      <c r="BH173" s="199">
        <v>0</v>
      </c>
      <c r="BI173" s="200">
        <v>88</v>
      </c>
      <c r="BJ173" s="200">
        <v>41</v>
      </c>
      <c r="BK173" s="200">
        <v>18</v>
      </c>
      <c r="BL173" s="200">
        <v>117</v>
      </c>
      <c r="BM173" s="200">
        <v>94</v>
      </c>
      <c r="BN173" s="200">
        <v>124</v>
      </c>
      <c r="BO173" s="200">
        <v>145</v>
      </c>
      <c r="BP173" s="200">
        <v>88</v>
      </c>
      <c r="BQ173" s="200">
        <v>103</v>
      </c>
      <c r="BR173" s="200">
        <v>37</v>
      </c>
      <c r="BS173" s="200">
        <v>2</v>
      </c>
      <c r="BT173" s="200">
        <v>20</v>
      </c>
      <c r="BU173" s="200">
        <v>61</v>
      </c>
      <c r="BV173" s="200">
        <v>120</v>
      </c>
      <c r="BW173" s="200">
        <v>210</v>
      </c>
      <c r="BX173" s="200">
        <v>43</v>
      </c>
      <c r="BY173" s="200">
        <v>41</v>
      </c>
      <c r="BZ173" s="201">
        <v>41</v>
      </c>
      <c r="CA173" s="203" t="s">
        <v>2</v>
      </c>
      <c r="CB173" s="203" t="s">
        <v>2</v>
      </c>
      <c r="CC173" s="203" t="s">
        <v>2</v>
      </c>
      <c r="CD173" s="203" t="s">
        <v>2</v>
      </c>
      <c r="CE173" s="203" t="s">
        <v>2</v>
      </c>
      <c r="CF173" s="203" t="s">
        <v>2</v>
      </c>
      <c r="CG173" s="204" t="s">
        <v>2</v>
      </c>
      <c r="CH173" s="200" t="s">
        <v>2</v>
      </c>
      <c r="CI173" s="201" t="s">
        <v>2</v>
      </c>
      <c r="CJ173" s="203" t="s">
        <v>2</v>
      </c>
      <c r="CK173" s="203" t="s">
        <v>2</v>
      </c>
      <c r="CL173" s="203" t="s">
        <v>2</v>
      </c>
      <c r="CM173" s="204" t="s">
        <v>2</v>
      </c>
      <c r="CN173" s="199" t="s">
        <v>2</v>
      </c>
      <c r="CO173" s="199">
        <v>13</v>
      </c>
    </row>
    <row r="174" spans="1:93" s="207" customFormat="1" ht="15" x14ac:dyDescent="0.25">
      <c r="A174" s="220" t="s">
        <v>813</v>
      </c>
      <c r="B174" s="221" t="s">
        <v>206</v>
      </c>
      <c r="C174" s="222" t="s">
        <v>993</v>
      </c>
      <c r="D174" s="290">
        <v>4</v>
      </c>
      <c r="E174" s="199">
        <v>0</v>
      </c>
      <c r="F174" s="200">
        <v>20</v>
      </c>
      <c r="G174" s="201">
        <v>83.6</v>
      </c>
      <c r="H174" s="202">
        <v>93.6</v>
      </c>
      <c r="I174" s="203">
        <v>1.4</v>
      </c>
      <c r="J174" s="203" t="s">
        <v>2</v>
      </c>
      <c r="K174" s="203">
        <v>3.7</v>
      </c>
      <c r="L174" s="203">
        <v>0.7</v>
      </c>
      <c r="M174" s="204">
        <v>1.3</v>
      </c>
      <c r="N174" s="200">
        <v>85</v>
      </c>
      <c r="O174" s="200">
        <v>56</v>
      </c>
      <c r="P174" s="203">
        <v>1.5</v>
      </c>
      <c r="Q174" s="203" t="s">
        <v>2</v>
      </c>
      <c r="R174" s="200" t="s">
        <v>2</v>
      </c>
      <c r="S174" s="200" t="s">
        <v>2</v>
      </c>
      <c r="T174" s="200" t="s">
        <v>2</v>
      </c>
      <c r="U174" s="205" t="s">
        <v>2</v>
      </c>
      <c r="V174" s="205" t="s">
        <v>2</v>
      </c>
      <c r="W174" s="204" t="s">
        <v>2</v>
      </c>
      <c r="X174" s="203">
        <v>26</v>
      </c>
      <c r="Y174" s="205">
        <v>0.03</v>
      </c>
      <c r="Z174" s="205">
        <v>0.11</v>
      </c>
      <c r="AA174" s="205">
        <v>0.7</v>
      </c>
      <c r="AB174" s="205" t="s">
        <v>2</v>
      </c>
      <c r="AC174" s="205" t="s">
        <v>2</v>
      </c>
      <c r="AD174" s="200" t="s">
        <v>2</v>
      </c>
      <c r="AE174" s="200" t="s">
        <v>2</v>
      </c>
      <c r="AF174" s="203" t="s">
        <v>2</v>
      </c>
      <c r="AG174" s="204" t="s">
        <v>2</v>
      </c>
      <c r="AH174" s="200">
        <v>0</v>
      </c>
      <c r="AI174" s="200">
        <v>13</v>
      </c>
      <c r="AJ174" s="203" t="s">
        <v>2</v>
      </c>
      <c r="AK174" s="203" t="s">
        <v>2</v>
      </c>
      <c r="AL174" s="204" t="s">
        <v>2</v>
      </c>
      <c r="AM174" s="200">
        <v>160</v>
      </c>
      <c r="AN174" s="200" t="s">
        <v>2</v>
      </c>
      <c r="AO174" s="201" t="s">
        <v>2</v>
      </c>
      <c r="AP174" s="203" t="s">
        <v>2</v>
      </c>
      <c r="AQ174" s="205" t="s">
        <v>2</v>
      </c>
      <c r="AR174" s="205" t="s">
        <v>2</v>
      </c>
      <c r="AS174" s="205" t="s">
        <v>2</v>
      </c>
      <c r="AT174" s="205" t="s">
        <v>2</v>
      </c>
      <c r="AU174" s="205" t="s">
        <v>2</v>
      </c>
      <c r="AV174" s="206" t="s">
        <v>2</v>
      </c>
      <c r="AW174" s="203" t="s">
        <v>2</v>
      </c>
      <c r="AX174" s="205" t="s">
        <v>2</v>
      </c>
      <c r="AY174" s="205" t="s">
        <v>2</v>
      </c>
      <c r="AZ174" s="206" t="s">
        <v>2</v>
      </c>
      <c r="BA174" s="203" t="s">
        <v>2</v>
      </c>
      <c r="BB174" s="205" t="s">
        <v>2</v>
      </c>
      <c r="BC174" s="205" t="s">
        <v>2</v>
      </c>
      <c r="BD174" s="205" t="s">
        <v>2</v>
      </c>
      <c r="BE174" s="205" t="s">
        <v>2</v>
      </c>
      <c r="BF174" s="206" t="s">
        <v>2</v>
      </c>
      <c r="BG174" s="199" t="s">
        <v>2</v>
      </c>
      <c r="BH174" s="199">
        <v>0</v>
      </c>
      <c r="BI174" s="200" t="s">
        <v>2</v>
      </c>
      <c r="BJ174" s="200" t="s">
        <v>2</v>
      </c>
      <c r="BK174" s="200" t="s">
        <v>2</v>
      </c>
      <c r="BL174" s="200" t="s">
        <v>2</v>
      </c>
      <c r="BM174" s="200" t="s">
        <v>2</v>
      </c>
      <c r="BN174" s="200" t="s">
        <v>2</v>
      </c>
      <c r="BO174" s="200" t="s">
        <v>2</v>
      </c>
      <c r="BP174" s="200" t="s">
        <v>2</v>
      </c>
      <c r="BQ174" s="200" t="s">
        <v>2</v>
      </c>
      <c r="BR174" s="200" t="s">
        <v>2</v>
      </c>
      <c r="BS174" s="200" t="s">
        <v>2</v>
      </c>
      <c r="BT174" s="200" t="s">
        <v>2</v>
      </c>
      <c r="BU174" s="200" t="s">
        <v>2</v>
      </c>
      <c r="BV174" s="200" t="s">
        <v>2</v>
      </c>
      <c r="BW174" s="200" t="s">
        <v>2</v>
      </c>
      <c r="BX174" s="200" t="s">
        <v>2</v>
      </c>
      <c r="BY174" s="200" t="s">
        <v>2</v>
      </c>
      <c r="BZ174" s="201" t="s">
        <v>2</v>
      </c>
      <c r="CA174" s="203" t="s">
        <v>2</v>
      </c>
      <c r="CB174" s="203" t="s">
        <v>2</v>
      </c>
      <c r="CC174" s="203" t="s">
        <v>2</v>
      </c>
      <c r="CD174" s="203" t="s">
        <v>2</v>
      </c>
      <c r="CE174" s="203" t="s">
        <v>2</v>
      </c>
      <c r="CF174" s="203" t="s">
        <v>2</v>
      </c>
      <c r="CG174" s="204" t="s">
        <v>2</v>
      </c>
      <c r="CH174" s="200" t="s">
        <v>2</v>
      </c>
      <c r="CI174" s="201" t="s">
        <v>2</v>
      </c>
      <c r="CJ174" s="203" t="s">
        <v>2</v>
      </c>
      <c r="CK174" s="203" t="s">
        <v>2</v>
      </c>
      <c r="CL174" s="203" t="s">
        <v>2</v>
      </c>
      <c r="CM174" s="204" t="s">
        <v>2</v>
      </c>
      <c r="CN174" s="199" t="s">
        <v>2</v>
      </c>
      <c r="CO174" s="199" t="s">
        <v>2</v>
      </c>
    </row>
    <row r="175" spans="1:93" s="207" customFormat="1" ht="15" x14ac:dyDescent="0.25">
      <c r="A175" s="220" t="s">
        <v>814</v>
      </c>
      <c r="B175" s="221" t="s">
        <v>207</v>
      </c>
      <c r="C175" s="222" t="s">
        <v>996</v>
      </c>
      <c r="D175" s="290">
        <v>4</v>
      </c>
      <c r="E175" s="199">
        <v>40</v>
      </c>
      <c r="F175" s="200">
        <v>62</v>
      </c>
      <c r="G175" s="201">
        <v>259.15999999999997</v>
      </c>
      <c r="H175" s="202">
        <v>82.4</v>
      </c>
      <c r="I175" s="203">
        <v>6.5</v>
      </c>
      <c r="J175" s="203" t="s">
        <v>2</v>
      </c>
      <c r="K175" s="203">
        <v>8.9</v>
      </c>
      <c r="L175" s="203">
        <v>3.4</v>
      </c>
      <c r="M175" s="204">
        <v>2.2000000000000002</v>
      </c>
      <c r="N175" s="200">
        <v>110</v>
      </c>
      <c r="O175" s="200">
        <v>80</v>
      </c>
      <c r="P175" s="203" t="s">
        <v>2</v>
      </c>
      <c r="Q175" s="203" t="s">
        <v>2</v>
      </c>
      <c r="R175" s="200" t="s">
        <v>2</v>
      </c>
      <c r="S175" s="200" t="s">
        <v>2</v>
      </c>
      <c r="T175" s="200" t="s">
        <v>2</v>
      </c>
      <c r="U175" s="205" t="s">
        <v>2</v>
      </c>
      <c r="V175" s="205" t="s">
        <v>2</v>
      </c>
      <c r="W175" s="204" t="s">
        <v>2</v>
      </c>
      <c r="X175" s="203">
        <v>114</v>
      </c>
      <c r="Y175" s="205" t="s">
        <v>2</v>
      </c>
      <c r="Z175" s="205" t="s">
        <v>2</v>
      </c>
      <c r="AA175" s="205" t="s">
        <v>2</v>
      </c>
      <c r="AB175" s="205" t="s">
        <v>2</v>
      </c>
      <c r="AC175" s="205" t="s">
        <v>2</v>
      </c>
      <c r="AD175" s="200" t="s">
        <v>2</v>
      </c>
      <c r="AE175" s="200" t="s">
        <v>2</v>
      </c>
      <c r="AF175" s="203" t="s">
        <v>2</v>
      </c>
      <c r="AG175" s="204" t="s">
        <v>2</v>
      </c>
      <c r="AH175" s="200">
        <v>0</v>
      </c>
      <c r="AI175" s="200">
        <v>0</v>
      </c>
      <c r="AJ175" s="203" t="s">
        <v>2</v>
      </c>
      <c r="AK175" s="203" t="s">
        <v>2</v>
      </c>
      <c r="AL175" s="204" t="s">
        <v>2</v>
      </c>
      <c r="AM175" s="200" t="s">
        <v>2</v>
      </c>
      <c r="AN175" s="200" t="s">
        <v>2</v>
      </c>
      <c r="AO175" s="201" t="s">
        <v>2</v>
      </c>
      <c r="AP175" s="203" t="s">
        <v>2</v>
      </c>
      <c r="AQ175" s="205" t="s">
        <v>2</v>
      </c>
      <c r="AR175" s="205" t="s">
        <v>2</v>
      </c>
      <c r="AS175" s="205" t="s">
        <v>2</v>
      </c>
      <c r="AT175" s="205" t="s">
        <v>2</v>
      </c>
      <c r="AU175" s="205" t="s">
        <v>2</v>
      </c>
      <c r="AV175" s="206" t="s">
        <v>2</v>
      </c>
      <c r="AW175" s="203" t="s">
        <v>2</v>
      </c>
      <c r="AX175" s="205" t="s">
        <v>2</v>
      </c>
      <c r="AY175" s="205" t="s">
        <v>2</v>
      </c>
      <c r="AZ175" s="206" t="s">
        <v>2</v>
      </c>
      <c r="BA175" s="203" t="s">
        <v>2</v>
      </c>
      <c r="BB175" s="205" t="s">
        <v>2</v>
      </c>
      <c r="BC175" s="205" t="s">
        <v>2</v>
      </c>
      <c r="BD175" s="205" t="s">
        <v>2</v>
      </c>
      <c r="BE175" s="205" t="s">
        <v>2</v>
      </c>
      <c r="BF175" s="206" t="s">
        <v>2</v>
      </c>
      <c r="BG175" s="199" t="s">
        <v>2</v>
      </c>
      <c r="BH175" s="199">
        <v>0</v>
      </c>
      <c r="BI175" s="200" t="s">
        <v>2</v>
      </c>
      <c r="BJ175" s="200" t="s">
        <v>2</v>
      </c>
      <c r="BK175" s="200" t="s">
        <v>2</v>
      </c>
      <c r="BL175" s="200" t="s">
        <v>2</v>
      </c>
      <c r="BM175" s="200" t="s">
        <v>2</v>
      </c>
      <c r="BN175" s="200" t="s">
        <v>2</v>
      </c>
      <c r="BO175" s="200" t="s">
        <v>2</v>
      </c>
      <c r="BP175" s="200" t="s">
        <v>2</v>
      </c>
      <c r="BQ175" s="200" t="s">
        <v>2</v>
      </c>
      <c r="BR175" s="200" t="s">
        <v>2</v>
      </c>
      <c r="BS175" s="200" t="s">
        <v>2</v>
      </c>
      <c r="BT175" s="200" t="s">
        <v>2</v>
      </c>
      <c r="BU175" s="200" t="s">
        <v>2</v>
      </c>
      <c r="BV175" s="200" t="s">
        <v>2</v>
      </c>
      <c r="BW175" s="200" t="s">
        <v>2</v>
      </c>
      <c r="BX175" s="200" t="s">
        <v>2</v>
      </c>
      <c r="BY175" s="200" t="s">
        <v>2</v>
      </c>
      <c r="BZ175" s="201" t="s">
        <v>2</v>
      </c>
      <c r="CA175" s="203" t="s">
        <v>2</v>
      </c>
      <c r="CB175" s="203" t="s">
        <v>2</v>
      </c>
      <c r="CC175" s="203" t="s">
        <v>2</v>
      </c>
      <c r="CD175" s="203" t="s">
        <v>2</v>
      </c>
      <c r="CE175" s="203" t="s">
        <v>2</v>
      </c>
      <c r="CF175" s="203" t="s">
        <v>2</v>
      </c>
      <c r="CG175" s="204" t="s">
        <v>2</v>
      </c>
      <c r="CH175" s="200" t="s">
        <v>2</v>
      </c>
      <c r="CI175" s="201" t="s">
        <v>2</v>
      </c>
      <c r="CJ175" s="203" t="s">
        <v>2</v>
      </c>
      <c r="CK175" s="203" t="s">
        <v>2</v>
      </c>
      <c r="CL175" s="203" t="s">
        <v>2</v>
      </c>
      <c r="CM175" s="204" t="s">
        <v>2</v>
      </c>
      <c r="CN175" s="199" t="s">
        <v>2</v>
      </c>
      <c r="CO175" s="199" t="s">
        <v>2</v>
      </c>
    </row>
    <row r="176" spans="1:93" s="207" customFormat="1" ht="15" x14ac:dyDescent="0.25">
      <c r="A176" s="220" t="s">
        <v>815</v>
      </c>
      <c r="B176" s="221" t="s">
        <v>208</v>
      </c>
      <c r="C176" s="222" t="s">
        <v>994</v>
      </c>
      <c r="D176" s="290">
        <v>4</v>
      </c>
      <c r="E176" s="199">
        <v>0</v>
      </c>
      <c r="F176" s="200">
        <v>24</v>
      </c>
      <c r="G176" s="201">
        <v>100.32</v>
      </c>
      <c r="H176" s="202">
        <v>93.1</v>
      </c>
      <c r="I176" s="203">
        <v>2.5</v>
      </c>
      <c r="J176" s="203" t="s">
        <v>2</v>
      </c>
      <c r="K176" s="203">
        <v>3.5</v>
      </c>
      <c r="L176" s="203">
        <v>1.6</v>
      </c>
      <c r="M176" s="204">
        <v>0.9</v>
      </c>
      <c r="N176" s="200">
        <v>81</v>
      </c>
      <c r="O176" s="200">
        <v>25</v>
      </c>
      <c r="P176" s="203" t="s">
        <v>2</v>
      </c>
      <c r="Q176" s="203" t="s">
        <v>2</v>
      </c>
      <c r="R176" s="200" t="s">
        <v>2</v>
      </c>
      <c r="S176" s="200" t="s">
        <v>2</v>
      </c>
      <c r="T176" s="200" t="s">
        <v>2</v>
      </c>
      <c r="U176" s="205" t="s">
        <v>2</v>
      </c>
      <c r="V176" s="205" t="s">
        <v>2</v>
      </c>
      <c r="W176" s="204" t="s">
        <v>2</v>
      </c>
      <c r="X176" s="203">
        <v>10</v>
      </c>
      <c r="Y176" s="205" t="s">
        <v>2</v>
      </c>
      <c r="Z176" s="205" t="s">
        <v>2</v>
      </c>
      <c r="AA176" s="205" t="s">
        <v>2</v>
      </c>
      <c r="AB176" s="205" t="s">
        <v>2</v>
      </c>
      <c r="AC176" s="205" t="s">
        <v>2</v>
      </c>
      <c r="AD176" s="200" t="s">
        <v>2</v>
      </c>
      <c r="AE176" s="200" t="s">
        <v>2</v>
      </c>
      <c r="AF176" s="203" t="s">
        <v>2</v>
      </c>
      <c r="AG176" s="204" t="s">
        <v>2</v>
      </c>
      <c r="AH176" s="200">
        <v>0</v>
      </c>
      <c r="AI176" s="200">
        <v>142</v>
      </c>
      <c r="AJ176" s="203" t="s">
        <v>2</v>
      </c>
      <c r="AK176" s="203" t="s">
        <v>2</v>
      </c>
      <c r="AL176" s="204" t="s">
        <v>2</v>
      </c>
      <c r="AM176" s="200">
        <v>1700</v>
      </c>
      <c r="AN176" s="200" t="s">
        <v>2</v>
      </c>
      <c r="AO176" s="201" t="s">
        <v>2</v>
      </c>
      <c r="AP176" s="203" t="s">
        <v>2</v>
      </c>
      <c r="AQ176" s="205" t="s">
        <v>2</v>
      </c>
      <c r="AR176" s="205" t="s">
        <v>2</v>
      </c>
      <c r="AS176" s="205" t="s">
        <v>2</v>
      </c>
      <c r="AT176" s="205" t="s">
        <v>2</v>
      </c>
      <c r="AU176" s="205" t="s">
        <v>2</v>
      </c>
      <c r="AV176" s="206" t="s">
        <v>2</v>
      </c>
      <c r="AW176" s="203" t="s">
        <v>2</v>
      </c>
      <c r="AX176" s="205" t="s">
        <v>2</v>
      </c>
      <c r="AY176" s="205" t="s">
        <v>2</v>
      </c>
      <c r="AZ176" s="206" t="s">
        <v>2</v>
      </c>
      <c r="BA176" s="203" t="s">
        <v>2</v>
      </c>
      <c r="BB176" s="205" t="s">
        <v>2</v>
      </c>
      <c r="BC176" s="205" t="s">
        <v>2</v>
      </c>
      <c r="BD176" s="205" t="s">
        <v>2</v>
      </c>
      <c r="BE176" s="205" t="s">
        <v>2</v>
      </c>
      <c r="BF176" s="206" t="s">
        <v>2</v>
      </c>
      <c r="BG176" s="199" t="s">
        <v>2</v>
      </c>
      <c r="BH176" s="199">
        <v>0</v>
      </c>
      <c r="BI176" s="200" t="s">
        <v>2</v>
      </c>
      <c r="BJ176" s="200" t="s">
        <v>2</v>
      </c>
      <c r="BK176" s="200" t="s">
        <v>2</v>
      </c>
      <c r="BL176" s="200" t="s">
        <v>2</v>
      </c>
      <c r="BM176" s="200" t="s">
        <v>2</v>
      </c>
      <c r="BN176" s="200" t="s">
        <v>2</v>
      </c>
      <c r="BO176" s="200" t="s">
        <v>2</v>
      </c>
      <c r="BP176" s="200" t="s">
        <v>2</v>
      </c>
      <c r="BQ176" s="200" t="s">
        <v>2</v>
      </c>
      <c r="BR176" s="200" t="s">
        <v>2</v>
      </c>
      <c r="BS176" s="200" t="s">
        <v>2</v>
      </c>
      <c r="BT176" s="200" t="s">
        <v>2</v>
      </c>
      <c r="BU176" s="200" t="s">
        <v>2</v>
      </c>
      <c r="BV176" s="200" t="s">
        <v>2</v>
      </c>
      <c r="BW176" s="200" t="s">
        <v>2</v>
      </c>
      <c r="BX176" s="200" t="s">
        <v>2</v>
      </c>
      <c r="BY176" s="200" t="s">
        <v>2</v>
      </c>
      <c r="BZ176" s="201" t="s">
        <v>2</v>
      </c>
      <c r="CA176" s="203" t="s">
        <v>2</v>
      </c>
      <c r="CB176" s="203" t="s">
        <v>2</v>
      </c>
      <c r="CC176" s="203" t="s">
        <v>2</v>
      </c>
      <c r="CD176" s="203" t="s">
        <v>2</v>
      </c>
      <c r="CE176" s="203" t="s">
        <v>2</v>
      </c>
      <c r="CF176" s="203" t="s">
        <v>2</v>
      </c>
      <c r="CG176" s="204" t="s">
        <v>2</v>
      </c>
      <c r="CH176" s="200" t="s">
        <v>2</v>
      </c>
      <c r="CI176" s="201" t="s">
        <v>2</v>
      </c>
      <c r="CJ176" s="203" t="s">
        <v>2</v>
      </c>
      <c r="CK176" s="203" t="s">
        <v>2</v>
      </c>
      <c r="CL176" s="203" t="s">
        <v>2</v>
      </c>
      <c r="CM176" s="204" t="s">
        <v>2</v>
      </c>
      <c r="CN176" s="199" t="s">
        <v>2</v>
      </c>
      <c r="CO176" s="199" t="s">
        <v>2</v>
      </c>
    </row>
    <row r="177" spans="1:93" s="207" customFormat="1" ht="15" x14ac:dyDescent="0.25">
      <c r="A177" s="220" t="s">
        <v>816</v>
      </c>
      <c r="B177" s="221" t="s">
        <v>209</v>
      </c>
      <c r="C177" s="222" t="s">
        <v>995</v>
      </c>
      <c r="D177" s="290">
        <v>4</v>
      </c>
      <c r="E177" s="199">
        <v>25</v>
      </c>
      <c r="F177" s="200">
        <v>30</v>
      </c>
      <c r="G177" s="201">
        <v>125.39999999999999</v>
      </c>
      <c r="H177" s="202">
        <v>91.7</v>
      </c>
      <c r="I177" s="203">
        <v>2</v>
      </c>
      <c r="J177" s="203" t="s">
        <v>2</v>
      </c>
      <c r="K177" s="203">
        <v>5.4</v>
      </c>
      <c r="L177" s="203">
        <v>3</v>
      </c>
      <c r="M177" s="204">
        <v>0.9</v>
      </c>
      <c r="N177" s="200">
        <v>170</v>
      </c>
      <c r="O177" s="200">
        <v>49</v>
      </c>
      <c r="P177" s="203">
        <v>3.8</v>
      </c>
      <c r="Q177" s="203">
        <v>0.56000000000000005</v>
      </c>
      <c r="R177" s="200">
        <v>6</v>
      </c>
      <c r="S177" s="200">
        <v>217</v>
      </c>
      <c r="T177" s="200" t="s">
        <v>2</v>
      </c>
      <c r="U177" s="205">
        <v>0.88</v>
      </c>
      <c r="V177" s="205">
        <v>740</v>
      </c>
      <c r="W177" s="204" t="s">
        <v>2</v>
      </c>
      <c r="X177" s="203">
        <v>41</v>
      </c>
      <c r="Y177" s="205">
        <v>0.14000000000000001</v>
      </c>
      <c r="Z177" s="205">
        <v>0.15</v>
      </c>
      <c r="AA177" s="205">
        <v>1</v>
      </c>
      <c r="AB177" s="205" t="s">
        <v>2</v>
      </c>
      <c r="AC177" s="205" t="s">
        <v>2</v>
      </c>
      <c r="AD177" s="200" t="s">
        <v>2</v>
      </c>
      <c r="AE177" s="200" t="s">
        <v>2</v>
      </c>
      <c r="AF177" s="203" t="s">
        <v>2</v>
      </c>
      <c r="AG177" s="204" t="s">
        <v>2</v>
      </c>
      <c r="AH177" s="200">
        <v>0</v>
      </c>
      <c r="AI177" s="200">
        <v>297</v>
      </c>
      <c r="AJ177" s="203" t="s">
        <v>2</v>
      </c>
      <c r="AK177" s="203" t="s">
        <v>2</v>
      </c>
      <c r="AL177" s="204" t="s">
        <v>2</v>
      </c>
      <c r="AM177" s="200">
        <v>3560</v>
      </c>
      <c r="AN177" s="200" t="s">
        <v>2</v>
      </c>
      <c r="AO177" s="201" t="s">
        <v>2</v>
      </c>
      <c r="AP177" s="203" t="s">
        <v>2</v>
      </c>
      <c r="AQ177" s="205" t="s">
        <v>2</v>
      </c>
      <c r="AR177" s="205" t="s">
        <v>2</v>
      </c>
      <c r="AS177" s="205" t="s">
        <v>2</v>
      </c>
      <c r="AT177" s="205" t="s">
        <v>2</v>
      </c>
      <c r="AU177" s="205" t="s">
        <v>2</v>
      </c>
      <c r="AV177" s="206" t="s">
        <v>2</v>
      </c>
      <c r="AW177" s="203" t="s">
        <v>2</v>
      </c>
      <c r="AX177" s="205" t="s">
        <v>2</v>
      </c>
      <c r="AY177" s="205" t="s">
        <v>2</v>
      </c>
      <c r="AZ177" s="206" t="s">
        <v>2</v>
      </c>
      <c r="BA177" s="203" t="s">
        <v>2</v>
      </c>
      <c r="BB177" s="205" t="s">
        <v>2</v>
      </c>
      <c r="BC177" s="205" t="s">
        <v>2</v>
      </c>
      <c r="BD177" s="205" t="s">
        <v>2</v>
      </c>
      <c r="BE177" s="205" t="s">
        <v>2</v>
      </c>
      <c r="BF177" s="206" t="s">
        <v>2</v>
      </c>
      <c r="BG177" s="199" t="s">
        <v>2</v>
      </c>
      <c r="BH177" s="199">
        <v>0</v>
      </c>
      <c r="BI177" s="200" t="s">
        <v>2</v>
      </c>
      <c r="BJ177" s="200" t="s">
        <v>2</v>
      </c>
      <c r="BK177" s="200" t="s">
        <v>2</v>
      </c>
      <c r="BL177" s="200" t="s">
        <v>2</v>
      </c>
      <c r="BM177" s="200" t="s">
        <v>2</v>
      </c>
      <c r="BN177" s="200" t="s">
        <v>2</v>
      </c>
      <c r="BO177" s="200" t="s">
        <v>2</v>
      </c>
      <c r="BP177" s="200" t="s">
        <v>2</v>
      </c>
      <c r="BQ177" s="200" t="s">
        <v>2</v>
      </c>
      <c r="BR177" s="200" t="s">
        <v>2</v>
      </c>
      <c r="BS177" s="200" t="s">
        <v>2</v>
      </c>
      <c r="BT177" s="200" t="s">
        <v>2</v>
      </c>
      <c r="BU177" s="200" t="s">
        <v>2</v>
      </c>
      <c r="BV177" s="200" t="s">
        <v>2</v>
      </c>
      <c r="BW177" s="200" t="s">
        <v>2</v>
      </c>
      <c r="BX177" s="200" t="s">
        <v>2</v>
      </c>
      <c r="BY177" s="200" t="s">
        <v>2</v>
      </c>
      <c r="BZ177" s="201" t="s">
        <v>2</v>
      </c>
      <c r="CA177" s="203" t="s">
        <v>2</v>
      </c>
      <c r="CB177" s="203" t="s">
        <v>2</v>
      </c>
      <c r="CC177" s="203" t="s">
        <v>2</v>
      </c>
      <c r="CD177" s="203" t="s">
        <v>2</v>
      </c>
      <c r="CE177" s="203" t="s">
        <v>2</v>
      </c>
      <c r="CF177" s="203" t="s">
        <v>2</v>
      </c>
      <c r="CG177" s="204" t="s">
        <v>2</v>
      </c>
      <c r="CH177" s="200" t="s">
        <v>2</v>
      </c>
      <c r="CI177" s="201" t="s">
        <v>2</v>
      </c>
      <c r="CJ177" s="203" t="s">
        <v>2</v>
      </c>
      <c r="CK177" s="203" t="s">
        <v>2</v>
      </c>
      <c r="CL177" s="203" t="s">
        <v>2</v>
      </c>
      <c r="CM177" s="204" t="s">
        <v>2</v>
      </c>
      <c r="CN177" s="199" t="s">
        <v>2</v>
      </c>
      <c r="CO177" s="199" t="s">
        <v>2</v>
      </c>
    </row>
    <row r="178" spans="1:93" s="207" customFormat="1" ht="30" x14ac:dyDescent="0.25">
      <c r="A178" s="220" t="s">
        <v>817</v>
      </c>
      <c r="B178" s="221" t="s">
        <v>210</v>
      </c>
      <c r="C178" s="222" t="s">
        <v>997</v>
      </c>
      <c r="D178" s="290">
        <v>4</v>
      </c>
      <c r="E178" s="199">
        <v>35</v>
      </c>
      <c r="F178" s="200">
        <v>19</v>
      </c>
      <c r="G178" s="201">
        <v>79.419999999999987</v>
      </c>
      <c r="H178" s="202">
        <v>94.7</v>
      </c>
      <c r="I178" s="203">
        <v>1.8</v>
      </c>
      <c r="J178" s="203" t="s">
        <v>2</v>
      </c>
      <c r="K178" s="203">
        <v>3</v>
      </c>
      <c r="L178" s="203" t="s">
        <v>2</v>
      </c>
      <c r="M178" s="204">
        <v>0.5</v>
      </c>
      <c r="N178" s="200">
        <v>135</v>
      </c>
      <c r="O178" s="200">
        <v>6</v>
      </c>
      <c r="P178" s="203" t="s">
        <v>2</v>
      </c>
      <c r="Q178" s="203" t="s">
        <v>2</v>
      </c>
      <c r="R178" s="200" t="s">
        <v>2</v>
      </c>
      <c r="S178" s="200" t="s">
        <v>2</v>
      </c>
      <c r="T178" s="200" t="s">
        <v>2</v>
      </c>
      <c r="U178" s="205" t="s">
        <v>2</v>
      </c>
      <c r="V178" s="205" t="s">
        <v>2</v>
      </c>
      <c r="W178" s="204" t="s">
        <v>2</v>
      </c>
      <c r="X178" s="203" t="s">
        <v>2</v>
      </c>
      <c r="Y178" s="205" t="s">
        <v>2</v>
      </c>
      <c r="Z178" s="205" t="s">
        <v>2</v>
      </c>
      <c r="AA178" s="205" t="s">
        <v>2</v>
      </c>
      <c r="AB178" s="205" t="s">
        <v>2</v>
      </c>
      <c r="AC178" s="205" t="s">
        <v>2</v>
      </c>
      <c r="AD178" s="200" t="s">
        <v>2</v>
      </c>
      <c r="AE178" s="200" t="s">
        <v>2</v>
      </c>
      <c r="AF178" s="203" t="s">
        <v>2</v>
      </c>
      <c r="AG178" s="204" t="s">
        <v>2</v>
      </c>
      <c r="AH178" s="200">
        <v>0</v>
      </c>
      <c r="AI178" s="200">
        <v>0</v>
      </c>
      <c r="AJ178" s="203" t="s">
        <v>2</v>
      </c>
      <c r="AK178" s="203" t="s">
        <v>2</v>
      </c>
      <c r="AL178" s="204" t="s">
        <v>2</v>
      </c>
      <c r="AM178" s="200" t="s">
        <v>2</v>
      </c>
      <c r="AN178" s="200" t="s">
        <v>2</v>
      </c>
      <c r="AO178" s="201" t="s">
        <v>2</v>
      </c>
      <c r="AP178" s="203" t="s">
        <v>2</v>
      </c>
      <c r="AQ178" s="205" t="s">
        <v>2</v>
      </c>
      <c r="AR178" s="205" t="s">
        <v>2</v>
      </c>
      <c r="AS178" s="205" t="s">
        <v>2</v>
      </c>
      <c r="AT178" s="205" t="s">
        <v>2</v>
      </c>
      <c r="AU178" s="205" t="s">
        <v>2</v>
      </c>
      <c r="AV178" s="206" t="s">
        <v>2</v>
      </c>
      <c r="AW178" s="203" t="s">
        <v>2</v>
      </c>
      <c r="AX178" s="205" t="s">
        <v>2</v>
      </c>
      <c r="AY178" s="205" t="s">
        <v>2</v>
      </c>
      <c r="AZ178" s="206" t="s">
        <v>2</v>
      </c>
      <c r="BA178" s="203" t="s">
        <v>2</v>
      </c>
      <c r="BB178" s="205" t="s">
        <v>2</v>
      </c>
      <c r="BC178" s="205" t="s">
        <v>2</v>
      </c>
      <c r="BD178" s="205" t="s">
        <v>2</v>
      </c>
      <c r="BE178" s="205" t="s">
        <v>2</v>
      </c>
      <c r="BF178" s="206" t="s">
        <v>2</v>
      </c>
      <c r="BG178" s="199" t="s">
        <v>2</v>
      </c>
      <c r="BH178" s="199">
        <v>0</v>
      </c>
      <c r="BI178" s="200" t="s">
        <v>2</v>
      </c>
      <c r="BJ178" s="200" t="s">
        <v>2</v>
      </c>
      <c r="BK178" s="200" t="s">
        <v>2</v>
      </c>
      <c r="BL178" s="200" t="s">
        <v>2</v>
      </c>
      <c r="BM178" s="200" t="s">
        <v>2</v>
      </c>
      <c r="BN178" s="200" t="s">
        <v>2</v>
      </c>
      <c r="BO178" s="200" t="s">
        <v>2</v>
      </c>
      <c r="BP178" s="200" t="s">
        <v>2</v>
      </c>
      <c r="BQ178" s="200" t="s">
        <v>2</v>
      </c>
      <c r="BR178" s="200" t="s">
        <v>2</v>
      </c>
      <c r="BS178" s="200" t="s">
        <v>2</v>
      </c>
      <c r="BT178" s="200" t="s">
        <v>2</v>
      </c>
      <c r="BU178" s="200" t="s">
        <v>2</v>
      </c>
      <c r="BV178" s="200" t="s">
        <v>2</v>
      </c>
      <c r="BW178" s="200" t="s">
        <v>2</v>
      </c>
      <c r="BX178" s="200" t="s">
        <v>2</v>
      </c>
      <c r="BY178" s="200" t="s">
        <v>2</v>
      </c>
      <c r="BZ178" s="201" t="s">
        <v>2</v>
      </c>
      <c r="CA178" s="203" t="s">
        <v>2</v>
      </c>
      <c r="CB178" s="203" t="s">
        <v>2</v>
      </c>
      <c r="CC178" s="203" t="s">
        <v>2</v>
      </c>
      <c r="CD178" s="203" t="s">
        <v>2</v>
      </c>
      <c r="CE178" s="203" t="s">
        <v>2</v>
      </c>
      <c r="CF178" s="203" t="s">
        <v>2</v>
      </c>
      <c r="CG178" s="204" t="s">
        <v>2</v>
      </c>
      <c r="CH178" s="200" t="s">
        <v>2</v>
      </c>
      <c r="CI178" s="201" t="s">
        <v>2</v>
      </c>
      <c r="CJ178" s="203" t="s">
        <v>2</v>
      </c>
      <c r="CK178" s="203" t="s">
        <v>2</v>
      </c>
      <c r="CL178" s="203" t="s">
        <v>2</v>
      </c>
      <c r="CM178" s="204" t="s">
        <v>2</v>
      </c>
      <c r="CN178" s="199" t="s">
        <v>2</v>
      </c>
      <c r="CO178" s="199" t="s">
        <v>2</v>
      </c>
    </row>
    <row r="179" spans="1:93" s="207" customFormat="1" ht="15" x14ac:dyDescent="0.25">
      <c r="A179" s="220" t="s">
        <v>818</v>
      </c>
      <c r="B179" s="221" t="s">
        <v>211</v>
      </c>
      <c r="C179" s="222" t="s">
        <v>998</v>
      </c>
      <c r="D179" s="290">
        <v>4</v>
      </c>
      <c r="E179" s="199">
        <v>22</v>
      </c>
      <c r="F179" s="200">
        <v>44</v>
      </c>
      <c r="G179" s="201">
        <v>183.92</v>
      </c>
      <c r="H179" s="202">
        <v>88</v>
      </c>
      <c r="I179" s="203">
        <v>2.8</v>
      </c>
      <c r="J179" s="203">
        <v>7.0000000000000007E-2</v>
      </c>
      <c r="K179" s="203">
        <v>7.93</v>
      </c>
      <c r="L179" s="203">
        <v>1.7</v>
      </c>
      <c r="M179" s="204">
        <v>1.2</v>
      </c>
      <c r="N179" s="200">
        <v>46</v>
      </c>
      <c r="O179" s="200">
        <v>50</v>
      </c>
      <c r="P179" s="203">
        <v>0.6</v>
      </c>
      <c r="Q179" s="203">
        <v>0.45</v>
      </c>
      <c r="R179" s="200">
        <v>53</v>
      </c>
      <c r="S179" s="200">
        <v>321</v>
      </c>
      <c r="T179" s="200">
        <v>19</v>
      </c>
      <c r="U179" s="205">
        <v>0.62</v>
      </c>
      <c r="V179" s="205">
        <v>310</v>
      </c>
      <c r="W179" s="204">
        <v>0.7</v>
      </c>
      <c r="X179" s="203">
        <v>33</v>
      </c>
      <c r="Y179" s="205">
        <v>0.06</v>
      </c>
      <c r="Z179" s="205">
        <v>0.05</v>
      </c>
      <c r="AA179" s="205">
        <v>0.2</v>
      </c>
      <c r="AB179" s="205">
        <v>0.16500000000000001</v>
      </c>
      <c r="AC179" s="205">
        <v>0.15</v>
      </c>
      <c r="AD179" s="200">
        <v>16</v>
      </c>
      <c r="AE179" s="200">
        <v>0</v>
      </c>
      <c r="AF179" s="203" t="s">
        <v>2</v>
      </c>
      <c r="AG179" s="204">
        <v>0</v>
      </c>
      <c r="AH179" s="200">
        <v>0</v>
      </c>
      <c r="AI179" s="200">
        <v>2</v>
      </c>
      <c r="AJ179" s="203" t="s">
        <v>2</v>
      </c>
      <c r="AK179" s="203">
        <v>0.48</v>
      </c>
      <c r="AL179" s="204">
        <v>0.1</v>
      </c>
      <c r="AM179" s="200">
        <v>22</v>
      </c>
      <c r="AN179" s="200" t="s">
        <v>2</v>
      </c>
      <c r="AO179" s="201" t="s">
        <v>2</v>
      </c>
      <c r="AP179" s="203">
        <v>1.2999999999999999E-2</v>
      </c>
      <c r="AQ179" s="205">
        <v>1.0999999999999999E-2</v>
      </c>
      <c r="AR179" s="205">
        <v>0</v>
      </c>
      <c r="AS179" s="205">
        <v>1E-3</v>
      </c>
      <c r="AT179" s="205">
        <v>0</v>
      </c>
      <c r="AU179" s="205">
        <v>0</v>
      </c>
      <c r="AV179" s="206">
        <v>0</v>
      </c>
      <c r="AW179" s="203">
        <v>7.0000000000000001E-3</v>
      </c>
      <c r="AX179" s="205">
        <v>0</v>
      </c>
      <c r="AY179" s="205">
        <v>0</v>
      </c>
      <c r="AZ179" s="206">
        <v>7.0000000000000001E-3</v>
      </c>
      <c r="BA179" s="203">
        <v>4.8000000000000001E-2</v>
      </c>
      <c r="BB179" s="205">
        <v>0.02</v>
      </c>
      <c r="BC179" s="205">
        <v>2.5999999999999999E-2</v>
      </c>
      <c r="BD179" s="205">
        <v>0</v>
      </c>
      <c r="BE179" s="205">
        <v>0</v>
      </c>
      <c r="BF179" s="206">
        <v>0</v>
      </c>
      <c r="BG179" s="199" t="s">
        <v>2</v>
      </c>
      <c r="BH179" s="199">
        <v>0</v>
      </c>
      <c r="BI179" s="200">
        <v>74</v>
      </c>
      <c r="BJ179" s="200">
        <v>18</v>
      </c>
      <c r="BK179" s="200">
        <v>27</v>
      </c>
      <c r="BL179" s="200">
        <v>46</v>
      </c>
      <c r="BM179" s="200">
        <v>64</v>
      </c>
      <c r="BN179" s="200">
        <v>55</v>
      </c>
      <c r="BO179" s="200">
        <v>90</v>
      </c>
      <c r="BP179" s="200">
        <v>120</v>
      </c>
      <c r="BQ179" s="200">
        <v>134</v>
      </c>
      <c r="BR179" s="200">
        <v>18</v>
      </c>
      <c r="BS179" s="200">
        <v>9</v>
      </c>
      <c r="BT179" s="200">
        <v>32</v>
      </c>
      <c r="BU179" s="200">
        <v>103</v>
      </c>
      <c r="BV179" s="200">
        <v>126</v>
      </c>
      <c r="BW179" s="200">
        <v>205</v>
      </c>
      <c r="BX179" s="200">
        <v>57</v>
      </c>
      <c r="BY179" s="200">
        <v>77</v>
      </c>
      <c r="BZ179" s="201">
        <v>85</v>
      </c>
      <c r="CA179" s="203">
        <v>2.6</v>
      </c>
      <c r="CB179" s="203" t="s">
        <v>2</v>
      </c>
      <c r="CC179" s="203" t="s">
        <v>2</v>
      </c>
      <c r="CD179" s="203" t="s">
        <v>2</v>
      </c>
      <c r="CE179" s="203" t="s">
        <v>2</v>
      </c>
      <c r="CF179" s="203" t="s">
        <v>2</v>
      </c>
      <c r="CG179" s="204" t="s">
        <v>2</v>
      </c>
      <c r="CH179" s="200" t="s">
        <v>2</v>
      </c>
      <c r="CI179" s="201" t="s">
        <v>2</v>
      </c>
      <c r="CJ179" s="203" t="s">
        <v>2</v>
      </c>
      <c r="CK179" s="203" t="s">
        <v>2</v>
      </c>
      <c r="CL179" s="203" t="s">
        <v>2</v>
      </c>
      <c r="CM179" s="204" t="s">
        <v>2</v>
      </c>
      <c r="CN179" s="199" t="s">
        <v>2</v>
      </c>
      <c r="CO179" s="199">
        <v>25</v>
      </c>
    </row>
    <row r="180" spans="1:93" s="207" customFormat="1" ht="15" x14ac:dyDescent="0.25">
      <c r="A180" s="220" t="s">
        <v>819</v>
      </c>
      <c r="B180" s="221" t="s">
        <v>212</v>
      </c>
      <c r="C180" s="222" t="s">
        <v>999</v>
      </c>
      <c r="D180" s="290">
        <v>4</v>
      </c>
      <c r="E180" s="199">
        <v>0</v>
      </c>
      <c r="F180" s="200">
        <v>311</v>
      </c>
      <c r="G180" s="201">
        <v>1299.98</v>
      </c>
      <c r="H180" s="202">
        <v>15</v>
      </c>
      <c r="I180" s="203">
        <v>20</v>
      </c>
      <c r="J180" s="203">
        <v>1.4</v>
      </c>
      <c r="K180" s="203">
        <v>54.6</v>
      </c>
      <c r="L180" s="203">
        <v>12.5</v>
      </c>
      <c r="M180" s="204">
        <v>9</v>
      </c>
      <c r="N180" s="200" t="s">
        <v>2</v>
      </c>
      <c r="O180" s="200" t="s">
        <v>2</v>
      </c>
      <c r="P180" s="203" t="s">
        <v>2</v>
      </c>
      <c r="Q180" s="203" t="s">
        <v>2</v>
      </c>
      <c r="R180" s="200" t="s">
        <v>2</v>
      </c>
      <c r="S180" s="200" t="s">
        <v>2</v>
      </c>
      <c r="T180" s="200" t="s">
        <v>2</v>
      </c>
      <c r="U180" s="205" t="s">
        <v>2</v>
      </c>
      <c r="V180" s="205" t="s">
        <v>2</v>
      </c>
      <c r="W180" s="204" t="s">
        <v>2</v>
      </c>
      <c r="X180" s="203">
        <v>3</v>
      </c>
      <c r="Y180" s="205" t="s">
        <v>2</v>
      </c>
      <c r="Z180" s="205" t="s">
        <v>2</v>
      </c>
      <c r="AA180" s="205" t="s">
        <v>2</v>
      </c>
      <c r="AB180" s="205" t="s">
        <v>2</v>
      </c>
      <c r="AC180" s="205" t="s">
        <v>2</v>
      </c>
      <c r="AD180" s="200" t="s">
        <v>2</v>
      </c>
      <c r="AE180" s="200" t="s">
        <v>2</v>
      </c>
      <c r="AF180" s="203" t="s">
        <v>2</v>
      </c>
      <c r="AG180" s="204" t="s">
        <v>2</v>
      </c>
      <c r="AH180" s="200">
        <v>0</v>
      </c>
      <c r="AI180" s="200">
        <v>0</v>
      </c>
      <c r="AJ180" s="203" t="s">
        <v>2</v>
      </c>
      <c r="AK180" s="203" t="s">
        <v>2</v>
      </c>
      <c r="AL180" s="204" t="s">
        <v>2</v>
      </c>
      <c r="AM180" s="200" t="s">
        <v>2</v>
      </c>
      <c r="AN180" s="200" t="s">
        <v>2</v>
      </c>
      <c r="AO180" s="201" t="s">
        <v>2</v>
      </c>
      <c r="AP180" s="203" t="s">
        <v>2</v>
      </c>
      <c r="AQ180" s="205" t="s">
        <v>2</v>
      </c>
      <c r="AR180" s="205" t="s">
        <v>2</v>
      </c>
      <c r="AS180" s="205" t="s">
        <v>2</v>
      </c>
      <c r="AT180" s="205" t="s">
        <v>2</v>
      </c>
      <c r="AU180" s="205" t="s">
        <v>2</v>
      </c>
      <c r="AV180" s="206" t="s">
        <v>2</v>
      </c>
      <c r="AW180" s="203" t="s">
        <v>2</v>
      </c>
      <c r="AX180" s="205" t="s">
        <v>2</v>
      </c>
      <c r="AY180" s="205" t="s">
        <v>2</v>
      </c>
      <c r="AZ180" s="206" t="s">
        <v>2</v>
      </c>
      <c r="BA180" s="203" t="s">
        <v>2</v>
      </c>
      <c r="BB180" s="205" t="s">
        <v>2</v>
      </c>
      <c r="BC180" s="205" t="s">
        <v>2</v>
      </c>
      <c r="BD180" s="205" t="s">
        <v>2</v>
      </c>
      <c r="BE180" s="205" t="s">
        <v>2</v>
      </c>
      <c r="BF180" s="206" t="s">
        <v>2</v>
      </c>
      <c r="BG180" s="199" t="s">
        <v>2</v>
      </c>
      <c r="BH180" s="199">
        <v>0</v>
      </c>
      <c r="BI180" s="200" t="s">
        <v>2</v>
      </c>
      <c r="BJ180" s="200" t="s">
        <v>2</v>
      </c>
      <c r="BK180" s="200" t="s">
        <v>2</v>
      </c>
      <c r="BL180" s="200" t="s">
        <v>2</v>
      </c>
      <c r="BM180" s="200" t="s">
        <v>2</v>
      </c>
      <c r="BN180" s="200" t="s">
        <v>2</v>
      </c>
      <c r="BO180" s="200" t="s">
        <v>2</v>
      </c>
      <c r="BP180" s="200" t="s">
        <v>2</v>
      </c>
      <c r="BQ180" s="200" t="s">
        <v>2</v>
      </c>
      <c r="BR180" s="200" t="s">
        <v>2</v>
      </c>
      <c r="BS180" s="200" t="s">
        <v>2</v>
      </c>
      <c r="BT180" s="200" t="s">
        <v>2</v>
      </c>
      <c r="BU180" s="200" t="s">
        <v>2</v>
      </c>
      <c r="BV180" s="200" t="s">
        <v>2</v>
      </c>
      <c r="BW180" s="200" t="s">
        <v>2</v>
      </c>
      <c r="BX180" s="200" t="s">
        <v>2</v>
      </c>
      <c r="BY180" s="200" t="s">
        <v>2</v>
      </c>
      <c r="BZ180" s="201" t="s">
        <v>2</v>
      </c>
      <c r="CA180" s="203" t="s">
        <v>2</v>
      </c>
      <c r="CB180" s="203" t="s">
        <v>2</v>
      </c>
      <c r="CC180" s="203" t="s">
        <v>2</v>
      </c>
      <c r="CD180" s="203" t="s">
        <v>2</v>
      </c>
      <c r="CE180" s="203" t="s">
        <v>2</v>
      </c>
      <c r="CF180" s="203" t="s">
        <v>2</v>
      </c>
      <c r="CG180" s="204" t="s">
        <v>2</v>
      </c>
      <c r="CH180" s="200" t="s">
        <v>2</v>
      </c>
      <c r="CI180" s="201" t="s">
        <v>2</v>
      </c>
      <c r="CJ180" s="203" t="s">
        <v>2</v>
      </c>
      <c r="CK180" s="203" t="s">
        <v>2</v>
      </c>
      <c r="CL180" s="203" t="s">
        <v>2</v>
      </c>
      <c r="CM180" s="204" t="s">
        <v>2</v>
      </c>
      <c r="CN180" s="199" t="s">
        <v>2</v>
      </c>
      <c r="CO180" s="199" t="s">
        <v>2</v>
      </c>
    </row>
    <row r="181" spans="1:93" s="207" customFormat="1" ht="15" x14ac:dyDescent="0.25">
      <c r="A181" s="220" t="s">
        <v>820</v>
      </c>
      <c r="B181" s="221" t="s">
        <v>1001</v>
      </c>
      <c r="C181" s="222" t="s">
        <v>1000</v>
      </c>
      <c r="D181" s="290">
        <v>4</v>
      </c>
      <c r="E181" s="199">
        <v>20</v>
      </c>
      <c r="F181" s="200">
        <v>23</v>
      </c>
      <c r="G181" s="201">
        <v>96.139999999999986</v>
      </c>
      <c r="H181" s="202">
        <v>94</v>
      </c>
      <c r="I181" s="203">
        <v>0.8</v>
      </c>
      <c r="J181" s="203">
        <v>0.1</v>
      </c>
      <c r="K181" s="203">
        <v>4.5999999999999996</v>
      </c>
      <c r="L181" s="203">
        <v>1</v>
      </c>
      <c r="M181" s="204">
        <v>0.5</v>
      </c>
      <c r="N181" s="200">
        <v>17</v>
      </c>
      <c r="O181" s="200">
        <v>14</v>
      </c>
      <c r="P181" s="203">
        <v>0.4</v>
      </c>
      <c r="Q181" s="203">
        <v>0.74</v>
      </c>
      <c r="R181" s="200">
        <v>2</v>
      </c>
      <c r="S181" s="200">
        <v>125</v>
      </c>
      <c r="T181" s="200">
        <v>12</v>
      </c>
      <c r="U181" s="205">
        <v>0.189</v>
      </c>
      <c r="V181" s="205">
        <v>123</v>
      </c>
      <c r="W181" s="204">
        <v>0.2</v>
      </c>
      <c r="X181" s="203">
        <v>4</v>
      </c>
      <c r="Y181" s="205">
        <v>0.01</v>
      </c>
      <c r="Z181" s="205">
        <v>0.02</v>
      </c>
      <c r="AA181" s="205">
        <v>0.4</v>
      </c>
      <c r="AB181" s="205">
        <v>0.249</v>
      </c>
      <c r="AC181" s="205">
        <v>7.5999999999999998E-2</v>
      </c>
      <c r="AD181" s="200">
        <v>93</v>
      </c>
      <c r="AE181" s="200">
        <v>0</v>
      </c>
      <c r="AF181" s="203" t="s">
        <v>2</v>
      </c>
      <c r="AG181" s="204">
        <v>0</v>
      </c>
      <c r="AH181" s="200">
        <v>0</v>
      </c>
      <c r="AI181" s="200">
        <v>0</v>
      </c>
      <c r="AJ181" s="203" t="s">
        <v>2</v>
      </c>
      <c r="AK181" s="203">
        <v>0.12</v>
      </c>
      <c r="AL181" s="204">
        <v>4.5999999999999996</v>
      </c>
      <c r="AM181" s="200">
        <v>0</v>
      </c>
      <c r="AN181" s="200" t="s">
        <v>2</v>
      </c>
      <c r="AO181" s="201" t="s">
        <v>2</v>
      </c>
      <c r="AP181" s="203">
        <v>2.8000000000000001E-2</v>
      </c>
      <c r="AQ181" s="205">
        <v>2.4E-2</v>
      </c>
      <c r="AR181" s="205">
        <v>0</v>
      </c>
      <c r="AS181" s="205">
        <v>3.0000000000000001E-3</v>
      </c>
      <c r="AT181" s="205">
        <v>0</v>
      </c>
      <c r="AU181" s="205">
        <v>0</v>
      </c>
      <c r="AV181" s="206">
        <v>0</v>
      </c>
      <c r="AW181" s="203">
        <v>0.01</v>
      </c>
      <c r="AX181" s="205">
        <v>0</v>
      </c>
      <c r="AY181" s="205">
        <v>0</v>
      </c>
      <c r="AZ181" s="206">
        <v>8.9999999999999993E-3</v>
      </c>
      <c r="BA181" s="203">
        <v>5.7000000000000002E-2</v>
      </c>
      <c r="BB181" s="205">
        <v>2.1000000000000001E-2</v>
      </c>
      <c r="BC181" s="205">
        <v>3.5999999999999997E-2</v>
      </c>
      <c r="BD181" s="205">
        <v>0</v>
      </c>
      <c r="BE181" s="205">
        <v>0</v>
      </c>
      <c r="BF181" s="206">
        <v>0</v>
      </c>
      <c r="BG181" s="199" t="s">
        <v>2</v>
      </c>
      <c r="BH181" s="199">
        <v>0</v>
      </c>
      <c r="BI181" s="200">
        <v>39</v>
      </c>
      <c r="BJ181" s="200">
        <v>1</v>
      </c>
      <c r="BK181" s="200">
        <v>11</v>
      </c>
      <c r="BL181" s="200">
        <v>47</v>
      </c>
      <c r="BM181" s="200">
        <v>40</v>
      </c>
      <c r="BN181" s="200">
        <v>63</v>
      </c>
      <c r="BO181" s="200">
        <v>77</v>
      </c>
      <c r="BP181" s="200">
        <v>44</v>
      </c>
      <c r="BQ181" s="200">
        <v>35</v>
      </c>
      <c r="BR181" s="200">
        <v>15</v>
      </c>
      <c r="BS181" s="200" t="s">
        <v>2</v>
      </c>
      <c r="BT181" s="200">
        <v>32</v>
      </c>
      <c r="BU181" s="200">
        <v>51</v>
      </c>
      <c r="BV181" s="200">
        <v>92</v>
      </c>
      <c r="BW181" s="200">
        <v>125</v>
      </c>
      <c r="BX181" s="200">
        <v>41</v>
      </c>
      <c r="BY181" s="200">
        <v>44</v>
      </c>
      <c r="BZ181" s="201">
        <v>47</v>
      </c>
      <c r="CA181" s="203">
        <v>1.85</v>
      </c>
      <c r="CB181" s="203" t="s">
        <v>2</v>
      </c>
      <c r="CC181" s="203" t="s">
        <v>2</v>
      </c>
      <c r="CD181" s="203" t="s">
        <v>2</v>
      </c>
      <c r="CE181" s="203" t="s">
        <v>2</v>
      </c>
      <c r="CF181" s="203" t="s">
        <v>2</v>
      </c>
      <c r="CG181" s="204" t="s">
        <v>2</v>
      </c>
      <c r="CH181" s="200" t="s">
        <v>2</v>
      </c>
      <c r="CI181" s="201" t="s">
        <v>2</v>
      </c>
      <c r="CJ181" s="203" t="s">
        <v>2</v>
      </c>
      <c r="CK181" s="203" t="s">
        <v>2</v>
      </c>
      <c r="CL181" s="203" t="s">
        <v>2</v>
      </c>
      <c r="CM181" s="204" t="s">
        <v>2</v>
      </c>
      <c r="CN181" s="199" t="s">
        <v>2</v>
      </c>
      <c r="CO181" s="199" t="s">
        <v>2</v>
      </c>
    </row>
    <row r="182" spans="1:93" s="207" customFormat="1" ht="15" x14ac:dyDescent="0.25">
      <c r="A182" s="220" t="s">
        <v>821</v>
      </c>
      <c r="B182" s="221" t="s">
        <v>213</v>
      </c>
      <c r="C182" s="222" t="s">
        <v>1002</v>
      </c>
      <c r="D182" s="290">
        <v>4</v>
      </c>
      <c r="E182" s="199">
        <v>40</v>
      </c>
      <c r="F182" s="200">
        <v>34</v>
      </c>
      <c r="G182" s="201">
        <v>142.12</v>
      </c>
      <c r="H182" s="202">
        <v>90.9</v>
      </c>
      <c r="I182" s="203">
        <v>2.5</v>
      </c>
      <c r="J182" s="203">
        <v>0.15</v>
      </c>
      <c r="K182" s="203">
        <v>5.65</v>
      </c>
      <c r="L182" s="203">
        <v>0.9</v>
      </c>
      <c r="M182" s="204">
        <v>0.8</v>
      </c>
      <c r="N182" s="200">
        <v>26</v>
      </c>
      <c r="O182" s="200">
        <v>51</v>
      </c>
      <c r="P182" s="203">
        <v>1.4</v>
      </c>
      <c r="Q182" s="203">
        <v>0.2</v>
      </c>
      <c r="R182" s="200">
        <v>20</v>
      </c>
      <c r="S182" s="200">
        <v>349</v>
      </c>
      <c r="T182" s="200">
        <v>22</v>
      </c>
      <c r="U182" s="205">
        <v>0.2</v>
      </c>
      <c r="V182" s="205">
        <v>140</v>
      </c>
      <c r="W182" s="204">
        <v>0.6</v>
      </c>
      <c r="X182" s="203">
        <v>34</v>
      </c>
      <c r="Y182" s="205">
        <v>0.11</v>
      </c>
      <c r="Z182" s="205">
        <v>0.1</v>
      </c>
      <c r="AA182" s="205">
        <v>0.6</v>
      </c>
      <c r="AB182" s="205">
        <v>0.65200000000000002</v>
      </c>
      <c r="AC182" s="205">
        <v>0.222</v>
      </c>
      <c r="AD182" s="200">
        <v>57</v>
      </c>
      <c r="AE182" s="200">
        <v>0</v>
      </c>
      <c r="AF182" s="203">
        <v>1.5</v>
      </c>
      <c r="AG182" s="204">
        <v>0</v>
      </c>
      <c r="AH182" s="200">
        <v>0</v>
      </c>
      <c r="AI182" s="200">
        <v>1</v>
      </c>
      <c r="AJ182" s="203" t="s">
        <v>2</v>
      </c>
      <c r="AK182" s="203">
        <v>0.08</v>
      </c>
      <c r="AL182" s="204">
        <v>16</v>
      </c>
      <c r="AM182" s="200">
        <v>8</v>
      </c>
      <c r="AN182" s="200">
        <v>0</v>
      </c>
      <c r="AO182" s="201">
        <v>0</v>
      </c>
      <c r="AP182" s="203">
        <v>3.2000000000000001E-2</v>
      </c>
      <c r="AQ182" s="205">
        <v>2.8000000000000001E-2</v>
      </c>
      <c r="AR182" s="205">
        <v>0</v>
      </c>
      <c r="AS182" s="205">
        <v>4.0000000000000001E-3</v>
      </c>
      <c r="AT182" s="205">
        <v>0</v>
      </c>
      <c r="AU182" s="205">
        <v>0</v>
      </c>
      <c r="AV182" s="206">
        <v>0</v>
      </c>
      <c r="AW182" s="203">
        <v>1.4E-2</v>
      </c>
      <c r="AX182" s="205">
        <v>0</v>
      </c>
      <c r="AY182" s="205">
        <v>0</v>
      </c>
      <c r="AZ182" s="206">
        <v>1.4E-2</v>
      </c>
      <c r="BA182" s="203">
        <v>9.9000000000000005E-2</v>
      </c>
      <c r="BB182" s="205">
        <v>2.3E-2</v>
      </c>
      <c r="BC182" s="205">
        <v>7.5999999999999998E-2</v>
      </c>
      <c r="BD182" s="205">
        <v>0</v>
      </c>
      <c r="BE182" s="205">
        <v>0</v>
      </c>
      <c r="BF182" s="206">
        <v>0</v>
      </c>
      <c r="BG182" s="199" t="s">
        <v>2</v>
      </c>
      <c r="BH182" s="199">
        <v>0</v>
      </c>
      <c r="BI182" s="200">
        <v>134</v>
      </c>
      <c r="BJ182" s="200">
        <v>46</v>
      </c>
      <c r="BK182" s="200">
        <v>35</v>
      </c>
      <c r="BL182" s="200">
        <v>81</v>
      </c>
      <c r="BM182" s="200">
        <v>100</v>
      </c>
      <c r="BN182" s="200">
        <v>138</v>
      </c>
      <c r="BO182" s="200">
        <v>161</v>
      </c>
      <c r="BP182" s="200">
        <v>104</v>
      </c>
      <c r="BQ182" s="200">
        <v>108</v>
      </c>
      <c r="BR182" s="200">
        <v>46</v>
      </c>
      <c r="BS182" s="200">
        <v>36</v>
      </c>
      <c r="BT182" s="200">
        <v>35</v>
      </c>
      <c r="BU182" s="200">
        <v>192</v>
      </c>
      <c r="BV182" s="200">
        <v>200</v>
      </c>
      <c r="BW182" s="200">
        <v>184</v>
      </c>
      <c r="BX182" s="200">
        <v>165</v>
      </c>
      <c r="BY182" s="200">
        <v>124</v>
      </c>
      <c r="BZ182" s="201">
        <v>109</v>
      </c>
      <c r="CA182" s="203">
        <v>2.4</v>
      </c>
      <c r="CB182" s="203" t="s">
        <v>2</v>
      </c>
      <c r="CC182" s="203" t="s">
        <v>2</v>
      </c>
      <c r="CD182" s="203" t="s">
        <v>2</v>
      </c>
      <c r="CE182" s="203" t="s">
        <v>2</v>
      </c>
      <c r="CF182" s="203" t="s">
        <v>2</v>
      </c>
      <c r="CG182" s="204" t="s">
        <v>2</v>
      </c>
      <c r="CH182" s="200">
        <v>0</v>
      </c>
      <c r="CI182" s="201">
        <v>33</v>
      </c>
      <c r="CJ182" s="203" t="s">
        <v>2</v>
      </c>
      <c r="CK182" s="203" t="s">
        <v>2</v>
      </c>
      <c r="CL182" s="203" t="s">
        <v>2</v>
      </c>
      <c r="CM182" s="204" t="s">
        <v>2</v>
      </c>
      <c r="CN182" s="199">
        <v>18</v>
      </c>
      <c r="CO182" s="199">
        <v>51</v>
      </c>
    </row>
    <row r="183" spans="1:93" s="207" customFormat="1" ht="15" x14ac:dyDescent="0.25">
      <c r="A183" s="220" t="s">
        <v>822</v>
      </c>
      <c r="B183" s="221" t="s">
        <v>214</v>
      </c>
      <c r="C183" s="222" t="s">
        <v>1003</v>
      </c>
      <c r="D183" s="290">
        <v>4</v>
      </c>
      <c r="E183" s="199">
        <v>39</v>
      </c>
      <c r="F183" s="200">
        <v>39</v>
      </c>
      <c r="G183" s="201">
        <v>163.01999999999998</v>
      </c>
      <c r="H183" s="202">
        <v>89.8</v>
      </c>
      <c r="I183" s="203">
        <v>2.95</v>
      </c>
      <c r="J183" s="203">
        <v>0.3</v>
      </c>
      <c r="K183" s="203">
        <v>6.08</v>
      </c>
      <c r="L183" s="203">
        <v>3.2</v>
      </c>
      <c r="M183" s="204">
        <v>0.88</v>
      </c>
      <c r="N183" s="200">
        <v>33</v>
      </c>
      <c r="O183" s="200">
        <v>62</v>
      </c>
      <c r="P183" s="203">
        <v>0.73</v>
      </c>
      <c r="Q183" s="203">
        <v>0.64</v>
      </c>
      <c r="R183" s="200">
        <v>23</v>
      </c>
      <c r="S183" s="200">
        <v>300</v>
      </c>
      <c r="T183" s="200">
        <v>20</v>
      </c>
      <c r="U183" s="205">
        <v>0.25</v>
      </c>
      <c r="V183" s="205">
        <v>41</v>
      </c>
      <c r="W183" s="204">
        <v>0.6</v>
      </c>
      <c r="X183" s="203">
        <v>88.1</v>
      </c>
      <c r="Y183" s="205">
        <v>0.08</v>
      </c>
      <c r="Z183" s="205">
        <v>0.1</v>
      </c>
      <c r="AA183" s="205">
        <v>0.7</v>
      </c>
      <c r="AB183" s="205">
        <v>0.69599999999999995</v>
      </c>
      <c r="AC183" s="205">
        <v>0.222</v>
      </c>
      <c r="AD183" s="200">
        <v>57</v>
      </c>
      <c r="AE183" s="200">
        <v>0</v>
      </c>
      <c r="AF183" s="203" t="s">
        <v>2</v>
      </c>
      <c r="AG183" s="204">
        <v>0</v>
      </c>
      <c r="AH183" s="200">
        <v>0</v>
      </c>
      <c r="AI183" s="200">
        <v>8</v>
      </c>
      <c r="AJ183" s="203" t="s">
        <v>2</v>
      </c>
      <c r="AK183" s="203">
        <v>0.04</v>
      </c>
      <c r="AL183" s="204">
        <v>20.2</v>
      </c>
      <c r="AM183" s="200">
        <v>93</v>
      </c>
      <c r="AN183" s="200">
        <v>0</v>
      </c>
      <c r="AO183" s="201">
        <v>0</v>
      </c>
      <c r="AP183" s="203">
        <v>4.7E-2</v>
      </c>
      <c r="AQ183" s="205">
        <v>3.7999999999999999E-2</v>
      </c>
      <c r="AR183" s="205">
        <v>0</v>
      </c>
      <c r="AS183" s="205">
        <v>4.0000000000000001E-3</v>
      </c>
      <c r="AT183" s="205">
        <v>0</v>
      </c>
      <c r="AU183" s="205">
        <v>0</v>
      </c>
      <c r="AV183" s="206">
        <v>0</v>
      </c>
      <c r="AW183" s="203">
        <v>2.8000000000000001E-2</v>
      </c>
      <c r="AX183" s="205">
        <v>0</v>
      </c>
      <c r="AY183" s="205">
        <v>4.0000000000000001E-3</v>
      </c>
      <c r="AZ183" s="206">
        <v>2.3E-2</v>
      </c>
      <c r="BA183" s="203">
        <v>0.13300000000000001</v>
      </c>
      <c r="BB183" s="205">
        <v>2.9000000000000001E-2</v>
      </c>
      <c r="BC183" s="205">
        <v>0.104</v>
      </c>
      <c r="BD183" s="205">
        <v>0</v>
      </c>
      <c r="BE183" s="205">
        <v>0</v>
      </c>
      <c r="BF183" s="206">
        <v>0</v>
      </c>
      <c r="BG183" s="199" t="s">
        <v>2</v>
      </c>
      <c r="BH183" s="199">
        <v>0</v>
      </c>
      <c r="BI183" s="200">
        <v>158</v>
      </c>
      <c r="BJ183" s="200">
        <v>42</v>
      </c>
      <c r="BK183" s="200">
        <v>39</v>
      </c>
      <c r="BL183" s="200">
        <v>105</v>
      </c>
      <c r="BM183" s="200">
        <v>107</v>
      </c>
      <c r="BN183" s="200">
        <v>148</v>
      </c>
      <c r="BO183" s="200">
        <v>172</v>
      </c>
      <c r="BP183" s="200">
        <v>112</v>
      </c>
      <c r="BQ183" s="200">
        <v>142</v>
      </c>
      <c r="BR183" s="200">
        <v>59</v>
      </c>
      <c r="BS183" s="200">
        <v>34</v>
      </c>
      <c r="BT183" s="200">
        <v>64</v>
      </c>
      <c r="BU183" s="200">
        <v>156</v>
      </c>
      <c r="BV183" s="200">
        <v>345</v>
      </c>
      <c r="BW183" s="200">
        <v>393</v>
      </c>
      <c r="BX183" s="200">
        <v>95</v>
      </c>
      <c r="BY183" s="200">
        <v>127</v>
      </c>
      <c r="BZ183" s="201">
        <v>154</v>
      </c>
      <c r="CA183" s="203">
        <v>3.03</v>
      </c>
      <c r="CB183" s="203" t="s">
        <v>2</v>
      </c>
      <c r="CC183" s="203" t="s">
        <v>2</v>
      </c>
      <c r="CD183" s="203" t="s">
        <v>2</v>
      </c>
      <c r="CE183" s="203" t="s">
        <v>2</v>
      </c>
      <c r="CF183" s="203" t="s">
        <v>2</v>
      </c>
      <c r="CG183" s="204" t="s">
        <v>2</v>
      </c>
      <c r="CH183" s="200">
        <v>0</v>
      </c>
      <c r="CI183" s="201">
        <v>42</v>
      </c>
      <c r="CJ183" s="203" t="s">
        <v>2</v>
      </c>
      <c r="CK183" s="203" t="s">
        <v>2</v>
      </c>
      <c r="CL183" s="203" t="s">
        <v>2</v>
      </c>
      <c r="CM183" s="204" t="s">
        <v>2</v>
      </c>
      <c r="CN183" s="199" t="s">
        <v>2</v>
      </c>
      <c r="CO183" s="199" t="s">
        <v>2</v>
      </c>
    </row>
    <row r="184" spans="1:93" s="207" customFormat="1" ht="15" x14ac:dyDescent="0.25">
      <c r="A184" s="220" t="s">
        <v>823</v>
      </c>
      <c r="B184" s="221" t="s">
        <v>215</v>
      </c>
      <c r="C184" s="222" t="s">
        <v>1004</v>
      </c>
      <c r="D184" s="290">
        <v>4</v>
      </c>
      <c r="E184" s="199">
        <v>25</v>
      </c>
      <c r="F184" s="200">
        <v>47</v>
      </c>
      <c r="G184" s="201">
        <v>196.45999999999998</v>
      </c>
      <c r="H184" s="202">
        <v>88.4</v>
      </c>
      <c r="I184" s="203">
        <v>2.6</v>
      </c>
      <c r="J184" s="203">
        <v>0.96</v>
      </c>
      <c r="K184" s="203">
        <v>6.94</v>
      </c>
      <c r="L184" s="203">
        <v>5</v>
      </c>
      <c r="M184" s="204">
        <v>1.1000000000000001</v>
      </c>
      <c r="N184" s="200">
        <v>200</v>
      </c>
      <c r="O184" s="200">
        <v>12</v>
      </c>
      <c r="P184" s="203">
        <v>1.2</v>
      </c>
      <c r="Q184" s="203">
        <v>0.5</v>
      </c>
      <c r="R184" s="200">
        <v>48</v>
      </c>
      <c r="S184" s="200">
        <v>361</v>
      </c>
      <c r="T184" s="200">
        <v>55</v>
      </c>
      <c r="U184" s="205">
        <v>0.55000000000000004</v>
      </c>
      <c r="V184" s="205">
        <v>220</v>
      </c>
      <c r="W184" s="204" t="s">
        <v>2</v>
      </c>
      <c r="X184" s="203">
        <v>63</v>
      </c>
      <c r="Y184" s="205">
        <v>0.05</v>
      </c>
      <c r="Z184" s="205">
        <v>0.12</v>
      </c>
      <c r="AA184" s="205">
        <v>0.7</v>
      </c>
      <c r="AB184" s="205">
        <v>0.39700000000000002</v>
      </c>
      <c r="AC184" s="205">
        <v>0.185</v>
      </c>
      <c r="AD184" s="200">
        <v>150</v>
      </c>
      <c r="AE184" s="200">
        <v>0</v>
      </c>
      <c r="AF184" s="203" t="s">
        <v>2</v>
      </c>
      <c r="AG184" s="204">
        <v>0</v>
      </c>
      <c r="AH184" s="200">
        <v>0</v>
      </c>
      <c r="AI184" s="200">
        <v>238</v>
      </c>
      <c r="AJ184" s="203" t="s">
        <v>2</v>
      </c>
      <c r="AK184" s="203" t="s">
        <v>2</v>
      </c>
      <c r="AL184" s="204" t="s">
        <v>2</v>
      </c>
      <c r="AM184" s="200">
        <v>2850</v>
      </c>
      <c r="AN184" s="200" t="s">
        <v>2</v>
      </c>
      <c r="AO184" s="201" t="s">
        <v>2</v>
      </c>
      <c r="AP184" s="203">
        <v>0.06</v>
      </c>
      <c r="AQ184" s="205">
        <v>4.9000000000000002E-2</v>
      </c>
      <c r="AR184" s="205">
        <v>0</v>
      </c>
      <c r="AS184" s="205">
        <v>8.9999999999999993E-3</v>
      </c>
      <c r="AT184" s="205">
        <v>0</v>
      </c>
      <c r="AU184" s="205">
        <v>0</v>
      </c>
      <c r="AV184" s="206">
        <v>0</v>
      </c>
      <c r="AW184" s="203">
        <v>0.80200000000000005</v>
      </c>
      <c r="AX184" s="205">
        <v>0</v>
      </c>
      <c r="AY184" s="205">
        <v>4.0000000000000001E-3</v>
      </c>
      <c r="AZ184" s="206">
        <v>0.79800000000000004</v>
      </c>
      <c r="BA184" s="203">
        <v>9.5000000000000001E-2</v>
      </c>
      <c r="BB184" s="205">
        <v>8.2000000000000003E-2</v>
      </c>
      <c r="BC184" s="205">
        <v>1.2999999999999999E-2</v>
      </c>
      <c r="BD184" s="205">
        <v>0</v>
      </c>
      <c r="BE184" s="205">
        <v>0</v>
      </c>
      <c r="BF184" s="206">
        <v>0</v>
      </c>
      <c r="BG184" s="199" t="s">
        <v>2</v>
      </c>
      <c r="BH184" s="199">
        <v>0</v>
      </c>
      <c r="BI184" s="200">
        <v>246</v>
      </c>
      <c r="BJ184" s="200">
        <v>11</v>
      </c>
      <c r="BK184" s="200">
        <v>14</v>
      </c>
      <c r="BL184" s="200">
        <v>65</v>
      </c>
      <c r="BM184" s="200">
        <v>68</v>
      </c>
      <c r="BN184" s="200">
        <v>154</v>
      </c>
      <c r="BO184" s="200">
        <v>159</v>
      </c>
      <c r="BP184" s="200">
        <v>195</v>
      </c>
      <c r="BQ184" s="200">
        <v>142</v>
      </c>
      <c r="BR184" s="200">
        <v>71</v>
      </c>
      <c r="BS184" s="200">
        <v>17</v>
      </c>
      <c r="BT184" s="200">
        <v>96</v>
      </c>
      <c r="BU184" s="200">
        <v>227</v>
      </c>
      <c r="BV184" s="200">
        <v>343</v>
      </c>
      <c r="BW184" s="200">
        <v>290</v>
      </c>
      <c r="BX184" s="200">
        <v>169</v>
      </c>
      <c r="BY184" s="200">
        <v>248</v>
      </c>
      <c r="BZ184" s="201">
        <v>158</v>
      </c>
      <c r="CA184" s="203" t="s">
        <v>2</v>
      </c>
      <c r="CB184" s="203" t="s">
        <v>2</v>
      </c>
      <c r="CC184" s="203" t="s">
        <v>2</v>
      </c>
      <c r="CD184" s="203" t="s">
        <v>2</v>
      </c>
      <c r="CE184" s="203" t="s">
        <v>2</v>
      </c>
      <c r="CF184" s="203" t="s">
        <v>2</v>
      </c>
      <c r="CG184" s="204" t="s">
        <v>2</v>
      </c>
      <c r="CH184" s="200" t="s">
        <v>2</v>
      </c>
      <c r="CI184" s="201" t="s">
        <v>2</v>
      </c>
      <c r="CJ184" s="203" t="s">
        <v>2</v>
      </c>
      <c r="CK184" s="203" t="s">
        <v>2</v>
      </c>
      <c r="CL184" s="203" t="s">
        <v>2</v>
      </c>
      <c r="CM184" s="204" t="s">
        <v>2</v>
      </c>
      <c r="CN184" s="199" t="s">
        <v>2</v>
      </c>
      <c r="CO184" s="199" t="s">
        <v>2</v>
      </c>
    </row>
    <row r="185" spans="1:93" s="207" customFormat="1" ht="15" x14ac:dyDescent="0.25">
      <c r="A185" s="220" t="s">
        <v>824</v>
      </c>
      <c r="B185" s="221" t="s">
        <v>216</v>
      </c>
      <c r="C185" s="222" t="s">
        <v>1005</v>
      </c>
      <c r="D185" s="290">
        <v>4</v>
      </c>
      <c r="E185" s="199">
        <v>20</v>
      </c>
      <c r="F185" s="200">
        <v>40</v>
      </c>
      <c r="G185" s="201">
        <v>167.2</v>
      </c>
      <c r="H185" s="202">
        <v>89.1</v>
      </c>
      <c r="I185" s="203">
        <v>2.9</v>
      </c>
      <c r="J185" s="203" t="s">
        <v>2</v>
      </c>
      <c r="K185" s="203">
        <v>7</v>
      </c>
      <c r="L185" s="203">
        <v>3.6</v>
      </c>
      <c r="M185" s="204">
        <v>1</v>
      </c>
      <c r="N185" s="200">
        <v>190</v>
      </c>
      <c r="O185" s="200">
        <v>18</v>
      </c>
      <c r="P185" s="203">
        <v>3.2</v>
      </c>
      <c r="Q185" s="203">
        <v>0.86</v>
      </c>
      <c r="R185" s="200">
        <v>3</v>
      </c>
      <c r="S185" s="200">
        <v>284</v>
      </c>
      <c r="T185" s="200">
        <v>112</v>
      </c>
      <c r="U185" s="205">
        <v>0.73</v>
      </c>
      <c r="V185" s="205">
        <v>460</v>
      </c>
      <c r="W185" s="204" t="s">
        <v>2</v>
      </c>
      <c r="X185" s="203">
        <v>13</v>
      </c>
      <c r="Y185" s="205" t="s">
        <v>2</v>
      </c>
      <c r="Z185" s="205" t="s">
        <v>2</v>
      </c>
      <c r="AA185" s="205" t="s">
        <v>2</v>
      </c>
      <c r="AB185" s="205" t="s">
        <v>2</v>
      </c>
      <c r="AC185" s="205" t="s">
        <v>2</v>
      </c>
      <c r="AD185" s="200" t="s">
        <v>2</v>
      </c>
      <c r="AE185" s="200" t="s">
        <v>2</v>
      </c>
      <c r="AF185" s="203" t="s">
        <v>2</v>
      </c>
      <c r="AG185" s="204" t="s">
        <v>2</v>
      </c>
      <c r="AH185" s="200">
        <v>0</v>
      </c>
      <c r="AI185" s="200">
        <v>460</v>
      </c>
      <c r="AJ185" s="203" t="s">
        <v>2</v>
      </c>
      <c r="AK185" s="203" t="s">
        <v>2</v>
      </c>
      <c r="AL185" s="204" t="s">
        <v>2</v>
      </c>
      <c r="AM185" s="200">
        <v>5520</v>
      </c>
      <c r="AN185" s="200" t="s">
        <v>2</v>
      </c>
      <c r="AO185" s="201" t="s">
        <v>2</v>
      </c>
      <c r="AP185" s="203" t="s">
        <v>2</v>
      </c>
      <c r="AQ185" s="205" t="s">
        <v>2</v>
      </c>
      <c r="AR185" s="205" t="s">
        <v>2</v>
      </c>
      <c r="AS185" s="205" t="s">
        <v>2</v>
      </c>
      <c r="AT185" s="205" t="s">
        <v>2</v>
      </c>
      <c r="AU185" s="205" t="s">
        <v>2</v>
      </c>
      <c r="AV185" s="206" t="s">
        <v>2</v>
      </c>
      <c r="AW185" s="203" t="s">
        <v>2</v>
      </c>
      <c r="AX185" s="205" t="s">
        <v>2</v>
      </c>
      <c r="AY185" s="205" t="s">
        <v>2</v>
      </c>
      <c r="AZ185" s="206" t="s">
        <v>2</v>
      </c>
      <c r="BA185" s="203" t="s">
        <v>2</v>
      </c>
      <c r="BB185" s="205" t="s">
        <v>2</v>
      </c>
      <c r="BC185" s="205" t="s">
        <v>2</v>
      </c>
      <c r="BD185" s="205" t="s">
        <v>2</v>
      </c>
      <c r="BE185" s="205" t="s">
        <v>2</v>
      </c>
      <c r="BF185" s="206" t="s">
        <v>2</v>
      </c>
      <c r="BG185" s="199" t="s">
        <v>2</v>
      </c>
      <c r="BH185" s="199">
        <v>0</v>
      </c>
      <c r="BI185" s="200" t="s">
        <v>2</v>
      </c>
      <c r="BJ185" s="200" t="s">
        <v>2</v>
      </c>
      <c r="BK185" s="200" t="s">
        <v>2</v>
      </c>
      <c r="BL185" s="200" t="s">
        <v>2</v>
      </c>
      <c r="BM185" s="200" t="s">
        <v>2</v>
      </c>
      <c r="BN185" s="200" t="s">
        <v>2</v>
      </c>
      <c r="BO185" s="200" t="s">
        <v>2</v>
      </c>
      <c r="BP185" s="200" t="s">
        <v>2</v>
      </c>
      <c r="BQ185" s="200" t="s">
        <v>2</v>
      </c>
      <c r="BR185" s="200" t="s">
        <v>2</v>
      </c>
      <c r="BS185" s="200" t="s">
        <v>2</v>
      </c>
      <c r="BT185" s="200" t="s">
        <v>2</v>
      </c>
      <c r="BU185" s="200" t="s">
        <v>2</v>
      </c>
      <c r="BV185" s="200" t="s">
        <v>2</v>
      </c>
      <c r="BW185" s="200" t="s">
        <v>2</v>
      </c>
      <c r="BX185" s="200" t="s">
        <v>2</v>
      </c>
      <c r="BY185" s="200" t="s">
        <v>2</v>
      </c>
      <c r="BZ185" s="201" t="s">
        <v>2</v>
      </c>
      <c r="CA185" s="203" t="s">
        <v>2</v>
      </c>
      <c r="CB185" s="203" t="s">
        <v>2</v>
      </c>
      <c r="CC185" s="203" t="s">
        <v>2</v>
      </c>
      <c r="CD185" s="203" t="s">
        <v>2</v>
      </c>
      <c r="CE185" s="203" t="s">
        <v>2</v>
      </c>
      <c r="CF185" s="203" t="s">
        <v>2</v>
      </c>
      <c r="CG185" s="204" t="s">
        <v>2</v>
      </c>
      <c r="CH185" s="200" t="s">
        <v>2</v>
      </c>
      <c r="CI185" s="201" t="s">
        <v>2</v>
      </c>
      <c r="CJ185" s="203" t="s">
        <v>2</v>
      </c>
      <c r="CK185" s="203" t="s">
        <v>2</v>
      </c>
      <c r="CL185" s="203" t="s">
        <v>2</v>
      </c>
      <c r="CM185" s="204" t="s">
        <v>2</v>
      </c>
      <c r="CN185" s="199" t="s">
        <v>2</v>
      </c>
      <c r="CO185" s="199" t="s">
        <v>2</v>
      </c>
    </row>
    <row r="186" spans="1:93" s="207" customFormat="1" ht="15" x14ac:dyDescent="0.25">
      <c r="A186" s="220" t="s">
        <v>825</v>
      </c>
      <c r="B186" s="221" t="s">
        <v>217</v>
      </c>
      <c r="C186" s="222" t="s">
        <v>1006</v>
      </c>
      <c r="D186" s="290">
        <v>4</v>
      </c>
      <c r="E186" s="199">
        <v>20</v>
      </c>
      <c r="F186" s="200">
        <v>126</v>
      </c>
      <c r="G186" s="201">
        <v>526.67999999999995</v>
      </c>
      <c r="H186" s="202">
        <v>67.7</v>
      </c>
      <c r="I186" s="203">
        <v>6</v>
      </c>
      <c r="J186" s="203">
        <v>0.35</v>
      </c>
      <c r="K186" s="203">
        <v>24.65</v>
      </c>
      <c r="L186" s="203">
        <v>1.5</v>
      </c>
      <c r="M186" s="204">
        <v>1.3</v>
      </c>
      <c r="N186" s="200">
        <v>24</v>
      </c>
      <c r="O186" s="200">
        <v>181</v>
      </c>
      <c r="P186" s="203">
        <v>1.5</v>
      </c>
      <c r="Q186" s="203">
        <v>0.9</v>
      </c>
      <c r="R186" s="200">
        <v>18</v>
      </c>
      <c r="S186" s="200">
        <v>373</v>
      </c>
      <c r="T186" s="200">
        <v>8</v>
      </c>
      <c r="U186" s="205">
        <v>1.3</v>
      </c>
      <c r="V186" s="205">
        <v>299</v>
      </c>
      <c r="W186" s="204">
        <v>77.099999999999994</v>
      </c>
      <c r="X186" s="203">
        <v>10</v>
      </c>
      <c r="Y186" s="205">
        <v>0.24</v>
      </c>
      <c r="Z186" s="205">
        <v>0.03</v>
      </c>
      <c r="AA186" s="205">
        <v>0.9</v>
      </c>
      <c r="AB186" s="205">
        <v>0.59599999999999997</v>
      </c>
      <c r="AC186" s="205">
        <v>1.2350000000000001</v>
      </c>
      <c r="AD186" s="200">
        <v>3</v>
      </c>
      <c r="AE186" s="200">
        <v>0</v>
      </c>
      <c r="AF186" s="203" t="s">
        <v>2</v>
      </c>
      <c r="AG186" s="204">
        <v>0</v>
      </c>
      <c r="AH186" s="200">
        <v>0</v>
      </c>
      <c r="AI186" s="200">
        <v>0</v>
      </c>
      <c r="AJ186" s="203" t="s">
        <v>2</v>
      </c>
      <c r="AK186" s="203">
        <v>0.01</v>
      </c>
      <c r="AL186" s="204">
        <v>1.4</v>
      </c>
      <c r="AM186" s="200">
        <v>0</v>
      </c>
      <c r="AN186" s="200">
        <v>0</v>
      </c>
      <c r="AO186" s="201">
        <v>0</v>
      </c>
      <c r="AP186" s="203">
        <v>8.8999999999999996E-2</v>
      </c>
      <c r="AQ186" s="205">
        <v>8.6999999999999994E-2</v>
      </c>
      <c r="AR186" s="205">
        <v>0</v>
      </c>
      <c r="AS186" s="205">
        <v>0</v>
      </c>
      <c r="AT186" s="205">
        <v>0</v>
      </c>
      <c r="AU186" s="205">
        <v>0</v>
      </c>
      <c r="AV186" s="206">
        <v>0</v>
      </c>
      <c r="AW186" s="203">
        <v>1.0999999999999999E-2</v>
      </c>
      <c r="AX186" s="205">
        <v>0</v>
      </c>
      <c r="AY186" s="205">
        <v>0</v>
      </c>
      <c r="AZ186" s="206">
        <v>1.0999999999999999E-2</v>
      </c>
      <c r="BA186" s="203">
        <v>0.249</v>
      </c>
      <c r="BB186" s="205">
        <v>0.22900000000000001</v>
      </c>
      <c r="BC186" s="205">
        <v>0.02</v>
      </c>
      <c r="BD186" s="205">
        <v>0</v>
      </c>
      <c r="BE186" s="205">
        <v>0</v>
      </c>
      <c r="BF186" s="206">
        <v>0</v>
      </c>
      <c r="BG186" s="199" t="s">
        <v>2</v>
      </c>
      <c r="BH186" s="199">
        <v>0</v>
      </c>
      <c r="BI186" s="200">
        <v>273</v>
      </c>
      <c r="BJ186" s="200">
        <v>76</v>
      </c>
      <c r="BK186" s="200">
        <v>66</v>
      </c>
      <c r="BL186" s="200">
        <v>183</v>
      </c>
      <c r="BM186" s="200">
        <v>157</v>
      </c>
      <c r="BN186" s="200">
        <v>291</v>
      </c>
      <c r="BO186" s="200">
        <v>308</v>
      </c>
      <c r="BP186" s="200">
        <v>217</v>
      </c>
      <c r="BQ186" s="200">
        <v>634</v>
      </c>
      <c r="BR186" s="200">
        <v>113</v>
      </c>
      <c r="BS186" s="200">
        <v>65</v>
      </c>
      <c r="BT186" s="200">
        <v>81</v>
      </c>
      <c r="BU186" s="200">
        <v>132</v>
      </c>
      <c r="BV186" s="200">
        <v>489</v>
      </c>
      <c r="BW186" s="200">
        <v>805</v>
      </c>
      <c r="BX186" s="200">
        <v>200</v>
      </c>
      <c r="BY186" s="200">
        <v>100</v>
      </c>
      <c r="BZ186" s="201">
        <v>190</v>
      </c>
      <c r="CA186" s="203">
        <v>1</v>
      </c>
      <c r="CB186" s="203" t="s">
        <v>2</v>
      </c>
      <c r="CC186" s="203" t="s">
        <v>2</v>
      </c>
      <c r="CD186" s="203" t="s">
        <v>2</v>
      </c>
      <c r="CE186" s="203" t="s">
        <v>2</v>
      </c>
      <c r="CF186" s="203" t="s">
        <v>2</v>
      </c>
      <c r="CG186" s="204" t="s">
        <v>2</v>
      </c>
      <c r="CH186" s="200">
        <v>0</v>
      </c>
      <c r="CI186" s="201">
        <v>26</v>
      </c>
      <c r="CJ186" s="203" t="s">
        <v>2</v>
      </c>
      <c r="CK186" s="203" t="s">
        <v>2</v>
      </c>
      <c r="CL186" s="203" t="s">
        <v>2</v>
      </c>
      <c r="CM186" s="204" t="s">
        <v>2</v>
      </c>
      <c r="CN186" s="199" t="s">
        <v>2</v>
      </c>
      <c r="CO186" s="199" t="s">
        <v>2</v>
      </c>
    </row>
    <row r="187" spans="1:93" s="207" customFormat="1" ht="15" x14ac:dyDescent="0.25">
      <c r="A187" s="220" t="s">
        <v>826</v>
      </c>
      <c r="B187" s="221" t="s">
        <v>218</v>
      </c>
      <c r="C187" s="222" t="s">
        <v>1007</v>
      </c>
      <c r="D187" s="290">
        <v>4</v>
      </c>
      <c r="E187" s="199">
        <v>20</v>
      </c>
      <c r="F187" s="200">
        <v>35</v>
      </c>
      <c r="G187" s="201">
        <v>146.29999999999998</v>
      </c>
      <c r="H187" s="202">
        <v>90</v>
      </c>
      <c r="I187" s="203">
        <v>1.4</v>
      </c>
      <c r="J187" s="203" t="s">
        <v>2</v>
      </c>
      <c r="K187" s="203">
        <v>7.4</v>
      </c>
      <c r="L187" s="203">
        <v>1.5</v>
      </c>
      <c r="M187" s="204">
        <v>1.2</v>
      </c>
      <c r="N187" s="200">
        <v>80</v>
      </c>
      <c r="O187" s="200">
        <v>58</v>
      </c>
      <c r="P187" s="203">
        <v>2</v>
      </c>
      <c r="Q187" s="203" t="s">
        <v>2</v>
      </c>
      <c r="R187" s="200" t="s">
        <v>2</v>
      </c>
      <c r="S187" s="200" t="s">
        <v>2</v>
      </c>
      <c r="T187" s="200" t="s">
        <v>2</v>
      </c>
      <c r="U187" s="205" t="s">
        <v>2</v>
      </c>
      <c r="V187" s="205" t="s">
        <v>2</v>
      </c>
      <c r="W187" s="204" t="s">
        <v>2</v>
      </c>
      <c r="X187" s="203">
        <v>20</v>
      </c>
      <c r="Y187" s="205">
        <v>0.06</v>
      </c>
      <c r="Z187" s="205">
        <v>0.04</v>
      </c>
      <c r="AA187" s="205">
        <v>0.5</v>
      </c>
      <c r="AB187" s="205" t="s">
        <v>2</v>
      </c>
      <c r="AC187" s="205" t="s">
        <v>2</v>
      </c>
      <c r="AD187" s="200" t="s">
        <v>2</v>
      </c>
      <c r="AE187" s="200" t="s">
        <v>2</v>
      </c>
      <c r="AF187" s="203" t="s">
        <v>2</v>
      </c>
      <c r="AG187" s="204" t="s">
        <v>2</v>
      </c>
      <c r="AH187" s="200">
        <v>0</v>
      </c>
      <c r="AI187" s="200">
        <v>1</v>
      </c>
      <c r="AJ187" s="203" t="s">
        <v>2</v>
      </c>
      <c r="AK187" s="203" t="s">
        <v>2</v>
      </c>
      <c r="AL187" s="204" t="s">
        <v>2</v>
      </c>
      <c r="AM187" s="200">
        <v>10</v>
      </c>
      <c r="AN187" s="200" t="s">
        <v>2</v>
      </c>
      <c r="AO187" s="201" t="s">
        <v>2</v>
      </c>
      <c r="AP187" s="203" t="s">
        <v>2</v>
      </c>
      <c r="AQ187" s="205" t="s">
        <v>2</v>
      </c>
      <c r="AR187" s="205" t="s">
        <v>2</v>
      </c>
      <c r="AS187" s="205" t="s">
        <v>2</v>
      </c>
      <c r="AT187" s="205" t="s">
        <v>2</v>
      </c>
      <c r="AU187" s="205" t="s">
        <v>2</v>
      </c>
      <c r="AV187" s="206" t="s">
        <v>2</v>
      </c>
      <c r="AW187" s="203" t="s">
        <v>2</v>
      </c>
      <c r="AX187" s="205" t="s">
        <v>2</v>
      </c>
      <c r="AY187" s="205" t="s">
        <v>2</v>
      </c>
      <c r="AZ187" s="206" t="s">
        <v>2</v>
      </c>
      <c r="BA187" s="203" t="s">
        <v>2</v>
      </c>
      <c r="BB187" s="205" t="s">
        <v>2</v>
      </c>
      <c r="BC187" s="205" t="s">
        <v>2</v>
      </c>
      <c r="BD187" s="205" t="s">
        <v>2</v>
      </c>
      <c r="BE187" s="205" t="s">
        <v>2</v>
      </c>
      <c r="BF187" s="206" t="s">
        <v>2</v>
      </c>
      <c r="BG187" s="199" t="s">
        <v>2</v>
      </c>
      <c r="BH187" s="199">
        <v>0</v>
      </c>
      <c r="BI187" s="200">
        <v>100</v>
      </c>
      <c r="BJ187" s="200">
        <v>35</v>
      </c>
      <c r="BK187" s="200">
        <v>23</v>
      </c>
      <c r="BL187" s="200">
        <v>97</v>
      </c>
      <c r="BM187" s="200">
        <v>82</v>
      </c>
      <c r="BN187" s="200">
        <v>98</v>
      </c>
      <c r="BO187" s="200">
        <v>140</v>
      </c>
      <c r="BP187" s="200">
        <v>74</v>
      </c>
      <c r="BQ187" s="200">
        <v>99</v>
      </c>
      <c r="BR187" s="200">
        <v>38</v>
      </c>
      <c r="BS187" s="200" t="s">
        <v>2</v>
      </c>
      <c r="BT187" s="200" t="s">
        <v>2</v>
      </c>
      <c r="BU187" s="200" t="s">
        <v>2</v>
      </c>
      <c r="BV187" s="200" t="s">
        <v>2</v>
      </c>
      <c r="BW187" s="200" t="s">
        <v>2</v>
      </c>
      <c r="BX187" s="200" t="s">
        <v>2</v>
      </c>
      <c r="BY187" s="200" t="s">
        <v>2</v>
      </c>
      <c r="BZ187" s="201" t="s">
        <v>2</v>
      </c>
      <c r="CA187" s="203" t="s">
        <v>2</v>
      </c>
      <c r="CB187" s="203" t="s">
        <v>2</v>
      </c>
      <c r="CC187" s="203" t="s">
        <v>2</v>
      </c>
      <c r="CD187" s="203" t="s">
        <v>2</v>
      </c>
      <c r="CE187" s="203" t="s">
        <v>2</v>
      </c>
      <c r="CF187" s="203" t="s">
        <v>2</v>
      </c>
      <c r="CG187" s="204" t="s">
        <v>2</v>
      </c>
      <c r="CH187" s="200" t="s">
        <v>2</v>
      </c>
      <c r="CI187" s="201" t="s">
        <v>2</v>
      </c>
      <c r="CJ187" s="203" t="s">
        <v>2</v>
      </c>
      <c r="CK187" s="203" t="s">
        <v>2</v>
      </c>
      <c r="CL187" s="203" t="s">
        <v>2</v>
      </c>
      <c r="CM187" s="204" t="s">
        <v>2</v>
      </c>
      <c r="CN187" s="199" t="s">
        <v>2</v>
      </c>
      <c r="CO187" s="199" t="s">
        <v>2</v>
      </c>
    </row>
    <row r="188" spans="1:93" s="207" customFormat="1" ht="15" x14ac:dyDescent="0.25">
      <c r="A188" s="220" t="s">
        <v>827</v>
      </c>
      <c r="B188" s="221" t="s">
        <v>219</v>
      </c>
      <c r="C188" s="222" t="s">
        <v>1008</v>
      </c>
      <c r="D188" s="290">
        <v>4</v>
      </c>
      <c r="E188" s="199">
        <v>50</v>
      </c>
      <c r="F188" s="200">
        <v>134</v>
      </c>
      <c r="G188" s="201">
        <v>560.12</v>
      </c>
      <c r="H188" s="202">
        <v>77</v>
      </c>
      <c r="I188" s="203">
        <v>2.5</v>
      </c>
      <c r="J188" s="203">
        <v>10</v>
      </c>
      <c r="K188" s="203">
        <v>8.5</v>
      </c>
      <c r="L188" s="203">
        <v>4.9000000000000004</v>
      </c>
      <c r="M188" s="204">
        <v>2</v>
      </c>
      <c r="N188" s="200">
        <v>140</v>
      </c>
      <c r="O188" s="200">
        <v>30</v>
      </c>
      <c r="P188" s="203" t="s">
        <v>2</v>
      </c>
      <c r="Q188" s="203" t="s">
        <v>2</v>
      </c>
      <c r="R188" s="200" t="s">
        <v>2</v>
      </c>
      <c r="S188" s="200" t="s">
        <v>2</v>
      </c>
      <c r="T188" s="200" t="s">
        <v>2</v>
      </c>
      <c r="U188" s="205" t="s">
        <v>2</v>
      </c>
      <c r="V188" s="205" t="s">
        <v>2</v>
      </c>
      <c r="W188" s="204" t="s">
        <v>2</v>
      </c>
      <c r="X188" s="203">
        <v>14</v>
      </c>
      <c r="Y188" s="205" t="s">
        <v>2</v>
      </c>
      <c r="Z188" s="205" t="s">
        <v>2</v>
      </c>
      <c r="AA188" s="205" t="s">
        <v>2</v>
      </c>
      <c r="AB188" s="205" t="s">
        <v>2</v>
      </c>
      <c r="AC188" s="205" t="s">
        <v>2</v>
      </c>
      <c r="AD188" s="200" t="s">
        <v>2</v>
      </c>
      <c r="AE188" s="200" t="s">
        <v>2</v>
      </c>
      <c r="AF188" s="203" t="s">
        <v>2</v>
      </c>
      <c r="AG188" s="204" t="s">
        <v>2</v>
      </c>
      <c r="AH188" s="200">
        <v>0</v>
      </c>
      <c r="AI188" s="200">
        <v>0</v>
      </c>
      <c r="AJ188" s="203" t="s">
        <v>2</v>
      </c>
      <c r="AK188" s="203" t="s">
        <v>2</v>
      </c>
      <c r="AL188" s="204" t="s">
        <v>2</v>
      </c>
      <c r="AM188" s="200" t="s">
        <v>2</v>
      </c>
      <c r="AN188" s="200" t="s">
        <v>2</v>
      </c>
      <c r="AO188" s="201" t="s">
        <v>2</v>
      </c>
      <c r="AP188" s="203" t="s">
        <v>2</v>
      </c>
      <c r="AQ188" s="205" t="s">
        <v>2</v>
      </c>
      <c r="AR188" s="205" t="s">
        <v>2</v>
      </c>
      <c r="AS188" s="205" t="s">
        <v>2</v>
      </c>
      <c r="AT188" s="205" t="s">
        <v>2</v>
      </c>
      <c r="AU188" s="205" t="s">
        <v>2</v>
      </c>
      <c r="AV188" s="206" t="s">
        <v>2</v>
      </c>
      <c r="AW188" s="203" t="s">
        <v>2</v>
      </c>
      <c r="AX188" s="205" t="s">
        <v>2</v>
      </c>
      <c r="AY188" s="205" t="s">
        <v>2</v>
      </c>
      <c r="AZ188" s="206" t="s">
        <v>2</v>
      </c>
      <c r="BA188" s="203" t="s">
        <v>2</v>
      </c>
      <c r="BB188" s="205" t="s">
        <v>2</v>
      </c>
      <c r="BC188" s="205" t="s">
        <v>2</v>
      </c>
      <c r="BD188" s="205" t="s">
        <v>2</v>
      </c>
      <c r="BE188" s="205" t="s">
        <v>2</v>
      </c>
      <c r="BF188" s="206" t="s">
        <v>2</v>
      </c>
      <c r="BG188" s="199" t="s">
        <v>2</v>
      </c>
      <c r="BH188" s="199">
        <v>0</v>
      </c>
      <c r="BI188" s="200" t="s">
        <v>2</v>
      </c>
      <c r="BJ188" s="200" t="s">
        <v>2</v>
      </c>
      <c r="BK188" s="200" t="s">
        <v>2</v>
      </c>
      <c r="BL188" s="200" t="s">
        <v>2</v>
      </c>
      <c r="BM188" s="200" t="s">
        <v>2</v>
      </c>
      <c r="BN188" s="200" t="s">
        <v>2</v>
      </c>
      <c r="BO188" s="200" t="s">
        <v>2</v>
      </c>
      <c r="BP188" s="200" t="s">
        <v>2</v>
      </c>
      <c r="BQ188" s="200" t="s">
        <v>2</v>
      </c>
      <c r="BR188" s="200" t="s">
        <v>2</v>
      </c>
      <c r="BS188" s="200" t="s">
        <v>2</v>
      </c>
      <c r="BT188" s="200" t="s">
        <v>2</v>
      </c>
      <c r="BU188" s="200" t="s">
        <v>2</v>
      </c>
      <c r="BV188" s="200" t="s">
        <v>2</v>
      </c>
      <c r="BW188" s="200" t="s">
        <v>2</v>
      </c>
      <c r="BX188" s="200" t="s">
        <v>2</v>
      </c>
      <c r="BY188" s="200" t="s">
        <v>2</v>
      </c>
      <c r="BZ188" s="201" t="s">
        <v>2</v>
      </c>
      <c r="CA188" s="203" t="s">
        <v>2</v>
      </c>
      <c r="CB188" s="203" t="s">
        <v>2</v>
      </c>
      <c r="CC188" s="203" t="s">
        <v>2</v>
      </c>
      <c r="CD188" s="203" t="s">
        <v>2</v>
      </c>
      <c r="CE188" s="203" t="s">
        <v>2</v>
      </c>
      <c r="CF188" s="203" t="s">
        <v>2</v>
      </c>
      <c r="CG188" s="204" t="s">
        <v>2</v>
      </c>
      <c r="CH188" s="200" t="s">
        <v>2</v>
      </c>
      <c r="CI188" s="201" t="s">
        <v>2</v>
      </c>
      <c r="CJ188" s="203" t="s">
        <v>2</v>
      </c>
      <c r="CK188" s="203" t="s">
        <v>2</v>
      </c>
      <c r="CL188" s="203" t="s">
        <v>2</v>
      </c>
      <c r="CM188" s="204" t="s">
        <v>2</v>
      </c>
      <c r="CN188" s="199" t="s">
        <v>2</v>
      </c>
      <c r="CO188" s="199" t="s">
        <v>2</v>
      </c>
    </row>
    <row r="189" spans="1:93" s="207" customFormat="1" ht="15" x14ac:dyDescent="0.25">
      <c r="A189" s="220" t="s">
        <v>828</v>
      </c>
      <c r="B189" s="221" t="s">
        <v>220</v>
      </c>
      <c r="C189" s="222" t="s">
        <v>1009</v>
      </c>
      <c r="D189" s="290">
        <v>4</v>
      </c>
      <c r="E189" s="199">
        <v>34</v>
      </c>
      <c r="F189" s="200">
        <v>56</v>
      </c>
      <c r="G189" s="201">
        <v>234.07999999999998</v>
      </c>
      <c r="H189" s="202">
        <v>86.7</v>
      </c>
      <c r="I189" s="203">
        <v>1.2</v>
      </c>
      <c r="J189" s="203">
        <v>1.6</v>
      </c>
      <c r="K189" s="203">
        <v>9.3000000000000007</v>
      </c>
      <c r="L189" s="203">
        <v>4.9000000000000004</v>
      </c>
      <c r="M189" s="204">
        <v>1.2</v>
      </c>
      <c r="N189" s="200">
        <v>136</v>
      </c>
      <c r="O189" s="200">
        <v>9</v>
      </c>
      <c r="P189" s="203" t="s">
        <v>2</v>
      </c>
      <c r="Q189" s="203" t="s">
        <v>2</v>
      </c>
      <c r="R189" s="200" t="s">
        <v>2</v>
      </c>
      <c r="S189" s="200" t="s">
        <v>2</v>
      </c>
      <c r="T189" s="200" t="s">
        <v>2</v>
      </c>
      <c r="U189" s="205" t="s">
        <v>2</v>
      </c>
      <c r="V189" s="205" t="s">
        <v>2</v>
      </c>
      <c r="W189" s="204" t="s">
        <v>2</v>
      </c>
      <c r="X189" s="203">
        <v>20</v>
      </c>
      <c r="Y189" s="205">
        <v>0.02</v>
      </c>
      <c r="Z189" s="205">
        <v>0.11</v>
      </c>
      <c r="AA189" s="205">
        <v>0.4</v>
      </c>
      <c r="AB189" s="205" t="s">
        <v>2</v>
      </c>
      <c r="AC189" s="205" t="s">
        <v>2</v>
      </c>
      <c r="AD189" s="200" t="s">
        <v>2</v>
      </c>
      <c r="AE189" s="200" t="s">
        <v>2</v>
      </c>
      <c r="AF189" s="203" t="s">
        <v>2</v>
      </c>
      <c r="AG189" s="204" t="s">
        <v>2</v>
      </c>
      <c r="AH189" s="200">
        <v>0</v>
      </c>
      <c r="AI189" s="200">
        <v>28</v>
      </c>
      <c r="AJ189" s="203" t="s">
        <v>2</v>
      </c>
      <c r="AK189" s="203" t="s">
        <v>2</v>
      </c>
      <c r="AL189" s="204" t="s">
        <v>2</v>
      </c>
      <c r="AM189" s="200">
        <v>330</v>
      </c>
      <c r="AN189" s="200" t="s">
        <v>2</v>
      </c>
      <c r="AO189" s="201" t="s">
        <v>2</v>
      </c>
      <c r="AP189" s="203" t="s">
        <v>2</v>
      </c>
      <c r="AQ189" s="205" t="s">
        <v>2</v>
      </c>
      <c r="AR189" s="205" t="s">
        <v>2</v>
      </c>
      <c r="AS189" s="205" t="s">
        <v>2</v>
      </c>
      <c r="AT189" s="205" t="s">
        <v>2</v>
      </c>
      <c r="AU189" s="205" t="s">
        <v>2</v>
      </c>
      <c r="AV189" s="206" t="s">
        <v>2</v>
      </c>
      <c r="AW189" s="203" t="s">
        <v>2</v>
      </c>
      <c r="AX189" s="205" t="s">
        <v>2</v>
      </c>
      <c r="AY189" s="205" t="s">
        <v>2</v>
      </c>
      <c r="AZ189" s="206" t="s">
        <v>2</v>
      </c>
      <c r="BA189" s="203" t="s">
        <v>2</v>
      </c>
      <c r="BB189" s="205" t="s">
        <v>2</v>
      </c>
      <c r="BC189" s="205" t="s">
        <v>2</v>
      </c>
      <c r="BD189" s="205" t="s">
        <v>2</v>
      </c>
      <c r="BE189" s="205" t="s">
        <v>2</v>
      </c>
      <c r="BF189" s="206" t="s">
        <v>2</v>
      </c>
      <c r="BG189" s="199" t="s">
        <v>2</v>
      </c>
      <c r="BH189" s="199">
        <v>0</v>
      </c>
      <c r="BI189" s="200" t="s">
        <v>2</v>
      </c>
      <c r="BJ189" s="200" t="s">
        <v>2</v>
      </c>
      <c r="BK189" s="200" t="s">
        <v>2</v>
      </c>
      <c r="BL189" s="200" t="s">
        <v>2</v>
      </c>
      <c r="BM189" s="200" t="s">
        <v>2</v>
      </c>
      <c r="BN189" s="200" t="s">
        <v>2</v>
      </c>
      <c r="BO189" s="200" t="s">
        <v>2</v>
      </c>
      <c r="BP189" s="200" t="s">
        <v>2</v>
      </c>
      <c r="BQ189" s="200" t="s">
        <v>2</v>
      </c>
      <c r="BR189" s="200" t="s">
        <v>2</v>
      </c>
      <c r="BS189" s="200" t="s">
        <v>2</v>
      </c>
      <c r="BT189" s="200" t="s">
        <v>2</v>
      </c>
      <c r="BU189" s="200" t="s">
        <v>2</v>
      </c>
      <c r="BV189" s="200" t="s">
        <v>2</v>
      </c>
      <c r="BW189" s="200" t="s">
        <v>2</v>
      </c>
      <c r="BX189" s="200" t="s">
        <v>2</v>
      </c>
      <c r="BY189" s="200" t="s">
        <v>2</v>
      </c>
      <c r="BZ189" s="201" t="s">
        <v>2</v>
      </c>
      <c r="CA189" s="203" t="s">
        <v>2</v>
      </c>
      <c r="CB189" s="203" t="s">
        <v>2</v>
      </c>
      <c r="CC189" s="203" t="s">
        <v>2</v>
      </c>
      <c r="CD189" s="203" t="s">
        <v>2</v>
      </c>
      <c r="CE189" s="203" t="s">
        <v>2</v>
      </c>
      <c r="CF189" s="203" t="s">
        <v>2</v>
      </c>
      <c r="CG189" s="204" t="s">
        <v>2</v>
      </c>
      <c r="CH189" s="200" t="s">
        <v>2</v>
      </c>
      <c r="CI189" s="201" t="s">
        <v>2</v>
      </c>
      <c r="CJ189" s="203" t="s">
        <v>2</v>
      </c>
      <c r="CK189" s="203" t="s">
        <v>2</v>
      </c>
      <c r="CL189" s="203" t="s">
        <v>2</v>
      </c>
      <c r="CM189" s="204" t="s">
        <v>2</v>
      </c>
      <c r="CN189" s="199" t="s">
        <v>2</v>
      </c>
      <c r="CO189" s="199" t="s">
        <v>2</v>
      </c>
    </row>
    <row r="190" spans="1:93" s="207" customFormat="1" ht="15" x14ac:dyDescent="0.25">
      <c r="A190" s="220" t="s">
        <v>829</v>
      </c>
      <c r="B190" s="221" t="s">
        <v>221</v>
      </c>
      <c r="C190" s="222" t="s">
        <v>1023</v>
      </c>
      <c r="D190" s="290">
        <v>4</v>
      </c>
      <c r="E190" s="199">
        <v>10</v>
      </c>
      <c r="F190" s="200">
        <v>28</v>
      </c>
      <c r="G190" s="201">
        <v>117.03999999999999</v>
      </c>
      <c r="H190" s="202">
        <v>91.7</v>
      </c>
      <c r="I190" s="203">
        <v>2.2000000000000002</v>
      </c>
      <c r="J190" s="203" t="s">
        <v>2</v>
      </c>
      <c r="K190" s="203">
        <v>4.7</v>
      </c>
      <c r="L190" s="203">
        <v>3.2</v>
      </c>
      <c r="M190" s="204">
        <v>1.4</v>
      </c>
      <c r="N190" s="200">
        <v>112</v>
      </c>
      <c r="O190" s="200">
        <v>17</v>
      </c>
      <c r="P190" s="203">
        <v>4</v>
      </c>
      <c r="Q190" s="203" t="s">
        <v>2</v>
      </c>
      <c r="R190" s="200">
        <v>12</v>
      </c>
      <c r="S190" s="200">
        <v>424</v>
      </c>
      <c r="T190" s="200">
        <v>50</v>
      </c>
      <c r="U190" s="205" t="s">
        <v>2</v>
      </c>
      <c r="V190" s="205" t="s">
        <v>2</v>
      </c>
      <c r="W190" s="204" t="s">
        <v>2</v>
      </c>
      <c r="X190" s="203">
        <v>4</v>
      </c>
      <c r="Y190" s="205" t="s">
        <v>2</v>
      </c>
      <c r="Z190" s="205" t="s">
        <v>2</v>
      </c>
      <c r="AA190" s="205" t="s">
        <v>2</v>
      </c>
      <c r="AB190" s="205" t="s">
        <v>2</v>
      </c>
      <c r="AC190" s="205" t="s">
        <v>2</v>
      </c>
      <c r="AD190" s="200" t="s">
        <v>2</v>
      </c>
      <c r="AE190" s="200" t="s">
        <v>2</v>
      </c>
      <c r="AF190" s="203" t="s">
        <v>2</v>
      </c>
      <c r="AG190" s="204" t="s">
        <v>2</v>
      </c>
      <c r="AH190" s="200">
        <v>0</v>
      </c>
      <c r="AI190" s="200">
        <v>0</v>
      </c>
      <c r="AJ190" s="203" t="s">
        <v>2</v>
      </c>
      <c r="AK190" s="203" t="s">
        <v>2</v>
      </c>
      <c r="AL190" s="204" t="s">
        <v>2</v>
      </c>
      <c r="AM190" s="200" t="s">
        <v>2</v>
      </c>
      <c r="AN190" s="200" t="s">
        <v>2</v>
      </c>
      <c r="AO190" s="201" t="s">
        <v>2</v>
      </c>
      <c r="AP190" s="203" t="s">
        <v>2</v>
      </c>
      <c r="AQ190" s="205" t="s">
        <v>2</v>
      </c>
      <c r="AR190" s="205" t="s">
        <v>2</v>
      </c>
      <c r="AS190" s="205" t="s">
        <v>2</v>
      </c>
      <c r="AT190" s="205" t="s">
        <v>2</v>
      </c>
      <c r="AU190" s="205" t="s">
        <v>2</v>
      </c>
      <c r="AV190" s="206" t="s">
        <v>2</v>
      </c>
      <c r="AW190" s="203" t="s">
        <v>2</v>
      </c>
      <c r="AX190" s="205" t="s">
        <v>2</v>
      </c>
      <c r="AY190" s="205" t="s">
        <v>2</v>
      </c>
      <c r="AZ190" s="206" t="s">
        <v>2</v>
      </c>
      <c r="BA190" s="203" t="s">
        <v>2</v>
      </c>
      <c r="BB190" s="205" t="s">
        <v>2</v>
      </c>
      <c r="BC190" s="205" t="s">
        <v>2</v>
      </c>
      <c r="BD190" s="205" t="s">
        <v>2</v>
      </c>
      <c r="BE190" s="205" t="s">
        <v>2</v>
      </c>
      <c r="BF190" s="206" t="s">
        <v>2</v>
      </c>
      <c r="BG190" s="199" t="s">
        <v>2</v>
      </c>
      <c r="BH190" s="199">
        <v>0</v>
      </c>
      <c r="BI190" s="200" t="s">
        <v>2</v>
      </c>
      <c r="BJ190" s="200" t="s">
        <v>2</v>
      </c>
      <c r="BK190" s="200" t="s">
        <v>2</v>
      </c>
      <c r="BL190" s="200" t="s">
        <v>2</v>
      </c>
      <c r="BM190" s="200" t="s">
        <v>2</v>
      </c>
      <c r="BN190" s="200" t="s">
        <v>2</v>
      </c>
      <c r="BO190" s="200" t="s">
        <v>2</v>
      </c>
      <c r="BP190" s="200" t="s">
        <v>2</v>
      </c>
      <c r="BQ190" s="200" t="s">
        <v>2</v>
      </c>
      <c r="BR190" s="200" t="s">
        <v>2</v>
      </c>
      <c r="BS190" s="200" t="s">
        <v>2</v>
      </c>
      <c r="BT190" s="200" t="s">
        <v>2</v>
      </c>
      <c r="BU190" s="200" t="s">
        <v>2</v>
      </c>
      <c r="BV190" s="200" t="s">
        <v>2</v>
      </c>
      <c r="BW190" s="200" t="s">
        <v>2</v>
      </c>
      <c r="BX190" s="200" t="s">
        <v>2</v>
      </c>
      <c r="BY190" s="200" t="s">
        <v>2</v>
      </c>
      <c r="BZ190" s="201" t="s">
        <v>2</v>
      </c>
      <c r="CA190" s="203" t="s">
        <v>2</v>
      </c>
      <c r="CB190" s="203" t="s">
        <v>2</v>
      </c>
      <c r="CC190" s="203" t="s">
        <v>2</v>
      </c>
      <c r="CD190" s="203" t="s">
        <v>2</v>
      </c>
      <c r="CE190" s="203" t="s">
        <v>2</v>
      </c>
      <c r="CF190" s="203" t="s">
        <v>2</v>
      </c>
      <c r="CG190" s="204" t="s">
        <v>2</v>
      </c>
      <c r="CH190" s="200" t="s">
        <v>2</v>
      </c>
      <c r="CI190" s="201" t="s">
        <v>2</v>
      </c>
      <c r="CJ190" s="203" t="s">
        <v>2</v>
      </c>
      <c r="CK190" s="203" t="s">
        <v>2</v>
      </c>
      <c r="CL190" s="203" t="s">
        <v>2</v>
      </c>
      <c r="CM190" s="204" t="s">
        <v>2</v>
      </c>
      <c r="CN190" s="199" t="s">
        <v>2</v>
      </c>
      <c r="CO190" s="199" t="s">
        <v>2</v>
      </c>
    </row>
    <row r="191" spans="1:93" s="207" customFormat="1" ht="15" x14ac:dyDescent="0.25">
      <c r="A191" s="220" t="s">
        <v>830</v>
      </c>
      <c r="B191" s="221" t="s">
        <v>1010</v>
      </c>
      <c r="C191" s="222" t="s">
        <v>1014</v>
      </c>
      <c r="D191" s="290">
        <v>4</v>
      </c>
      <c r="E191" s="199">
        <v>0</v>
      </c>
      <c r="F191" s="200">
        <v>17</v>
      </c>
      <c r="G191" s="201">
        <v>71.06</v>
      </c>
      <c r="H191" s="202">
        <v>95.2</v>
      </c>
      <c r="I191" s="203">
        <v>1.4</v>
      </c>
      <c r="J191" s="203">
        <v>0.1</v>
      </c>
      <c r="K191" s="203">
        <v>2.62</v>
      </c>
      <c r="L191" s="203" t="s">
        <v>2</v>
      </c>
      <c r="M191" s="204">
        <v>0.68</v>
      </c>
      <c r="N191" s="200">
        <v>128</v>
      </c>
      <c r="O191" s="200">
        <v>177</v>
      </c>
      <c r="P191" s="203">
        <v>0.77</v>
      </c>
      <c r="Q191" s="203">
        <v>0.56999999999999995</v>
      </c>
      <c r="R191" s="200" t="s">
        <v>2</v>
      </c>
      <c r="S191" s="200" t="s">
        <v>2</v>
      </c>
      <c r="T191" s="200" t="s">
        <v>2</v>
      </c>
      <c r="U191" s="200" t="s">
        <v>2</v>
      </c>
      <c r="V191" s="200" t="s">
        <v>2</v>
      </c>
      <c r="W191" s="201" t="s">
        <v>2</v>
      </c>
      <c r="X191" s="203">
        <v>78.400000000000006</v>
      </c>
      <c r="Y191" s="205">
        <v>0.05</v>
      </c>
      <c r="Z191" s="205">
        <v>1.6E-2</v>
      </c>
      <c r="AA191" s="205" t="s">
        <v>2</v>
      </c>
      <c r="AB191" s="205" t="s">
        <v>2</v>
      </c>
      <c r="AC191" s="205" t="s">
        <v>2</v>
      </c>
      <c r="AD191" s="205" t="s">
        <v>2</v>
      </c>
      <c r="AE191" s="205" t="s">
        <v>2</v>
      </c>
      <c r="AF191" s="205" t="s">
        <v>2</v>
      </c>
      <c r="AG191" s="206" t="s">
        <v>2</v>
      </c>
      <c r="AH191" s="200" t="s">
        <v>2</v>
      </c>
      <c r="AI191" s="200">
        <v>101</v>
      </c>
      <c r="AJ191" s="203" t="s">
        <v>2</v>
      </c>
      <c r="AK191" s="203" t="s">
        <v>2</v>
      </c>
      <c r="AL191" s="204" t="s">
        <v>2</v>
      </c>
      <c r="AM191" s="203">
        <v>1206</v>
      </c>
      <c r="AN191" s="203" t="s">
        <v>2</v>
      </c>
      <c r="AO191" s="204" t="s">
        <v>2</v>
      </c>
      <c r="AP191" s="203" t="s">
        <v>2</v>
      </c>
      <c r="AQ191" s="205" t="s">
        <v>2</v>
      </c>
      <c r="AR191" s="205" t="s">
        <v>2</v>
      </c>
      <c r="AS191" s="205" t="s">
        <v>2</v>
      </c>
      <c r="AT191" s="205" t="s">
        <v>2</v>
      </c>
      <c r="AU191" s="205" t="s">
        <v>2</v>
      </c>
      <c r="AV191" s="206" t="s">
        <v>2</v>
      </c>
      <c r="AW191" s="203" t="s">
        <v>2</v>
      </c>
      <c r="AX191" s="205" t="s">
        <v>2</v>
      </c>
      <c r="AY191" s="205" t="s">
        <v>2</v>
      </c>
      <c r="AZ191" s="206" t="s">
        <v>2</v>
      </c>
      <c r="BA191" s="203" t="s">
        <v>2</v>
      </c>
      <c r="BB191" s="205" t="s">
        <v>2</v>
      </c>
      <c r="BC191" s="205" t="s">
        <v>2</v>
      </c>
      <c r="BD191" s="205" t="s">
        <v>2</v>
      </c>
      <c r="BE191" s="205" t="s">
        <v>2</v>
      </c>
      <c r="BF191" s="206" t="s">
        <v>2</v>
      </c>
      <c r="BG191" s="199" t="s">
        <v>2</v>
      </c>
      <c r="BH191" s="199" t="s">
        <v>2</v>
      </c>
      <c r="BI191" s="200">
        <v>60</v>
      </c>
      <c r="BJ191" s="200">
        <v>0</v>
      </c>
      <c r="BK191" s="200" t="s">
        <v>2</v>
      </c>
      <c r="BL191" s="200">
        <v>45</v>
      </c>
      <c r="BM191" s="200">
        <v>82</v>
      </c>
      <c r="BN191" s="200">
        <v>47</v>
      </c>
      <c r="BO191" s="200">
        <v>71</v>
      </c>
      <c r="BP191" s="200">
        <v>34</v>
      </c>
      <c r="BQ191" s="200">
        <v>60</v>
      </c>
      <c r="BR191" s="200">
        <v>111</v>
      </c>
      <c r="BS191" s="200">
        <v>15</v>
      </c>
      <c r="BT191" s="200">
        <v>30</v>
      </c>
      <c r="BU191" s="200">
        <v>40</v>
      </c>
      <c r="BV191" s="200">
        <v>97</v>
      </c>
      <c r="BW191" s="200">
        <v>58</v>
      </c>
      <c r="BX191" s="200">
        <v>8</v>
      </c>
      <c r="BY191" s="200" t="s">
        <v>2</v>
      </c>
      <c r="BZ191" s="201">
        <v>93</v>
      </c>
      <c r="CA191" s="203" t="s">
        <v>2</v>
      </c>
      <c r="CB191" s="203" t="s">
        <v>2</v>
      </c>
      <c r="CC191" s="203" t="s">
        <v>2</v>
      </c>
      <c r="CD191" s="203" t="s">
        <v>2</v>
      </c>
      <c r="CE191" s="203" t="s">
        <v>2</v>
      </c>
      <c r="CF191" s="203" t="s">
        <v>2</v>
      </c>
      <c r="CG191" s="204" t="s">
        <v>2</v>
      </c>
      <c r="CH191" s="200" t="s">
        <v>2</v>
      </c>
      <c r="CI191" s="201" t="s">
        <v>2</v>
      </c>
      <c r="CJ191" s="203" t="s">
        <v>2</v>
      </c>
      <c r="CK191" s="203" t="s">
        <v>2</v>
      </c>
      <c r="CL191" s="203" t="s">
        <v>2</v>
      </c>
      <c r="CM191" s="204" t="s">
        <v>2</v>
      </c>
      <c r="CN191" s="199" t="s">
        <v>2</v>
      </c>
      <c r="CO191" s="199" t="s">
        <v>2</v>
      </c>
    </row>
    <row r="192" spans="1:93" s="207" customFormat="1" ht="15" x14ac:dyDescent="0.25">
      <c r="A192" s="220" t="s">
        <v>831</v>
      </c>
      <c r="B192" s="221" t="s">
        <v>1011</v>
      </c>
      <c r="C192" s="222" t="s">
        <v>918</v>
      </c>
      <c r="D192" s="290">
        <v>4</v>
      </c>
      <c r="E192" s="199">
        <v>0</v>
      </c>
      <c r="F192" s="200">
        <v>14</v>
      </c>
      <c r="G192" s="201">
        <v>58.519999999999996</v>
      </c>
      <c r="H192" s="202">
        <v>95.8</v>
      </c>
      <c r="I192" s="203">
        <v>0.9</v>
      </c>
      <c r="J192" s="203">
        <v>0</v>
      </c>
      <c r="K192" s="203">
        <v>2.57</v>
      </c>
      <c r="L192" s="203" t="s">
        <v>2</v>
      </c>
      <c r="M192" s="204">
        <v>0.73</v>
      </c>
      <c r="N192" s="200">
        <v>64</v>
      </c>
      <c r="O192" s="200">
        <v>183</v>
      </c>
      <c r="P192" s="203">
        <v>0.94</v>
      </c>
      <c r="Q192" s="203">
        <v>0.91</v>
      </c>
      <c r="R192" s="200" t="s">
        <v>2</v>
      </c>
      <c r="S192" s="200" t="s">
        <v>2</v>
      </c>
      <c r="T192" s="200" t="s">
        <v>2</v>
      </c>
      <c r="U192" s="200" t="s">
        <v>2</v>
      </c>
      <c r="V192" s="200" t="s">
        <v>2</v>
      </c>
      <c r="W192" s="201" t="s">
        <v>2</v>
      </c>
      <c r="X192" s="225">
        <v>21.5</v>
      </c>
      <c r="Y192" s="205">
        <v>0.05</v>
      </c>
      <c r="Z192" s="205">
        <v>8.9999999999999993E-3</v>
      </c>
      <c r="AA192" s="205" t="s">
        <v>2</v>
      </c>
      <c r="AB192" s="205" t="s">
        <v>2</v>
      </c>
      <c r="AC192" s="205" t="s">
        <v>2</v>
      </c>
      <c r="AD192" s="205" t="s">
        <v>2</v>
      </c>
      <c r="AE192" s="205" t="s">
        <v>2</v>
      </c>
      <c r="AF192" s="205" t="s">
        <v>2</v>
      </c>
      <c r="AG192" s="206" t="s">
        <v>2</v>
      </c>
      <c r="AH192" s="200" t="s">
        <v>2</v>
      </c>
      <c r="AI192" s="200">
        <v>20</v>
      </c>
      <c r="AJ192" s="203" t="s">
        <v>2</v>
      </c>
      <c r="AK192" s="203" t="s">
        <v>2</v>
      </c>
      <c r="AL192" s="204" t="s">
        <v>2</v>
      </c>
      <c r="AM192" s="203">
        <v>243</v>
      </c>
      <c r="AN192" s="203" t="s">
        <v>2</v>
      </c>
      <c r="AO192" s="204" t="s">
        <v>2</v>
      </c>
      <c r="AP192" s="203" t="s">
        <v>2</v>
      </c>
      <c r="AQ192" s="205" t="s">
        <v>2</v>
      </c>
      <c r="AR192" s="205" t="s">
        <v>2</v>
      </c>
      <c r="AS192" s="205" t="s">
        <v>2</v>
      </c>
      <c r="AT192" s="205" t="s">
        <v>2</v>
      </c>
      <c r="AU192" s="205" t="s">
        <v>2</v>
      </c>
      <c r="AV192" s="206" t="s">
        <v>2</v>
      </c>
      <c r="AW192" s="203" t="s">
        <v>2</v>
      </c>
      <c r="AX192" s="205" t="s">
        <v>2</v>
      </c>
      <c r="AY192" s="205" t="s">
        <v>2</v>
      </c>
      <c r="AZ192" s="206" t="s">
        <v>2</v>
      </c>
      <c r="BA192" s="203" t="s">
        <v>2</v>
      </c>
      <c r="BB192" s="205" t="s">
        <v>2</v>
      </c>
      <c r="BC192" s="205" t="s">
        <v>2</v>
      </c>
      <c r="BD192" s="205" t="s">
        <v>2</v>
      </c>
      <c r="BE192" s="205" t="s">
        <v>2</v>
      </c>
      <c r="BF192" s="206" t="s">
        <v>2</v>
      </c>
      <c r="BG192" s="199" t="s">
        <v>2</v>
      </c>
      <c r="BH192" s="199" t="s">
        <v>2</v>
      </c>
      <c r="BI192" s="200">
        <v>46</v>
      </c>
      <c r="BJ192" s="200">
        <v>0</v>
      </c>
      <c r="BK192" s="200" t="s">
        <v>2</v>
      </c>
      <c r="BL192" s="200">
        <v>28</v>
      </c>
      <c r="BM192" s="200">
        <v>79</v>
      </c>
      <c r="BN192" s="200">
        <v>36</v>
      </c>
      <c r="BO192" s="200">
        <v>46</v>
      </c>
      <c r="BP192" s="200">
        <v>25</v>
      </c>
      <c r="BQ192" s="200">
        <v>54</v>
      </c>
      <c r="BR192" s="200">
        <v>84</v>
      </c>
      <c r="BS192" s="200">
        <v>12</v>
      </c>
      <c r="BT192" s="200">
        <v>21</v>
      </c>
      <c r="BU192" s="200">
        <v>25</v>
      </c>
      <c r="BV192" s="200">
        <v>84</v>
      </c>
      <c r="BW192" s="200">
        <v>51</v>
      </c>
      <c r="BX192" s="200">
        <v>7</v>
      </c>
      <c r="BY192" s="200" t="s">
        <v>2</v>
      </c>
      <c r="BZ192" s="201">
        <v>113</v>
      </c>
      <c r="CA192" s="203" t="s">
        <v>2</v>
      </c>
      <c r="CB192" s="203" t="s">
        <v>2</v>
      </c>
      <c r="CC192" s="203" t="s">
        <v>2</v>
      </c>
      <c r="CD192" s="203" t="s">
        <v>2</v>
      </c>
      <c r="CE192" s="203" t="s">
        <v>2</v>
      </c>
      <c r="CF192" s="203" t="s">
        <v>2</v>
      </c>
      <c r="CG192" s="204" t="s">
        <v>2</v>
      </c>
      <c r="CH192" s="200" t="s">
        <v>2</v>
      </c>
      <c r="CI192" s="201" t="s">
        <v>2</v>
      </c>
      <c r="CJ192" s="203" t="s">
        <v>2</v>
      </c>
      <c r="CK192" s="203" t="s">
        <v>2</v>
      </c>
      <c r="CL192" s="203" t="s">
        <v>2</v>
      </c>
      <c r="CM192" s="204" t="s">
        <v>2</v>
      </c>
      <c r="CN192" s="199" t="s">
        <v>2</v>
      </c>
      <c r="CO192" s="199" t="s">
        <v>2</v>
      </c>
    </row>
    <row r="193" spans="1:93" s="207" customFormat="1" ht="15" x14ac:dyDescent="0.25">
      <c r="A193" s="220" t="s">
        <v>832</v>
      </c>
      <c r="B193" s="221" t="s">
        <v>1012</v>
      </c>
      <c r="C193" s="222" t="s">
        <v>1015</v>
      </c>
      <c r="D193" s="290">
        <v>4</v>
      </c>
      <c r="E193" s="199">
        <v>0</v>
      </c>
      <c r="F193" s="200">
        <v>24</v>
      </c>
      <c r="G193" s="201">
        <v>100.32</v>
      </c>
      <c r="H193" s="202">
        <v>93</v>
      </c>
      <c r="I193" s="203">
        <v>3.3</v>
      </c>
      <c r="J193" s="203">
        <v>0.1</v>
      </c>
      <c r="K193" s="203">
        <v>2.5</v>
      </c>
      <c r="L193" s="203" t="s">
        <v>2</v>
      </c>
      <c r="M193" s="204">
        <v>1.1000000000000001</v>
      </c>
      <c r="N193" s="200">
        <v>93</v>
      </c>
      <c r="O193" s="200">
        <v>388</v>
      </c>
      <c r="P193" s="203">
        <v>1.95</v>
      </c>
      <c r="Q193" s="203">
        <v>0.91</v>
      </c>
      <c r="R193" s="200" t="s">
        <v>2</v>
      </c>
      <c r="S193" s="200" t="s">
        <v>2</v>
      </c>
      <c r="T193" s="200" t="s">
        <v>2</v>
      </c>
      <c r="U193" s="200" t="s">
        <v>2</v>
      </c>
      <c r="V193" s="200" t="s">
        <v>2</v>
      </c>
      <c r="W193" s="201" t="s">
        <v>2</v>
      </c>
      <c r="X193" s="203">
        <v>14.3</v>
      </c>
      <c r="Y193" s="205">
        <v>0.05</v>
      </c>
      <c r="Z193" s="205">
        <v>0.115</v>
      </c>
      <c r="AA193" s="205" t="s">
        <v>2</v>
      </c>
      <c r="AB193" s="205" t="s">
        <v>2</v>
      </c>
      <c r="AC193" s="205" t="s">
        <v>2</v>
      </c>
      <c r="AD193" s="205" t="s">
        <v>2</v>
      </c>
      <c r="AE193" s="205" t="s">
        <v>2</v>
      </c>
      <c r="AF193" s="205" t="s">
        <v>2</v>
      </c>
      <c r="AG193" s="206" t="s">
        <v>2</v>
      </c>
      <c r="AH193" s="200" t="s">
        <v>2</v>
      </c>
      <c r="AI193" s="200">
        <v>0</v>
      </c>
      <c r="AJ193" s="203" t="s">
        <v>2</v>
      </c>
      <c r="AK193" s="203" t="s">
        <v>2</v>
      </c>
      <c r="AL193" s="204" t="s">
        <v>2</v>
      </c>
      <c r="AM193" s="203">
        <v>4</v>
      </c>
      <c r="AN193" s="203" t="s">
        <v>2</v>
      </c>
      <c r="AO193" s="204" t="s">
        <v>2</v>
      </c>
      <c r="AP193" s="203" t="s">
        <v>2</v>
      </c>
      <c r="AQ193" s="205" t="s">
        <v>2</v>
      </c>
      <c r="AR193" s="205" t="s">
        <v>2</v>
      </c>
      <c r="AS193" s="205" t="s">
        <v>2</v>
      </c>
      <c r="AT193" s="205" t="s">
        <v>2</v>
      </c>
      <c r="AU193" s="205" t="s">
        <v>2</v>
      </c>
      <c r="AV193" s="206" t="s">
        <v>2</v>
      </c>
      <c r="AW193" s="203" t="s">
        <v>2</v>
      </c>
      <c r="AX193" s="205" t="s">
        <v>2</v>
      </c>
      <c r="AY193" s="205" t="s">
        <v>2</v>
      </c>
      <c r="AZ193" s="206" t="s">
        <v>2</v>
      </c>
      <c r="BA193" s="203" t="s">
        <v>2</v>
      </c>
      <c r="BB193" s="205" t="s">
        <v>2</v>
      </c>
      <c r="BC193" s="205" t="s">
        <v>2</v>
      </c>
      <c r="BD193" s="205" t="s">
        <v>2</v>
      </c>
      <c r="BE193" s="205" t="s">
        <v>2</v>
      </c>
      <c r="BF193" s="206" t="s">
        <v>2</v>
      </c>
      <c r="BG193" s="199" t="s">
        <v>2</v>
      </c>
      <c r="BH193" s="199" t="s">
        <v>2</v>
      </c>
      <c r="BI193" s="200">
        <v>181</v>
      </c>
      <c r="BJ193" s="200">
        <v>45</v>
      </c>
      <c r="BK193" s="200" t="s">
        <v>2</v>
      </c>
      <c r="BL193" s="200">
        <v>149</v>
      </c>
      <c r="BM193" s="200">
        <v>183</v>
      </c>
      <c r="BN193" s="200">
        <v>141</v>
      </c>
      <c r="BO193" s="200">
        <v>192</v>
      </c>
      <c r="BP193" s="200">
        <v>131</v>
      </c>
      <c r="BQ193" s="200">
        <v>140</v>
      </c>
      <c r="BR193" s="200">
        <v>286</v>
      </c>
      <c r="BS193" s="200">
        <v>137</v>
      </c>
      <c r="BT193" s="200">
        <v>83</v>
      </c>
      <c r="BU193" s="200">
        <v>237</v>
      </c>
      <c r="BV193" s="200">
        <v>275</v>
      </c>
      <c r="BW193" s="200">
        <v>173</v>
      </c>
      <c r="BX193" s="200">
        <v>36</v>
      </c>
      <c r="BY193" s="200" t="s">
        <v>2</v>
      </c>
      <c r="BZ193" s="201">
        <v>196</v>
      </c>
      <c r="CA193" s="203" t="s">
        <v>2</v>
      </c>
      <c r="CB193" s="203" t="s">
        <v>2</v>
      </c>
      <c r="CC193" s="203" t="s">
        <v>2</v>
      </c>
      <c r="CD193" s="203" t="s">
        <v>2</v>
      </c>
      <c r="CE193" s="203" t="s">
        <v>2</v>
      </c>
      <c r="CF193" s="203" t="s">
        <v>2</v>
      </c>
      <c r="CG193" s="204" t="s">
        <v>2</v>
      </c>
      <c r="CH193" s="200" t="s">
        <v>2</v>
      </c>
      <c r="CI193" s="201" t="s">
        <v>2</v>
      </c>
      <c r="CJ193" s="203" t="s">
        <v>2</v>
      </c>
      <c r="CK193" s="203" t="s">
        <v>2</v>
      </c>
      <c r="CL193" s="203" t="s">
        <v>2</v>
      </c>
      <c r="CM193" s="204" t="s">
        <v>2</v>
      </c>
      <c r="CN193" s="199" t="s">
        <v>2</v>
      </c>
      <c r="CO193" s="199" t="s">
        <v>2</v>
      </c>
    </row>
    <row r="194" spans="1:93" s="207" customFormat="1" ht="15" x14ac:dyDescent="0.25">
      <c r="A194" s="220" t="s">
        <v>833</v>
      </c>
      <c r="B194" s="221" t="s">
        <v>1013</v>
      </c>
      <c r="C194" s="222" t="s">
        <v>1016</v>
      </c>
      <c r="D194" s="290">
        <v>4</v>
      </c>
      <c r="E194" s="199">
        <v>0</v>
      </c>
      <c r="F194" s="200">
        <v>39</v>
      </c>
      <c r="G194" s="201">
        <v>163.01999999999998</v>
      </c>
      <c r="H194" s="202">
        <v>89.6</v>
      </c>
      <c r="I194" s="203">
        <v>2.8</v>
      </c>
      <c r="J194" s="203">
        <v>0</v>
      </c>
      <c r="K194" s="203">
        <v>7</v>
      </c>
      <c r="L194" s="203" t="s">
        <v>2</v>
      </c>
      <c r="M194" s="204">
        <v>0.6</v>
      </c>
      <c r="N194" s="200">
        <v>73</v>
      </c>
      <c r="O194" s="200">
        <v>336</v>
      </c>
      <c r="P194" s="203">
        <v>1.1499999999999999</v>
      </c>
      <c r="Q194" s="203">
        <v>0.76</v>
      </c>
      <c r="R194" s="200" t="s">
        <v>2</v>
      </c>
      <c r="S194" s="200" t="s">
        <v>2</v>
      </c>
      <c r="T194" s="200" t="s">
        <v>2</v>
      </c>
      <c r="U194" s="200" t="s">
        <v>2</v>
      </c>
      <c r="V194" s="200" t="s">
        <v>2</v>
      </c>
      <c r="W194" s="201" t="s">
        <v>2</v>
      </c>
      <c r="X194" s="203">
        <v>23.3</v>
      </c>
      <c r="Y194" s="205">
        <v>0.08</v>
      </c>
      <c r="Z194" s="205">
        <v>2.8000000000000001E-2</v>
      </c>
      <c r="AA194" s="205" t="s">
        <v>2</v>
      </c>
      <c r="AB194" s="205" t="s">
        <v>2</v>
      </c>
      <c r="AC194" s="205" t="s">
        <v>2</v>
      </c>
      <c r="AD194" s="205" t="s">
        <v>2</v>
      </c>
      <c r="AE194" s="205" t="s">
        <v>2</v>
      </c>
      <c r="AF194" s="205" t="s">
        <v>2</v>
      </c>
      <c r="AG194" s="206" t="s">
        <v>2</v>
      </c>
      <c r="AH194" s="200" t="s">
        <v>2</v>
      </c>
      <c r="AI194" s="200">
        <v>100</v>
      </c>
      <c r="AJ194" s="203" t="s">
        <v>2</v>
      </c>
      <c r="AK194" s="203" t="s">
        <v>2</v>
      </c>
      <c r="AL194" s="204" t="s">
        <v>2</v>
      </c>
      <c r="AM194" s="203">
        <v>1200</v>
      </c>
      <c r="AN194" s="203" t="s">
        <v>2</v>
      </c>
      <c r="AO194" s="204" t="s">
        <v>2</v>
      </c>
      <c r="AP194" s="203" t="s">
        <v>2</v>
      </c>
      <c r="AQ194" s="205" t="s">
        <v>2</v>
      </c>
      <c r="AR194" s="205" t="s">
        <v>2</v>
      </c>
      <c r="AS194" s="205" t="s">
        <v>2</v>
      </c>
      <c r="AT194" s="205" t="s">
        <v>2</v>
      </c>
      <c r="AU194" s="205" t="s">
        <v>2</v>
      </c>
      <c r="AV194" s="206" t="s">
        <v>2</v>
      </c>
      <c r="AW194" s="203" t="s">
        <v>2</v>
      </c>
      <c r="AX194" s="205" t="s">
        <v>2</v>
      </c>
      <c r="AY194" s="205" t="s">
        <v>2</v>
      </c>
      <c r="AZ194" s="206" t="s">
        <v>2</v>
      </c>
      <c r="BA194" s="203" t="s">
        <v>2</v>
      </c>
      <c r="BB194" s="205" t="s">
        <v>2</v>
      </c>
      <c r="BC194" s="205" t="s">
        <v>2</v>
      </c>
      <c r="BD194" s="205" t="s">
        <v>2</v>
      </c>
      <c r="BE194" s="205" t="s">
        <v>2</v>
      </c>
      <c r="BF194" s="206" t="s">
        <v>2</v>
      </c>
      <c r="BG194" s="199" t="s">
        <v>2</v>
      </c>
      <c r="BH194" s="199" t="s">
        <v>2</v>
      </c>
      <c r="BI194" s="200">
        <v>99</v>
      </c>
      <c r="BJ194" s="200">
        <v>17</v>
      </c>
      <c r="BK194" s="200" t="s">
        <v>2</v>
      </c>
      <c r="BL194" s="200">
        <v>56</v>
      </c>
      <c r="BM194" s="200">
        <v>123</v>
      </c>
      <c r="BN194" s="200">
        <v>76</v>
      </c>
      <c r="BO194" s="200">
        <v>81</v>
      </c>
      <c r="BP194" s="200">
        <v>61</v>
      </c>
      <c r="BQ194" s="200">
        <v>100</v>
      </c>
      <c r="BR194" s="200">
        <v>417</v>
      </c>
      <c r="BS194" s="200">
        <v>110</v>
      </c>
      <c r="BT194" s="200">
        <v>43</v>
      </c>
      <c r="BU194" s="200">
        <v>166</v>
      </c>
      <c r="BV194" s="200">
        <v>265</v>
      </c>
      <c r="BW194" s="200">
        <v>187</v>
      </c>
      <c r="BX194" s="200">
        <v>18</v>
      </c>
      <c r="BY194" s="200" t="s">
        <v>2</v>
      </c>
      <c r="BZ194" s="201">
        <v>111</v>
      </c>
      <c r="CA194" s="203" t="s">
        <v>2</v>
      </c>
      <c r="CB194" s="203" t="s">
        <v>2</v>
      </c>
      <c r="CC194" s="203" t="s">
        <v>2</v>
      </c>
      <c r="CD194" s="203" t="s">
        <v>2</v>
      </c>
      <c r="CE194" s="203" t="s">
        <v>2</v>
      </c>
      <c r="CF194" s="203" t="s">
        <v>2</v>
      </c>
      <c r="CG194" s="204" t="s">
        <v>2</v>
      </c>
      <c r="CH194" s="200" t="s">
        <v>2</v>
      </c>
      <c r="CI194" s="201" t="s">
        <v>2</v>
      </c>
      <c r="CJ194" s="203" t="s">
        <v>2</v>
      </c>
      <c r="CK194" s="203" t="s">
        <v>2</v>
      </c>
      <c r="CL194" s="203" t="s">
        <v>2</v>
      </c>
      <c r="CM194" s="204" t="s">
        <v>2</v>
      </c>
      <c r="CN194" s="199" t="s">
        <v>2</v>
      </c>
      <c r="CO194" s="199" t="s">
        <v>2</v>
      </c>
    </row>
    <row r="195" spans="1:93" s="207" customFormat="1" ht="15" x14ac:dyDescent="0.25">
      <c r="A195" s="220" t="s">
        <v>834</v>
      </c>
      <c r="B195" s="221" t="s">
        <v>222</v>
      </c>
      <c r="C195" s="222" t="s">
        <v>1021</v>
      </c>
      <c r="D195" s="290">
        <v>4</v>
      </c>
      <c r="E195" s="199">
        <v>5</v>
      </c>
      <c r="F195" s="200">
        <v>10</v>
      </c>
      <c r="G195" s="201">
        <v>41.8</v>
      </c>
      <c r="H195" s="202">
        <v>94</v>
      </c>
      <c r="I195" s="203">
        <v>0.6</v>
      </c>
      <c r="J195" s="203" t="s">
        <v>2</v>
      </c>
      <c r="K195" s="203">
        <v>1.8</v>
      </c>
      <c r="L195" s="203">
        <v>0.8</v>
      </c>
      <c r="M195" s="204">
        <v>3.6</v>
      </c>
      <c r="N195" s="200" t="s">
        <v>2</v>
      </c>
      <c r="O195" s="200" t="s">
        <v>2</v>
      </c>
      <c r="P195" s="203" t="s">
        <v>2</v>
      </c>
      <c r="Q195" s="203" t="s">
        <v>2</v>
      </c>
      <c r="R195" s="200" t="s">
        <v>2</v>
      </c>
      <c r="S195" s="200" t="s">
        <v>2</v>
      </c>
      <c r="T195" s="200" t="s">
        <v>2</v>
      </c>
      <c r="U195" s="205" t="s">
        <v>2</v>
      </c>
      <c r="V195" s="205" t="s">
        <v>2</v>
      </c>
      <c r="W195" s="204" t="s">
        <v>2</v>
      </c>
      <c r="X195" s="203" t="s">
        <v>2</v>
      </c>
      <c r="Y195" s="205" t="s">
        <v>2</v>
      </c>
      <c r="Z195" s="205" t="s">
        <v>2</v>
      </c>
      <c r="AA195" s="205" t="s">
        <v>2</v>
      </c>
      <c r="AB195" s="205" t="s">
        <v>2</v>
      </c>
      <c r="AC195" s="205" t="s">
        <v>2</v>
      </c>
      <c r="AD195" s="200" t="s">
        <v>2</v>
      </c>
      <c r="AE195" s="200" t="s">
        <v>2</v>
      </c>
      <c r="AF195" s="203" t="s">
        <v>2</v>
      </c>
      <c r="AG195" s="204" t="s">
        <v>2</v>
      </c>
      <c r="AH195" s="200">
        <v>0</v>
      </c>
      <c r="AI195" s="200">
        <v>0</v>
      </c>
      <c r="AJ195" s="203" t="s">
        <v>2</v>
      </c>
      <c r="AK195" s="203" t="s">
        <v>2</v>
      </c>
      <c r="AL195" s="204" t="s">
        <v>2</v>
      </c>
      <c r="AM195" s="200" t="s">
        <v>2</v>
      </c>
      <c r="AN195" s="200" t="s">
        <v>2</v>
      </c>
      <c r="AO195" s="201" t="s">
        <v>2</v>
      </c>
      <c r="AP195" s="203" t="s">
        <v>2</v>
      </c>
      <c r="AQ195" s="205" t="s">
        <v>2</v>
      </c>
      <c r="AR195" s="205" t="s">
        <v>2</v>
      </c>
      <c r="AS195" s="205" t="s">
        <v>2</v>
      </c>
      <c r="AT195" s="205" t="s">
        <v>2</v>
      </c>
      <c r="AU195" s="205" t="s">
        <v>2</v>
      </c>
      <c r="AV195" s="206" t="s">
        <v>2</v>
      </c>
      <c r="AW195" s="203" t="s">
        <v>2</v>
      </c>
      <c r="AX195" s="205" t="s">
        <v>2</v>
      </c>
      <c r="AY195" s="205" t="s">
        <v>2</v>
      </c>
      <c r="AZ195" s="206" t="s">
        <v>2</v>
      </c>
      <c r="BA195" s="203" t="s">
        <v>2</v>
      </c>
      <c r="BB195" s="205" t="s">
        <v>2</v>
      </c>
      <c r="BC195" s="205" t="s">
        <v>2</v>
      </c>
      <c r="BD195" s="205" t="s">
        <v>2</v>
      </c>
      <c r="BE195" s="205" t="s">
        <v>2</v>
      </c>
      <c r="BF195" s="206" t="s">
        <v>2</v>
      </c>
      <c r="BG195" s="199" t="s">
        <v>2</v>
      </c>
      <c r="BH195" s="199">
        <v>0</v>
      </c>
      <c r="BI195" s="200" t="s">
        <v>2</v>
      </c>
      <c r="BJ195" s="200" t="s">
        <v>2</v>
      </c>
      <c r="BK195" s="200" t="s">
        <v>2</v>
      </c>
      <c r="BL195" s="200" t="s">
        <v>2</v>
      </c>
      <c r="BM195" s="200" t="s">
        <v>2</v>
      </c>
      <c r="BN195" s="200" t="s">
        <v>2</v>
      </c>
      <c r="BO195" s="200" t="s">
        <v>2</v>
      </c>
      <c r="BP195" s="200" t="s">
        <v>2</v>
      </c>
      <c r="BQ195" s="200" t="s">
        <v>2</v>
      </c>
      <c r="BR195" s="200" t="s">
        <v>2</v>
      </c>
      <c r="BS195" s="200" t="s">
        <v>2</v>
      </c>
      <c r="BT195" s="200" t="s">
        <v>2</v>
      </c>
      <c r="BU195" s="200" t="s">
        <v>2</v>
      </c>
      <c r="BV195" s="200" t="s">
        <v>2</v>
      </c>
      <c r="BW195" s="200" t="s">
        <v>2</v>
      </c>
      <c r="BX195" s="200" t="s">
        <v>2</v>
      </c>
      <c r="BY195" s="200" t="s">
        <v>2</v>
      </c>
      <c r="BZ195" s="201" t="s">
        <v>2</v>
      </c>
      <c r="CA195" s="203" t="s">
        <v>2</v>
      </c>
      <c r="CB195" s="203" t="s">
        <v>2</v>
      </c>
      <c r="CC195" s="203" t="s">
        <v>2</v>
      </c>
      <c r="CD195" s="203" t="s">
        <v>2</v>
      </c>
      <c r="CE195" s="203" t="s">
        <v>2</v>
      </c>
      <c r="CF195" s="203" t="s">
        <v>2</v>
      </c>
      <c r="CG195" s="204" t="s">
        <v>2</v>
      </c>
      <c r="CH195" s="200" t="s">
        <v>2</v>
      </c>
      <c r="CI195" s="201" t="s">
        <v>2</v>
      </c>
      <c r="CJ195" s="203" t="s">
        <v>2</v>
      </c>
      <c r="CK195" s="203" t="s">
        <v>2</v>
      </c>
      <c r="CL195" s="203" t="s">
        <v>2</v>
      </c>
      <c r="CM195" s="204" t="s">
        <v>2</v>
      </c>
      <c r="CN195" s="199" t="s">
        <v>2</v>
      </c>
      <c r="CO195" s="199" t="s">
        <v>2</v>
      </c>
    </row>
    <row r="196" spans="1:93" s="207" customFormat="1" ht="15" x14ac:dyDescent="0.25">
      <c r="A196" s="220" t="s">
        <v>835</v>
      </c>
      <c r="B196" s="221" t="s">
        <v>223</v>
      </c>
      <c r="C196" s="222" t="s">
        <v>1022</v>
      </c>
      <c r="D196" s="290">
        <v>4</v>
      </c>
      <c r="E196" s="199">
        <v>5</v>
      </c>
      <c r="F196" s="200">
        <v>20</v>
      </c>
      <c r="G196" s="201">
        <v>83.6</v>
      </c>
      <c r="H196" s="202">
        <v>81</v>
      </c>
      <c r="I196" s="203">
        <v>1.3</v>
      </c>
      <c r="J196" s="203" t="s">
        <v>2</v>
      </c>
      <c r="K196" s="203">
        <v>3.7</v>
      </c>
      <c r="L196" s="203">
        <v>1.7</v>
      </c>
      <c r="M196" s="204">
        <v>14</v>
      </c>
      <c r="N196" s="200">
        <v>15</v>
      </c>
      <c r="O196" s="200">
        <v>18</v>
      </c>
      <c r="P196" s="203">
        <v>0.8</v>
      </c>
      <c r="Q196" s="203" t="s">
        <v>2</v>
      </c>
      <c r="R196" s="200" t="s">
        <v>2</v>
      </c>
      <c r="S196" s="200" t="s">
        <v>2</v>
      </c>
      <c r="T196" s="200" t="s">
        <v>2</v>
      </c>
      <c r="U196" s="205" t="s">
        <v>2</v>
      </c>
      <c r="V196" s="205" t="s">
        <v>2</v>
      </c>
      <c r="W196" s="204" t="s">
        <v>2</v>
      </c>
      <c r="X196" s="203" t="s">
        <v>2</v>
      </c>
      <c r="Y196" s="205">
        <v>0.05</v>
      </c>
      <c r="Z196" s="205">
        <v>0.06</v>
      </c>
      <c r="AA196" s="205">
        <v>0.7</v>
      </c>
      <c r="AB196" s="205" t="s">
        <v>2</v>
      </c>
      <c r="AC196" s="205" t="s">
        <v>2</v>
      </c>
      <c r="AD196" s="200" t="s">
        <v>2</v>
      </c>
      <c r="AE196" s="200" t="s">
        <v>2</v>
      </c>
      <c r="AF196" s="203" t="s">
        <v>2</v>
      </c>
      <c r="AG196" s="204" t="s">
        <v>2</v>
      </c>
      <c r="AH196" s="200">
        <v>0</v>
      </c>
      <c r="AI196" s="200">
        <v>3</v>
      </c>
      <c r="AJ196" s="203" t="s">
        <v>2</v>
      </c>
      <c r="AK196" s="203" t="s">
        <v>2</v>
      </c>
      <c r="AL196" s="204" t="s">
        <v>2</v>
      </c>
      <c r="AM196" s="200">
        <v>40</v>
      </c>
      <c r="AN196" s="200" t="s">
        <v>2</v>
      </c>
      <c r="AO196" s="201" t="s">
        <v>2</v>
      </c>
      <c r="AP196" s="203" t="s">
        <v>2</v>
      </c>
      <c r="AQ196" s="205" t="s">
        <v>2</v>
      </c>
      <c r="AR196" s="205" t="s">
        <v>2</v>
      </c>
      <c r="AS196" s="205" t="s">
        <v>2</v>
      </c>
      <c r="AT196" s="205" t="s">
        <v>2</v>
      </c>
      <c r="AU196" s="205" t="s">
        <v>2</v>
      </c>
      <c r="AV196" s="206" t="s">
        <v>2</v>
      </c>
      <c r="AW196" s="203" t="s">
        <v>2</v>
      </c>
      <c r="AX196" s="205" t="s">
        <v>2</v>
      </c>
      <c r="AY196" s="205" t="s">
        <v>2</v>
      </c>
      <c r="AZ196" s="206" t="s">
        <v>2</v>
      </c>
      <c r="BA196" s="203" t="s">
        <v>2</v>
      </c>
      <c r="BB196" s="205" t="s">
        <v>2</v>
      </c>
      <c r="BC196" s="205" t="s">
        <v>2</v>
      </c>
      <c r="BD196" s="205" t="s">
        <v>2</v>
      </c>
      <c r="BE196" s="205" t="s">
        <v>2</v>
      </c>
      <c r="BF196" s="206" t="s">
        <v>2</v>
      </c>
      <c r="BG196" s="199" t="s">
        <v>2</v>
      </c>
      <c r="BH196" s="199">
        <v>0</v>
      </c>
      <c r="BI196" s="200" t="s">
        <v>2</v>
      </c>
      <c r="BJ196" s="200" t="s">
        <v>2</v>
      </c>
      <c r="BK196" s="200" t="s">
        <v>2</v>
      </c>
      <c r="BL196" s="200" t="s">
        <v>2</v>
      </c>
      <c r="BM196" s="200" t="s">
        <v>2</v>
      </c>
      <c r="BN196" s="200" t="s">
        <v>2</v>
      </c>
      <c r="BO196" s="200" t="s">
        <v>2</v>
      </c>
      <c r="BP196" s="200" t="s">
        <v>2</v>
      </c>
      <c r="BQ196" s="200" t="s">
        <v>2</v>
      </c>
      <c r="BR196" s="200" t="s">
        <v>2</v>
      </c>
      <c r="BS196" s="200" t="s">
        <v>2</v>
      </c>
      <c r="BT196" s="200" t="s">
        <v>2</v>
      </c>
      <c r="BU196" s="200" t="s">
        <v>2</v>
      </c>
      <c r="BV196" s="200" t="s">
        <v>2</v>
      </c>
      <c r="BW196" s="200" t="s">
        <v>2</v>
      </c>
      <c r="BX196" s="200" t="s">
        <v>2</v>
      </c>
      <c r="BY196" s="200" t="s">
        <v>2</v>
      </c>
      <c r="BZ196" s="201" t="s">
        <v>2</v>
      </c>
      <c r="CA196" s="203" t="s">
        <v>2</v>
      </c>
      <c r="CB196" s="203" t="s">
        <v>2</v>
      </c>
      <c r="CC196" s="203" t="s">
        <v>2</v>
      </c>
      <c r="CD196" s="203" t="s">
        <v>2</v>
      </c>
      <c r="CE196" s="203" t="s">
        <v>2</v>
      </c>
      <c r="CF196" s="203" t="s">
        <v>2</v>
      </c>
      <c r="CG196" s="204" t="s">
        <v>2</v>
      </c>
      <c r="CH196" s="200" t="s">
        <v>2</v>
      </c>
      <c r="CI196" s="201" t="s">
        <v>2</v>
      </c>
      <c r="CJ196" s="203" t="s">
        <v>2</v>
      </c>
      <c r="CK196" s="203" t="s">
        <v>2</v>
      </c>
      <c r="CL196" s="203" t="s">
        <v>2</v>
      </c>
      <c r="CM196" s="204" t="s">
        <v>2</v>
      </c>
      <c r="CN196" s="199" t="s">
        <v>2</v>
      </c>
      <c r="CO196" s="199" t="s">
        <v>2</v>
      </c>
    </row>
    <row r="197" spans="1:93" s="207" customFormat="1" ht="15" x14ac:dyDescent="0.25">
      <c r="A197" s="220" t="s">
        <v>836</v>
      </c>
      <c r="B197" s="221" t="s">
        <v>224</v>
      </c>
      <c r="C197" s="222" t="s">
        <v>1022</v>
      </c>
      <c r="D197" s="290">
        <v>4</v>
      </c>
      <c r="E197" s="199">
        <v>5</v>
      </c>
      <c r="F197" s="200">
        <v>23</v>
      </c>
      <c r="G197" s="201">
        <v>96.139999999999986</v>
      </c>
      <c r="H197" s="202">
        <v>84.3</v>
      </c>
      <c r="I197" s="203">
        <v>1.5</v>
      </c>
      <c r="J197" s="203" t="s">
        <v>2</v>
      </c>
      <c r="K197" s="203">
        <v>4.2</v>
      </c>
      <c r="L197" s="203">
        <v>1.7</v>
      </c>
      <c r="M197" s="204">
        <v>10</v>
      </c>
      <c r="N197" s="200" t="s">
        <v>2</v>
      </c>
      <c r="O197" s="200" t="s">
        <v>2</v>
      </c>
      <c r="P197" s="203" t="s">
        <v>2</v>
      </c>
      <c r="Q197" s="203" t="s">
        <v>2</v>
      </c>
      <c r="R197" s="200" t="s">
        <v>2</v>
      </c>
      <c r="S197" s="200" t="s">
        <v>2</v>
      </c>
      <c r="T197" s="200" t="s">
        <v>2</v>
      </c>
      <c r="U197" s="205" t="s">
        <v>2</v>
      </c>
      <c r="V197" s="205" t="s">
        <v>2</v>
      </c>
      <c r="W197" s="204" t="s">
        <v>2</v>
      </c>
      <c r="X197" s="203" t="s">
        <v>2</v>
      </c>
      <c r="Y197" s="205" t="s">
        <v>2</v>
      </c>
      <c r="Z197" s="205" t="s">
        <v>2</v>
      </c>
      <c r="AA197" s="205" t="s">
        <v>2</v>
      </c>
      <c r="AB197" s="205" t="s">
        <v>2</v>
      </c>
      <c r="AC197" s="205" t="s">
        <v>2</v>
      </c>
      <c r="AD197" s="200" t="s">
        <v>2</v>
      </c>
      <c r="AE197" s="200" t="s">
        <v>2</v>
      </c>
      <c r="AF197" s="203" t="s">
        <v>2</v>
      </c>
      <c r="AG197" s="204" t="s">
        <v>2</v>
      </c>
      <c r="AH197" s="200">
        <v>0</v>
      </c>
      <c r="AI197" s="200">
        <v>0</v>
      </c>
      <c r="AJ197" s="203" t="s">
        <v>2</v>
      </c>
      <c r="AK197" s="203" t="s">
        <v>2</v>
      </c>
      <c r="AL197" s="204" t="s">
        <v>2</v>
      </c>
      <c r="AM197" s="200" t="s">
        <v>2</v>
      </c>
      <c r="AN197" s="200" t="s">
        <v>2</v>
      </c>
      <c r="AO197" s="201" t="s">
        <v>2</v>
      </c>
      <c r="AP197" s="203" t="s">
        <v>2</v>
      </c>
      <c r="AQ197" s="205" t="s">
        <v>2</v>
      </c>
      <c r="AR197" s="205" t="s">
        <v>2</v>
      </c>
      <c r="AS197" s="205" t="s">
        <v>2</v>
      </c>
      <c r="AT197" s="205" t="s">
        <v>2</v>
      </c>
      <c r="AU197" s="205" t="s">
        <v>2</v>
      </c>
      <c r="AV197" s="206" t="s">
        <v>2</v>
      </c>
      <c r="AW197" s="203" t="s">
        <v>2</v>
      </c>
      <c r="AX197" s="205" t="s">
        <v>2</v>
      </c>
      <c r="AY197" s="205" t="s">
        <v>2</v>
      </c>
      <c r="AZ197" s="206" t="s">
        <v>2</v>
      </c>
      <c r="BA197" s="203" t="s">
        <v>2</v>
      </c>
      <c r="BB197" s="205" t="s">
        <v>2</v>
      </c>
      <c r="BC197" s="205" t="s">
        <v>2</v>
      </c>
      <c r="BD197" s="205" t="s">
        <v>2</v>
      </c>
      <c r="BE197" s="205" t="s">
        <v>2</v>
      </c>
      <c r="BF197" s="206" t="s">
        <v>2</v>
      </c>
      <c r="BG197" s="199" t="s">
        <v>2</v>
      </c>
      <c r="BH197" s="199">
        <v>0</v>
      </c>
      <c r="BI197" s="200" t="s">
        <v>2</v>
      </c>
      <c r="BJ197" s="200" t="s">
        <v>2</v>
      </c>
      <c r="BK197" s="200" t="s">
        <v>2</v>
      </c>
      <c r="BL197" s="200" t="s">
        <v>2</v>
      </c>
      <c r="BM197" s="200" t="s">
        <v>2</v>
      </c>
      <c r="BN197" s="200" t="s">
        <v>2</v>
      </c>
      <c r="BO197" s="200" t="s">
        <v>2</v>
      </c>
      <c r="BP197" s="200" t="s">
        <v>2</v>
      </c>
      <c r="BQ197" s="200" t="s">
        <v>2</v>
      </c>
      <c r="BR197" s="200" t="s">
        <v>2</v>
      </c>
      <c r="BS197" s="200" t="s">
        <v>2</v>
      </c>
      <c r="BT197" s="200" t="s">
        <v>2</v>
      </c>
      <c r="BU197" s="200" t="s">
        <v>2</v>
      </c>
      <c r="BV197" s="200" t="s">
        <v>2</v>
      </c>
      <c r="BW197" s="200" t="s">
        <v>2</v>
      </c>
      <c r="BX197" s="200" t="s">
        <v>2</v>
      </c>
      <c r="BY197" s="200" t="s">
        <v>2</v>
      </c>
      <c r="BZ197" s="201" t="s">
        <v>2</v>
      </c>
      <c r="CA197" s="203" t="s">
        <v>2</v>
      </c>
      <c r="CB197" s="203" t="s">
        <v>2</v>
      </c>
      <c r="CC197" s="203" t="s">
        <v>2</v>
      </c>
      <c r="CD197" s="203" t="s">
        <v>2</v>
      </c>
      <c r="CE197" s="203" t="s">
        <v>2</v>
      </c>
      <c r="CF197" s="203" t="s">
        <v>2</v>
      </c>
      <c r="CG197" s="204" t="s">
        <v>2</v>
      </c>
      <c r="CH197" s="200" t="s">
        <v>2</v>
      </c>
      <c r="CI197" s="201" t="s">
        <v>2</v>
      </c>
      <c r="CJ197" s="203" t="s">
        <v>2</v>
      </c>
      <c r="CK197" s="203" t="s">
        <v>2</v>
      </c>
      <c r="CL197" s="203" t="s">
        <v>2</v>
      </c>
      <c r="CM197" s="204" t="s">
        <v>2</v>
      </c>
      <c r="CN197" s="199" t="s">
        <v>2</v>
      </c>
      <c r="CO197" s="199" t="s">
        <v>2</v>
      </c>
    </row>
    <row r="198" spans="1:93" s="207" customFormat="1" ht="15" x14ac:dyDescent="0.25">
      <c r="A198" s="220" t="s">
        <v>837</v>
      </c>
      <c r="B198" s="221" t="s">
        <v>225</v>
      </c>
      <c r="C198" s="222" t="s">
        <v>1024</v>
      </c>
      <c r="D198" s="290">
        <v>4</v>
      </c>
      <c r="E198" s="199">
        <v>5</v>
      </c>
      <c r="F198" s="200">
        <v>24</v>
      </c>
      <c r="G198" s="201">
        <v>100.32</v>
      </c>
      <c r="H198" s="202">
        <v>90.9</v>
      </c>
      <c r="I198" s="203">
        <v>1.2</v>
      </c>
      <c r="J198" s="203" t="s">
        <v>2</v>
      </c>
      <c r="K198" s="203">
        <v>4.9000000000000004</v>
      </c>
      <c r="L198" s="203">
        <v>1.6</v>
      </c>
      <c r="M198" s="204">
        <v>3</v>
      </c>
      <c r="N198" s="200">
        <v>51</v>
      </c>
      <c r="O198" s="200">
        <v>34</v>
      </c>
      <c r="P198" s="203">
        <v>0.3</v>
      </c>
      <c r="Q198" s="203" t="s">
        <v>2</v>
      </c>
      <c r="R198" s="200" t="s">
        <v>2</v>
      </c>
      <c r="S198" s="200" t="s">
        <v>2</v>
      </c>
      <c r="T198" s="200" t="s">
        <v>2</v>
      </c>
      <c r="U198" s="205" t="s">
        <v>2</v>
      </c>
      <c r="V198" s="205" t="s">
        <v>2</v>
      </c>
      <c r="W198" s="204" t="s">
        <v>2</v>
      </c>
      <c r="X198" s="203">
        <v>20</v>
      </c>
      <c r="Y198" s="205">
        <v>0.01</v>
      </c>
      <c r="Z198" s="205">
        <v>0.06</v>
      </c>
      <c r="AA198" s="205">
        <v>0.3</v>
      </c>
      <c r="AB198" s="205" t="s">
        <v>2</v>
      </c>
      <c r="AC198" s="205" t="s">
        <v>2</v>
      </c>
      <c r="AD198" s="200" t="s">
        <v>2</v>
      </c>
      <c r="AE198" s="200" t="s">
        <v>2</v>
      </c>
      <c r="AF198" s="203" t="s">
        <v>2</v>
      </c>
      <c r="AG198" s="204" t="s">
        <v>2</v>
      </c>
      <c r="AH198" s="200">
        <v>0</v>
      </c>
      <c r="AI198" s="200">
        <v>2</v>
      </c>
      <c r="AJ198" s="203" t="s">
        <v>2</v>
      </c>
      <c r="AK198" s="203" t="s">
        <v>2</v>
      </c>
      <c r="AL198" s="204" t="s">
        <v>2</v>
      </c>
      <c r="AM198" s="200">
        <v>20</v>
      </c>
      <c r="AN198" s="200" t="s">
        <v>2</v>
      </c>
      <c r="AO198" s="201" t="s">
        <v>2</v>
      </c>
      <c r="AP198" s="203" t="s">
        <v>2</v>
      </c>
      <c r="AQ198" s="205" t="s">
        <v>2</v>
      </c>
      <c r="AR198" s="205" t="s">
        <v>2</v>
      </c>
      <c r="AS198" s="205" t="s">
        <v>2</v>
      </c>
      <c r="AT198" s="205" t="s">
        <v>2</v>
      </c>
      <c r="AU198" s="205" t="s">
        <v>2</v>
      </c>
      <c r="AV198" s="206" t="s">
        <v>2</v>
      </c>
      <c r="AW198" s="203" t="s">
        <v>2</v>
      </c>
      <c r="AX198" s="205" t="s">
        <v>2</v>
      </c>
      <c r="AY198" s="205" t="s">
        <v>2</v>
      </c>
      <c r="AZ198" s="206" t="s">
        <v>2</v>
      </c>
      <c r="BA198" s="203" t="s">
        <v>2</v>
      </c>
      <c r="BB198" s="205" t="s">
        <v>2</v>
      </c>
      <c r="BC198" s="205" t="s">
        <v>2</v>
      </c>
      <c r="BD198" s="205" t="s">
        <v>2</v>
      </c>
      <c r="BE198" s="205" t="s">
        <v>2</v>
      </c>
      <c r="BF198" s="206" t="s">
        <v>2</v>
      </c>
      <c r="BG198" s="199" t="s">
        <v>2</v>
      </c>
      <c r="BH198" s="199">
        <v>0</v>
      </c>
      <c r="BI198" s="200" t="s">
        <v>2</v>
      </c>
      <c r="BJ198" s="200" t="s">
        <v>2</v>
      </c>
      <c r="BK198" s="200" t="s">
        <v>2</v>
      </c>
      <c r="BL198" s="200" t="s">
        <v>2</v>
      </c>
      <c r="BM198" s="200" t="s">
        <v>2</v>
      </c>
      <c r="BN198" s="200" t="s">
        <v>2</v>
      </c>
      <c r="BO198" s="200" t="s">
        <v>2</v>
      </c>
      <c r="BP198" s="200" t="s">
        <v>2</v>
      </c>
      <c r="BQ198" s="200" t="s">
        <v>2</v>
      </c>
      <c r="BR198" s="200" t="s">
        <v>2</v>
      </c>
      <c r="BS198" s="200" t="s">
        <v>2</v>
      </c>
      <c r="BT198" s="200" t="s">
        <v>2</v>
      </c>
      <c r="BU198" s="200" t="s">
        <v>2</v>
      </c>
      <c r="BV198" s="200" t="s">
        <v>2</v>
      </c>
      <c r="BW198" s="200" t="s">
        <v>2</v>
      </c>
      <c r="BX198" s="200" t="s">
        <v>2</v>
      </c>
      <c r="BY198" s="200" t="s">
        <v>2</v>
      </c>
      <c r="BZ198" s="201" t="s">
        <v>2</v>
      </c>
      <c r="CA198" s="203" t="s">
        <v>2</v>
      </c>
      <c r="CB198" s="203" t="s">
        <v>2</v>
      </c>
      <c r="CC198" s="203" t="s">
        <v>2</v>
      </c>
      <c r="CD198" s="203" t="s">
        <v>2</v>
      </c>
      <c r="CE198" s="203" t="s">
        <v>2</v>
      </c>
      <c r="CF198" s="203" t="s">
        <v>2</v>
      </c>
      <c r="CG198" s="204" t="s">
        <v>2</v>
      </c>
      <c r="CH198" s="200" t="s">
        <v>2</v>
      </c>
      <c r="CI198" s="201" t="s">
        <v>2</v>
      </c>
      <c r="CJ198" s="203" t="s">
        <v>2</v>
      </c>
      <c r="CK198" s="203" t="s">
        <v>2</v>
      </c>
      <c r="CL198" s="203" t="s">
        <v>2</v>
      </c>
      <c r="CM198" s="204" t="s">
        <v>2</v>
      </c>
      <c r="CN198" s="199" t="s">
        <v>2</v>
      </c>
      <c r="CO198" s="199" t="s">
        <v>2</v>
      </c>
    </row>
    <row r="199" spans="1:93" s="207" customFormat="1" ht="15" x14ac:dyDescent="0.25">
      <c r="A199" s="220" t="s">
        <v>838</v>
      </c>
      <c r="B199" s="221" t="s">
        <v>226</v>
      </c>
      <c r="C199" s="222" t="s">
        <v>1026</v>
      </c>
      <c r="D199" s="290">
        <v>4</v>
      </c>
      <c r="E199" s="199">
        <v>5</v>
      </c>
      <c r="F199" s="200">
        <v>25</v>
      </c>
      <c r="G199" s="201">
        <v>104.5</v>
      </c>
      <c r="H199" s="202">
        <v>90.1</v>
      </c>
      <c r="I199" s="203">
        <v>1.8</v>
      </c>
      <c r="J199" s="203" t="s">
        <v>2</v>
      </c>
      <c r="K199" s="203">
        <v>4.5</v>
      </c>
      <c r="L199" s="203">
        <v>2.1</v>
      </c>
      <c r="M199" s="204">
        <v>3.6</v>
      </c>
      <c r="N199" s="200">
        <v>100</v>
      </c>
      <c r="O199" s="200">
        <v>21</v>
      </c>
      <c r="P199" s="203">
        <v>3</v>
      </c>
      <c r="Q199" s="203" t="s">
        <v>2</v>
      </c>
      <c r="R199" s="200" t="s">
        <v>2</v>
      </c>
      <c r="S199" s="200" t="s">
        <v>2</v>
      </c>
      <c r="T199" s="200" t="s">
        <v>2</v>
      </c>
      <c r="U199" s="205" t="s">
        <v>2</v>
      </c>
      <c r="V199" s="205" t="s">
        <v>2</v>
      </c>
      <c r="W199" s="204" t="s">
        <v>2</v>
      </c>
      <c r="X199" s="203">
        <v>3</v>
      </c>
      <c r="Y199" s="205">
        <v>0.03</v>
      </c>
      <c r="Z199" s="205">
        <v>0.12</v>
      </c>
      <c r="AA199" s="205">
        <v>0.5</v>
      </c>
      <c r="AB199" s="205" t="s">
        <v>2</v>
      </c>
      <c r="AC199" s="205" t="s">
        <v>2</v>
      </c>
      <c r="AD199" s="200" t="s">
        <v>2</v>
      </c>
      <c r="AE199" s="200" t="s">
        <v>2</v>
      </c>
      <c r="AF199" s="203" t="s">
        <v>2</v>
      </c>
      <c r="AG199" s="204" t="s">
        <v>2</v>
      </c>
      <c r="AH199" s="200">
        <v>0</v>
      </c>
      <c r="AI199" s="200">
        <v>62</v>
      </c>
      <c r="AJ199" s="203" t="s">
        <v>2</v>
      </c>
      <c r="AK199" s="203" t="s">
        <v>2</v>
      </c>
      <c r="AL199" s="204" t="s">
        <v>2</v>
      </c>
      <c r="AM199" s="200">
        <v>745</v>
      </c>
      <c r="AN199" s="200" t="s">
        <v>2</v>
      </c>
      <c r="AO199" s="201" t="s">
        <v>2</v>
      </c>
      <c r="AP199" s="203" t="s">
        <v>2</v>
      </c>
      <c r="AQ199" s="205" t="s">
        <v>2</v>
      </c>
      <c r="AR199" s="205" t="s">
        <v>2</v>
      </c>
      <c r="AS199" s="205" t="s">
        <v>2</v>
      </c>
      <c r="AT199" s="205" t="s">
        <v>2</v>
      </c>
      <c r="AU199" s="205" t="s">
        <v>2</v>
      </c>
      <c r="AV199" s="206" t="s">
        <v>2</v>
      </c>
      <c r="AW199" s="203" t="s">
        <v>2</v>
      </c>
      <c r="AX199" s="205" t="s">
        <v>2</v>
      </c>
      <c r="AY199" s="205" t="s">
        <v>2</v>
      </c>
      <c r="AZ199" s="206" t="s">
        <v>2</v>
      </c>
      <c r="BA199" s="203" t="s">
        <v>2</v>
      </c>
      <c r="BB199" s="205" t="s">
        <v>2</v>
      </c>
      <c r="BC199" s="205" t="s">
        <v>2</v>
      </c>
      <c r="BD199" s="205" t="s">
        <v>2</v>
      </c>
      <c r="BE199" s="205" t="s">
        <v>2</v>
      </c>
      <c r="BF199" s="206" t="s">
        <v>2</v>
      </c>
      <c r="BG199" s="199" t="s">
        <v>2</v>
      </c>
      <c r="BH199" s="199">
        <v>0</v>
      </c>
      <c r="BI199" s="200" t="s">
        <v>2</v>
      </c>
      <c r="BJ199" s="200" t="s">
        <v>2</v>
      </c>
      <c r="BK199" s="200" t="s">
        <v>2</v>
      </c>
      <c r="BL199" s="200" t="s">
        <v>2</v>
      </c>
      <c r="BM199" s="200" t="s">
        <v>2</v>
      </c>
      <c r="BN199" s="200" t="s">
        <v>2</v>
      </c>
      <c r="BO199" s="200" t="s">
        <v>2</v>
      </c>
      <c r="BP199" s="200" t="s">
        <v>2</v>
      </c>
      <c r="BQ199" s="200" t="s">
        <v>2</v>
      </c>
      <c r="BR199" s="200" t="s">
        <v>2</v>
      </c>
      <c r="BS199" s="200" t="s">
        <v>2</v>
      </c>
      <c r="BT199" s="200" t="s">
        <v>2</v>
      </c>
      <c r="BU199" s="200" t="s">
        <v>2</v>
      </c>
      <c r="BV199" s="200" t="s">
        <v>2</v>
      </c>
      <c r="BW199" s="200" t="s">
        <v>2</v>
      </c>
      <c r="BX199" s="200" t="s">
        <v>2</v>
      </c>
      <c r="BY199" s="200" t="s">
        <v>2</v>
      </c>
      <c r="BZ199" s="201" t="s">
        <v>2</v>
      </c>
      <c r="CA199" s="203" t="s">
        <v>2</v>
      </c>
      <c r="CB199" s="203" t="s">
        <v>2</v>
      </c>
      <c r="CC199" s="203" t="s">
        <v>2</v>
      </c>
      <c r="CD199" s="203" t="s">
        <v>2</v>
      </c>
      <c r="CE199" s="203" t="s">
        <v>2</v>
      </c>
      <c r="CF199" s="203" t="s">
        <v>2</v>
      </c>
      <c r="CG199" s="204" t="s">
        <v>2</v>
      </c>
      <c r="CH199" s="200" t="s">
        <v>2</v>
      </c>
      <c r="CI199" s="201" t="s">
        <v>2</v>
      </c>
      <c r="CJ199" s="203" t="s">
        <v>2</v>
      </c>
      <c r="CK199" s="203" t="s">
        <v>2</v>
      </c>
      <c r="CL199" s="203" t="s">
        <v>2</v>
      </c>
      <c r="CM199" s="204" t="s">
        <v>2</v>
      </c>
      <c r="CN199" s="199" t="s">
        <v>2</v>
      </c>
      <c r="CO199" s="199" t="s">
        <v>2</v>
      </c>
    </row>
    <row r="200" spans="1:93" s="207" customFormat="1" ht="15" x14ac:dyDescent="0.25">
      <c r="A200" s="220" t="s">
        <v>839</v>
      </c>
      <c r="B200" s="221" t="s">
        <v>227</v>
      </c>
      <c r="C200" s="222" t="s">
        <v>1025</v>
      </c>
      <c r="D200" s="290">
        <v>4</v>
      </c>
      <c r="E200" s="199">
        <v>5</v>
      </c>
      <c r="F200" s="200">
        <v>17</v>
      </c>
      <c r="G200" s="201">
        <v>71.06</v>
      </c>
      <c r="H200" s="202">
        <v>93.8</v>
      </c>
      <c r="I200" s="203">
        <v>1.1000000000000001</v>
      </c>
      <c r="J200" s="203" t="s">
        <v>2</v>
      </c>
      <c r="K200" s="203">
        <v>3.1</v>
      </c>
      <c r="L200" s="203">
        <v>1.8</v>
      </c>
      <c r="M200" s="204">
        <v>2</v>
      </c>
      <c r="N200" s="200">
        <v>63</v>
      </c>
      <c r="O200" s="200">
        <v>41</v>
      </c>
      <c r="P200" s="203" t="s">
        <v>2</v>
      </c>
      <c r="Q200" s="203" t="s">
        <v>2</v>
      </c>
      <c r="R200" s="200" t="s">
        <v>2</v>
      </c>
      <c r="S200" s="200" t="s">
        <v>2</v>
      </c>
      <c r="T200" s="200" t="s">
        <v>2</v>
      </c>
      <c r="U200" s="205" t="s">
        <v>2</v>
      </c>
      <c r="V200" s="205" t="s">
        <v>2</v>
      </c>
      <c r="W200" s="204" t="s">
        <v>2</v>
      </c>
      <c r="X200" s="203" t="s">
        <v>2</v>
      </c>
      <c r="Y200" s="205" t="s">
        <v>2</v>
      </c>
      <c r="Z200" s="205" t="s">
        <v>2</v>
      </c>
      <c r="AA200" s="205" t="s">
        <v>2</v>
      </c>
      <c r="AB200" s="205" t="s">
        <v>2</v>
      </c>
      <c r="AC200" s="205" t="s">
        <v>2</v>
      </c>
      <c r="AD200" s="200" t="s">
        <v>2</v>
      </c>
      <c r="AE200" s="200" t="s">
        <v>2</v>
      </c>
      <c r="AF200" s="203" t="s">
        <v>2</v>
      </c>
      <c r="AG200" s="204" t="s">
        <v>2</v>
      </c>
      <c r="AH200" s="200">
        <v>0</v>
      </c>
      <c r="AI200" s="200">
        <v>0</v>
      </c>
      <c r="AJ200" s="203" t="s">
        <v>2</v>
      </c>
      <c r="AK200" s="203" t="s">
        <v>2</v>
      </c>
      <c r="AL200" s="204" t="s">
        <v>2</v>
      </c>
      <c r="AM200" s="200" t="s">
        <v>2</v>
      </c>
      <c r="AN200" s="200" t="s">
        <v>2</v>
      </c>
      <c r="AO200" s="201" t="s">
        <v>2</v>
      </c>
      <c r="AP200" s="203" t="s">
        <v>2</v>
      </c>
      <c r="AQ200" s="205" t="s">
        <v>2</v>
      </c>
      <c r="AR200" s="205" t="s">
        <v>2</v>
      </c>
      <c r="AS200" s="205" t="s">
        <v>2</v>
      </c>
      <c r="AT200" s="205" t="s">
        <v>2</v>
      </c>
      <c r="AU200" s="205" t="s">
        <v>2</v>
      </c>
      <c r="AV200" s="206" t="s">
        <v>2</v>
      </c>
      <c r="AW200" s="203" t="s">
        <v>2</v>
      </c>
      <c r="AX200" s="205" t="s">
        <v>2</v>
      </c>
      <c r="AY200" s="205" t="s">
        <v>2</v>
      </c>
      <c r="AZ200" s="206" t="s">
        <v>2</v>
      </c>
      <c r="BA200" s="203" t="s">
        <v>2</v>
      </c>
      <c r="BB200" s="205" t="s">
        <v>2</v>
      </c>
      <c r="BC200" s="205" t="s">
        <v>2</v>
      </c>
      <c r="BD200" s="205" t="s">
        <v>2</v>
      </c>
      <c r="BE200" s="205" t="s">
        <v>2</v>
      </c>
      <c r="BF200" s="206" t="s">
        <v>2</v>
      </c>
      <c r="BG200" s="199" t="s">
        <v>2</v>
      </c>
      <c r="BH200" s="199">
        <v>0</v>
      </c>
      <c r="BI200" s="200" t="s">
        <v>2</v>
      </c>
      <c r="BJ200" s="200" t="s">
        <v>2</v>
      </c>
      <c r="BK200" s="200" t="s">
        <v>2</v>
      </c>
      <c r="BL200" s="200" t="s">
        <v>2</v>
      </c>
      <c r="BM200" s="200" t="s">
        <v>2</v>
      </c>
      <c r="BN200" s="200" t="s">
        <v>2</v>
      </c>
      <c r="BO200" s="200" t="s">
        <v>2</v>
      </c>
      <c r="BP200" s="200" t="s">
        <v>2</v>
      </c>
      <c r="BQ200" s="200" t="s">
        <v>2</v>
      </c>
      <c r="BR200" s="200" t="s">
        <v>2</v>
      </c>
      <c r="BS200" s="200" t="s">
        <v>2</v>
      </c>
      <c r="BT200" s="200" t="s">
        <v>2</v>
      </c>
      <c r="BU200" s="200" t="s">
        <v>2</v>
      </c>
      <c r="BV200" s="200" t="s">
        <v>2</v>
      </c>
      <c r="BW200" s="200" t="s">
        <v>2</v>
      </c>
      <c r="BX200" s="200" t="s">
        <v>2</v>
      </c>
      <c r="BY200" s="200" t="s">
        <v>2</v>
      </c>
      <c r="BZ200" s="201" t="s">
        <v>2</v>
      </c>
      <c r="CA200" s="203" t="s">
        <v>2</v>
      </c>
      <c r="CB200" s="203" t="s">
        <v>2</v>
      </c>
      <c r="CC200" s="203" t="s">
        <v>2</v>
      </c>
      <c r="CD200" s="203" t="s">
        <v>2</v>
      </c>
      <c r="CE200" s="203" t="s">
        <v>2</v>
      </c>
      <c r="CF200" s="203" t="s">
        <v>2</v>
      </c>
      <c r="CG200" s="204" t="s">
        <v>2</v>
      </c>
      <c r="CH200" s="200" t="s">
        <v>2</v>
      </c>
      <c r="CI200" s="201" t="s">
        <v>2</v>
      </c>
      <c r="CJ200" s="203" t="s">
        <v>2</v>
      </c>
      <c r="CK200" s="203" t="s">
        <v>2</v>
      </c>
      <c r="CL200" s="203" t="s">
        <v>2</v>
      </c>
      <c r="CM200" s="204" t="s">
        <v>2</v>
      </c>
      <c r="CN200" s="199" t="s">
        <v>2</v>
      </c>
      <c r="CO200" s="199" t="s">
        <v>2</v>
      </c>
    </row>
    <row r="201" spans="1:93" s="207" customFormat="1" ht="15" x14ac:dyDescent="0.25">
      <c r="A201" s="220" t="s">
        <v>840</v>
      </c>
      <c r="B201" s="221" t="s">
        <v>228</v>
      </c>
      <c r="C201" s="222" t="s">
        <v>1027</v>
      </c>
      <c r="D201" s="290">
        <v>4</v>
      </c>
      <c r="E201" s="199">
        <v>5</v>
      </c>
      <c r="F201" s="200">
        <v>17</v>
      </c>
      <c r="G201" s="201">
        <v>71.06</v>
      </c>
      <c r="H201" s="202">
        <v>92.1</v>
      </c>
      <c r="I201" s="203">
        <v>0.8</v>
      </c>
      <c r="J201" s="203">
        <v>0.14000000000000001</v>
      </c>
      <c r="K201" s="203">
        <v>3.06</v>
      </c>
      <c r="L201" s="203">
        <v>0.7</v>
      </c>
      <c r="M201" s="204">
        <v>3.9</v>
      </c>
      <c r="N201" s="200">
        <v>25</v>
      </c>
      <c r="O201" s="200">
        <v>20</v>
      </c>
      <c r="P201" s="203">
        <v>1.2</v>
      </c>
      <c r="Q201" s="203">
        <v>0.02</v>
      </c>
      <c r="R201" s="200">
        <v>1208</v>
      </c>
      <c r="S201" s="200">
        <v>23</v>
      </c>
      <c r="T201" s="200">
        <v>4</v>
      </c>
      <c r="U201" s="205">
        <v>0.01</v>
      </c>
      <c r="V201" s="205">
        <v>85</v>
      </c>
      <c r="W201" s="204">
        <v>0</v>
      </c>
      <c r="X201" s="203">
        <v>4</v>
      </c>
      <c r="Y201" s="205">
        <v>0.01</v>
      </c>
      <c r="Z201" s="205">
        <v>0.02</v>
      </c>
      <c r="AA201" s="205">
        <v>0.2</v>
      </c>
      <c r="AB201" s="205">
        <v>3.7999999999999999E-2</v>
      </c>
      <c r="AC201" s="205">
        <v>8.9999999999999993E-3</v>
      </c>
      <c r="AD201" s="200">
        <v>1</v>
      </c>
      <c r="AE201" s="200">
        <v>0</v>
      </c>
      <c r="AF201" s="203" t="s">
        <v>2</v>
      </c>
      <c r="AG201" s="204">
        <v>0</v>
      </c>
      <c r="AH201" s="200">
        <v>0</v>
      </c>
      <c r="AI201" s="200">
        <v>8</v>
      </c>
      <c r="AJ201" s="203" t="s">
        <v>2</v>
      </c>
      <c r="AK201" s="203">
        <v>0.06</v>
      </c>
      <c r="AL201" s="204">
        <v>13</v>
      </c>
      <c r="AM201" s="200">
        <v>100</v>
      </c>
      <c r="AN201" s="200" t="s">
        <v>2</v>
      </c>
      <c r="AO201" s="201" t="s">
        <v>2</v>
      </c>
      <c r="AP201" s="203">
        <v>5.1999999999999998E-2</v>
      </c>
      <c r="AQ201" s="205">
        <v>4.3999999999999997E-2</v>
      </c>
      <c r="AR201" s="205">
        <v>0</v>
      </c>
      <c r="AS201" s="205">
        <v>5.0000000000000001E-3</v>
      </c>
      <c r="AT201" s="205">
        <v>0</v>
      </c>
      <c r="AU201" s="205">
        <v>0</v>
      </c>
      <c r="AV201" s="206">
        <v>0</v>
      </c>
      <c r="AW201" s="203">
        <v>3.0000000000000001E-3</v>
      </c>
      <c r="AX201" s="205">
        <v>0</v>
      </c>
      <c r="AY201" s="205">
        <v>0</v>
      </c>
      <c r="AZ201" s="206">
        <v>3.0000000000000001E-3</v>
      </c>
      <c r="BA201" s="203">
        <v>8.2000000000000003E-2</v>
      </c>
      <c r="BB201" s="205">
        <v>3.5000000000000003E-2</v>
      </c>
      <c r="BC201" s="205">
        <v>4.7E-2</v>
      </c>
      <c r="BD201" s="205">
        <v>0</v>
      </c>
      <c r="BE201" s="205">
        <v>0</v>
      </c>
      <c r="BF201" s="206">
        <v>0</v>
      </c>
      <c r="BG201" s="199" t="s">
        <v>2</v>
      </c>
      <c r="BH201" s="199">
        <v>0</v>
      </c>
      <c r="BI201" s="200">
        <v>23</v>
      </c>
      <c r="BJ201" s="200">
        <v>5</v>
      </c>
      <c r="BK201" s="200">
        <v>4</v>
      </c>
      <c r="BL201" s="200">
        <v>15</v>
      </c>
      <c r="BM201" s="200">
        <v>18</v>
      </c>
      <c r="BN201" s="200">
        <v>24</v>
      </c>
      <c r="BO201" s="200">
        <v>26</v>
      </c>
      <c r="BP201" s="200">
        <v>18</v>
      </c>
      <c r="BQ201" s="200">
        <v>39</v>
      </c>
      <c r="BR201" s="200">
        <v>9</v>
      </c>
      <c r="BS201" s="200">
        <v>6</v>
      </c>
      <c r="BT201" s="200">
        <v>18</v>
      </c>
      <c r="BU201" s="200">
        <v>23</v>
      </c>
      <c r="BV201" s="200">
        <v>46</v>
      </c>
      <c r="BW201" s="200">
        <v>123</v>
      </c>
      <c r="BX201" s="200">
        <v>25</v>
      </c>
      <c r="BY201" s="200">
        <v>15</v>
      </c>
      <c r="BZ201" s="201">
        <v>24</v>
      </c>
      <c r="CA201" s="203" t="s">
        <v>2</v>
      </c>
      <c r="CB201" s="203" t="s">
        <v>2</v>
      </c>
      <c r="CC201" s="203" t="s">
        <v>2</v>
      </c>
      <c r="CD201" s="203" t="s">
        <v>2</v>
      </c>
      <c r="CE201" s="203" t="s">
        <v>2</v>
      </c>
      <c r="CF201" s="203" t="s">
        <v>2</v>
      </c>
      <c r="CG201" s="204" t="s">
        <v>2</v>
      </c>
      <c r="CH201" s="200" t="s">
        <v>2</v>
      </c>
      <c r="CI201" s="201" t="s">
        <v>2</v>
      </c>
      <c r="CJ201" s="203" t="s">
        <v>2</v>
      </c>
      <c r="CK201" s="203" t="s">
        <v>2</v>
      </c>
      <c r="CL201" s="203" t="s">
        <v>2</v>
      </c>
      <c r="CM201" s="204" t="s">
        <v>2</v>
      </c>
      <c r="CN201" s="199">
        <v>14</v>
      </c>
      <c r="CO201" s="199" t="s">
        <v>2</v>
      </c>
    </row>
    <row r="202" spans="1:93" s="207" customFormat="1" ht="15" x14ac:dyDescent="0.25">
      <c r="A202" s="220" t="s">
        <v>841</v>
      </c>
      <c r="B202" s="221" t="s">
        <v>229</v>
      </c>
      <c r="C202" s="222" t="s">
        <v>1028</v>
      </c>
      <c r="D202" s="290">
        <v>4</v>
      </c>
      <c r="E202" s="199">
        <v>0</v>
      </c>
      <c r="F202" s="200">
        <v>47</v>
      </c>
      <c r="G202" s="201">
        <v>196.45999999999998</v>
      </c>
      <c r="H202" s="202">
        <v>86.2</v>
      </c>
      <c r="I202" s="203">
        <v>5</v>
      </c>
      <c r="J202" s="203" t="s">
        <v>2</v>
      </c>
      <c r="K202" s="203">
        <v>6.8</v>
      </c>
      <c r="L202" s="203">
        <v>2</v>
      </c>
      <c r="M202" s="204">
        <v>2</v>
      </c>
      <c r="N202" s="200">
        <v>22</v>
      </c>
      <c r="O202" s="200">
        <v>33</v>
      </c>
      <c r="P202" s="203">
        <v>1.1000000000000001</v>
      </c>
      <c r="Q202" s="203" t="s">
        <v>2</v>
      </c>
      <c r="R202" s="200" t="s">
        <v>2</v>
      </c>
      <c r="S202" s="200" t="s">
        <v>2</v>
      </c>
      <c r="T202" s="200" t="s">
        <v>2</v>
      </c>
      <c r="U202" s="205" t="s">
        <v>2</v>
      </c>
      <c r="V202" s="205" t="s">
        <v>2</v>
      </c>
      <c r="W202" s="204" t="s">
        <v>2</v>
      </c>
      <c r="X202" s="203" t="s">
        <v>2</v>
      </c>
      <c r="Y202" s="205" t="s">
        <v>2</v>
      </c>
      <c r="Z202" s="205" t="s">
        <v>2</v>
      </c>
      <c r="AA202" s="205" t="s">
        <v>2</v>
      </c>
      <c r="AB202" s="205" t="s">
        <v>2</v>
      </c>
      <c r="AC202" s="205" t="s">
        <v>2</v>
      </c>
      <c r="AD202" s="200" t="s">
        <v>2</v>
      </c>
      <c r="AE202" s="200" t="s">
        <v>2</v>
      </c>
      <c r="AF202" s="203" t="s">
        <v>2</v>
      </c>
      <c r="AG202" s="204" t="s">
        <v>2</v>
      </c>
      <c r="AH202" s="200">
        <v>0</v>
      </c>
      <c r="AI202" s="200">
        <v>0</v>
      </c>
      <c r="AJ202" s="203" t="s">
        <v>2</v>
      </c>
      <c r="AK202" s="203" t="s">
        <v>2</v>
      </c>
      <c r="AL202" s="204" t="s">
        <v>2</v>
      </c>
      <c r="AM202" s="200" t="s">
        <v>2</v>
      </c>
      <c r="AN202" s="200" t="s">
        <v>2</v>
      </c>
      <c r="AO202" s="201" t="s">
        <v>2</v>
      </c>
      <c r="AP202" s="203" t="s">
        <v>2</v>
      </c>
      <c r="AQ202" s="205" t="s">
        <v>2</v>
      </c>
      <c r="AR202" s="205" t="s">
        <v>2</v>
      </c>
      <c r="AS202" s="205" t="s">
        <v>2</v>
      </c>
      <c r="AT202" s="205" t="s">
        <v>2</v>
      </c>
      <c r="AU202" s="205" t="s">
        <v>2</v>
      </c>
      <c r="AV202" s="206" t="s">
        <v>2</v>
      </c>
      <c r="AW202" s="203" t="s">
        <v>2</v>
      </c>
      <c r="AX202" s="205" t="s">
        <v>2</v>
      </c>
      <c r="AY202" s="205" t="s">
        <v>2</v>
      </c>
      <c r="AZ202" s="206" t="s">
        <v>2</v>
      </c>
      <c r="BA202" s="203" t="s">
        <v>2</v>
      </c>
      <c r="BB202" s="205" t="s">
        <v>2</v>
      </c>
      <c r="BC202" s="205" t="s">
        <v>2</v>
      </c>
      <c r="BD202" s="205" t="s">
        <v>2</v>
      </c>
      <c r="BE202" s="205" t="s">
        <v>2</v>
      </c>
      <c r="BF202" s="206" t="s">
        <v>2</v>
      </c>
      <c r="BG202" s="199" t="s">
        <v>2</v>
      </c>
      <c r="BH202" s="199">
        <v>0</v>
      </c>
      <c r="BI202" s="200" t="s">
        <v>2</v>
      </c>
      <c r="BJ202" s="200" t="s">
        <v>2</v>
      </c>
      <c r="BK202" s="200" t="s">
        <v>2</v>
      </c>
      <c r="BL202" s="200" t="s">
        <v>2</v>
      </c>
      <c r="BM202" s="200" t="s">
        <v>2</v>
      </c>
      <c r="BN202" s="200" t="s">
        <v>2</v>
      </c>
      <c r="BO202" s="200" t="s">
        <v>2</v>
      </c>
      <c r="BP202" s="200" t="s">
        <v>2</v>
      </c>
      <c r="BQ202" s="200" t="s">
        <v>2</v>
      </c>
      <c r="BR202" s="200" t="s">
        <v>2</v>
      </c>
      <c r="BS202" s="200" t="s">
        <v>2</v>
      </c>
      <c r="BT202" s="200" t="s">
        <v>2</v>
      </c>
      <c r="BU202" s="200" t="s">
        <v>2</v>
      </c>
      <c r="BV202" s="200" t="s">
        <v>2</v>
      </c>
      <c r="BW202" s="200" t="s">
        <v>2</v>
      </c>
      <c r="BX202" s="200" t="s">
        <v>2</v>
      </c>
      <c r="BY202" s="200" t="s">
        <v>2</v>
      </c>
      <c r="BZ202" s="201" t="s">
        <v>2</v>
      </c>
      <c r="CA202" s="203" t="s">
        <v>2</v>
      </c>
      <c r="CB202" s="203" t="s">
        <v>2</v>
      </c>
      <c r="CC202" s="203" t="s">
        <v>2</v>
      </c>
      <c r="CD202" s="203" t="s">
        <v>2</v>
      </c>
      <c r="CE202" s="203" t="s">
        <v>2</v>
      </c>
      <c r="CF202" s="203" t="s">
        <v>2</v>
      </c>
      <c r="CG202" s="204" t="s">
        <v>2</v>
      </c>
      <c r="CH202" s="200" t="s">
        <v>2</v>
      </c>
      <c r="CI202" s="201" t="s">
        <v>2</v>
      </c>
      <c r="CJ202" s="203" t="s">
        <v>2</v>
      </c>
      <c r="CK202" s="203" t="s">
        <v>2</v>
      </c>
      <c r="CL202" s="203" t="s">
        <v>2</v>
      </c>
      <c r="CM202" s="204" t="s">
        <v>2</v>
      </c>
      <c r="CN202" s="199" t="s">
        <v>2</v>
      </c>
      <c r="CO202" s="199" t="s">
        <v>2</v>
      </c>
    </row>
    <row r="203" spans="1:93" s="207" customFormat="1" ht="15" x14ac:dyDescent="0.25">
      <c r="A203" s="220" t="s">
        <v>842</v>
      </c>
      <c r="B203" s="221" t="s">
        <v>230</v>
      </c>
      <c r="C203" s="222" t="s">
        <v>1029</v>
      </c>
      <c r="D203" s="290">
        <v>4</v>
      </c>
      <c r="E203" s="199">
        <v>30</v>
      </c>
      <c r="F203" s="200">
        <v>24</v>
      </c>
      <c r="G203" s="201">
        <v>100.32</v>
      </c>
      <c r="H203" s="202">
        <v>88.5</v>
      </c>
      <c r="I203" s="203">
        <v>1.4</v>
      </c>
      <c r="J203" s="203" t="s">
        <v>2</v>
      </c>
      <c r="K203" s="203">
        <v>4.7</v>
      </c>
      <c r="L203" s="203">
        <v>0.7</v>
      </c>
      <c r="M203" s="204">
        <v>5.4</v>
      </c>
      <c r="N203" s="200">
        <v>12</v>
      </c>
      <c r="O203" s="200">
        <v>5</v>
      </c>
      <c r="P203" s="203">
        <v>1.3</v>
      </c>
      <c r="Q203" s="203" t="s">
        <v>2</v>
      </c>
      <c r="R203" s="200" t="s">
        <v>2</v>
      </c>
      <c r="S203" s="200" t="s">
        <v>2</v>
      </c>
      <c r="T203" s="200" t="s">
        <v>2</v>
      </c>
      <c r="U203" s="205" t="s">
        <v>2</v>
      </c>
      <c r="V203" s="205" t="s">
        <v>2</v>
      </c>
      <c r="W203" s="204" t="s">
        <v>2</v>
      </c>
      <c r="X203" s="203" t="s">
        <v>2</v>
      </c>
      <c r="Y203" s="205">
        <v>0.02</v>
      </c>
      <c r="Z203" s="205">
        <v>0.03</v>
      </c>
      <c r="AA203" s="205">
        <v>0.1</v>
      </c>
      <c r="AB203" s="205" t="s">
        <v>2</v>
      </c>
      <c r="AC203" s="205" t="s">
        <v>2</v>
      </c>
      <c r="AD203" s="200" t="s">
        <v>2</v>
      </c>
      <c r="AE203" s="200" t="s">
        <v>2</v>
      </c>
      <c r="AF203" s="203" t="s">
        <v>2</v>
      </c>
      <c r="AG203" s="204" t="s">
        <v>2</v>
      </c>
      <c r="AH203" s="200">
        <v>0</v>
      </c>
      <c r="AI203" s="200">
        <v>2</v>
      </c>
      <c r="AJ203" s="203" t="s">
        <v>2</v>
      </c>
      <c r="AK203" s="203" t="s">
        <v>2</v>
      </c>
      <c r="AL203" s="204" t="s">
        <v>2</v>
      </c>
      <c r="AM203" s="200">
        <v>18</v>
      </c>
      <c r="AN203" s="200" t="s">
        <v>2</v>
      </c>
      <c r="AO203" s="201" t="s">
        <v>2</v>
      </c>
      <c r="AP203" s="203" t="s">
        <v>2</v>
      </c>
      <c r="AQ203" s="205" t="s">
        <v>2</v>
      </c>
      <c r="AR203" s="205" t="s">
        <v>2</v>
      </c>
      <c r="AS203" s="205" t="s">
        <v>2</v>
      </c>
      <c r="AT203" s="205" t="s">
        <v>2</v>
      </c>
      <c r="AU203" s="205" t="s">
        <v>2</v>
      </c>
      <c r="AV203" s="206" t="s">
        <v>2</v>
      </c>
      <c r="AW203" s="203" t="s">
        <v>2</v>
      </c>
      <c r="AX203" s="205" t="s">
        <v>2</v>
      </c>
      <c r="AY203" s="205" t="s">
        <v>2</v>
      </c>
      <c r="AZ203" s="206" t="s">
        <v>2</v>
      </c>
      <c r="BA203" s="203" t="s">
        <v>2</v>
      </c>
      <c r="BB203" s="205" t="s">
        <v>2</v>
      </c>
      <c r="BC203" s="205" t="s">
        <v>2</v>
      </c>
      <c r="BD203" s="205" t="s">
        <v>2</v>
      </c>
      <c r="BE203" s="205" t="s">
        <v>2</v>
      </c>
      <c r="BF203" s="206" t="s">
        <v>2</v>
      </c>
      <c r="BG203" s="199" t="s">
        <v>2</v>
      </c>
      <c r="BH203" s="199">
        <v>0</v>
      </c>
      <c r="BI203" s="200" t="s">
        <v>2</v>
      </c>
      <c r="BJ203" s="200" t="s">
        <v>2</v>
      </c>
      <c r="BK203" s="200" t="s">
        <v>2</v>
      </c>
      <c r="BL203" s="200" t="s">
        <v>2</v>
      </c>
      <c r="BM203" s="200" t="s">
        <v>2</v>
      </c>
      <c r="BN203" s="200" t="s">
        <v>2</v>
      </c>
      <c r="BO203" s="200" t="s">
        <v>2</v>
      </c>
      <c r="BP203" s="200" t="s">
        <v>2</v>
      </c>
      <c r="BQ203" s="200" t="s">
        <v>2</v>
      </c>
      <c r="BR203" s="200" t="s">
        <v>2</v>
      </c>
      <c r="BS203" s="200" t="s">
        <v>2</v>
      </c>
      <c r="BT203" s="200" t="s">
        <v>2</v>
      </c>
      <c r="BU203" s="200" t="s">
        <v>2</v>
      </c>
      <c r="BV203" s="200" t="s">
        <v>2</v>
      </c>
      <c r="BW203" s="200" t="s">
        <v>2</v>
      </c>
      <c r="BX203" s="200" t="s">
        <v>2</v>
      </c>
      <c r="BY203" s="200" t="s">
        <v>2</v>
      </c>
      <c r="BZ203" s="201" t="s">
        <v>2</v>
      </c>
      <c r="CA203" s="203" t="s">
        <v>2</v>
      </c>
      <c r="CB203" s="203" t="s">
        <v>2</v>
      </c>
      <c r="CC203" s="203" t="s">
        <v>2</v>
      </c>
      <c r="CD203" s="203" t="s">
        <v>2</v>
      </c>
      <c r="CE203" s="203" t="s">
        <v>2</v>
      </c>
      <c r="CF203" s="203" t="s">
        <v>2</v>
      </c>
      <c r="CG203" s="204" t="s">
        <v>2</v>
      </c>
      <c r="CH203" s="200" t="s">
        <v>2</v>
      </c>
      <c r="CI203" s="201" t="s">
        <v>2</v>
      </c>
      <c r="CJ203" s="203" t="s">
        <v>2</v>
      </c>
      <c r="CK203" s="203" t="s">
        <v>2</v>
      </c>
      <c r="CL203" s="203" t="s">
        <v>2</v>
      </c>
      <c r="CM203" s="204" t="s">
        <v>2</v>
      </c>
      <c r="CN203" s="199" t="s">
        <v>2</v>
      </c>
      <c r="CO203" s="199" t="s">
        <v>2</v>
      </c>
    </row>
    <row r="204" spans="1:93" s="207" customFormat="1" ht="15" x14ac:dyDescent="0.25">
      <c r="A204" s="220" t="s">
        <v>843</v>
      </c>
      <c r="B204" s="221" t="s">
        <v>231</v>
      </c>
      <c r="C204" s="222" t="s">
        <v>1030</v>
      </c>
      <c r="D204" s="290">
        <v>4</v>
      </c>
      <c r="E204" s="199">
        <v>30</v>
      </c>
      <c r="F204" s="200">
        <v>29</v>
      </c>
      <c r="G204" s="201">
        <v>121.22</v>
      </c>
      <c r="H204" s="202">
        <v>89.5</v>
      </c>
      <c r="I204" s="203">
        <v>1.3</v>
      </c>
      <c r="J204" s="203" t="s">
        <v>2</v>
      </c>
      <c r="K204" s="203">
        <v>5.9</v>
      </c>
      <c r="L204" s="203">
        <v>1.2</v>
      </c>
      <c r="M204" s="204">
        <v>3.3</v>
      </c>
      <c r="N204" s="200">
        <v>50</v>
      </c>
      <c r="O204" s="200">
        <v>35</v>
      </c>
      <c r="P204" s="203">
        <v>1.2</v>
      </c>
      <c r="Q204" s="203" t="s">
        <v>2</v>
      </c>
      <c r="R204" s="200">
        <v>812</v>
      </c>
      <c r="S204" s="200">
        <v>120</v>
      </c>
      <c r="T204" s="200">
        <v>102</v>
      </c>
      <c r="U204" s="205" t="s">
        <v>2</v>
      </c>
      <c r="V204" s="205" t="s">
        <v>2</v>
      </c>
      <c r="W204" s="204" t="s">
        <v>2</v>
      </c>
      <c r="X204" s="203">
        <v>12.4</v>
      </c>
      <c r="Y204" s="205">
        <v>0.05</v>
      </c>
      <c r="Z204" s="205">
        <v>0.1</v>
      </c>
      <c r="AA204" s="205" t="s">
        <v>2</v>
      </c>
      <c r="AB204" s="205" t="s">
        <v>2</v>
      </c>
      <c r="AC204" s="205" t="s">
        <v>2</v>
      </c>
      <c r="AD204" s="200" t="s">
        <v>2</v>
      </c>
      <c r="AE204" s="200" t="s">
        <v>2</v>
      </c>
      <c r="AF204" s="203" t="s">
        <v>2</v>
      </c>
      <c r="AG204" s="204" t="s">
        <v>2</v>
      </c>
      <c r="AH204" s="200">
        <v>0</v>
      </c>
      <c r="AI204" s="200">
        <v>0</v>
      </c>
      <c r="AJ204" s="203" t="s">
        <v>2</v>
      </c>
      <c r="AK204" s="203" t="s">
        <v>2</v>
      </c>
      <c r="AL204" s="204" t="s">
        <v>2</v>
      </c>
      <c r="AM204" s="200" t="s">
        <v>2</v>
      </c>
      <c r="AN204" s="200" t="s">
        <v>2</v>
      </c>
      <c r="AO204" s="201" t="s">
        <v>2</v>
      </c>
      <c r="AP204" s="203" t="s">
        <v>2</v>
      </c>
      <c r="AQ204" s="205" t="s">
        <v>2</v>
      </c>
      <c r="AR204" s="205" t="s">
        <v>2</v>
      </c>
      <c r="AS204" s="205" t="s">
        <v>2</v>
      </c>
      <c r="AT204" s="205" t="s">
        <v>2</v>
      </c>
      <c r="AU204" s="205" t="s">
        <v>2</v>
      </c>
      <c r="AV204" s="206" t="s">
        <v>2</v>
      </c>
      <c r="AW204" s="203" t="s">
        <v>2</v>
      </c>
      <c r="AX204" s="205" t="s">
        <v>2</v>
      </c>
      <c r="AY204" s="205" t="s">
        <v>2</v>
      </c>
      <c r="AZ204" s="206" t="s">
        <v>2</v>
      </c>
      <c r="BA204" s="203" t="s">
        <v>2</v>
      </c>
      <c r="BB204" s="205" t="s">
        <v>2</v>
      </c>
      <c r="BC204" s="205" t="s">
        <v>2</v>
      </c>
      <c r="BD204" s="205" t="s">
        <v>2</v>
      </c>
      <c r="BE204" s="205" t="s">
        <v>2</v>
      </c>
      <c r="BF204" s="206" t="s">
        <v>2</v>
      </c>
      <c r="BG204" s="199" t="s">
        <v>2</v>
      </c>
      <c r="BH204" s="199">
        <v>0</v>
      </c>
      <c r="BI204" s="200" t="s">
        <v>2</v>
      </c>
      <c r="BJ204" s="200" t="s">
        <v>2</v>
      </c>
      <c r="BK204" s="200" t="s">
        <v>2</v>
      </c>
      <c r="BL204" s="200" t="s">
        <v>2</v>
      </c>
      <c r="BM204" s="200" t="s">
        <v>2</v>
      </c>
      <c r="BN204" s="200" t="s">
        <v>2</v>
      </c>
      <c r="BO204" s="200" t="s">
        <v>2</v>
      </c>
      <c r="BP204" s="200" t="s">
        <v>2</v>
      </c>
      <c r="BQ204" s="200" t="s">
        <v>2</v>
      </c>
      <c r="BR204" s="200" t="s">
        <v>2</v>
      </c>
      <c r="BS204" s="200" t="s">
        <v>2</v>
      </c>
      <c r="BT204" s="200" t="s">
        <v>2</v>
      </c>
      <c r="BU204" s="200" t="s">
        <v>2</v>
      </c>
      <c r="BV204" s="200" t="s">
        <v>2</v>
      </c>
      <c r="BW204" s="200" t="s">
        <v>2</v>
      </c>
      <c r="BX204" s="200" t="s">
        <v>2</v>
      </c>
      <c r="BY204" s="200" t="s">
        <v>2</v>
      </c>
      <c r="BZ204" s="201" t="s">
        <v>2</v>
      </c>
      <c r="CA204" s="203" t="s">
        <v>2</v>
      </c>
      <c r="CB204" s="203" t="s">
        <v>2</v>
      </c>
      <c r="CC204" s="203" t="s">
        <v>2</v>
      </c>
      <c r="CD204" s="203" t="s">
        <v>2</v>
      </c>
      <c r="CE204" s="203" t="s">
        <v>2</v>
      </c>
      <c r="CF204" s="203" t="s">
        <v>2</v>
      </c>
      <c r="CG204" s="204" t="s">
        <v>2</v>
      </c>
      <c r="CH204" s="200" t="s">
        <v>2</v>
      </c>
      <c r="CI204" s="201" t="s">
        <v>2</v>
      </c>
      <c r="CJ204" s="203" t="s">
        <v>2</v>
      </c>
      <c r="CK204" s="203" t="s">
        <v>2</v>
      </c>
      <c r="CL204" s="203" t="s">
        <v>2</v>
      </c>
      <c r="CM204" s="204" t="s">
        <v>2</v>
      </c>
      <c r="CN204" s="199" t="s">
        <v>2</v>
      </c>
      <c r="CO204" s="199" t="s">
        <v>2</v>
      </c>
    </row>
    <row r="205" spans="1:93" s="207" customFormat="1" ht="30" x14ac:dyDescent="0.25">
      <c r="A205" s="220" t="s">
        <v>844</v>
      </c>
      <c r="B205" s="221" t="s">
        <v>232</v>
      </c>
      <c r="C205" s="222" t="s">
        <v>1033</v>
      </c>
      <c r="D205" s="290">
        <v>4</v>
      </c>
      <c r="E205" s="199">
        <v>0</v>
      </c>
      <c r="F205" s="200">
        <v>25</v>
      </c>
      <c r="G205" s="201">
        <v>104.5</v>
      </c>
      <c r="H205" s="202">
        <v>84.9</v>
      </c>
      <c r="I205" s="203">
        <v>2.5</v>
      </c>
      <c r="J205" s="203" t="s">
        <v>2</v>
      </c>
      <c r="K205" s="203">
        <v>3.8</v>
      </c>
      <c r="L205" s="203">
        <v>2.2999999999999998</v>
      </c>
      <c r="M205" s="204">
        <v>8.8000000000000007</v>
      </c>
      <c r="N205" s="200">
        <v>204</v>
      </c>
      <c r="O205" s="200">
        <v>33</v>
      </c>
      <c r="P205" s="203">
        <v>9</v>
      </c>
      <c r="Q205" s="203" t="s">
        <v>2</v>
      </c>
      <c r="R205" s="200" t="s">
        <v>2</v>
      </c>
      <c r="S205" s="200" t="s">
        <v>2</v>
      </c>
      <c r="T205" s="200" t="s">
        <v>2</v>
      </c>
      <c r="U205" s="205" t="s">
        <v>2</v>
      </c>
      <c r="V205" s="205" t="s">
        <v>2</v>
      </c>
      <c r="W205" s="204" t="s">
        <v>2</v>
      </c>
      <c r="X205" s="203" t="s">
        <v>2</v>
      </c>
      <c r="Y205" s="205" t="s">
        <v>2</v>
      </c>
      <c r="Z205" s="205" t="s">
        <v>2</v>
      </c>
      <c r="AA205" s="205" t="s">
        <v>2</v>
      </c>
      <c r="AB205" s="205" t="s">
        <v>2</v>
      </c>
      <c r="AC205" s="205" t="s">
        <v>2</v>
      </c>
      <c r="AD205" s="200" t="s">
        <v>2</v>
      </c>
      <c r="AE205" s="200" t="s">
        <v>2</v>
      </c>
      <c r="AF205" s="203" t="s">
        <v>2</v>
      </c>
      <c r="AG205" s="204" t="s">
        <v>2</v>
      </c>
      <c r="AH205" s="200">
        <v>0</v>
      </c>
      <c r="AI205" s="200">
        <v>0</v>
      </c>
      <c r="AJ205" s="203" t="s">
        <v>2</v>
      </c>
      <c r="AK205" s="203" t="s">
        <v>2</v>
      </c>
      <c r="AL205" s="204" t="s">
        <v>2</v>
      </c>
      <c r="AM205" s="200" t="s">
        <v>2</v>
      </c>
      <c r="AN205" s="200" t="s">
        <v>2</v>
      </c>
      <c r="AO205" s="201" t="s">
        <v>2</v>
      </c>
      <c r="AP205" s="203" t="s">
        <v>2</v>
      </c>
      <c r="AQ205" s="205" t="s">
        <v>2</v>
      </c>
      <c r="AR205" s="205" t="s">
        <v>2</v>
      </c>
      <c r="AS205" s="205" t="s">
        <v>2</v>
      </c>
      <c r="AT205" s="205" t="s">
        <v>2</v>
      </c>
      <c r="AU205" s="205" t="s">
        <v>2</v>
      </c>
      <c r="AV205" s="206" t="s">
        <v>2</v>
      </c>
      <c r="AW205" s="203" t="s">
        <v>2</v>
      </c>
      <c r="AX205" s="205" t="s">
        <v>2</v>
      </c>
      <c r="AY205" s="205" t="s">
        <v>2</v>
      </c>
      <c r="AZ205" s="206" t="s">
        <v>2</v>
      </c>
      <c r="BA205" s="203" t="s">
        <v>2</v>
      </c>
      <c r="BB205" s="205" t="s">
        <v>2</v>
      </c>
      <c r="BC205" s="205" t="s">
        <v>2</v>
      </c>
      <c r="BD205" s="205" t="s">
        <v>2</v>
      </c>
      <c r="BE205" s="205" t="s">
        <v>2</v>
      </c>
      <c r="BF205" s="206" t="s">
        <v>2</v>
      </c>
      <c r="BG205" s="199" t="s">
        <v>2</v>
      </c>
      <c r="BH205" s="199">
        <v>0</v>
      </c>
      <c r="BI205" s="200" t="s">
        <v>2</v>
      </c>
      <c r="BJ205" s="200" t="s">
        <v>2</v>
      </c>
      <c r="BK205" s="200" t="s">
        <v>2</v>
      </c>
      <c r="BL205" s="200" t="s">
        <v>2</v>
      </c>
      <c r="BM205" s="200" t="s">
        <v>2</v>
      </c>
      <c r="BN205" s="200" t="s">
        <v>2</v>
      </c>
      <c r="BO205" s="200" t="s">
        <v>2</v>
      </c>
      <c r="BP205" s="200" t="s">
        <v>2</v>
      </c>
      <c r="BQ205" s="200" t="s">
        <v>2</v>
      </c>
      <c r="BR205" s="200" t="s">
        <v>2</v>
      </c>
      <c r="BS205" s="200" t="s">
        <v>2</v>
      </c>
      <c r="BT205" s="200" t="s">
        <v>2</v>
      </c>
      <c r="BU205" s="200" t="s">
        <v>2</v>
      </c>
      <c r="BV205" s="200" t="s">
        <v>2</v>
      </c>
      <c r="BW205" s="200" t="s">
        <v>2</v>
      </c>
      <c r="BX205" s="200" t="s">
        <v>2</v>
      </c>
      <c r="BY205" s="200" t="s">
        <v>2</v>
      </c>
      <c r="BZ205" s="201" t="s">
        <v>2</v>
      </c>
      <c r="CA205" s="203" t="s">
        <v>2</v>
      </c>
      <c r="CB205" s="203" t="s">
        <v>2</v>
      </c>
      <c r="CC205" s="203" t="s">
        <v>2</v>
      </c>
      <c r="CD205" s="203" t="s">
        <v>2</v>
      </c>
      <c r="CE205" s="203" t="s">
        <v>2</v>
      </c>
      <c r="CF205" s="203" t="s">
        <v>2</v>
      </c>
      <c r="CG205" s="204" t="s">
        <v>2</v>
      </c>
      <c r="CH205" s="200" t="s">
        <v>2</v>
      </c>
      <c r="CI205" s="201" t="s">
        <v>2</v>
      </c>
      <c r="CJ205" s="203" t="s">
        <v>2</v>
      </c>
      <c r="CK205" s="203" t="s">
        <v>2</v>
      </c>
      <c r="CL205" s="203" t="s">
        <v>2</v>
      </c>
      <c r="CM205" s="204" t="s">
        <v>2</v>
      </c>
      <c r="CN205" s="199" t="s">
        <v>2</v>
      </c>
      <c r="CO205" s="199" t="s">
        <v>2</v>
      </c>
    </row>
    <row r="206" spans="1:93" s="207" customFormat="1" ht="15" x14ac:dyDescent="0.25">
      <c r="A206" s="220" t="s">
        <v>845</v>
      </c>
      <c r="B206" s="221" t="s">
        <v>233</v>
      </c>
      <c r="C206" s="222" t="s">
        <v>1031</v>
      </c>
      <c r="D206" s="290">
        <v>4</v>
      </c>
      <c r="E206" s="199">
        <v>0</v>
      </c>
      <c r="F206" s="200">
        <v>367</v>
      </c>
      <c r="G206" s="201">
        <v>1534.06</v>
      </c>
      <c r="H206" s="202">
        <v>7.5</v>
      </c>
      <c r="I206" s="203">
        <v>52.5</v>
      </c>
      <c r="J206" s="203">
        <v>3.2</v>
      </c>
      <c r="K206" s="203">
        <v>32</v>
      </c>
      <c r="L206" s="203">
        <v>6.6</v>
      </c>
      <c r="M206" s="204">
        <v>4.8</v>
      </c>
      <c r="N206" s="200">
        <v>44</v>
      </c>
      <c r="O206" s="200">
        <v>1291</v>
      </c>
      <c r="P206" s="203">
        <v>16.100000000000001</v>
      </c>
      <c r="Q206" s="203" t="s">
        <v>2</v>
      </c>
      <c r="R206" s="200" t="s">
        <v>2</v>
      </c>
      <c r="S206" s="200" t="s">
        <v>2</v>
      </c>
      <c r="T206" s="200" t="s">
        <v>2</v>
      </c>
      <c r="U206" s="205" t="s">
        <v>2</v>
      </c>
      <c r="V206" s="205" t="s">
        <v>2</v>
      </c>
      <c r="W206" s="204" t="s">
        <v>2</v>
      </c>
      <c r="X206" s="203" t="s">
        <v>2</v>
      </c>
      <c r="Y206" s="205">
        <v>2.33</v>
      </c>
      <c r="Z206" s="205">
        <v>5.44</v>
      </c>
      <c r="AA206" s="205">
        <v>36.700000000000003</v>
      </c>
      <c r="AB206" s="205" t="s">
        <v>2</v>
      </c>
      <c r="AC206" s="205" t="s">
        <v>2</v>
      </c>
      <c r="AD206" s="200" t="s">
        <v>2</v>
      </c>
      <c r="AE206" s="200" t="s">
        <v>2</v>
      </c>
      <c r="AF206" s="203">
        <v>200</v>
      </c>
      <c r="AG206" s="204" t="s">
        <v>2</v>
      </c>
      <c r="AH206" s="200">
        <v>0</v>
      </c>
      <c r="AI206" s="200">
        <v>0</v>
      </c>
      <c r="AJ206" s="203" t="s">
        <v>2</v>
      </c>
      <c r="AK206" s="203" t="s">
        <v>2</v>
      </c>
      <c r="AL206" s="204" t="s">
        <v>2</v>
      </c>
      <c r="AM206" s="200" t="s">
        <v>2</v>
      </c>
      <c r="AN206" s="200" t="s">
        <v>2</v>
      </c>
      <c r="AO206" s="201" t="s">
        <v>2</v>
      </c>
      <c r="AP206" s="203" t="s">
        <v>2</v>
      </c>
      <c r="AQ206" s="205" t="s">
        <v>2</v>
      </c>
      <c r="AR206" s="205" t="s">
        <v>2</v>
      </c>
      <c r="AS206" s="205" t="s">
        <v>2</v>
      </c>
      <c r="AT206" s="205" t="s">
        <v>2</v>
      </c>
      <c r="AU206" s="205" t="s">
        <v>2</v>
      </c>
      <c r="AV206" s="206" t="s">
        <v>2</v>
      </c>
      <c r="AW206" s="203" t="s">
        <v>2</v>
      </c>
      <c r="AX206" s="205" t="s">
        <v>2</v>
      </c>
      <c r="AY206" s="205" t="s">
        <v>2</v>
      </c>
      <c r="AZ206" s="206" t="s">
        <v>2</v>
      </c>
      <c r="BA206" s="203" t="s">
        <v>2</v>
      </c>
      <c r="BB206" s="205" t="s">
        <v>2</v>
      </c>
      <c r="BC206" s="205" t="s">
        <v>2</v>
      </c>
      <c r="BD206" s="205" t="s">
        <v>2</v>
      </c>
      <c r="BE206" s="205" t="s">
        <v>2</v>
      </c>
      <c r="BF206" s="206" t="s">
        <v>2</v>
      </c>
      <c r="BG206" s="199" t="s">
        <v>2</v>
      </c>
      <c r="BH206" s="199">
        <v>0</v>
      </c>
      <c r="BI206" s="200" t="s">
        <v>2</v>
      </c>
      <c r="BJ206" s="200" t="s">
        <v>2</v>
      </c>
      <c r="BK206" s="200" t="s">
        <v>2</v>
      </c>
      <c r="BL206" s="200" t="s">
        <v>2</v>
      </c>
      <c r="BM206" s="200" t="s">
        <v>2</v>
      </c>
      <c r="BN206" s="200" t="s">
        <v>2</v>
      </c>
      <c r="BO206" s="200" t="s">
        <v>2</v>
      </c>
      <c r="BP206" s="200" t="s">
        <v>2</v>
      </c>
      <c r="BQ206" s="200" t="s">
        <v>2</v>
      </c>
      <c r="BR206" s="200" t="s">
        <v>2</v>
      </c>
      <c r="BS206" s="200" t="s">
        <v>2</v>
      </c>
      <c r="BT206" s="200" t="s">
        <v>2</v>
      </c>
      <c r="BU206" s="200" t="s">
        <v>2</v>
      </c>
      <c r="BV206" s="200" t="s">
        <v>2</v>
      </c>
      <c r="BW206" s="200" t="s">
        <v>2</v>
      </c>
      <c r="BX206" s="200" t="s">
        <v>2</v>
      </c>
      <c r="BY206" s="200" t="s">
        <v>2</v>
      </c>
      <c r="BZ206" s="201" t="s">
        <v>2</v>
      </c>
      <c r="CA206" s="203" t="s">
        <v>2</v>
      </c>
      <c r="CB206" s="203" t="s">
        <v>2</v>
      </c>
      <c r="CC206" s="203" t="s">
        <v>2</v>
      </c>
      <c r="CD206" s="203" t="s">
        <v>2</v>
      </c>
      <c r="CE206" s="203" t="s">
        <v>2</v>
      </c>
      <c r="CF206" s="203" t="s">
        <v>2</v>
      </c>
      <c r="CG206" s="204" t="s">
        <v>2</v>
      </c>
      <c r="CH206" s="200" t="s">
        <v>2</v>
      </c>
      <c r="CI206" s="201" t="s">
        <v>2</v>
      </c>
      <c r="CJ206" s="203" t="s">
        <v>2</v>
      </c>
      <c r="CK206" s="203" t="s">
        <v>2</v>
      </c>
      <c r="CL206" s="203" t="s">
        <v>2</v>
      </c>
      <c r="CM206" s="204" t="s">
        <v>2</v>
      </c>
      <c r="CN206" s="199" t="s">
        <v>2</v>
      </c>
      <c r="CO206" s="199" t="s">
        <v>2</v>
      </c>
    </row>
    <row r="207" spans="1:93" s="207" customFormat="1" ht="15" x14ac:dyDescent="0.25">
      <c r="A207" s="220" t="s">
        <v>846</v>
      </c>
      <c r="B207" s="221" t="s">
        <v>234</v>
      </c>
      <c r="C207" s="222" t="s">
        <v>1032</v>
      </c>
      <c r="D207" s="290">
        <v>4</v>
      </c>
      <c r="E207" s="199">
        <v>0</v>
      </c>
      <c r="F207" s="200">
        <v>103</v>
      </c>
      <c r="G207" s="201">
        <v>430.53999999999996</v>
      </c>
      <c r="H207" s="202">
        <v>74.599999999999994</v>
      </c>
      <c r="I207" s="203">
        <v>16.2</v>
      </c>
      <c r="J207" s="203">
        <v>1.3</v>
      </c>
      <c r="K207" s="203">
        <v>6.5</v>
      </c>
      <c r="L207" s="203">
        <v>2</v>
      </c>
      <c r="M207" s="204">
        <v>1.4</v>
      </c>
      <c r="N207" s="200">
        <v>30</v>
      </c>
      <c r="O207" s="200">
        <v>272</v>
      </c>
      <c r="P207" s="203">
        <v>5</v>
      </c>
      <c r="Q207" s="203" t="s">
        <v>2</v>
      </c>
      <c r="R207" s="200" t="s">
        <v>2</v>
      </c>
      <c r="S207" s="200" t="s">
        <v>2</v>
      </c>
      <c r="T207" s="200" t="s">
        <v>2</v>
      </c>
      <c r="U207" s="205" t="s">
        <v>2</v>
      </c>
      <c r="V207" s="205" t="s">
        <v>2</v>
      </c>
      <c r="W207" s="204" t="s">
        <v>2</v>
      </c>
      <c r="X207" s="203" t="s">
        <v>2</v>
      </c>
      <c r="Y207" s="205">
        <v>0.77</v>
      </c>
      <c r="Z207" s="205">
        <v>1.06</v>
      </c>
      <c r="AA207" s="205">
        <v>8.3000000000000007</v>
      </c>
      <c r="AB207" s="205" t="s">
        <v>2</v>
      </c>
      <c r="AC207" s="205" t="s">
        <v>2</v>
      </c>
      <c r="AD207" s="200" t="s">
        <v>2</v>
      </c>
      <c r="AE207" s="200" t="s">
        <v>2</v>
      </c>
      <c r="AF207" s="203">
        <v>60</v>
      </c>
      <c r="AG207" s="204" t="s">
        <v>2</v>
      </c>
      <c r="AH207" s="200">
        <v>0</v>
      </c>
      <c r="AI207" s="200">
        <v>0</v>
      </c>
      <c r="AJ207" s="203" t="s">
        <v>2</v>
      </c>
      <c r="AK207" s="203" t="s">
        <v>2</v>
      </c>
      <c r="AL207" s="204" t="s">
        <v>2</v>
      </c>
      <c r="AM207" s="200" t="s">
        <v>2</v>
      </c>
      <c r="AN207" s="200" t="s">
        <v>2</v>
      </c>
      <c r="AO207" s="201" t="s">
        <v>2</v>
      </c>
      <c r="AP207" s="203" t="s">
        <v>2</v>
      </c>
      <c r="AQ207" s="205" t="s">
        <v>2</v>
      </c>
      <c r="AR207" s="205" t="s">
        <v>2</v>
      </c>
      <c r="AS207" s="205" t="s">
        <v>2</v>
      </c>
      <c r="AT207" s="205" t="s">
        <v>2</v>
      </c>
      <c r="AU207" s="205" t="s">
        <v>2</v>
      </c>
      <c r="AV207" s="206" t="s">
        <v>2</v>
      </c>
      <c r="AW207" s="203" t="s">
        <v>2</v>
      </c>
      <c r="AX207" s="205" t="s">
        <v>2</v>
      </c>
      <c r="AY207" s="205" t="s">
        <v>2</v>
      </c>
      <c r="AZ207" s="206" t="s">
        <v>2</v>
      </c>
      <c r="BA207" s="203" t="s">
        <v>2</v>
      </c>
      <c r="BB207" s="205" t="s">
        <v>2</v>
      </c>
      <c r="BC207" s="205" t="s">
        <v>2</v>
      </c>
      <c r="BD207" s="205" t="s">
        <v>2</v>
      </c>
      <c r="BE207" s="205" t="s">
        <v>2</v>
      </c>
      <c r="BF207" s="206" t="s">
        <v>2</v>
      </c>
      <c r="BG207" s="199" t="s">
        <v>2</v>
      </c>
      <c r="BH207" s="199">
        <v>0</v>
      </c>
      <c r="BI207" s="200">
        <v>949</v>
      </c>
      <c r="BJ207" s="200">
        <v>203</v>
      </c>
      <c r="BK207" s="200">
        <v>226</v>
      </c>
      <c r="BL207" s="200">
        <v>633</v>
      </c>
      <c r="BM207" s="200">
        <v>678</v>
      </c>
      <c r="BN207" s="200">
        <v>881</v>
      </c>
      <c r="BO207" s="200">
        <v>1017</v>
      </c>
      <c r="BP207" s="200">
        <v>678</v>
      </c>
      <c r="BQ207" s="200">
        <v>588</v>
      </c>
      <c r="BR207" s="200">
        <v>362</v>
      </c>
      <c r="BS207" s="200">
        <v>158</v>
      </c>
      <c r="BT207" s="200">
        <v>678</v>
      </c>
      <c r="BU207" s="200">
        <v>994</v>
      </c>
      <c r="BV207" s="200">
        <v>1424</v>
      </c>
      <c r="BW207" s="200">
        <v>1876</v>
      </c>
      <c r="BX207" s="200">
        <v>655</v>
      </c>
      <c r="BY207" s="200">
        <v>633</v>
      </c>
      <c r="BZ207" s="201">
        <v>746</v>
      </c>
      <c r="CA207" s="203" t="s">
        <v>2</v>
      </c>
      <c r="CB207" s="203" t="s">
        <v>2</v>
      </c>
      <c r="CC207" s="203" t="s">
        <v>2</v>
      </c>
      <c r="CD207" s="203" t="s">
        <v>2</v>
      </c>
      <c r="CE207" s="203" t="s">
        <v>2</v>
      </c>
      <c r="CF207" s="203" t="s">
        <v>2</v>
      </c>
      <c r="CG207" s="204" t="s">
        <v>2</v>
      </c>
      <c r="CH207" s="200" t="s">
        <v>2</v>
      </c>
      <c r="CI207" s="201" t="s">
        <v>2</v>
      </c>
      <c r="CJ207" s="203" t="s">
        <v>2</v>
      </c>
      <c r="CK207" s="203" t="s">
        <v>2</v>
      </c>
      <c r="CL207" s="203" t="s">
        <v>2</v>
      </c>
      <c r="CM207" s="204" t="s">
        <v>2</v>
      </c>
      <c r="CN207" s="199" t="s">
        <v>2</v>
      </c>
      <c r="CO207" s="199" t="s">
        <v>2</v>
      </c>
    </row>
    <row r="208" spans="1:93" s="207" customFormat="1" ht="15" x14ac:dyDescent="0.25">
      <c r="A208" s="220" t="s">
        <v>847</v>
      </c>
      <c r="B208" s="221" t="s">
        <v>235</v>
      </c>
      <c r="C208" s="222" t="s">
        <v>1034</v>
      </c>
      <c r="D208" s="290">
        <v>4</v>
      </c>
      <c r="E208" s="199">
        <v>10</v>
      </c>
      <c r="F208" s="200">
        <v>332</v>
      </c>
      <c r="G208" s="201">
        <v>1387.76</v>
      </c>
      <c r="H208" s="202">
        <v>11.4</v>
      </c>
      <c r="I208" s="203">
        <v>10.6</v>
      </c>
      <c r="J208" s="203">
        <v>0.2</v>
      </c>
      <c r="K208" s="203">
        <v>72</v>
      </c>
      <c r="L208" s="203">
        <v>7</v>
      </c>
      <c r="M208" s="204">
        <v>5.8</v>
      </c>
      <c r="N208" s="200">
        <v>357</v>
      </c>
      <c r="O208" s="200">
        <v>201</v>
      </c>
      <c r="P208" s="203">
        <v>56.1</v>
      </c>
      <c r="Q208" s="203">
        <v>7.52</v>
      </c>
      <c r="R208" s="200">
        <v>70</v>
      </c>
      <c r="S208" s="200">
        <v>708</v>
      </c>
      <c r="T208" s="200">
        <v>146</v>
      </c>
      <c r="U208" s="205">
        <v>1.151</v>
      </c>
      <c r="V208" s="205">
        <v>5070</v>
      </c>
      <c r="W208" s="204">
        <v>133.1</v>
      </c>
      <c r="X208" s="203">
        <v>1</v>
      </c>
      <c r="Y208" s="205">
        <v>0.15</v>
      </c>
      <c r="Z208" s="205">
        <v>0.55000000000000004</v>
      </c>
      <c r="AA208" s="205">
        <v>2.7</v>
      </c>
      <c r="AB208" s="205">
        <v>21.477</v>
      </c>
      <c r="AC208" s="205">
        <v>0.95</v>
      </c>
      <c r="AD208" s="200">
        <v>160</v>
      </c>
      <c r="AE208" s="200">
        <v>0</v>
      </c>
      <c r="AF208" s="203" t="s">
        <v>2</v>
      </c>
      <c r="AG208" s="204">
        <v>0</v>
      </c>
      <c r="AH208" s="200">
        <v>0</v>
      </c>
      <c r="AI208" s="200">
        <v>2</v>
      </c>
      <c r="AJ208" s="203" t="s">
        <v>2</v>
      </c>
      <c r="AK208" s="203" t="s">
        <v>2</v>
      </c>
      <c r="AL208" s="204" t="s">
        <v>2</v>
      </c>
      <c r="AM208" s="200">
        <v>20</v>
      </c>
      <c r="AN208" s="200" t="s">
        <v>2</v>
      </c>
      <c r="AO208" s="201" t="s">
        <v>2</v>
      </c>
      <c r="AP208" s="203" t="s">
        <v>2</v>
      </c>
      <c r="AQ208" s="205" t="s">
        <v>2</v>
      </c>
      <c r="AR208" s="205" t="s">
        <v>2</v>
      </c>
      <c r="AS208" s="205" t="s">
        <v>2</v>
      </c>
      <c r="AT208" s="205" t="s">
        <v>2</v>
      </c>
      <c r="AU208" s="205" t="s">
        <v>2</v>
      </c>
      <c r="AV208" s="206" t="s">
        <v>2</v>
      </c>
      <c r="AW208" s="203" t="s">
        <v>2</v>
      </c>
      <c r="AX208" s="205" t="s">
        <v>2</v>
      </c>
      <c r="AY208" s="205" t="s">
        <v>2</v>
      </c>
      <c r="AZ208" s="206" t="s">
        <v>2</v>
      </c>
      <c r="BA208" s="203" t="s">
        <v>2</v>
      </c>
      <c r="BB208" s="205" t="s">
        <v>2</v>
      </c>
      <c r="BC208" s="205" t="s">
        <v>2</v>
      </c>
      <c r="BD208" s="205" t="s">
        <v>2</v>
      </c>
      <c r="BE208" s="205" t="s">
        <v>2</v>
      </c>
      <c r="BF208" s="206" t="s">
        <v>2</v>
      </c>
      <c r="BG208" s="199" t="s">
        <v>2</v>
      </c>
      <c r="BH208" s="199">
        <v>0</v>
      </c>
      <c r="BI208" s="200" t="s">
        <v>2</v>
      </c>
      <c r="BJ208" s="200" t="s">
        <v>2</v>
      </c>
      <c r="BK208" s="200" t="s">
        <v>2</v>
      </c>
      <c r="BL208" s="200" t="s">
        <v>2</v>
      </c>
      <c r="BM208" s="200" t="s">
        <v>2</v>
      </c>
      <c r="BN208" s="200" t="s">
        <v>2</v>
      </c>
      <c r="BO208" s="200" t="s">
        <v>2</v>
      </c>
      <c r="BP208" s="200" t="s">
        <v>2</v>
      </c>
      <c r="BQ208" s="200" t="s">
        <v>2</v>
      </c>
      <c r="BR208" s="200" t="s">
        <v>2</v>
      </c>
      <c r="BS208" s="200" t="s">
        <v>2</v>
      </c>
      <c r="BT208" s="200" t="s">
        <v>2</v>
      </c>
      <c r="BU208" s="200" t="s">
        <v>2</v>
      </c>
      <c r="BV208" s="200" t="s">
        <v>2</v>
      </c>
      <c r="BW208" s="200" t="s">
        <v>2</v>
      </c>
      <c r="BX208" s="200" t="s">
        <v>2</v>
      </c>
      <c r="BY208" s="200" t="s">
        <v>2</v>
      </c>
      <c r="BZ208" s="201" t="s">
        <v>2</v>
      </c>
      <c r="CA208" s="203" t="s">
        <v>2</v>
      </c>
      <c r="CB208" s="203" t="s">
        <v>2</v>
      </c>
      <c r="CC208" s="203" t="s">
        <v>2</v>
      </c>
      <c r="CD208" s="203" t="s">
        <v>2</v>
      </c>
      <c r="CE208" s="203" t="s">
        <v>2</v>
      </c>
      <c r="CF208" s="203" t="s">
        <v>2</v>
      </c>
      <c r="CG208" s="204" t="s">
        <v>2</v>
      </c>
      <c r="CH208" s="200" t="s">
        <v>2</v>
      </c>
      <c r="CI208" s="201" t="s">
        <v>2</v>
      </c>
      <c r="CJ208" s="203" t="s">
        <v>2</v>
      </c>
      <c r="CK208" s="203" t="s">
        <v>2</v>
      </c>
      <c r="CL208" s="203" t="s">
        <v>2</v>
      </c>
      <c r="CM208" s="204" t="s">
        <v>2</v>
      </c>
      <c r="CN208" s="199" t="s">
        <v>2</v>
      </c>
      <c r="CO208" s="199" t="s">
        <v>2</v>
      </c>
    </row>
    <row r="209" spans="1:93" s="207" customFormat="1" ht="15" x14ac:dyDescent="0.25">
      <c r="A209" s="220" t="s">
        <v>848</v>
      </c>
      <c r="B209" s="221" t="s">
        <v>236</v>
      </c>
      <c r="C209" s="221" t="s">
        <v>1037</v>
      </c>
      <c r="D209" s="290">
        <v>4</v>
      </c>
      <c r="E209" s="199">
        <v>10</v>
      </c>
      <c r="F209" s="200">
        <v>342</v>
      </c>
      <c r="G209" s="201">
        <v>1429.56</v>
      </c>
      <c r="H209" s="202">
        <v>13</v>
      </c>
      <c r="I209" s="203">
        <v>36</v>
      </c>
      <c r="J209" s="203">
        <v>4</v>
      </c>
      <c r="K209" s="203">
        <v>40.5</v>
      </c>
      <c r="L209" s="203">
        <v>17</v>
      </c>
      <c r="M209" s="204">
        <v>6.5</v>
      </c>
      <c r="N209" s="200">
        <v>184</v>
      </c>
      <c r="O209" s="200">
        <v>606</v>
      </c>
      <c r="P209" s="203">
        <v>35</v>
      </c>
      <c r="Q209" s="203" t="s">
        <v>2</v>
      </c>
      <c r="R209" s="200" t="s">
        <v>2</v>
      </c>
      <c r="S209" s="200" t="s">
        <v>2</v>
      </c>
      <c r="T209" s="200" t="s">
        <v>2</v>
      </c>
      <c r="U209" s="205" t="s">
        <v>2</v>
      </c>
      <c r="V209" s="205" t="s">
        <v>2</v>
      </c>
      <c r="W209" s="204" t="s">
        <v>2</v>
      </c>
      <c r="X209" s="203" t="s">
        <v>2</v>
      </c>
      <c r="Y209" s="205">
        <v>0.16</v>
      </c>
      <c r="Z209" s="205">
        <v>1.59</v>
      </c>
      <c r="AA209" s="205">
        <v>23.4</v>
      </c>
      <c r="AB209" s="205" t="s">
        <v>2</v>
      </c>
      <c r="AC209" s="205" t="s">
        <v>2</v>
      </c>
      <c r="AD209" s="200" t="s">
        <v>2</v>
      </c>
      <c r="AE209" s="200" t="s">
        <v>2</v>
      </c>
      <c r="AF209" s="203" t="s">
        <v>2</v>
      </c>
      <c r="AG209" s="204" t="s">
        <v>2</v>
      </c>
      <c r="AH209" s="200">
        <v>0</v>
      </c>
      <c r="AI209" s="200">
        <v>0</v>
      </c>
      <c r="AJ209" s="203" t="s">
        <v>2</v>
      </c>
      <c r="AK209" s="203" t="s">
        <v>2</v>
      </c>
      <c r="AL209" s="204" t="s">
        <v>2</v>
      </c>
      <c r="AM209" s="200" t="s">
        <v>2</v>
      </c>
      <c r="AN209" s="200" t="s">
        <v>2</v>
      </c>
      <c r="AO209" s="201" t="s">
        <v>2</v>
      </c>
      <c r="AP209" s="203" t="s">
        <v>2</v>
      </c>
      <c r="AQ209" s="205" t="s">
        <v>2</v>
      </c>
      <c r="AR209" s="205" t="s">
        <v>2</v>
      </c>
      <c r="AS209" s="205" t="s">
        <v>2</v>
      </c>
      <c r="AT209" s="205" t="s">
        <v>2</v>
      </c>
      <c r="AU209" s="205" t="s">
        <v>2</v>
      </c>
      <c r="AV209" s="206" t="s">
        <v>2</v>
      </c>
      <c r="AW209" s="203" t="s">
        <v>2</v>
      </c>
      <c r="AX209" s="205" t="s">
        <v>2</v>
      </c>
      <c r="AY209" s="205" t="s">
        <v>2</v>
      </c>
      <c r="AZ209" s="206" t="s">
        <v>2</v>
      </c>
      <c r="BA209" s="203" t="s">
        <v>2</v>
      </c>
      <c r="BB209" s="205" t="s">
        <v>2</v>
      </c>
      <c r="BC209" s="205" t="s">
        <v>2</v>
      </c>
      <c r="BD209" s="205" t="s">
        <v>2</v>
      </c>
      <c r="BE209" s="205" t="s">
        <v>2</v>
      </c>
      <c r="BF209" s="206" t="s">
        <v>2</v>
      </c>
      <c r="BG209" s="199" t="s">
        <v>2</v>
      </c>
      <c r="BH209" s="199">
        <v>0</v>
      </c>
      <c r="BI209" s="200" t="s">
        <v>2</v>
      </c>
      <c r="BJ209" s="200" t="s">
        <v>2</v>
      </c>
      <c r="BK209" s="200" t="s">
        <v>2</v>
      </c>
      <c r="BL209" s="200" t="s">
        <v>2</v>
      </c>
      <c r="BM209" s="200" t="s">
        <v>2</v>
      </c>
      <c r="BN209" s="200" t="s">
        <v>2</v>
      </c>
      <c r="BO209" s="200" t="s">
        <v>2</v>
      </c>
      <c r="BP209" s="200" t="s">
        <v>2</v>
      </c>
      <c r="BQ209" s="200" t="s">
        <v>2</v>
      </c>
      <c r="BR209" s="200" t="s">
        <v>2</v>
      </c>
      <c r="BS209" s="200" t="s">
        <v>2</v>
      </c>
      <c r="BT209" s="200" t="s">
        <v>2</v>
      </c>
      <c r="BU209" s="200" t="s">
        <v>2</v>
      </c>
      <c r="BV209" s="200" t="s">
        <v>2</v>
      </c>
      <c r="BW209" s="200" t="s">
        <v>2</v>
      </c>
      <c r="BX209" s="200" t="s">
        <v>2</v>
      </c>
      <c r="BY209" s="200" t="s">
        <v>2</v>
      </c>
      <c r="BZ209" s="201" t="s">
        <v>2</v>
      </c>
      <c r="CA209" s="203" t="s">
        <v>2</v>
      </c>
      <c r="CB209" s="203" t="s">
        <v>2</v>
      </c>
      <c r="CC209" s="203" t="s">
        <v>2</v>
      </c>
      <c r="CD209" s="203" t="s">
        <v>2</v>
      </c>
      <c r="CE209" s="203" t="s">
        <v>2</v>
      </c>
      <c r="CF209" s="203" t="s">
        <v>2</v>
      </c>
      <c r="CG209" s="204" t="s">
        <v>2</v>
      </c>
      <c r="CH209" s="200" t="s">
        <v>2</v>
      </c>
      <c r="CI209" s="201" t="s">
        <v>2</v>
      </c>
      <c r="CJ209" s="203" t="s">
        <v>2</v>
      </c>
      <c r="CK209" s="203" t="s">
        <v>2</v>
      </c>
      <c r="CL209" s="203" t="s">
        <v>2</v>
      </c>
      <c r="CM209" s="204" t="s">
        <v>2</v>
      </c>
      <c r="CN209" s="199" t="s">
        <v>2</v>
      </c>
      <c r="CO209" s="199" t="s">
        <v>2</v>
      </c>
    </row>
    <row r="210" spans="1:93" s="207" customFormat="1" ht="15" x14ac:dyDescent="0.25">
      <c r="A210" s="220" t="s">
        <v>1017</v>
      </c>
      <c r="B210" s="221" t="s">
        <v>237</v>
      </c>
      <c r="C210" s="222" t="s">
        <v>1035</v>
      </c>
      <c r="D210" s="290">
        <v>4</v>
      </c>
      <c r="E210" s="199">
        <v>25</v>
      </c>
      <c r="F210" s="200">
        <v>51</v>
      </c>
      <c r="G210" s="201">
        <v>213.17999999999998</v>
      </c>
      <c r="H210" s="202">
        <v>87</v>
      </c>
      <c r="I210" s="203">
        <v>5.5</v>
      </c>
      <c r="J210" s="203">
        <v>0.5</v>
      </c>
      <c r="K210" s="203">
        <v>6.1</v>
      </c>
      <c r="L210" s="203">
        <v>3</v>
      </c>
      <c r="M210" s="204">
        <v>0.9</v>
      </c>
      <c r="N210" s="200">
        <v>27</v>
      </c>
      <c r="O210" s="200">
        <v>89</v>
      </c>
      <c r="P210" s="203">
        <v>5.2</v>
      </c>
      <c r="Q210" s="203" t="s">
        <v>2</v>
      </c>
      <c r="R210" s="200" t="s">
        <v>2</v>
      </c>
      <c r="S210" s="200" t="s">
        <v>2</v>
      </c>
      <c r="T210" s="200" t="s">
        <v>2</v>
      </c>
      <c r="U210" s="205" t="s">
        <v>2</v>
      </c>
      <c r="V210" s="205" t="s">
        <v>2</v>
      </c>
      <c r="W210" s="204" t="s">
        <v>2</v>
      </c>
      <c r="X210" s="203" t="s">
        <v>2</v>
      </c>
      <c r="Y210" s="205" t="s">
        <v>2</v>
      </c>
      <c r="Z210" s="205" t="s">
        <v>2</v>
      </c>
      <c r="AA210" s="205" t="s">
        <v>2</v>
      </c>
      <c r="AB210" s="205" t="s">
        <v>2</v>
      </c>
      <c r="AC210" s="205" t="s">
        <v>2</v>
      </c>
      <c r="AD210" s="200" t="s">
        <v>2</v>
      </c>
      <c r="AE210" s="200" t="s">
        <v>2</v>
      </c>
      <c r="AF210" s="203" t="s">
        <v>2</v>
      </c>
      <c r="AG210" s="204" t="s">
        <v>2</v>
      </c>
      <c r="AH210" s="200">
        <v>0</v>
      </c>
      <c r="AI210" s="200">
        <v>0</v>
      </c>
      <c r="AJ210" s="203" t="s">
        <v>2</v>
      </c>
      <c r="AK210" s="203" t="s">
        <v>2</v>
      </c>
      <c r="AL210" s="204" t="s">
        <v>2</v>
      </c>
      <c r="AM210" s="200" t="s">
        <v>2</v>
      </c>
      <c r="AN210" s="200" t="s">
        <v>2</v>
      </c>
      <c r="AO210" s="201" t="s">
        <v>2</v>
      </c>
      <c r="AP210" s="203" t="s">
        <v>2</v>
      </c>
      <c r="AQ210" s="205" t="s">
        <v>2</v>
      </c>
      <c r="AR210" s="205" t="s">
        <v>2</v>
      </c>
      <c r="AS210" s="205" t="s">
        <v>2</v>
      </c>
      <c r="AT210" s="205" t="s">
        <v>2</v>
      </c>
      <c r="AU210" s="205" t="s">
        <v>2</v>
      </c>
      <c r="AV210" s="206" t="s">
        <v>2</v>
      </c>
      <c r="AW210" s="203" t="s">
        <v>2</v>
      </c>
      <c r="AX210" s="205" t="s">
        <v>2</v>
      </c>
      <c r="AY210" s="205" t="s">
        <v>2</v>
      </c>
      <c r="AZ210" s="206" t="s">
        <v>2</v>
      </c>
      <c r="BA210" s="203" t="s">
        <v>2</v>
      </c>
      <c r="BB210" s="205" t="s">
        <v>2</v>
      </c>
      <c r="BC210" s="205" t="s">
        <v>2</v>
      </c>
      <c r="BD210" s="205" t="s">
        <v>2</v>
      </c>
      <c r="BE210" s="205" t="s">
        <v>2</v>
      </c>
      <c r="BF210" s="206" t="s">
        <v>2</v>
      </c>
      <c r="BG210" s="199" t="s">
        <v>2</v>
      </c>
      <c r="BH210" s="199">
        <v>0</v>
      </c>
      <c r="BI210" s="200" t="s">
        <v>2</v>
      </c>
      <c r="BJ210" s="200" t="s">
        <v>2</v>
      </c>
      <c r="BK210" s="200" t="s">
        <v>2</v>
      </c>
      <c r="BL210" s="200" t="s">
        <v>2</v>
      </c>
      <c r="BM210" s="200" t="s">
        <v>2</v>
      </c>
      <c r="BN210" s="200" t="s">
        <v>2</v>
      </c>
      <c r="BO210" s="200" t="s">
        <v>2</v>
      </c>
      <c r="BP210" s="200" t="s">
        <v>2</v>
      </c>
      <c r="BQ210" s="200" t="s">
        <v>2</v>
      </c>
      <c r="BR210" s="200" t="s">
        <v>2</v>
      </c>
      <c r="BS210" s="200" t="s">
        <v>2</v>
      </c>
      <c r="BT210" s="200" t="s">
        <v>2</v>
      </c>
      <c r="BU210" s="200" t="s">
        <v>2</v>
      </c>
      <c r="BV210" s="200" t="s">
        <v>2</v>
      </c>
      <c r="BW210" s="200" t="s">
        <v>2</v>
      </c>
      <c r="BX210" s="200" t="s">
        <v>2</v>
      </c>
      <c r="BY210" s="200" t="s">
        <v>2</v>
      </c>
      <c r="BZ210" s="201" t="s">
        <v>2</v>
      </c>
      <c r="CA210" s="203" t="s">
        <v>2</v>
      </c>
      <c r="CB210" s="203" t="s">
        <v>2</v>
      </c>
      <c r="CC210" s="203" t="s">
        <v>2</v>
      </c>
      <c r="CD210" s="203" t="s">
        <v>2</v>
      </c>
      <c r="CE210" s="203" t="s">
        <v>2</v>
      </c>
      <c r="CF210" s="203" t="s">
        <v>2</v>
      </c>
      <c r="CG210" s="204" t="s">
        <v>2</v>
      </c>
      <c r="CH210" s="200" t="s">
        <v>2</v>
      </c>
      <c r="CI210" s="201" t="s">
        <v>2</v>
      </c>
      <c r="CJ210" s="203" t="s">
        <v>2</v>
      </c>
      <c r="CK210" s="203" t="s">
        <v>2</v>
      </c>
      <c r="CL210" s="203" t="s">
        <v>2</v>
      </c>
      <c r="CM210" s="204" t="s">
        <v>2</v>
      </c>
      <c r="CN210" s="199" t="s">
        <v>2</v>
      </c>
      <c r="CO210" s="199" t="s">
        <v>2</v>
      </c>
    </row>
    <row r="211" spans="1:93" s="207" customFormat="1" ht="15" x14ac:dyDescent="0.25">
      <c r="A211" s="220" t="s">
        <v>1018</v>
      </c>
      <c r="B211" s="221" t="s">
        <v>238</v>
      </c>
      <c r="C211" s="222" t="s">
        <v>1036</v>
      </c>
      <c r="D211" s="290">
        <v>4</v>
      </c>
      <c r="E211" s="199">
        <v>10</v>
      </c>
      <c r="F211" s="200">
        <v>37</v>
      </c>
      <c r="G211" s="201">
        <v>154.66</v>
      </c>
      <c r="H211" s="202">
        <v>90.4</v>
      </c>
      <c r="I211" s="203">
        <v>4</v>
      </c>
      <c r="J211" s="203">
        <v>0.3</v>
      </c>
      <c r="K211" s="203">
        <v>4.5</v>
      </c>
      <c r="L211" s="203">
        <v>1.1000000000000001</v>
      </c>
      <c r="M211" s="204">
        <v>0.8</v>
      </c>
      <c r="N211" s="200">
        <v>28</v>
      </c>
      <c r="O211" s="200">
        <v>80</v>
      </c>
      <c r="P211" s="203">
        <v>1.3</v>
      </c>
      <c r="Q211" s="203">
        <v>0.3</v>
      </c>
      <c r="R211" s="200">
        <v>12</v>
      </c>
      <c r="S211" s="200">
        <v>322</v>
      </c>
      <c r="T211" s="200">
        <v>14</v>
      </c>
      <c r="U211" s="205">
        <v>0.1</v>
      </c>
      <c r="V211" s="205">
        <v>1790</v>
      </c>
      <c r="W211" s="204">
        <v>13</v>
      </c>
      <c r="X211" s="203">
        <v>4</v>
      </c>
      <c r="Y211" s="205">
        <v>0.11</v>
      </c>
      <c r="Z211" s="205">
        <v>0.16</v>
      </c>
      <c r="AA211" s="205">
        <v>3.3</v>
      </c>
      <c r="AB211" s="205" t="s">
        <v>2</v>
      </c>
      <c r="AC211" s="205" t="s">
        <v>2</v>
      </c>
      <c r="AD211" s="200" t="s">
        <v>2</v>
      </c>
      <c r="AE211" s="200" t="s">
        <v>2</v>
      </c>
      <c r="AF211" s="203">
        <v>16</v>
      </c>
      <c r="AG211" s="204" t="s">
        <v>2</v>
      </c>
      <c r="AH211" s="200">
        <v>0</v>
      </c>
      <c r="AI211" s="200">
        <v>1</v>
      </c>
      <c r="AJ211" s="203" t="s">
        <v>2</v>
      </c>
      <c r="AK211" s="203" t="s">
        <v>2</v>
      </c>
      <c r="AL211" s="204" t="s">
        <v>2</v>
      </c>
      <c r="AM211" s="200">
        <v>10</v>
      </c>
      <c r="AN211" s="200" t="s">
        <v>2</v>
      </c>
      <c r="AO211" s="201" t="s">
        <v>2</v>
      </c>
      <c r="AP211" s="203" t="s">
        <v>2</v>
      </c>
      <c r="AQ211" s="205" t="s">
        <v>2</v>
      </c>
      <c r="AR211" s="205" t="s">
        <v>2</v>
      </c>
      <c r="AS211" s="205" t="s">
        <v>2</v>
      </c>
      <c r="AT211" s="205" t="s">
        <v>2</v>
      </c>
      <c r="AU211" s="205" t="s">
        <v>2</v>
      </c>
      <c r="AV211" s="206" t="s">
        <v>2</v>
      </c>
      <c r="AW211" s="203" t="s">
        <v>2</v>
      </c>
      <c r="AX211" s="205" t="s">
        <v>2</v>
      </c>
      <c r="AY211" s="205" t="s">
        <v>2</v>
      </c>
      <c r="AZ211" s="206" t="s">
        <v>2</v>
      </c>
      <c r="BA211" s="203" t="s">
        <v>2</v>
      </c>
      <c r="BB211" s="205" t="s">
        <v>2</v>
      </c>
      <c r="BC211" s="205" t="s">
        <v>2</v>
      </c>
      <c r="BD211" s="205" t="s">
        <v>2</v>
      </c>
      <c r="BE211" s="205" t="s">
        <v>2</v>
      </c>
      <c r="BF211" s="206" t="s">
        <v>2</v>
      </c>
      <c r="BG211" s="199" t="s">
        <v>2</v>
      </c>
      <c r="BH211" s="199">
        <v>0</v>
      </c>
      <c r="BI211" s="200">
        <v>259</v>
      </c>
      <c r="BJ211" s="200">
        <v>62</v>
      </c>
      <c r="BK211" s="200">
        <v>25</v>
      </c>
      <c r="BL211" s="200">
        <v>92</v>
      </c>
      <c r="BM211" s="200">
        <v>90</v>
      </c>
      <c r="BN211" s="200">
        <v>71</v>
      </c>
      <c r="BO211" s="200">
        <v>206</v>
      </c>
      <c r="BP211" s="200">
        <v>95</v>
      </c>
      <c r="BQ211" s="200">
        <v>112</v>
      </c>
      <c r="BR211" s="200">
        <v>121</v>
      </c>
      <c r="BS211" s="200">
        <v>105</v>
      </c>
      <c r="BT211" s="200">
        <v>90</v>
      </c>
      <c r="BU211" s="200">
        <v>121</v>
      </c>
      <c r="BV211" s="200">
        <v>228</v>
      </c>
      <c r="BW211" s="200">
        <v>342</v>
      </c>
      <c r="BX211" s="200">
        <v>91</v>
      </c>
      <c r="BY211" s="200">
        <v>115</v>
      </c>
      <c r="BZ211" s="201">
        <v>100</v>
      </c>
      <c r="CA211" s="203" t="s">
        <v>2</v>
      </c>
      <c r="CB211" s="203" t="s">
        <v>2</v>
      </c>
      <c r="CC211" s="203" t="s">
        <v>2</v>
      </c>
      <c r="CD211" s="203" t="s">
        <v>2</v>
      </c>
      <c r="CE211" s="203" t="s">
        <v>2</v>
      </c>
      <c r="CF211" s="203" t="s">
        <v>2</v>
      </c>
      <c r="CG211" s="204" t="s">
        <v>2</v>
      </c>
      <c r="CH211" s="200" t="s">
        <v>2</v>
      </c>
      <c r="CI211" s="201" t="s">
        <v>2</v>
      </c>
      <c r="CJ211" s="203" t="s">
        <v>2</v>
      </c>
      <c r="CK211" s="203" t="s">
        <v>2</v>
      </c>
      <c r="CL211" s="203" t="s">
        <v>2</v>
      </c>
      <c r="CM211" s="204" t="s">
        <v>2</v>
      </c>
      <c r="CN211" s="199" t="s">
        <v>2</v>
      </c>
      <c r="CO211" s="199">
        <v>58</v>
      </c>
    </row>
    <row r="212" spans="1:93" s="207" customFormat="1" ht="15" x14ac:dyDescent="0.25">
      <c r="A212" s="220" t="s">
        <v>1019</v>
      </c>
      <c r="B212" s="221" t="s">
        <v>239</v>
      </c>
      <c r="C212" s="222" t="s">
        <v>1038</v>
      </c>
      <c r="D212" s="290">
        <v>4</v>
      </c>
      <c r="E212" s="199">
        <v>10</v>
      </c>
      <c r="F212" s="200">
        <v>61</v>
      </c>
      <c r="G212" s="201">
        <v>254.98</v>
      </c>
      <c r="H212" s="202">
        <v>87.9</v>
      </c>
      <c r="I212" s="203">
        <v>3.6</v>
      </c>
      <c r="J212" s="203">
        <v>3.2</v>
      </c>
      <c r="K212" s="203">
        <v>4.5</v>
      </c>
      <c r="L212" s="203">
        <v>1.1000000000000001</v>
      </c>
      <c r="M212" s="204">
        <v>0.8</v>
      </c>
      <c r="N212" s="200">
        <v>28</v>
      </c>
      <c r="O212" s="200">
        <v>80</v>
      </c>
      <c r="P212" s="203">
        <v>1.2</v>
      </c>
      <c r="Q212" s="203" t="s">
        <v>2</v>
      </c>
      <c r="R212" s="200" t="s">
        <v>2</v>
      </c>
      <c r="S212" s="200" t="s">
        <v>2</v>
      </c>
      <c r="T212" s="200" t="s">
        <v>2</v>
      </c>
      <c r="U212" s="205" t="s">
        <v>2</v>
      </c>
      <c r="V212" s="205" t="s">
        <v>2</v>
      </c>
      <c r="W212" s="204" t="s">
        <v>2</v>
      </c>
      <c r="X212" s="203">
        <v>2</v>
      </c>
      <c r="Y212" s="205">
        <v>0.12</v>
      </c>
      <c r="Z212" s="205">
        <v>0.33</v>
      </c>
      <c r="AA212" s="205">
        <v>9.1</v>
      </c>
      <c r="AB212" s="205" t="s">
        <v>2</v>
      </c>
      <c r="AC212" s="205" t="s">
        <v>2</v>
      </c>
      <c r="AD212" s="200" t="s">
        <v>2</v>
      </c>
      <c r="AE212" s="200" t="s">
        <v>2</v>
      </c>
      <c r="AF212" s="203" t="s">
        <v>2</v>
      </c>
      <c r="AG212" s="204" t="s">
        <v>2</v>
      </c>
      <c r="AH212" s="200">
        <v>0</v>
      </c>
      <c r="AI212" s="200">
        <v>0</v>
      </c>
      <c r="AJ212" s="203" t="s">
        <v>2</v>
      </c>
      <c r="AK212" s="203" t="s">
        <v>2</v>
      </c>
      <c r="AL212" s="204" t="s">
        <v>2</v>
      </c>
      <c r="AM212" s="200">
        <v>0</v>
      </c>
      <c r="AN212" s="200" t="s">
        <v>2</v>
      </c>
      <c r="AO212" s="201" t="s">
        <v>2</v>
      </c>
      <c r="AP212" s="203" t="s">
        <v>2</v>
      </c>
      <c r="AQ212" s="205" t="s">
        <v>2</v>
      </c>
      <c r="AR212" s="205" t="s">
        <v>2</v>
      </c>
      <c r="AS212" s="205" t="s">
        <v>2</v>
      </c>
      <c r="AT212" s="205" t="s">
        <v>2</v>
      </c>
      <c r="AU212" s="205" t="s">
        <v>2</v>
      </c>
      <c r="AV212" s="206" t="s">
        <v>2</v>
      </c>
      <c r="AW212" s="203" t="s">
        <v>2</v>
      </c>
      <c r="AX212" s="205" t="s">
        <v>2</v>
      </c>
      <c r="AY212" s="205" t="s">
        <v>2</v>
      </c>
      <c r="AZ212" s="206" t="s">
        <v>2</v>
      </c>
      <c r="BA212" s="203" t="s">
        <v>2</v>
      </c>
      <c r="BB212" s="205" t="s">
        <v>2</v>
      </c>
      <c r="BC212" s="205" t="s">
        <v>2</v>
      </c>
      <c r="BD212" s="205" t="s">
        <v>2</v>
      </c>
      <c r="BE212" s="205" t="s">
        <v>2</v>
      </c>
      <c r="BF212" s="206" t="s">
        <v>2</v>
      </c>
      <c r="BG212" s="199" t="s">
        <v>2</v>
      </c>
      <c r="BH212" s="199">
        <v>0</v>
      </c>
      <c r="BI212" s="200" t="s">
        <v>2</v>
      </c>
      <c r="BJ212" s="200" t="s">
        <v>2</v>
      </c>
      <c r="BK212" s="200" t="s">
        <v>2</v>
      </c>
      <c r="BL212" s="200" t="s">
        <v>2</v>
      </c>
      <c r="BM212" s="200" t="s">
        <v>2</v>
      </c>
      <c r="BN212" s="200" t="s">
        <v>2</v>
      </c>
      <c r="BO212" s="200" t="s">
        <v>2</v>
      </c>
      <c r="BP212" s="200" t="s">
        <v>2</v>
      </c>
      <c r="BQ212" s="200" t="s">
        <v>2</v>
      </c>
      <c r="BR212" s="200" t="s">
        <v>2</v>
      </c>
      <c r="BS212" s="200" t="s">
        <v>2</v>
      </c>
      <c r="BT212" s="200" t="s">
        <v>2</v>
      </c>
      <c r="BU212" s="200" t="s">
        <v>2</v>
      </c>
      <c r="BV212" s="200" t="s">
        <v>2</v>
      </c>
      <c r="BW212" s="200" t="s">
        <v>2</v>
      </c>
      <c r="BX212" s="200" t="s">
        <v>2</v>
      </c>
      <c r="BY212" s="200" t="s">
        <v>2</v>
      </c>
      <c r="BZ212" s="201" t="s">
        <v>2</v>
      </c>
      <c r="CA212" s="203" t="s">
        <v>2</v>
      </c>
      <c r="CB212" s="203" t="s">
        <v>2</v>
      </c>
      <c r="CC212" s="203" t="s">
        <v>2</v>
      </c>
      <c r="CD212" s="203" t="s">
        <v>2</v>
      </c>
      <c r="CE212" s="203" t="s">
        <v>2</v>
      </c>
      <c r="CF212" s="203" t="s">
        <v>2</v>
      </c>
      <c r="CG212" s="204" t="s">
        <v>2</v>
      </c>
      <c r="CH212" s="200" t="s">
        <v>2</v>
      </c>
      <c r="CI212" s="201" t="s">
        <v>2</v>
      </c>
      <c r="CJ212" s="203" t="s">
        <v>2</v>
      </c>
      <c r="CK212" s="203" t="s">
        <v>2</v>
      </c>
      <c r="CL212" s="203" t="s">
        <v>2</v>
      </c>
      <c r="CM212" s="204" t="s">
        <v>2</v>
      </c>
      <c r="CN212" s="199" t="s">
        <v>2</v>
      </c>
      <c r="CO212" s="199" t="s">
        <v>2</v>
      </c>
    </row>
    <row r="213" spans="1:93" s="207" customFormat="1" thickBot="1" x14ac:dyDescent="0.3">
      <c r="A213" s="220" t="s">
        <v>1020</v>
      </c>
      <c r="B213" s="226" t="s">
        <v>240</v>
      </c>
      <c r="C213" s="227" t="s">
        <v>1039</v>
      </c>
      <c r="D213" s="290">
        <v>4</v>
      </c>
      <c r="E213" s="211">
        <v>25</v>
      </c>
      <c r="F213" s="212">
        <v>48</v>
      </c>
      <c r="G213" s="213">
        <v>200.64</v>
      </c>
      <c r="H213" s="214">
        <v>88</v>
      </c>
      <c r="I213" s="215">
        <v>4.5999999999999996</v>
      </c>
      <c r="J213" s="215">
        <v>0.8</v>
      </c>
      <c r="K213" s="215">
        <v>5.7</v>
      </c>
      <c r="L213" s="215">
        <v>3.5</v>
      </c>
      <c r="M213" s="216">
        <v>0.9</v>
      </c>
      <c r="N213" s="212">
        <v>2</v>
      </c>
      <c r="O213" s="212">
        <v>59</v>
      </c>
      <c r="P213" s="215">
        <v>0.7</v>
      </c>
      <c r="Q213" s="215">
        <v>0.52</v>
      </c>
      <c r="R213" s="212">
        <v>5</v>
      </c>
      <c r="S213" s="212">
        <v>318</v>
      </c>
      <c r="T213" s="212">
        <v>9</v>
      </c>
      <c r="U213" s="217">
        <v>4.7E-2</v>
      </c>
      <c r="V213" s="217">
        <v>318</v>
      </c>
      <c r="W213" s="216">
        <v>9.3000000000000007</v>
      </c>
      <c r="X213" s="215">
        <v>6</v>
      </c>
      <c r="Y213" s="217">
        <v>0.25</v>
      </c>
      <c r="Z213" s="217">
        <v>0.3</v>
      </c>
      <c r="AA213" s="217">
        <v>5.2</v>
      </c>
      <c r="AB213" s="217">
        <v>1.4970000000000001</v>
      </c>
      <c r="AC213" s="217">
        <v>0.104</v>
      </c>
      <c r="AD213" s="212">
        <v>16</v>
      </c>
      <c r="AE213" s="212">
        <v>0</v>
      </c>
      <c r="AF213" s="215" t="s">
        <v>2</v>
      </c>
      <c r="AG213" s="216">
        <v>0</v>
      </c>
      <c r="AH213" s="212">
        <v>0</v>
      </c>
      <c r="AI213" s="212">
        <v>1</v>
      </c>
      <c r="AJ213" s="215">
        <v>1.9</v>
      </c>
      <c r="AK213" s="215">
        <v>0.01</v>
      </c>
      <c r="AL213" s="216">
        <v>0</v>
      </c>
      <c r="AM213" s="212">
        <v>10</v>
      </c>
      <c r="AN213" s="212" t="s">
        <v>2</v>
      </c>
      <c r="AO213" s="213" t="s">
        <v>2</v>
      </c>
      <c r="AP213" s="215">
        <v>0.05</v>
      </c>
      <c r="AQ213" s="217">
        <v>0.04</v>
      </c>
      <c r="AR213" s="217">
        <v>0</v>
      </c>
      <c r="AS213" s="217">
        <v>0.01</v>
      </c>
      <c r="AT213" s="217">
        <v>0</v>
      </c>
      <c r="AU213" s="217">
        <v>0</v>
      </c>
      <c r="AV213" s="219">
        <v>0</v>
      </c>
      <c r="AW213" s="215">
        <v>0</v>
      </c>
      <c r="AX213" s="217">
        <v>0</v>
      </c>
      <c r="AY213" s="217">
        <v>0</v>
      </c>
      <c r="AZ213" s="219">
        <v>0</v>
      </c>
      <c r="BA213" s="215">
        <v>0.16</v>
      </c>
      <c r="BB213" s="217">
        <v>0.16</v>
      </c>
      <c r="BC213" s="217">
        <v>0</v>
      </c>
      <c r="BD213" s="217">
        <v>0</v>
      </c>
      <c r="BE213" s="217">
        <v>0</v>
      </c>
      <c r="BF213" s="219">
        <v>0</v>
      </c>
      <c r="BG213" s="211" t="s">
        <v>2</v>
      </c>
      <c r="BH213" s="211">
        <v>0</v>
      </c>
      <c r="BI213" s="212">
        <v>107</v>
      </c>
      <c r="BJ213" s="212">
        <v>31</v>
      </c>
      <c r="BK213" s="212">
        <v>35</v>
      </c>
      <c r="BL213" s="212">
        <v>85</v>
      </c>
      <c r="BM213" s="212">
        <v>107</v>
      </c>
      <c r="BN213" s="212">
        <v>232</v>
      </c>
      <c r="BO213" s="212">
        <v>120</v>
      </c>
      <c r="BP213" s="212">
        <v>76</v>
      </c>
      <c r="BQ213" s="212">
        <v>78</v>
      </c>
      <c r="BR213" s="212">
        <v>57</v>
      </c>
      <c r="BS213" s="212">
        <v>12</v>
      </c>
      <c r="BT213" s="212">
        <v>44</v>
      </c>
      <c r="BU213" s="212">
        <v>199</v>
      </c>
      <c r="BV213" s="212">
        <v>195</v>
      </c>
      <c r="BW213" s="212">
        <v>343</v>
      </c>
      <c r="BX213" s="212">
        <v>92</v>
      </c>
      <c r="BY213" s="212">
        <v>76</v>
      </c>
      <c r="BZ213" s="213">
        <v>94</v>
      </c>
      <c r="CA213" s="215">
        <v>1.65</v>
      </c>
      <c r="CB213" s="215">
        <v>0</v>
      </c>
      <c r="CC213" s="215">
        <v>0</v>
      </c>
      <c r="CD213" s="215">
        <v>0</v>
      </c>
      <c r="CE213" s="215">
        <v>0.17</v>
      </c>
      <c r="CF213" s="215">
        <v>1.48</v>
      </c>
      <c r="CG213" s="216">
        <v>0</v>
      </c>
      <c r="CH213" s="212" t="s">
        <v>2</v>
      </c>
      <c r="CI213" s="213" t="s">
        <v>2</v>
      </c>
      <c r="CJ213" s="215" t="s">
        <v>2</v>
      </c>
      <c r="CK213" s="215" t="s">
        <v>2</v>
      </c>
      <c r="CL213" s="215" t="s">
        <v>2</v>
      </c>
      <c r="CM213" s="216" t="s">
        <v>2</v>
      </c>
      <c r="CN213" s="211" t="s">
        <v>2</v>
      </c>
      <c r="CO213" s="211" t="s">
        <v>2</v>
      </c>
    </row>
    <row r="214" spans="1:93" s="102" customFormat="1" ht="16.5" thickTop="1" x14ac:dyDescent="0.25">
      <c r="A214" s="107" t="s">
        <v>849</v>
      </c>
      <c r="B214" s="54" t="s">
        <v>63</v>
      </c>
      <c r="C214" s="5" t="s">
        <v>1089</v>
      </c>
      <c r="D214" s="287">
        <v>5</v>
      </c>
      <c r="E214" s="21">
        <v>35</v>
      </c>
      <c r="F214" s="73">
        <v>33</v>
      </c>
      <c r="G214" s="71">
        <v>137.94</v>
      </c>
      <c r="H214" s="74">
        <v>91.4</v>
      </c>
      <c r="I214" s="6">
        <v>0.2</v>
      </c>
      <c r="J214" s="6">
        <v>0</v>
      </c>
      <c r="K214" s="6">
        <v>8</v>
      </c>
      <c r="L214" s="6">
        <v>0.7</v>
      </c>
      <c r="M214" s="22">
        <v>0.4</v>
      </c>
      <c r="N214" s="73">
        <v>23</v>
      </c>
      <c r="O214" s="73">
        <v>18</v>
      </c>
      <c r="P214" s="6">
        <v>0.5</v>
      </c>
      <c r="Q214" s="6">
        <v>0.16</v>
      </c>
      <c r="R214" s="73">
        <v>3</v>
      </c>
      <c r="S214" s="73">
        <v>159</v>
      </c>
      <c r="T214" s="73">
        <v>6</v>
      </c>
      <c r="U214" s="75">
        <v>0.02</v>
      </c>
      <c r="V214" s="75">
        <v>120</v>
      </c>
      <c r="W214" s="22" t="s">
        <v>2</v>
      </c>
      <c r="X214" s="6">
        <v>95</v>
      </c>
      <c r="Y214" s="75">
        <v>0.04</v>
      </c>
      <c r="Z214" s="75">
        <v>0.02</v>
      </c>
      <c r="AA214" s="75">
        <v>0.3</v>
      </c>
      <c r="AB214" s="75" t="s">
        <v>2</v>
      </c>
      <c r="AC214" s="75">
        <v>3.5999999999999997E-2</v>
      </c>
      <c r="AD214" s="73" t="s">
        <v>2</v>
      </c>
      <c r="AE214" s="73" t="s">
        <v>2</v>
      </c>
      <c r="AF214" s="6" t="s">
        <v>2</v>
      </c>
      <c r="AG214" s="22" t="s">
        <v>2</v>
      </c>
      <c r="AH214" s="73">
        <v>0</v>
      </c>
      <c r="AI214" s="73">
        <v>0</v>
      </c>
      <c r="AJ214" s="6" t="s">
        <v>2</v>
      </c>
      <c r="AK214" s="6" t="s">
        <v>2</v>
      </c>
      <c r="AL214" s="22" t="s">
        <v>2</v>
      </c>
      <c r="AM214" s="73">
        <v>0</v>
      </c>
      <c r="AN214" s="73">
        <v>0</v>
      </c>
      <c r="AO214" s="71">
        <v>10</v>
      </c>
      <c r="AP214" s="6" t="s">
        <v>2</v>
      </c>
      <c r="AQ214" s="75" t="s">
        <v>2</v>
      </c>
      <c r="AR214" s="75" t="s">
        <v>2</v>
      </c>
      <c r="AS214" s="75" t="s">
        <v>2</v>
      </c>
      <c r="AT214" s="75" t="s">
        <v>2</v>
      </c>
      <c r="AU214" s="75" t="s">
        <v>2</v>
      </c>
      <c r="AV214" s="77" t="s">
        <v>2</v>
      </c>
      <c r="AW214" s="6" t="s">
        <v>2</v>
      </c>
      <c r="AX214" s="75" t="s">
        <v>2</v>
      </c>
      <c r="AY214" s="75" t="s">
        <v>2</v>
      </c>
      <c r="AZ214" s="77" t="s">
        <v>2</v>
      </c>
      <c r="BA214" s="6" t="s">
        <v>2</v>
      </c>
      <c r="BB214" s="75" t="s">
        <v>2</v>
      </c>
      <c r="BC214" s="75" t="s">
        <v>2</v>
      </c>
      <c r="BD214" s="75" t="s">
        <v>2</v>
      </c>
      <c r="BE214" s="75" t="s">
        <v>2</v>
      </c>
      <c r="BF214" s="77" t="s">
        <v>2</v>
      </c>
      <c r="BG214" s="21" t="s">
        <v>2</v>
      </c>
      <c r="BH214" s="21">
        <v>0</v>
      </c>
      <c r="BI214" s="73" t="s">
        <v>2</v>
      </c>
      <c r="BJ214" s="73" t="s">
        <v>2</v>
      </c>
      <c r="BK214" s="73" t="s">
        <v>2</v>
      </c>
      <c r="BL214" s="73" t="s">
        <v>2</v>
      </c>
      <c r="BM214" s="73" t="s">
        <v>2</v>
      </c>
      <c r="BN214" s="73" t="s">
        <v>2</v>
      </c>
      <c r="BO214" s="73" t="s">
        <v>2</v>
      </c>
      <c r="BP214" s="73" t="s">
        <v>2</v>
      </c>
      <c r="BQ214" s="73" t="s">
        <v>2</v>
      </c>
      <c r="BR214" s="73" t="s">
        <v>2</v>
      </c>
      <c r="BS214" s="73" t="s">
        <v>2</v>
      </c>
      <c r="BT214" s="73" t="s">
        <v>2</v>
      </c>
      <c r="BU214" s="73" t="s">
        <v>2</v>
      </c>
      <c r="BV214" s="73" t="s">
        <v>2</v>
      </c>
      <c r="BW214" s="73" t="s">
        <v>2</v>
      </c>
      <c r="BX214" s="73" t="s">
        <v>2</v>
      </c>
      <c r="BY214" s="73" t="s">
        <v>2</v>
      </c>
      <c r="BZ214" s="71" t="s">
        <v>2</v>
      </c>
      <c r="CA214" s="6" t="s">
        <v>2</v>
      </c>
      <c r="CB214" s="6" t="s">
        <v>2</v>
      </c>
      <c r="CC214" s="6" t="s">
        <v>2</v>
      </c>
      <c r="CD214" s="6" t="s">
        <v>2</v>
      </c>
      <c r="CE214" s="6" t="s">
        <v>2</v>
      </c>
      <c r="CF214" s="6" t="s">
        <v>2</v>
      </c>
      <c r="CG214" s="22" t="s">
        <v>2</v>
      </c>
      <c r="CH214" s="73">
        <v>0</v>
      </c>
      <c r="CI214" s="71">
        <v>0</v>
      </c>
      <c r="CJ214" s="6" t="s">
        <v>2</v>
      </c>
      <c r="CK214" s="6" t="s">
        <v>2</v>
      </c>
      <c r="CL214" s="6" t="s">
        <v>2</v>
      </c>
      <c r="CM214" s="22" t="s">
        <v>2</v>
      </c>
      <c r="CN214" s="21" t="s">
        <v>2</v>
      </c>
      <c r="CO214" s="21" t="s">
        <v>2</v>
      </c>
    </row>
    <row r="215" spans="1:93" s="102" customFormat="1" x14ac:dyDescent="0.25">
      <c r="A215" s="107" t="s">
        <v>850</v>
      </c>
      <c r="B215" s="54" t="s">
        <v>64</v>
      </c>
      <c r="C215" s="5" t="s">
        <v>1042</v>
      </c>
      <c r="D215" s="287">
        <v>5</v>
      </c>
      <c r="E215" s="21">
        <v>25</v>
      </c>
      <c r="F215" s="73">
        <v>43</v>
      </c>
      <c r="G215" s="71">
        <v>179.73999999999998</v>
      </c>
      <c r="H215" s="83">
        <v>88.8</v>
      </c>
      <c r="I215" s="6">
        <v>0.9</v>
      </c>
      <c r="J215" s="6">
        <v>0.06</v>
      </c>
      <c r="K215" s="6">
        <v>9.74</v>
      </c>
      <c r="L215" s="6">
        <v>1.4</v>
      </c>
      <c r="M215" s="22">
        <v>0.5</v>
      </c>
      <c r="N215" s="73">
        <v>34</v>
      </c>
      <c r="O215" s="73">
        <v>23</v>
      </c>
      <c r="P215" s="6">
        <v>0.4</v>
      </c>
      <c r="Q215" s="6">
        <v>0.22</v>
      </c>
      <c r="R215" s="73">
        <v>4</v>
      </c>
      <c r="S215" s="73">
        <v>108</v>
      </c>
      <c r="T215" s="73">
        <v>10</v>
      </c>
      <c r="U215" s="75">
        <v>0.52</v>
      </c>
      <c r="V215" s="75">
        <v>140</v>
      </c>
      <c r="W215" s="22">
        <v>0.4</v>
      </c>
      <c r="X215" s="6">
        <v>40</v>
      </c>
      <c r="Y215" s="75">
        <v>0.08</v>
      </c>
      <c r="Z215" s="75">
        <v>0.03</v>
      </c>
      <c r="AA215" s="75">
        <v>0.2</v>
      </c>
      <c r="AB215" s="75">
        <v>0.25</v>
      </c>
      <c r="AC215" s="75">
        <v>0.06</v>
      </c>
      <c r="AD215" s="73">
        <v>30</v>
      </c>
      <c r="AE215" s="73">
        <v>0</v>
      </c>
      <c r="AF215" s="6">
        <v>0.89</v>
      </c>
      <c r="AG215" s="22">
        <v>0</v>
      </c>
      <c r="AH215" s="73">
        <v>0</v>
      </c>
      <c r="AI215" s="73">
        <v>8</v>
      </c>
      <c r="AJ215" s="6" t="s">
        <v>2</v>
      </c>
      <c r="AK215" s="6">
        <v>0.18</v>
      </c>
      <c r="AL215" s="22">
        <v>0</v>
      </c>
      <c r="AM215" s="73">
        <v>29</v>
      </c>
      <c r="AN215" s="73">
        <v>12</v>
      </c>
      <c r="AO215" s="71">
        <v>116</v>
      </c>
      <c r="AP215" s="6">
        <v>1.4999999999999999E-2</v>
      </c>
      <c r="AQ215" s="75">
        <v>1.2999999999999999E-2</v>
      </c>
      <c r="AR215" s="75">
        <v>0</v>
      </c>
      <c r="AS215" s="75">
        <v>0</v>
      </c>
      <c r="AT215" s="75">
        <v>0</v>
      </c>
      <c r="AU215" s="75">
        <v>0</v>
      </c>
      <c r="AV215" s="77">
        <v>0</v>
      </c>
      <c r="AW215" s="6">
        <v>2.3E-2</v>
      </c>
      <c r="AX215" s="75">
        <v>0</v>
      </c>
      <c r="AY215" s="75">
        <v>3.0000000000000001E-3</v>
      </c>
      <c r="AZ215" s="77">
        <v>0.02</v>
      </c>
      <c r="BA215" s="6">
        <v>2.5000000000000001E-2</v>
      </c>
      <c r="BB215" s="75">
        <v>1.7999999999999999E-2</v>
      </c>
      <c r="BC215" s="75">
        <v>7.0000000000000001E-3</v>
      </c>
      <c r="BD215" s="75">
        <v>0</v>
      </c>
      <c r="BE215" s="75">
        <v>0</v>
      </c>
      <c r="BF215" s="77">
        <v>0</v>
      </c>
      <c r="BG215" s="21" t="s">
        <v>2</v>
      </c>
      <c r="BH215" s="21">
        <v>0</v>
      </c>
      <c r="BI215" s="73">
        <v>43</v>
      </c>
      <c r="BJ215" s="73">
        <v>12</v>
      </c>
      <c r="BK215" s="73">
        <v>6</v>
      </c>
      <c r="BL215" s="73">
        <v>30</v>
      </c>
      <c r="BM215" s="73">
        <v>12</v>
      </c>
      <c r="BN215" s="73">
        <v>31</v>
      </c>
      <c r="BO215" s="73">
        <v>22</v>
      </c>
      <c r="BP215" s="73">
        <v>23</v>
      </c>
      <c r="BQ215" s="73">
        <v>52</v>
      </c>
      <c r="BR215" s="73">
        <v>12</v>
      </c>
      <c r="BS215" s="73">
        <v>10</v>
      </c>
      <c r="BT215" s="73">
        <v>17</v>
      </c>
      <c r="BU215" s="73">
        <v>51</v>
      </c>
      <c r="BV215" s="73">
        <v>114</v>
      </c>
      <c r="BW215" s="73">
        <v>99</v>
      </c>
      <c r="BX215" s="73">
        <v>83</v>
      </c>
      <c r="BY215" s="73">
        <v>46</v>
      </c>
      <c r="BZ215" s="71">
        <v>23</v>
      </c>
      <c r="CA215" s="6">
        <v>9.35</v>
      </c>
      <c r="CB215" s="6" t="s">
        <v>2</v>
      </c>
      <c r="CC215" s="6" t="s">
        <v>2</v>
      </c>
      <c r="CD215" s="6" t="s">
        <v>2</v>
      </c>
      <c r="CE215" s="6" t="s">
        <v>2</v>
      </c>
      <c r="CF215" s="6" t="s">
        <v>2</v>
      </c>
      <c r="CG215" s="22" t="s">
        <v>2</v>
      </c>
      <c r="CH215" s="73">
        <v>0</v>
      </c>
      <c r="CI215" s="71">
        <v>129</v>
      </c>
      <c r="CJ215" s="6" t="s">
        <v>2</v>
      </c>
      <c r="CK215" s="6" t="s">
        <v>2</v>
      </c>
      <c r="CL215" s="6" t="s">
        <v>2</v>
      </c>
      <c r="CM215" s="22" t="s">
        <v>2</v>
      </c>
      <c r="CN215" s="21" t="s">
        <v>2</v>
      </c>
      <c r="CO215" s="21">
        <v>19</v>
      </c>
    </row>
    <row r="216" spans="1:93" s="102" customFormat="1" x14ac:dyDescent="0.25">
      <c r="A216" s="107" t="s">
        <v>851</v>
      </c>
      <c r="B216" s="54" t="s">
        <v>65</v>
      </c>
      <c r="C216" s="5" t="s">
        <v>1090</v>
      </c>
      <c r="D216" s="287">
        <v>5</v>
      </c>
      <c r="E216" s="21">
        <v>25</v>
      </c>
      <c r="F216" s="73">
        <v>29</v>
      </c>
      <c r="G216" s="71">
        <v>121.22</v>
      </c>
      <c r="H216" s="83">
        <v>92.5</v>
      </c>
      <c r="I216" s="6">
        <v>0.9</v>
      </c>
      <c r="J216" s="6">
        <v>0.14000000000000001</v>
      </c>
      <c r="K216" s="6">
        <v>5.96</v>
      </c>
      <c r="L216" s="6">
        <v>1.3</v>
      </c>
      <c r="M216" s="22">
        <v>0.5</v>
      </c>
      <c r="N216" s="73">
        <v>40</v>
      </c>
      <c r="O216" s="73">
        <v>22</v>
      </c>
      <c r="P216" s="6">
        <v>0.6</v>
      </c>
      <c r="Q216" s="6">
        <v>0.1</v>
      </c>
      <c r="R216" s="73">
        <v>3</v>
      </c>
      <c r="S216" s="73">
        <v>145</v>
      </c>
      <c r="T216" s="73">
        <v>12</v>
      </c>
      <c r="U216" s="75" t="s">
        <v>2</v>
      </c>
      <c r="V216" s="75">
        <v>260</v>
      </c>
      <c r="W216" s="22" t="s">
        <v>2</v>
      </c>
      <c r="X216" s="6">
        <v>77</v>
      </c>
      <c r="Y216" s="75">
        <v>0.04</v>
      </c>
      <c r="Z216" s="75">
        <v>0.01</v>
      </c>
      <c r="AA216" s="75">
        <v>0.1</v>
      </c>
      <c r="AB216" s="75">
        <v>0.23200000000000001</v>
      </c>
      <c r="AC216" s="75">
        <v>0.109</v>
      </c>
      <c r="AD216" s="73" t="s">
        <v>2</v>
      </c>
      <c r="AE216" s="73" t="s">
        <v>2</v>
      </c>
      <c r="AF216" s="6">
        <v>0.5</v>
      </c>
      <c r="AG216" s="22" t="s">
        <v>2</v>
      </c>
      <c r="AH216" s="73">
        <v>0</v>
      </c>
      <c r="AI216" s="73">
        <v>0</v>
      </c>
      <c r="AJ216" s="6" t="s">
        <v>2</v>
      </c>
      <c r="AK216" s="6" t="s">
        <v>2</v>
      </c>
      <c r="AL216" s="22" t="s">
        <v>2</v>
      </c>
      <c r="AM216" s="73" t="s">
        <v>2</v>
      </c>
      <c r="AN216" s="73" t="s">
        <v>2</v>
      </c>
      <c r="AO216" s="71" t="s">
        <v>2</v>
      </c>
      <c r="AP216" s="6">
        <v>3.9E-2</v>
      </c>
      <c r="AQ216" s="75">
        <v>3.5000000000000003E-2</v>
      </c>
      <c r="AR216" s="75">
        <v>0</v>
      </c>
      <c r="AS216" s="75">
        <v>2E-3</v>
      </c>
      <c r="AT216" s="75">
        <v>0</v>
      </c>
      <c r="AU216" s="75">
        <v>0</v>
      </c>
      <c r="AV216" s="77">
        <v>0</v>
      </c>
      <c r="AW216" s="6">
        <v>1.0999999999999999E-2</v>
      </c>
      <c r="AX216" s="75">
        <v>0</v>
      </c>
      <c r="AY216" s="75">
        <v>1E-3</v>
      </c>
      <c r="AZ216" s="77">
        <v>0.01</v>
      </c>
      <c r="BA216" s="6">
        <v>8.8999999999999996E-2</v>
      </c>
      <c r="BB216" s="75">
        <v>6.3E-2</v>
      </c>
      <c r="BC216" s="75">
        <v>2.5999999999999999E-2</v>
      </c>
      <c r="BD216" s="75">
        <v>0</v>
      </c>
      <c r="BE216" s="75">
        <v>0</v>
      </c>
      <c r="BF216" s="77">
        <v>0</v>
      </c>
      <c r="BG216" s="21" t="s">
        <v>2</v>
      </c>
      <c r="BH216" s="21">
        <v>0</v>
      </c>
      <c r="BI216" s="73">
        <v>28</v>
      </c>
      <c r="BJ216" s="73">
        <v>11</v>
      </c>
      <c r="BK216" s="73">
        <v>5</v>
      </c>
      <c r="BL216" s="73">
        <v>27</v>
      </c>
      <c r="BM216" s="73">
        <v>11</v>
      </c>
      <c r="BN216" s="73">
        <v>28</v>
      </c>
      <c r="BO216" s="73">
        <v>19</v>
      </c>
      <c r="BP216" s="73">
        <v>22</v>
      </c>
      <c r="BQ216" s="73">
        <v>47</v>
      </c>
      <c r="BR216" s="73">
        <v>11</v>
      </c>
      <c r="BS216" s="73">
        <v>10</v>
      </c>
      <c r="BT216" s="73">
        <v>15</v>
      </c>
      <c r="BU216" s="73">
        <v>46</v>
      </c>
      <c r="BV216" s="73">
        <v>106</v>
      </c>
      <c r="BW216" s="73">
        <v>88</v>
      </c>
      <c r="BX216" s="73">
        <v>74</v>
      </c>
      <c r="BY216" s="73">
        <v>41</v>
      </c>
      <c r="BZ216" s="71">
        <v>22</v>
      </c>
      <c r="CA216" s="6" t="s">
        <v>2</v>
      </c>
      <c r="CB216" s="6" t="s">
        <v>2</v>
      </c>
      <c r="CC216" s="6" t="s">
        <v>2</v>
      </c>
      <c r="CD216" s="6" t="s">
        <v>2</v>
      </c>
      <c r="CE216" s="6" t="s">
        <v>2</v>
      </c>
      <c r="CF216" s="6" t="s">
        <v>2</v>
      </c>
      <c r="CG216" s="22" t="s">
        <v>2</v>
      </c>
      <c r="CH216" s="73" t="s">
        <v>2</v>
      </c>
      <c r="CI216" s="71" t="s">
        <v>2</v>
      </c>
      <c r="CJ216" s="6" t="s">
        <v>2</v>
      </c>
      <c r="CK216" s="6" t="s">
        <v>2</v>
      </c>
      <c r="CL216" s="6" t="s">
        <v>2</v>
      </c>
      <c r="CM216" s="22" t="s">
        <v>2</v>
      </c>
      <c r="CN216" s="21">
        <v>12</v>
      </c>
      <c r="CO216" s="21" t="s">
        <v>2</v>
      </c>
    </row>
    <row r="217" spans="1:93" s="102" customFormat="1" x14ac:dyDescent="0.25">
      <c r="A217" s="107" t="s">
        <v>852</v>
      </c>
      <c r="B217" s="54" t="s">
        <v>66</v>
      </c>
      <c r="C217" s="5" t="s">
        <v>1091</v>
      </c>
      <c r="D217" s="287">
        <v>5</v>
      </c>
      <c r="E217" s="21">
        <v>53</v>
      </c>
      <c r="F217" s="73">
        <v>77</v>
      </c>
      <c r="G217" s="71">
        <v>321.85999999999996</v>
      </c>
      <c r="H217" s="83">
        <v>80.3</v>
      </c>
      <c r="I217" s="6">
        <v>1.5</v>
      </c>
      <c r="J217" s="6">
        <v>0</v>
      </c>
      <c r="K217" s="6">
        <v>17.7</v>
      </c>
      <c r="L217" s="6">
        <v>1.3</v>
      </c>
      <c r="M217" s="22">
        <v>0.5</v>
      </c>
      <c r="N217" s="73">
        <v>28</v>
      </c>
      <c r="O217" s="73">
        <v>15</v>
      </c>
      <c r="P217" s="6">
        <v>0.5</v>
      </c>
      <c r="Q217" s="6" t="s">
        <v>2</v>
      </c>
      <c r="R217" s="73">
        <v>94</v>
      </c>
      <c r="S217" s="73">
        <v>69</v>
      </c>
      <c r="T217" s="73">
        <v>25</v>
      </c>
      <c r="U217" s="75" t="s">
        <v>2</v>
      </c>
      <c r="V217" s="75" t="s">
        <v>2</v>
      </c>
      <c r="W217" s="22" t="s">
        <v>2</v>
      </c>
      <c r="X217" s="6" t="s">
        <v>2</v>
      </c>
      <c r="Y217" s="75" t="s">
        <v>2</v>
      </c>
      <c r="Z217" s="75" t="s">
        <v>2</v>
      </c>
      <c r="AA217" s="75" t="s">
        <v>2</v>
      </c>
      <c r="AB217" s="75" t="s">
        <v>2</v>
      </c>
      <c r="AC217" s="75" t="s">
        <v>2</v>
      </c>
      <c r="AD217" s="73" t="s">
        <v>2</v>
      </c>
      <c r="AE217" s="73" t="s">
        <v>2</v>
      </c>
      <c r="AF217" s="6" t="s">
        <v>2</v>
      </c>
      <c r="AG217" s="22" t="s">
        <v>2</v>
      </c>
      <c r="AH217" s="73">
        <v>0</v>
      </c>
      <c r="AI217" s="73">
        <v>0</v>
      </c>
      <c r="AJ217" s="6" t="s">
        <v>2</v>
      </c>
      <c r="AK217" s="6" t="s">
        <v>2</v>
      </c>
      <c r="AL217" s="22" t="s">
        <v>2</v>
      </c>
      <c r="AM217" s="73" t="s">
        <v>2</v>
      </c>
      <c r="AN217" s="73" t="s">
        <v>2</v>
      </c>
      <c r="AO217" s="71" t="s">
        <v>2</v>
      </c>
      <c r="AP217" s="6" t="s">
        <v>2</v>
      </c>
      <c r="AQ217" s="75" t="s">
        <v>2</v>
      </c>
      <c r="AR217" s="75" t="s">
        <v>2</v>
      </c>
      <c r="AS217" s="75" t="s">
        <v>2</v>
      </c>
      <c r="AT217" s="75" t="s">
        <v>2</v>
      </c>
      <c r="AU217" s="75" t="s">
        <v>2</v>
      </c>
      <c r="AV217" s="77" t="s">
        <v>2</v>
      </c>
      <c r="AW217" s="6" t="s">
        <v>2</v>
      </c>
      <c r="AX217" s="75" t="s">
        <v>2</v>
      </c>
      <c r="AY217" s="75" t="s">
        <v>2</v>
      </c>
      <c r="AZ217" s="77" t="s">
        <v>2</v>
      </c>
      <c r="BA217" s="6" t="s">
        <v>2</v>
      </c>
      <c r="BB217" s="75" t="s">
        <v>2</v>
      </c>
      <c r="BC217" s="75" t="s">
        <v>2</v>
      </c>
      <c r="BD217" s="75" t="s">
        <v>2</v>
      </c>
      <c r="BE217" s="75" t="s">
        <v>2</v>
      </c>
      <c r="BF217" s="77" t="s">
        <v>2</v>
      </c>
      <c r="BG217" s="21" t="s">
        <v>2</v>
      </c>
      <c r="BH217" s="21">
        <v>0</v>
      </c>
      <c r="BI217" s="73" t="s">
        <v>2</v>
      </c>
      <c r="BJ217" s="73" t="s">
        <v>2</v>
      </c>
      <c r="BK217" s="73" t="s">
        <v>2</v>
      </c>
      <c r="BL217" s="73" t="s">
        <v>2</v>
      </c>
      <c r="BM217" s="73" t="s">
        <v>2</v>
      </c>
      <c r="BN217" s="73" t="s">
        <v>2</v>
      </c>
      <c r="BO217" s="73" t="s">
        <v>2</v>
      </c>
      <c r="BP217" s="73" t="s">
        <v>2</v>
      </c>
      <c r="BQ217" s="73" t="s">
        <v>2</v>
      </c>
      <c r="BR217" s="73" t="s">
        <v>2</v>
      </c>
      <c r="BS217" s="73" t="s">
        <v>2</v>
      </c>
      <c r="BT217" s="73" t="s">
        <v>2</v>
      </c>
      <c r="BU217" s="73" t="s">
        <v>2</v>
      </c>
      <c r="BV217" s="73" t="s">
        <v>2</v>
      </c>
      <c r="BW217" s="73" t="s">
        <v>2</v>
      </c>
      <c r="BX217" s="73" t="s">
        <v>2</v>
      </c>
      <c r="BY217" s="73" t="s">
        <v>2</v>
      </c>
      <c r="BZ217" s="71" t="s">
        <v>2</v>
      </c>
      <c r="CA217" s="6" t="s">
        <v>2</v>
      </c>
      <c r="CB217" s="6" t="s">
        <v>2</v>
      </c>
      <c r="CC217" s="6" t="s">
        <v>2</v>
      </c>
      <c r="CD217" s="6" t="s">
        <v>2</v>
      </c>
      <c r="CE217" s="6" t="s">
        <v>2</v>
      </c>
      <c r="CF217" s="6" t="s">
        <v>2</v>
      </c>
      <c r="CG217" s="22" t="s">
        <v>2</v>
      </c>
      <c r="CH217" s="73" t="s">
        <v>2</v>
      </c>
      <c r="CI217" s="71" t="s">
        <v>2</v>
      </c>
      <c r="CJ217" s="6" t="s">
        <v>2</v>
      </c>
      <c r="CK217" s="6" t="s">
        <v>2</v>
      </c>
      <c r="CL217" s="6" t="s">
        <v>2</v>
      </c>
      <c r="CM217" s="22" t="s">
        <v>2</v>
      </c>
      <c r="CN217" s="21" t="s">
        <v>2</v>
      </c>
      <c r="CO217" s="21" t="s">
        <v>2</v>
      </c>
    </row>
    <row r="218" spans="1:93" s="102" customFormat="1" x14ac:dyDescent="0.25">
      <c r="A218" s="107" t="s">
        <v>853</v>
      </c>
      <c r="B218" s="54" t="s">
        <v>67</v>
      </c>
      <c r="C218" s="82" t="s">
        <v>1092</v>
      </c>
      <c r="D218" s="287">
        <v>5</v>
      </c>
      <c r="E218" s="21">
        <v>0</v>
      </c>
      <c r="F218" s="73">
        <v>301</v>
      </c>
      <c r="G218" s="71">
        <v>1258.1799999999998</v>
      </c>
      <c r="H218" s="83">
        <v>22</v>
      </c>
      <c r="I218" s="6">
        <v>5</v>
      </c>
      <c r="J218" s="6">
        <v>0</v>
      </c>
      <c r="K218" s="6">
        <v>70.3</v>
      </c>
      <c r="L218" s="6">
        <v>2.2999999999999998</v>
      </c>
      <c r="M218" s="22">
        <v>2.7</v>
      </c>
      <c r="N218" s="73" t="s">
        <v>2</v>
      </c>
      <c r="O218" s="73" t="s">
        <v>2</v>
      </c>
      <c r="P218" s="6" t="s">
        <v>2</v>
      </c>
      <c r="Q218" s="6" t="s">
        <v>2</v>
      </c>
      <c r="R218" s="73" t="s">
        <v>2</v>
      </c>
      <c r="S218" s="73" t="s">
        <v>2</v>
      </c>
      <c r="T218" s="73" t="s">
        <v>2</v>
      </c>
      <c r="U218" s="75" t="s">
        <v>2</v>
      </c>
      <c r="V218" s="75" t="s">
        <v>2</v>
      </c>
      <c r="W218" s="22" t="s">
        <v>2</v>
      </c>
      <c r="X218" s="6" t="s">
        <v>2</v>
      </c>
      <c r="Y218" s="75" t="s">
        <v>2</v>
      </c>
      <c r="Z218" s="75" t="s">
        <v>2</v>
      </c>
      <c r="AA218" s="75" t="s">
        <v>2</v>
      </c>
      <c r="AB218" s="75" t="s">
        <v>2</v>
      </c>
      <c r="AC218" s="75" t="s">
        <v>2</v>
      </c>
      <c r="AD218" s="73" t="s">
        <v>2</v>
      </c>
      <c r="AE218" s="73" t="s">
        <v>2</v>
      </c>
      <c r="AF218" s="6" t="s">
        <v>2</v>
      </c>
      <c r="AG218" s="22" t="s">
        <v>2</v>
      </c>
      <c r="AH218" s="73">
        <v>0</v>
      </c>
      <c r="AI218" s="73">
        <v>0</v>
      </c>
      <c r="AJ218" s="6" t="s">
        <v>2</v>
      </c>
      <c r="AK218" s="6" t="s">
        <v>2</v>
      </c>
      <c r="AL218" s="22" t="s">
        <v>2</v>
      </c>
      <c r="AM218" s="73" t="s">
        <v>2</v>
      </c>
      <c r="AN218" s="73" t="s">
        <v>2</v>
      </c>
      <c r="AO218" s="71" t="s">
        <v>2</v>
      </c>
      <c r="AP218" s="6" t="s">
        <v>2</v>
      </c>
      <c r="AQ218" s="75" t="s">
        <v>2</v>
      </c>
      <c r="AR218" s="75" t="s">
        <v>2</v>
      </c>
      <c r="AS218" s="75" t="s">
        <v>2</v>
      </c>
      <c r="AT218" s="75" t="s">
        <v>2</v>
      </c>
      <c r="AU218" s="75" t="s">
        <v>2</v>
      </c>
      <c r="AV218" s="77" t="s">
        <v>2</v>
      </c>
      <c r="AW218" s="6" t="s">
        <v>2</v>
      </c>
      <c r="AX218" s="75" t="s">
        <v>2</v>
      </c>
      <c r="AY218" s="75" t="s">
        <v>2</v>
      </c>
      <c r="AZ218" s="77" t="s">
        <v>2</v>
      </c>
      <c r="BA218" s="6" t="s">
        <v>2</v>
      </c>
      <c r="BB218" s="75" t="s">
        <v>2</v>
      </c>
      <c r="BC218" s="75" t="s">
        <v>2</v>
      </c>
      <c r="BD218" s="75" t="s">
        <v>2</v>
      </c>
      <c r="BE218" s="75" t="s">
        <v>2</v>
      </c>
      <c r="BF218" s="77" t="s">
        <v>2</v>
      </c>
      <c r="BG218" s="21" t="s">
        <v>2</v>
      </c>
      <c r="BH218" s="21">
        <v>0</v>
      </c>
      <c r="BI218" s="73" t="s">
        <v>2</v>
      </c>
      <c r="BJ218" s="73" t="s">
        <v>2</v>
      </c>
      <c r="BK218" s="73" t="s">
        <v>2</v>
      </c>
      <c r="BL218" s="73" t="s">
        <v>2</v>
      </c>
      <c r="BM218" s="73" t="s">
        <v>2</v>
      </c>
      <c r="BN218" s="73" t="s">
        <v>2</v>
      </c>
      <c r="BO218" s="73" t="s">
        <v>2</v>
      </c>
      <c r="BP218" s="73" t="s">
        <v>2</v>
      </c>
      <c r="BQ218" s="73" t="s">
        <v>2</v>
      </c>
      <c r="BR218" s="73" t="s">
        <v>2</v>
      </c>
      <c r="BS218" s="73" t="s">
        <v>2</v>
      </c>
      <c r="BT218" s="73" t="s">
        <v>2</v>
      </c>
      <c r="BU218" s="73" t="s">
        <v>2</v>
      </c>
      <c r="BV218" s="73" t="s">
        <v>2</v>
      </c>
      <c r="BW218" s="73" t="s">
        <v>2</v>
      </c>
      <c r="BX218" s="73" t="s">
        <v>2</v>
      </c>
      <c r="BY218" s="73" t="s">
        <v>2</v>
      </c>
      <c r="BZ218" s="71" t="s">
        <v>2</v>
      </c>
      <c r="CA218" s="6" t="s">
        <v>2</v>
      </c>
      <c r="CB218" s="6" t="s">
        <v>2</v>
      </c>
      <c r="CC218" s="6" t="s">
        <v>2</v>
      </c>
      <c r="CD218" s="6" t="s">
        <v>2</v>
      </c>
      <c r="CE218" s="6" t="s">
        <v>2</v>
      </c>
      <c r="CF218" s="6" t="s">
        <v>2</v>
      </c>
      <c r="CG218" s="22" t="s">
        <v>2</v>
      </c>
      <c r="CH218" s="73" t="s">
        <v>2</v>
      </c>
      <c r="CI218" s="71" t="s">
        <v>2</v>
      </c>
      <c r="CJ218" s="6" t="s">
        <v>2</v>
      </c>
      <c r="CK218" s="6" t="s">
        <v>2</v>
      </c>
      <c r="CL218" s="6" t="s">
        <v>2</v>
      </c>
      <c r="CM218" s="22" t="s">
        <v>2</v>
      </c>
      <c r="CN218" s="21" t="s">
        <v>2</v>
      </c>
      <c r="CO218" s="21" t="s">
        <v>2</v>
      </c>
    </row>
    <row r="219" spans="1:93" s="102" customFormat="1" x14ac:dyDescent="0.25">
      <c r="A219" s="107" t="s">
        <v>854</v>
      </c>
      <c r="B219" s="54" t="s">
        <v>68</v>
      </c>
      <c r="C219" s="5" t="s">
        <v>1043</v>
      </c>
      <c r="D219" s="287">
        <v>5</v>
      </c>
      <c r="E219" s="21">
        <v>24</v>
      </c>
      <c r="F219" s="73">
        <v>66</v>
      </c>
      <c r="G219" s="71">
        <v>275.88</v>
      </c>
      <c r="H219" s="83">
        <v>83.2</v>
      </c>
      <c r="I219" s="6">
        <v>0.9</v>
      </c>
      <c r="J219" s="6">
        <v>0.3</v>
      </c>
      <c r="K219" s="6">
        <v>15</v>
      </c>
      <c r="L219" s="6">
        <v>2.6</v>
      </c>
      <c r="M219" s="22">
        <v>0.6</v>
      </c>
      <c r="N219" s="73">
        <v>12</v>
      </c>
      <c r="O219" s="73">
        <v>25</v>
      </c>
      <c r="P219" s="6">
        <v>0.5</v>
      </c>
      <c r="Q219" s="6">
        <v>0.32</v>
      </c>
      <c r="R219" s="73">
        <v>17</v>
      </c>
      <c r="S219" s="73">
        <v>286</v>
      </c>
      <c r="T219" s="73">
        <v>27</v>
      </c>
      <c r="U219" s="75">
        <v>0.31</v>
      </c>
      <c r="V219" s="75">
        <v>150</v>
      </c>
      <c r="W219" s="22">
        <v>1</v>
      </c>
      <c r="X219" s="6">
        <v>6</v>
      </c>
      <c r="Y219" s="75">
        <v>0.04</v>
      </c>
      <c r="Z219" s="75">
        <v>7.0000000000000007E-2</v>
      </c>
      <c r="AA219" s="75">
        <v>0.6</v>
      </c>
      <c r="AB219" s="75">
        <v>0.33400000000000002</v>
      </c>
      <c r="AC219" s="75">
        <v>0.36699999999999999</v>
      </c>
      <c r="AD219" s="73">
        <v>20</v>
      </c>
      <c r="AE219" s="73">
        <v>0</v>
      </c>
      <c r="AF219" s="6">
        <v>5.5</v>
      </c>
      <c r="AG219" s="22">
        <v>0</v>
      </c>
      <c r="AH219" s="73">
        <v>0</v>
      </c>
      <c r="AI219" s="73">
        <v>3</v>
      </c>
      <c r="AJ219" s="6" t="s">
        <v>2</v>
      </c>
      <c r="AK219" s="6">
        <v>0.1</v>
      </c>
      <c r="AL219" s="22">
        <v>0.5</v>
      </c>
      <c r="AM219" s="73">
        <v>26</v>
      </c>
      <c r="AN219" s="73">
        <v>25</v>
      </c>
      <c r="AO219" s="71">
        <v>0</v>
      </c>
      <c r="AP219" s="6">
        <v>0.112</v>
      </c>
      <c r="AQ219" s="75">
        <v>0.10199999999999999</v>
      </c>
      <c r="AR219" s="75">
        <v>0</v>
      </c>
      <c r="AS219" s="75">
        <v>5.0000000000000001E-3</v>
      </c>
      <c r="AT219" s="75">
        <v>0</v>
      </c>
      <c r="AU219" s="75">
        <v>0</v>
      </c>
      <c r="AV219" s="77">
        <v>0</v>
      </c>
      <c r="AW219" s="6">
        <v>3.2000000000000001E-2</v>
      </c>
      <c r="AX219" s="75">
        <v>0</v>
      </c>
      <c r="AY219" s="75">
        <v>0.01</v>
      </c>
      <c r="AZ219" s="77">
        <v>2.1999999999999999E-2</v>
      </c>
      <c r="BA219" s="6">
        <v>7.2999999999999995E-2</v>
      </c>
      <c r="BB219" s="75">
        <v>0.01</v>
      </c>
      <c r="BC219" s="75">
        <v>2.1999999999999999E-2</v>
      </c>
      <c r="BD219" s="75">
        <v>0</v>
      </c>
      <c r="BE219" s="75">
        <v>0</v>
      </c>
      <c r="BF219" s="77">
        <v>0</v>
      </c>
      <c r="BG219" s="21" t="s">
        <v>2</v>
      </c>
      <c r="BH219" s="21">
        <v>0</v>
      </c>
      <c r="BI219" s="73">
        <v>44</v>
      </c>
      <c r="BJ219" s="73">
        <v>7</v>
      </c>
      <c r="BK219" s="73">
        <v>14</v>
      </c>
      <c r="BL219" s="73">
        <v>27</v>
      </c>
      <c r="BM219" s="73">
        <v>30</v>
      </c>
      <c r="BN219" s="73">
        <v>32</v>
      </c>
      <c r="BO219" s="73">
        <v>55</v>
      </c>
      <c r="BP219" s="73">
        <v>21</v>
      </c>
      <c r="BQ219" s="73">
        <v>40</v>
      </c>
      <c r="BR219" s="73">
        <v>80</v>
      </c>
      <c r="BS219" s="73">
        <v>8</v>
      </c>
      <c r="BT219" s="73">
        <v>14</v>
      </c>
      <c r="BU219" s="73">
        <v>42</v>
      </c>
      <c r="BV219" s="73">
        <v>152</v>
      </c>
      <c r="BW219" s="73">
        <v>190</v>
      </c>
      <c r="BX219" s="73">
        <v>38</v>
      </c>
      <c r="BY219" s="73">
        <v>36</v>
      </c>
      <c r="BZ219" s="71">
        <v>38</v>
      </c>
      <c r="CA219" s="6">
        <v>12.23</v>
      </c>
      <c r="CB219" s="6">
        <v>0</v>
      </c>
      <c r="CC219" s="6">
        <v>0.1</v>
      </c>
      <c r="CD219" s="6">
        <v>0</v>
      </c>
      <c r="CE219" s="6">
        <v>4.8499999999999996</v>
      </c>
      <c r="CF219" s="6">
        <v>4.9800000000000004</v>
      </c>
      <c r="CG219" s="22">
        <v>2.39</v>
      </c>
      <c r="CH219" s="73">
        <v>0</v>
      </c>
      <c r="CI219" s="71">
        <v>22</v>
      </c>
      <c r="CJ219" s="6" t="s">
        <v>2</v>
      </c>
      <c r="CK219" s="6" t="s">
        <v>2</v>
      </c>
      <c r="CL219" s="6" t="s">
        <v>2</v>
      </c>
      <c r="CM219" s="22" t="s">
        <v>2</v>
      </c>
      <c r="CN219" s="21">
        <v>16</v>
      </c>
      <c r="CO219" s="21">
        <v>57</v>
      </c>
    </row>
    <row r="220" spans="1:93" s="102" customFormat="1" x14ac:dyDescent="0.25">
      <c r="A220" s="107" t="s">
        <v>855</v>
      </c>
      <c r="B220" s="54" t="s">
        <v>69</v>
      </c>
      <c r="C220" s="5" t="s">
        <v>1093</v>
      </c>
      <c r="D220" s="287">
        <v>5</v>
      </c>
      <c r="E220" s="21">
        <v>30</v>
      </c>
      <c r="F220" s="73">
        <v>100</v>
      </c>
      <c r="G220" s="71">
        <v>418</v>
      </c>
      <c r="H220" s="83">
        <v>74.400000000000006</v>
      </c>
      <c r="I220" s="6">
        <v>1.5</v>
      </c>
      <c r="J220" s="6">
        <v>0.2</v>
      </c>
      <c r="K220" s="6">
        <v>23</v>
      </c>
      <c r="L220" s="6">
        <v>0.8</v>
      </c>
      <c r="M220" s="22">
        <v>0.9</v>
      </c>
      <c r="N220" s="73">
        <v>8</v>
      </c>
      <c r="O220" s="73">
        <v>28</v>
      </c>
      <c r="P220" s="6">
        <v>0.6</v>
      </c>
      <c r="Q220" s="6">
        <v>0.37</v>
      </c>
      <c r="R220" s="73">
        <v>19</v>
      </c>
      <c r="S220" s="73">
        <v>329</v>
      </c>
      <c r="T220" s="73">
        <v>41</v>
      </c>
      <c r="U220" s="75">
        <v>0.12</v>
      </c>
      <c r="V220" s="75">
        <v>140</v>
      </c>
      <c r="W220" s="22">
        <v>0.9</v>
      </c>
      <c r="X220" s="6">
        <v>6</v>
      </c>
      <c r="Y220" s="75">
        <v>0.04</v>
      </c>
      <c r="Z220" s="75">
        <v>0.05</v>
      </c>
      <c r="AA220" s="75">
        <v>0.7</v>
      </c>
      <c r="AB220" s="75" t="s">
        <v>2</v>
      </c>
      <c r="AC220" s="75" t="s">
        <v>2</v>
      </c>
      <c r="AD220" s="73" t="s">
        <v>2</v>
      </c>
      <c r="AE220" s="73" t="s">
        <v>2</v>
      </c>
      <c r="AF220" s="6" t="s">
        <v>2</v>
      </c>
      <c r="AG220" s="22" t="s">
        <v>2</v>
      </c>
      <c r="AH220" s="73">
        <v>0</v>
      </c>
      <c r="AI220" s="73">
        <v>4</v>
      </c>
      <c r="AJ220" s="6" t="s">
        <v>2</v>
      </c>
      <c r="AK220" s="6" t="s">
        <v>2</v>
      </c>
      <c r="AL220" s="22" t="s">
        <v>2</v>
      </c>
      <c r="AM220" s="73">
        <v>45</v>
      </c>
      <c r="AN220" s="73" t="s">
        <v>2</v>
      </c>
      <c r="AO220" s="71" t="s">
        <v>2</v>
      </c>
      <c r="AP220" s="6" t="s">
        <v>2</v>
      </c>
      <c r="AQ220" s="75" t="s">
        <v>2</v>
      </c>
      <c r="AR220" s="75" t="s">
        <v>2</v>
      </c>
      <c r="AS220" s="75" t="s">
        <v>2</v>
      </c>
      <c r="AT220" s="75" t="s">
        <v>2</v>
      </c>
      <c r="AU220" s="75" t="s">
        <v>2</v>
      </c>
      <c r="AV220" s="77" t="s">
        <v>2</v>
      </c>
      <c r="AW220" s="6" t="s">
        <v>2</v>
      </c>
      <c r="AX220" s="75" t="s">
        <v>2</v>
      </c>
      <c r="AY220" s="75" t="s">
        <v>2</v>
      </c>
      <c r="AZ220" s="77" t="s">
        <v>2</v>
      </c>
      <c r="BA220" s="6" t="s">
        <v>2</v>
      </c>
      <c r="BB220" s="75" t="s">
        <v>2</v>
      </c>
      <c r="BC220" s="75" t="s">
        <v>2</v>
      </c>
      <c r="BD220" s="75" t="s">
        <v>2</v>
      </c>
      <c r="BE220" s="75" t="s">
        <v>2</v>
      </c>
      <c r="BF220" s="77" t="s">
        <v>2</v>
      </c>
      <c r="BG220" s="21" t="s">
        <v>2</v>
      </c>
      <c r="BH220" s="21">
        <v>0</v>
      </c>
      <c r="BI220" s="73" t="s">
        <v>2</v>
      </c>
      <c r="BJ220" s="73" t="s">
        <v>2</v>
      </c>
      <c r="BK220" s="73" t="s">
        <v>2</v>
      </c>
      <c r="BL220" s="73" t="s">
        <v>2</v>
      </c>
      <c r="BM220" s="73" t="s">
        <v>2</v>
      </c>
      <c r="BN220" s="73" t="s">
        <v>2</v>
      </c>
      <c r="BO220" s="73" t="s">
        <v>2</v>
      </c>
      <c r="BP220" s="73" t="s">
        <v>2</v>
      </c>
      <c r="BQ220" s="73" t="s">
        <v>2</v>
      </c>
      <c r="BR220" s="73" t="s">
        <v>2</v>
      </c>
      <c r="BS220" s="73" t="s">
        <v>2</v>
      </c>
      <c r="BT220" s="73" t="s">
        <v>2</v>
      </c>
      <c r="BU220" s="73" t="s">
        <v>2</v>
      </c>
      <c r="BV220" s="73" t="s">
        <v>2</v>
      </c>
      <c r="BW220" s="73" t="s">
        <v>2</v>
      </c>
      <c r="BX220" s="73" t="s">
        <v>2</v>
      </c>
      <c r="BY220" s="73" t="s">
        <v>2</v>
      </c>
      <c r="BZ220" s="71" t="s">
        <v>2</v>
      </c>
      <c r="CA220" s="6" t="s">
        <v>2</v>
      </c>
      <c r="CB220" s="6" t="s">
        <v>2</v>
      </c>
      <c r="CC220" s="6" t="s">
        <v>2</v>
      </c>
      <c r="CD220" s="6" t="s">
        <v>2</v>
      </c>
      <c r="CE220" s="6" t="s">
        <v>2</v>
      </c>
      <c r="CF220" s="6" t="s">
        <v>2</v>
      </c>
      <c r="CG220" s="22" t="s">
        <v>2</v>
      </c>
      <c r="CH220" s="73" t="s">
        <v>2</v>
      </c>
      <c r="CI220" s="71" t="s">
        <v>2</v>
      </c>
      <c r="CJ220" s="6" t="s">
        <v>2</v>
      </c>
      <c r="CK220" s="6" t="s">
        <v>2</v>
      </c>
      <c r="CL220" s="6" t="s">
        <v>2</v>
      </c>
      <c r="CM220" s="22" t="s">
        <v>2</v>
      </c>
      <c r="CN220" s="21" t="s">
        <v>2</v>
      </c>
      <c r="CO220" s="21" t="s">
        <v>2</v>
      </c>
    </row>
    <row r="221" spans="1:93" s="102" customFormat="1" x14ac:dyDescent="0.25">
      <c r="A221" s="107" t="s">
        <v>856</v>
      </c>
      <c r="B221" s="54" t="s">
        <v>70</v>
      </c>
      <c r="C221" s="5" t="s">
        <v>1044</v>
      </c>
      <c r="D221" s="287">
        <v>5</v>
      </c>
      <c r="E221" s="21">
        <v>56</v>
      </c>
      <c r="F221" s="73">
        <v>27</v>
      </c>
      <c r="G221" s="71">
        <v>112.85999999999999</v>
      </c>
      <c r="H221" s="83">
        <v>92.8</v>
      </c>
      <c r="I221" s="6">
        <v>0.6</v>
      </c>
      <c r="J221" s="6" t="s">
        <v>2</v>
      </c>
      <c r="K221" s="6">
        <v>6.2</v>
      </c>
      <c r="L221" s="6" t="s">
        <v>2</v>
      </c>
      <c r="M221" s="22">
        <v>0.4</v>
      </c>
      <c r="N221" s="73">
        <v>20</v>
      </c>
      <c r="O221" s="73">
        <v>12</v>
      </c>
      <c r="P221" s="6">
        <v>0.5</v>
      </c>
      <c r="Q221" s="6" t="s">
        <v>2</v>
      </c>
      <c r="R221" s="73" t="s">
        <v>2</v>
      </c>
      <c r="S221" s="73" t="s">
        <v>2</v>
      </c>
      <c r="T221" s="73" t="s">
        <v>2</v>
      </c>
      <c r="U221" s="75" t="s">
        <v>2</v>
      </c>
      <c r="V221" s="75" t="s">
        <v>2</v>
      </c>
      <c r="W221" s="22" t="s">
        <v>2</v>
      </c>
      <c r="X221" s="6">
        <v>2</v>
      </c>
      <c r="Y221" s="75" t="s">
        <v>2</v>
      </c>
      <c r="Z221" s="75" t="s">
        <v>2</v>
      </c>
      <c r="AA221" s="75" t="s">
        <v>2</v>
      </c>
      <c r="AB221" s="75" t="s">
        <v>2</v>
      </c>
      <c r="AC221" s="75" t="s">
        <v>2</v>
      </c>
      <c r="AD221" s="73" t="s">
        <v>2</v>
      </c>
      <c r="AE221" s="73" t="s">
        <v>2</v>
      </c>
      <c r="AF221" s="6" t="s">
        <v>2</v>
      </c>
      <c r="AG221" s="22" t="s">
        <v>2</v>
      </c>
      <c r="AH221" s="73">
        <v>0</v>
      </c>
      <c r="AI221" s="73">
        <v>0</v>
      </c>
      <c r="AJ221" s="6" t="s">
        <v>2</v>
      </c>
      <c r="AK221" s="6" t="s">
        <v>2</v>
      </c>
      <c r="AL221" s="22" t="s">
        <v>2</v>
      </c>
      <c r="AM221" s="73" t="s">
        <v>2</v>
      </c>
      <c r="AN221" s="73" t="s">
        <v>2</v>
      </c>
      <c r="AO221" s="71" t="s">
        <v>2</v>
      </c>
      <c r="AP221" s="6" t="s">
        <v>2</v>
      </c>
      <c r="AQ221" s="75" t="s">
        <v>2</v>
      </c>
      <c r="AR221" s="75" t="s">
        <v>2</v>
      </c>
      <c r="AS221" s="75" t="s">
        <v>2</v>
      </c>
      <c r="AT221" s="75" t="s">
        <v>2</v>
      </c>
      <c r="AU221" s="75" t="s">
        <v>2</v>
      </c>
      <c r="AV221" s="77" t="s">
        <v>2</v>
      </c>
      <c r="AW221" s="6" t="s">
        <v>2</v>
      </c>
      <c r="AX221" s="75" t="s">
        <v>2</v>
      </c>
      <c r="AY221" s="75" t="s">
        <v>2</v>
      </c>
      <c r="AZ221" s="77" t="s">
        <v>2</v>
      </c>
      <c r="BA221" s="6" t="s">
        <v>2</v>
      </c>
      <c r="BB221" s="75" t="s">
        <v>2</v>
      </c>
      <c r="BC221" s="75" t="s">
        <v>2</v>
      </c>
      <c r="BD221" s="75" t="s">
        <v>2</v>
      </c>
      <c r="BE221" s="75" t="s">
        <v>2</v>
      </c>
      <c r="BF221" s="77" t="s">
        <v>2</v>
      </c>
      <c r="BG221" s="21" t="s">
        <v>2</v>
      </c>
      <c r="BH221" s="21">
        <v>0</v>
      </c>
      <c r="BI221" s="73" t="s">
        <v>2</v>
      </c>
      <c r="BJ221" s="73" t="s">
        <v>2</v>
      </c>
      <c r="BK221" s="73" t="s">
        <v>2</v>
      </c>
      <c r="BL221" s="73" t="s">
        <v>2</v>
      </c>
      <c r="BM221" s="73" t="s">
        <v>2</v>
      </c>
      <c r="BN221" s="73" t="s">
        <v>2</v>
      </c>
      <c r="BO221" s="73" t="s">
        <v>2</v>
      </c>
      <c r="BP221" s="73" t="s">
        <v>2</v>
      </c>
      <c r="BQ221" s="73" t="s">
        <v>2</v>
      </c>
      <c r="BR221" s="73" t="s">
        <v>2</v>
      </c>
      <c r="BS221" s="73" t="s">
        <v>2</v>
      </c>
      <c r="BT221" s="73" t="s">
        <v>2</v>
      </c>
      <c r="BU221" s="73" t="s">
        <v>2</v>
      </c>
      <c r="BV221" s="73" t="s">
        <v>2</v>
      </c>
      <c r="BW221" s="73" t="s">
        <v>2</v>
      </c>
      <c r="BX221" s="73" t="s">
        <v>2</v>
      </c>
      <c r="BY221" s="73" t="s">
        <v>2</v>
      </c>
      <c r="BZ221" s="71" t="s">
        <v>2</v>
      </c>
      <c r="CA221" s="6" t="s">
        <v>2</v>
      </c>
      <c r="CB221" s="6" t="s">
        <v>2</v>
      </c>
      <c r="CC221" s="6" t="s">
        <v>2</v>
      </c>
      <c r="CD221" s="6" t="s">
        <v>2</v>
      </c>
      <c r="CE221" s="6" t="s">
        <v>2</v>
      </c>
      <c r="CF221" s="6" t="s">
        <v>2</v>
      </c>
      <c r="CG221" s="22" t="s">
        <v>2</v>
      </c>
      <c r="CH221" s="73" t="s">
        <v>2</v>
      </c>
      <c r="CI221" s="71" t="s">
        <v>2</v>
      </c>
      <c r="CJ221" s="6" t="s">
        <v>2</v>
      </c>
      <c r="CK221" s="6" t="s">
        <v>2</v>
      </c>
      <c r="CL221" s="6" t="s">
        <v>2</v>
      </c>
      <c r="CM221" s="22" t="s">
        <v>2</v>
      </c>
      <c r="CN221" s="21" t="s">
        <v>2</v>
      </c>
      <c r="CO221" s="21" t="s">
        <v>2</v>
      </c>
    </row>
    <row r="222" spans="1:93" s="102" customFormat="1" x14ac:dyDescent="0.25">
      <c r="A222" s="107" t="s">
        <v>857</v>
      </c>
      <c r="B222" s="54" t="s">
        <v>71</v>
      </c>
      <c r="C222" s="5" t="s">
        <v>1045</v>
      </c>
      <c r="D222" s="287">
        <v>5</v>
      </c>
      <c r="E222" s="21">
        <v>15</v>
      </c>
      <c r="F222" s="73">
        <v>59</v>
      </c>
      <c r="G222" s="71">
        <v>246.61999999999998</v>
      </c>
      <c r="H222" s="83">
        <v>84.9</v>
      </c>
      <c r="I222" s="6">
        <v>1.8</v>
      </c>
      <c r="J222" s="6">
        <v>0.4</v>
      </c>
      <c r="K222" s="6">
        <v>12.1</v>
      </c>
      <c r="L222" s="6">
        <v>4</v>
      </c>
      <c r="M222" s="22">
        <v>0.8</v>
      </c>
      <c r="N222" s="73">
        <v>22</v>
      </c>
      <c r="O222" s="73">
        <v>23</v>
      </c>
      <c r="P222" s="6">
        <v>0.7</v>
      </c>
      <c r="Q222" s="6" t="s">
        <v>2</v>
      </c>
      <c r="R222" s="73">
        <v>37</v>
      </c>
      <c r="S222" s="73">
        <v>292</v>
      </c>
      <c r="T222" s="73">
        <v>17</v>
      </c>
      <c r="U222" s="75" t="s">
        <v>2</v>
      </c>
      <c r="V222" s="75" t="s">
        <v>2</v>
      </c>
      <c r="W222" s="22" t="s">
        <v>2</v>
      </c>
      <c r="X222" s="6">
        <v>60</v>
      </c>
      <c r="Y222" s="75">
        <v>0.03</v>
      </c>
      <c r="Z222" s="75">
        <v>0.06</v>
      </c>
      <c r="AA222" s="75">
        <v>0.3</v>
      </c>
      <c r="AB222" s="75" t="s">
        <v>2</v>
      </c>
      <c r="AC222" s="75" t="s">
        <v>2</v>
      </c>
      <c r="AD222" s="73" t="s">
        <v>2</v>
      </c>
      <c r="AE222" s="73" t="s">
        <v>2</v>
      </c>
      <c r="AF222" s="6">
        <v>1.1000000000000001</v>
      </c>
      <c r="AG222" s="22" t="s">
        <v>2</v>
      </c>
      <c r="AH222" s="73">
        <v>0</v>
      </c>
      <c r="AI222" s="73">
        <v>3</v>
      </c>
      <c r="AJ222" s="6" t="s">
        <v>2</v>
      </c>
      <c r="AK222" s="6" t="s">
        <v>2</v>
      </c>
      <c r="AL222" s="22" t="s">
        <v>2</v>
      </c>
      <c r="AM222" s="73">
        <v>30</v>
      </c>
      <c r="AN222" s="73" t="s">
        <v>2</v>
      </c>
      <c r="AO222" s="71" t="s">
        <v>2</v>
      </c>
      <c r="AP222" s="6" t="s">
        <v>2</v>
      </c>
      <c r="AQ222" s="75" t="s">
        <v>2</v>
      </c>
      <c r="AR222" s="75" t="s">
        <v>2</v>
      </c>
      <c r="AS222" s="75" t="s">
        <v>2</v>
      </c>
      <c r="AT222" s="75" t="s">
        <v>2</v>
      </c>
      <c r="AU222" s="75" t="s">
        <v>2</v>
      </c>
      <c r="AV222" s="77" t="s">
        <v>2</v>
      </c>
      <c r="AW222" s="6" t="s">
        <v>2</v>
      </c>
      <c r="AX222" s="75" t="s">
        <v>2</v>
      </c>
      <c r="AY222" s="75" t="s">
        <v>2</v>
      </c>
      <c r="AZ222" s="77" t="s">
        <v>2</v>
      </c>
      <c r="BA222" s="6" t="s">
        <v>2</v>
      </c>
      <c r="BB222" s="75" t="s">
        <v>2</v>
      </c>
      <c r="BC222" s="75" t="s">
        <v>2</v>
      </c>
      <c r="BD222" s="75" t="s">
        <v>2</v>
      </c>
      <c r="BE222" s="75" t="s">
        <v>2</v>
      </c>
      <c r="BF222" s="77" t="s">
        <v>2</v>
      </c>
      <c r="BG222" s="21" t="s">
        <v>2</v>
      </c>
      <c r="BH222" s="21">
        <v>0</v>
      </c>
      <c r="BI222" s="73">
        <v>33</v>
      </c>
      <c r="BJ222" s="73">
        <v>1</v>
      </c>
      <c r="BK222" s="73">
        <v>9</v>
      </c>
      <c r="BL222" s="73">
        <v>23</v>
      </c>
      <c r="BM222" s="73">
        <v>25</v>
      </c>
      <c r="BN222" s="73">
        <v>23</v>
      </c>
      <c r="BO222" s="73">
        <v>42</v>
      </c>
      <c r="BP222" s="73">
        <v>18</v>
      </c>
      <c r="BQ222" s="73">
        <v>35</v>
      </c>
      <c r="BR222" s="73">
        <v>16</v>
      </c>
      <c r="BS222" s="73">
        <v>7</v>
      </c>
      <c r="BT222" s="73">
        <v>27</v>
      </c>
      <c r="BU222" s="73">
        <v>42</v>
      </c>
      <c r="BV222" s="73">
        <v>182</v>
      </c>
      <c r="BW222" s="73">
        <v>120</v>
      </c>
      <c r="BX222" s="73">
        <v>33</v>
      </c>
      <c r="BY222" s="73">
        <v>26</v>
      </c>
      <c r="BZ222" s="71">
        <v>31</v>
      </c>
      <c r="CA222" s="6" t="s">
        <v>2</v>
      </c>
      <c r="CB222" s="6" t="s">
        <v>2</v>
      </c>
      <c r="CC222" s="6" t="s">
        <v>2</v>
      </c>
      <c r="CD222" s="6" t="s">
        <v>2</v>
      </c>
      <c r="CE222" s="6" t="s">
        <v>2</v>
      </c>
      <c r="CF222" s="6" t="s">
        <v>2</v>
      </c>
      <c r="CG222" s="22" t="s">
        <v>2</v>
      </c>
      <c r="CH222" s="73" t="s">
        <v>2</v>
      </c>
      <c r="CI222" s="71" t="s">
        <v>2</v>
      </c>
      <c r="CJ222" s="6" t="s">
        <v>2</v>
      </c>
      <c r="CK222" s="6" t="s">
        <v>2</v>
      </c>
      <c r="CL222" s="6" t="s">
        <v>2</v>
      </c>
      <c r="CM222" s="22" t="s">
        <v>2</v>
      </c>
      <c r="CN222" s="21" t="s">
        <v>2</v>
      </c>
      <c r="CO222" s="21">
        <v>21</v>
      </c>
    </row>
    <row r="223" spans="1:93" s="102" customFormat="1" x14ac:dyDescent="0.25">
      <c r="A223" s="107" t="s">
        <v>858</v>
      </c>
      <c r="B223" s="54" t="s">
        <v>72</v>
      </c>
      <c r="C223" s="5" t="s">
        <v>1094</v>
      </c>
      <c r="D223" s="287">
        <v>5</v>
      </c>
      <c r="E223" s="21">
        <v>10</v>
      </c>
      <c r="F223" s="73">
        <v>21</v>
      </c>
      <c r="G223" s="71">
        <v>87.78</v>
      </c>
      <c r="H223" s="83">
        <v>94.5</v>
      </c>
      <c r="I223" s="6">
        <v>0.5</v>
      </c>
      <c r="J223" s="6">
        <v>0.2</v>
      </c>
      <c r="K223" s="6">
        <v>4.3</v>
      </c>
      <c r="L223" s="6">
        <v>0.7</v>
      </c>
      <c r="M223" s="22">
        <v>0.5</v>
      </c>
      <c r="N223" s="73">
        <v>36</v>
      </c>
      <c r="O223" s="73">
        <v>36</v>
      </c>
      <c r="P223" s="6">
        <v>0.3</v>
      </c>
      <c r="Q223" s="6">
        <v>0.17</v>
      </c>
      <c r="R223" s="73">
        <v>0</v>
      </c>
      <c r="S223" s="73">
        <v>201</v>
      </c>
      <c r="T223" s="73">
        <v>9</v>
      </c>
      <c r="U223" s="75">
        <v>5.3999999999999999E-2</v>
      </c>
      <c r="V223" s="75">
        <v>86</v>
      </c>
      <c r="W223" s="22">
        <v>0</v>
      </c>
      <c r="X223" s="6">
        <v>9</v>
      </c>
      <c r="Y223" s="75">
        <v>0.04</v>
      </c>
      <c r="Z223" s="75">
        <v>0.02</v>
      </c>
      <c r="AA223" s="75">
        <v>0.4</v>
      </c>
      <c r="AB223" s="75">
        <v>0.185</v>
      </c>
      <c r="AC223" s="75">
        <v>2.5000000000000001E-2</v>
      </c>
      <c r="AD223" s="73">
        <v>5</v>
      </c>
      <c r="AE223" s="73">
        <v>0</v>
      </c>
      <c r="AF223" s="6" t="s">
        <v>2</v>
      </c>
      <c r="AG223" s="22">
        <v>0</v>
      </c>
      <c r="AH223" s="73">
        <v>0</v>
      </c>
      <c r="AI223" s="73">
        <v>17</v>
      </c>
      <c r="AJ223" s="6" t="s">
        <v>2</v>
      </c>
      <c r="AK223" s="6">
        <v>0.77</v>
      </c>
      <c r="AL223" s="22">
        <v>2.2000000000000002</v>
      </c>
      <c r="AM223" s="73">
        <v>150</v>
      </c>
      <c r="AN223" s="73">
        <v>0</v>
      </c>
      <c r="AO223" s="71">
        <v>98</v>
      </c>
      <c r="AP223" s="6">
        <v>2.5000000000000001E-2</v>
      </c>
      <c r="AQ223" s="75">
        <v>2.3E-2</v>
      </c>
      <c r="AR223" s="75">
        <v>0</v>
      </c>
      <c r="AS223" s="75">
        <v>2E-3</v>
      </c>
      <c r="AT223" s="75">
        <v>0</v>
      </c>
      <c r="AU223" s="75">
        <v>0</v>
      </c>
      <c r="AV223" s="77">
        <v>0</v>
      </c>
      <c r="AW223" s="6">
        <v>8.7999999999999995E-2</v>
      </c>
      <c r="AX223" s="75">
        <v>0</v>
      </c>
      <c r="AY223" s="75">
        <v>2E-3</v>
      </c>
      <c r="AZ223" s="77">
        <v>8.5999999999999993E-2</v>
      </c>
      <c r="BA223" s="6">
        <v>0.113</v>
      </c>
      <c r="BB223" s="75">
        <v>0.111</v>
      </c>
      <c r="BC223" s="75">
        <v>2E-3</v>
      </c>
      <c r="BD223" s="75">
        <v>0</v>
      </c>
      <c r="BE223" s="75">
        <v>0</v>
      </c>
      <c r="BF223" s="77">
        <v>0</v>
      </c>
      <c r="BG223" s="21" t="s">
        <v>2</v>
      </c>
      <c r="BH223" s="21">
        <v>0</v>
      </c>
      <c r="BI223" s="73">
        <v>30</v>
      </c>
      <c r="BJ223" s="73">
        <v>12</v>
      </c>
      <c r="BK223" s="73">
        <v>2</v>
      </c>
      <c r="BL223" s="73">
        <v>23</v>
      </c>
      <c r="BM223" s="73">
        <v>17</v>
      </c>
      <c r="BN223" s="73">
        <v>33</v>
      </c>
      <c r="BO223" s="73">
        <v>29</v>
      </c>
      <c r="BP223" s="73">
        <v>21</v>
      </c>
      <c r="BQ223" s="73">
        <v>29</v>
      </c>
      <c r="BR223" s="73">
        <v>15</v>
      </c>
      <c r="BS223" s="73">
        <v>2</v>
      </c>
      <c r="BT223" s="73">
        <v>14</v>
      </c>
      <c r="BU223" s="73">
        <v>95</v>
      </c>
      <c r="BV223" s="73">
        <v>136</v>
      </c>
      <c r="BW223" s="73">
        <v>209</v>
      </c>
      <c r="BX223" s="73">
        <v>26</v>
      </c>
      <c r="BY223" s="73">
        <v>19</v>
      </c>
      <c r="BZ223" s="71">
        <v>42</v>
      </c>
      <c r="CA223" s="6">
        <v>7.89</v>
      </c>
      <c r="CB223" s="6">
        <v>0</v>
      </c>
      <c r="CC223" s="6">
        <v>0</v>
      </c>
      <c r="CD223" s="6">
        <v>0</v>
      </c>
      <c r="CE223" s="6">
        <v>1.37</v>
      </c>
      <c r="CF223" s="6">
        <v>1.57</v>
      </c>
      <c r="CG223" s="22">
        <v>4.87</v>
      </c>
      <c r="CH223" s="73">
        <v>0</v>
      </c>
      <c r="CI223" s="71">
        <v>130</v>
      </c>
      <c r="CJ223" s="6" t="s">
        <v>2</v>
      </c>
      <c r="CK223" s="6" t="s">
        <v>2</v>
      </c>
      <c r="CL223" s="6" t="s">
        <v>2</v>
      </c>
      <c r="CM223" s="22" t="s">
        <v>2</v>
      </c>
      <c r="CN223" s="21" t="s">
        <v>2</v>
      </c>
      <c r="CO223" s="21">
        <v>33</v>
      </c>
    </row>
    <row r="224" spans="1:93" s="102" customFormat="1" x14ac:dyDescent="0.25">
      <c r="A224" s="107" t="s">
        <v>859</v>
      </c>
      <c r="B224" s="54" t="s">
        <v>73</v>
      </c>
      <c r="C224" s="5" t="s">
        <v>1095</v>
      </c>
      <c r="D224" s="287">
        <v>5</v>
      </c>
      <c r="E224" s="21">
        <v>48</v>
      </c>
      <c r="F224" s="73">
        <v>18</v>
      </c>
      <c r="G224" s="71">
        <v>75.239999999999995</v>
      </c>
      <c r="H224" s="83">
        <v>95.5</v>
      </c>
      <c r="I224" s="6">
        <v>1.2</v>
      </c>
      <c r="J224" s="6">
        <v>0.2</v>
      </c>
      <c r="K224" s="6">
        <v>2.8</v>
      </c>
      <c r="L224" s="6">
        <v>0.5</v>
      </c>
      <c r="M224" s="22">
        <v>0.3</v>
      </c>
      <c r="N224" s="73">
        <v>8</v>
      </c>
      <c r="O224" s="73">
        <v>13</v>
      </c>
      <c r="P224" s="6">
        <v>1</v>
      </c>
      <c r="Q224" s="6">
        <v>0.11</v>
      </c>
      <c r="R224" s="73">
        <v>5</v>
      </c>
      <c r="S224" s="73">
        <v>187</v>
      </c>
      <c r="T224" s="73">
        <v>15</v>
      </c>
      <c r="U224" s="75">
        <v>0.03</v>
      </c>
      <c r="V224" s="75">
        <v>80</v>
      </c>
      <c r="W224" s="22">
        <v>0.4</v>
      </c>
      <c r="X224" s="6">
        <v>7</v>
      </c>
      <c r="Y224" s="75">
        <v>0.04</v>
      </c>
      <c r="Z224" s="75">
        <v>0.04</v>
      </c>
      <c r="AA224" s="75">
        <v>0.2</v>
      </c>
      <c r="AB224" s="75">
        <v>0.221</v>
      </c>
      <c r="AC224" s="75">
        <v>4.4999999999999998E-2</v>
      </c>
      <c r="AD224" s="73">
        <v>3</v>
      </c>
      <c r="AE224" s="73">
        <v>0</v>
      </c>
      <c r="AF224" s="6" t="s">
        <v>2</v>
      </c>
      <c r="AG224" s="22">
        <v>0</v>
      </c>
      <c r="AH224" s="73">
        <v>0</v>
      </c>
      <c r="AI224" s="73">
        <v>37</v>
      </c>
      <c r="AJ224" s="6" t="s">
        <v>2</v>
      </c>
      <c r="AK224" s="6">
        <v>0.05</v>
      </c>
      <c r="AL224" s="22">
        <v>0.1</v>
      </c>
      <c r="AM224" s="73">
        <v>403</v>
      </c>
      <c r="AN224" s="73">
        <v>0</v>
      </c>
      <c r="AO224" s="71">
        <v>78</v>
      </c>
      <c r="AP224" s="6">
        <v>1.6E-2</v>
      </c>
      <c r="AQ224" s="75">
        <v>8.0000000000000002E-3</v>
      </c>
      <c r="AR224" s="75">
        <v>0</v>
      </c>
      <c r="AS224" s="75">
        <v>6.0000000000000001E-3</v>
      </c>
      <c r="AT224" s="75">
        <v>0</v>
      </c>
      <c r="AU224" s="75">
        <v>0</v>
      </c>
      <c r="AV224" s="77">
        <v>0</v>
      </c>
      <c r="AW224" s="6">
        <v>3.6999999999999998E-2</v>
      </c>
      <c r="AX224" s="75">
        <v>0</v>
      </c>
      <c r="AY224" s="75">
        <v>0</v>
      </c>
      <c r="AZ224" s="77">
        <v>3.6999999999999998E-2</v>
      </c>
      <c r="BA224" s="6">
        <v>0.05</v>
      </c>
      <c r="BB224" s="75">
        <v>0.05</v>
      </c>
      <c r="BC224" s="75">
        <v>0</v>
      </c>
      <c r="BD224" s="75">
        <v>0</v>
      </c>
      <c r="BE224" s="75">
        <v>0</v>
      </c>
      <c r="BF224" s="77">
        <v>0</v>
      </c>
      <c r="BG224" s="21" t="s">
        <v>2</v>
      </c>
      <c r="BH224" s="21">
        <v>0</v>
      </c>
      <c r="BI224" s="73">
        <v>64</v>
      </c>
      <c r="BJ224" s="73">
        <v>6</v>
      </c>
      <c r="BK224" s="73">
        <v>7</v>
      </c>
      <c r="BL224" s="73">
        <v>16</v>
      </c>
      <c r="BM224" s="73">
        <v>28</v>
      </c>
      <c r="BN224" s="73">
        <v>16</v>
      </c>
      <c r="BO224" s="73">
        <v>18</v>
      </c>
      <c r="BP224" s="73">
        <v>20</v>
      </c>
      <c r="BQ224" s="73">
        <v>60</v>
      </c>
      <c r="BR224" s="73">
        <v>6</v>
      </c>
      <c r="BS224" s="73">
        <v>2</v>
      </c>
      <c r="BT224" s="73">
        <v>12</v>
      </c>
      <c r="BU224" s="73">
        <v>17</v>
      </c>
      <c r="BV224" s="73">
        <v>40</v>
      </c>
      <c r="BW224" s="73">
        <v>65</v>
      </c>
      <c r="BX224" s="73">
        <v>10</v>
      </c>
      <c r="BY224" s="73">
        <v>25</v>
      </c>
      <c r="BZ224" s="71">
        <v>16</v>
      </c>
      <c r="CA224" s="6">
        <v>6.2</v>
      </c>
      <c r="CB224" s="6">
        <v>0</v>
      </c>
      <c r="CC224" s="6">
        <v>0.06</v>
      </c>
      <c r="CD224" s="6">
        <v>0</v>
      </c>
      <c r="CE224" s="6">
        <v>3.36</v>
      </c>
      <c r="CF224" s="6">
        <v>1.58</v>
      </c>
      <c r="CG224" s="22">
        <v>1.21</v>
      </c>
      <c r="CH224" s="73">
        <v>2001</v>
      </c>
      <c r="CI224" s="71">
        <v>28</v>
      </c>
      <c r="CJ224" s="6" t="s">
        <v>2</v>
      </c>
      <c r="CK224" s="6" t="s">
        <v>2</v>
      </c>
      <c r="CL224" s="6" t="s">
        <v>2</v>
      </c>
      <c r="CM224" s="22" t="s">
        <v>2</v>
      </c>
      <c r="CN224" s="21">
        <v>2</v>
      </c>
      <c r="CO224" s="21" t="s">
        <v>2</v>
      </c>
    </row>
    <row r="225" spans="1:93" s="102" customFormat="1" x14ac:dyDescent="0.25">
      <c r="A225" s="107" t="s">
        <v>860</v>
      </c>
      <c r="B225" s="54" t="s">
        <v>74</v>
      </c>
      <c r="C225" s="5" t="s">
        <v>1071</v>
      </c>
      <c r="D225" s="287">
        <v>5</v>
      </c>
      <c r="E225" s="21">
        <v>16</v>
      </c>
      <c r="F225" s="73">
        <v>19</v>
      </c>
      <c r="G225" s="71">
        <v>79.419999999999987</v>
      </c>
      <c r="H225" s="83">
        <v>95</v>
      </c>
      <c r="I225" s="6">
        <v>0.3</v>
      </c>
      <c r="J225" s="6">
        <v>0.1</v>
      </c>
      <c r="K225" s="6">
        <v>4.0999999999999996</v>
      </c>
      <c r="L225" s="6">
        <v>0.4</v>
      </c>
      <c r="M225" s="22">
        <v>0.5</v>
      </c>
      <c r="N225" s="73">
        <v>27</v>
      </c>
      <c r="O225" s="73">
        <v>12</v>
      </c>
      <c r="P225" s="6">
        <v>0.4</v>
      </c>
      <c r="Q225" s="6">
        <v>0.09</v>
      </c>
      <c r="R225" s="73">
        <v>18</v>
      </c>
      <c r="S225" s="73">
        <v>228</v>
      </c>
      <c r="T225" s="73">
        <v>10</v>
      </c>
      <c r="U225" s="75">
        <v>2.7E-2</v>
      </c>
      <c r="V225" s="75">
        <v>24</v>
      </c>
      <c r="W225" s="22">
        <v>0.7</v>
      </c>
      <c r="X225" s="6">
        <v>7</v>
      </c>
      <c r="Y225" s="75">
        <v>0.02</v>
      </c>
      <c r="Z225" s="75">
        <v>0.02</v>
      </c>
      <c r="AA225" s="75">
        <v>0.5</v>
      </c>
      <c r="AB225" s="75">
        <v>0.155</v>
      </c>
      <c r="AC225" s="75">
        <v>8.7999999999999995E-2</v>
      </c>
      <c r="AD225" s="73">
        <v>19</v>
      </c>
      <c r="AE225" s="73">
        <v>0</v>
      </c>
      <c r="AF225" s="6" t="s">
        <v>2</v>
      </c>
      <c r="AG225" s="22">
        <v>0</v>
      </c>
      <c r="AH225" s="73">
        <v>0</v>
      </c>
      <c r="AI225" s="73">
        <v>3</v>
      </c>
      <c r="AJ225" s="6" t="s">
        <v>2</v>
      </c>
      <c r="AK225" s="6">
        <v>0.02</v>
      </c>
      <c r="AL225" s="22">
        <v>2.9</v>
      </c>
      <c r="AM225" s="73">
        <v>30</v>
      </c>
      <c r="AN225" s="73">
        <v>0</v>
      </c>
      <c r="AO225" s="71">
        <v>0</v>
      </c>
      <c r="AP225" s="6">
        <v>3.7999999999999999E-2</v>
      </c>
      <c r="AQ225" s="75">
        <v>3.2000000000000001E-2</v>
      </c>
      <c r="AR225" s="75">
        <v>0</v>
      </c>
      <c r="AS225" s="75">
        <v>3.0000000000000001E-3</v>
      </c>
      <c r="AT225" s="75">
        <v>0</v>
      </c>
      <c r="AU225" s="75">
        <v>0</v>
      </c>
      <c r="AV225" s="77">
        <v>0</v>
      </c>
      <c r="AW225" s="6">
        <v>3.0000000000000001E-3</v>
      </c>
      <c r="AX225" s="75">
        <v>0</v>
      </c>
      <c r="AY225" s="75">
        <v>0</v>
      </c>
      <c r="AZ225" s="77">
        <v>3.0000000000000001E-3</v>
      </c>
      <c r="BA225" s="6">
        <v>5.8999999999999997E-2</v>
      </c>
      <c r="BB225" s="75">
        <v>2.5999999999999999E-2</v>
      </c>
      <c r="BC225" s="75">
        <v>3.3000000000000002E-2</v>
      </c>
      <c r="BD225" s="75">
        <v>0</v>
      </c>
      <c r="BE225" s="75">
        <v>0</v>
      </c>
      <c r="BF225" s="77">
        <v>0</v>
      </c>
      <c r="BG225" s="21" t="s">
        <v>2</v>
      </c>
      <c r="BH225" s="21">
        <v>0</v>
      </c>
      <c r="BI225" s="73">
        <v>18</v>
      </c>
      <c r="BJ225" s="73">
        <v>5</v>
      </c>
      <c r="BK225" s="73">
        <v>5</v>
      </c>
      <c r="BL225" s="73">
        <v>15</v>
      </c>
      <c r="BM225" s="73">
        <v>13</v>
      </c>
      <c r="BN225" s="73">
        <v>18</v>
      </c>
      <c r="BO225" s="73">
        <v>16</v>
      </c>
      <c r="BP225" s="73">
        <v>13</v>
      </c>
      <c r="BQ225" s="73">
        <v>14</v>
      </c>
      <c r="BR225" s="73">
        <v>5</v>
      </c>
      <c r="BS225" s="73">
        <v>5</v>
      </c>
      <c r="BT225" s="73">
        <v>10</v>
      </c>
      <c r="BU225" s="73">
        <v>44</v>
      </c>
      <c r="BV225" s="73">
        <v>88</v>
      </c>
      <c r="BW225" s="73">
        <v>153</v>
      </c>
      <c r="BX225" s="73">
        <v>16</v>
      </c>
      <c r="BY225" s="73">
        <v>12</v>
      </c>
      <c r="BZ225" s="71">
        <v>23</v>
      </c>
      <c r="CA225" s="6">
        <v>8.1199999999999992</v>
      </c>
      <c r="CB225" s="6">
        <v>0</v>
      </c>
      <c r="CC225" s="6">
        <v>0</v>
      </c>
      <c r="CD225" s="6">
        <v>0</v>
      </c>
      <c r="CE225" s="6">
        <v>2.96</v>
      </c>
      <c r="CF225" s="6">
        <v>2.68</v>
      </c>
      <c r="CG225" s="22">
        <v>2.48</v>
      </c>
      <c r="CH225" s="73">
        <v>0</v>
      </c>
      <c r="CI225" s="71">
        <v>27</v>
      </c>
      <c r="CJ225" s="6" t="s">
        <v>2</v>
      </c>
      <c r="CK225" s="6" t="s">
        <v>2</v>
      </c>
      <c r="CL225" s="6" t="s">
        <v>2</v>
      </c>
      <c r="CM225" s="22" t="s">
        <v>2</v>
      </c>
      <c r="CN225" s="21" t="s">
        <v>2</v>
      </c>
      <c r="CO225" s="21" t="s">
        <v>2</v>
      </c>
    </row>
    <row r="226" spans="1:93" s="102" customFormat="1" x14ac:dyDescent="0.25">
      <c r="A226" s="107" t="s">
        <v>861</v>
      </c>
      <c r="B226" s="54" t="s">
        <v>75</v>
      </c>
      <c r="C226" s="5" t="s">
        <v>1096</v>
      </c>
      <c r="D226" s="287">
        <v>5</v>
      </c>
      <c r="E226" s="21">
        <v>18</v>
      </c>
      <c r="F226" s="73">
        <v>20</v>
      </c>
      <c r="G226" s="71">
        <v>83.6</v>
      </c>
      <c r="H226" s="83">
        <v>93.3</v>
      </c>
      <c r="I226" s="6">
        <v>0.4</v>
      </c>
      <c r="J226" s="6" t="s">
        <v>2</v>
      </c>
      <c r="K226" s="6">
        <v>4.7</v>
      </c>
      <c r="L226" s="6">
        <v>0.5</v>
      </c>
      <c r="M226" s="22">
        <v>1.6</v>
      </c>
      <c r="N226" s="73">
        <v>11</v>
      </c>
      <c r="O226" s="73">
        <v>21</v>
      </c>
      <c r="P226" s="6">
        <v>0.6</v>
      </c>
      <c r="Q226" s="6" t="s">
        <v>2</v>
      </c>
      <c r="R226" s="73" t="s">
        <v>2</v>
      </c>
      <c r="S226" s="73" t="s">
        <v>2</v>
      </c>
      <c r="T226" s="73" t="s">
        <v>2</v>
      </c>
      <c r="U226" s="75" t="s">
        <v>2</v>
      </c>
      <c r="V226" s="75" t="s">
        <v>2</v>
      </c>
      <c r="W226" s="22" t="s">
        <v>2</v>
      </c>
      <c r="X226" s="6" t="s">
        <v>2</v>
      </c>
      <c r="Y226" s="75" t="s">
        <v>2</v>
      </c>
      <c r="Z226" s="75" t="s">
        <v>2</v>
      </c>
      <c r="AA226" s="75" t="s">
        <v>2</v>
      </c>
      <c r="AB226" s="75" t="s">
        <v>2</v>
      </c>
      <c r="AC226" s="75" t="s">
        <v>2</v>
      </c>
      <c r="AD226" s="73" t="s">
        <v>2</v>
      </c>
      <c r="AE226" s="73" t="s">
        <v>2</v>
      </c>
      <c r="AF226" s="6" t="s">
        <v>2</v>
      </c>
      <c r="AG226" s="22" t="s">
        <v>2</v>
      </c>
      <c r="AH226" s="73">
        <v>0</v>
      </c>
      <c r="AI226" s="73">
        <v>0</v>
      </c>
      <c r="AJ226" s="6" t="s">
        <v>2</v>
      </c>
      <c r="AK226" s="6" t="s">
        <v>2</v>
      </c>
      <c r="AL226" s="22" t="s">
        <v>2</v>
      </c>
      <c r="AM226" s="73" t="s">
        <v>2</v>
      </c>
      <c r="AN226" s="73" t="s">
        <v>2</v>
      </c>
      <c r="AO226" s="71" t="s">
        <v>2</v>
      </c>
      <c r="AP226" s="6" t="s">
        <v>2</v>
      </c>
      <c r="AQ226" s="75" t="s">
        <v>2</v>
      </c>
      <c r="AR226" s="75" t="s">
        <v>2</v>
      </c>
      <c r="AS226" s="75" t="s">
        <v>2</v>
      </c>
      <c r="AT226" s="75" t="s">
        <v>2</v>
      </c>
      <c r="AU226" s="75" t="s">
        <v>2</v>
      </c>
      <c r="AV226" s="77" t="s">
        <v>2</v>
      </c>
      <c r="AW226" s="6" t="s">
        <v>2</v>
      </c>
      <c r="AX226" s="75" t="s">
        <v>2</v>
      </c>
      <c r="AY226" s="75" t="s">
        <v>2</v>
      </c>
      <c r="AZ226" s="77" t="s">
        <v>2</v>
      </c>
      <c r="BA226" s="6" t="s">
        <v>2</v>
      </c>
      <c r="BB226" s="75" t="s">
        <v>2</v>
      </c>
      <c r="BC226" s="75" t="s">
        <v>2</v>
      </c>
      <c r="BD226" s="75" t="s">
        <v>2</v>
      </c>
      <c r="BE226" s="75" t="s">
        <v>2</v>
      </c>
      <c r="BF226" s="77" t="s">
        <v>2</v>
      </c>
      <c r="BG226" s="21" t="s">
        <v>2</v>
      </c>
      <c r="BH226" s="21">
        <v>0</v>
      </c>
      <c r="BI226" s="73" t="s">
        <v>2</v>
      </c>
      <c r="BJ226" s="73" t="s">
        <v>2</v>
      </c>
      <c r="BK226" s="73" t="s">
        <v>2</v>
      </c>
      <c r="BL226" s="73" t="s">
        <v>2</v>
      </c>
      <c r="BM226" s="73" t="s">
        <v>2</v>
      </c>
      <c r="BN226" s="73" t="s">
        <v>2</v>
      </c>
      <c r="BO226" s="73" t="s">
        <v>2</v>
      </c>
      <c r="BP226" s="73" t="s">
        <v>2</v>
      </c>
      <c r="BQ226" s="73" t="s">
        <v>2</v>
      </c>
      <c r="BR226" s="73" t="s">
        <v>2</v>
      </c>
      <c r="BS226" s="73" t="s">
        <v>2</v>
      </c>
      <c r="BT226" s="73" t="s">
        <v>2</v>
      </c>
      <c r="BU226" s="73" t="s">
        <v>2</v>
      </c>
      <c r="BV226" s="73" t="s">
        <v>2</v>
      </c>
      <c r="BW226" s="73" t="s">
        <v>2</v>
      </c>
      <c r="BX226" s="73" t="s">
        <v>2</v>
      </c>
      <c r="BY226" s="73" t="s">
        <v>2</v>
      </c>
      <c r="BZ226" s="71" t="s">
        <v>2</v>
      </c>
      <c r="CA226" s="6" t="s">
        <v>2</v>
      </c>
      <c r="CB226" s="6" t="s">
        <v>2</v>
      </c>
      <c r="CC226" s="6" t="s">
        <v>2</v>
      </c>
      <c r="CD226" s="6" t="s">
        <v>2</v>
      </c>
      <c r="CE226" s="6" t="s">
        <v>2</v>
      </c>
      <c r="CF226" s="6" t="s">
        <v>2</v>
      </c>
      <c r="CG226" s="22" t="s">
        <v>2</v>
      </c>
      <c r="CH226" s="73" t="s">
        <v>2</v>
      </c>
      <c r="CI226" s="71" t="s">
        <v>2</v>
      </c>
      <c r="CJ226" s="6" t="s">
        <v>2</v>
      </c>
      <c r="CK226" s="6" t="s">
        <v>2</v>
      </c>
      <c r="CL226" s="6" t="s">
        <v>2</v>
      </c>
      <c r="CM226" s="22" t="s">
        <v>2</v>
      </c>
      <c r="CN226" s="21" t="s">
        <v>2</v>
      </c>
      <c r="CO226" s="21" t="s">
        <v>2</v>
      </c>
    </row>
    <row r="227" spans="1:93" s="102" customFormat="1" x14ac:dyDescent="0.25">
      <c r="A227" s="107" t="s">
        <v>862</v>
      </c>
      <c r="B227" s="54" t="s">
        <v>1046</v>
      </c>
      <c r="C227" s="5" t="s">
        <v>1097</v>
      </c>
      <c r="D227" s="287">
        <v>5</v>
      </c>
      <c r="E227" s="21">
        <v>40</v>
      </c>
      <c r="F227" s="73">
        <v>32</v>
      </c>
      <c r="G227" s="71">
        <v>133.76</v>
      </c>
      <c r="H227" s="83">
        <v>91.5</v>
      </c>
      <c r="I227" s="6">
        <v>0.8</v>
      </c>
      <c r="J227" s="6" t="s">
        <v>2</v>
      </c>
      <c r="K227" s="6">
        <v>7.3</v>
      </c>
      <c r="L227" s="6">
        <v>0.8</v>
      </c>
      <c r="M227" s="22">
        <v>0.4</v>
      </c>
      <c r="N227" s="73">
        <v>15</v>
      </c>
      <c r="O227" s="73">
        <v>17</v>
      </c>
      <c r="P227" s="6">
        <v>0.5</v>
      </c>
      <c r="Q227" s="6">
        <v>0.25</v>
      </c>
      <c r="R227" s="73">
        <v>24</v>
      </c>
      <c r="S227" s="73">
        <v>157</v>
      </c>
      <c r="T227" s="73">
        <v>22</v>
      </c>
      <c r="U227" s="75">
        <v>0.12</v>
      </c>
      <c r="V227" s="75">
        <v>320</v>
      </c>
      <c r="W227" s="22">
        <v>0.5</v>
      </c>
      <c r="X227" s="6">
        <v>24</v>
      </c>
      <c r="Y227" s="75">
        <v>0.08</v>
      </c>
      <c r="Z227" s="75">
        <v>0.02</v>
      </c>
      <c r="AA227" s="75">
        <v>0.2</v>
      </c>
      <c r="AB227" s="75" t="s">
        <v>2</v>
      </c>
      <c r="AC227" s="75" t="s">
        <v>2</v>
      </c>
      <c r="AD227" s="73" t="s">
        <v>2</v>
      </c>
      <c r="AE227" s="73" t="s">
        <v>2</v>
      </c>
      <c r="AF227" s="6" t="s">
        <v>2</v>
      </c>
      <c r="AG227" s="22" t="s">
        <v>2</v>
      </c>
      <c r="AH227" s="73">
        <v>0</v>
      </c>
      <c r="AI227" s="73">
        <v>3</v>
      </c>
      <c r="AJ227" s="6" t="s">
        <v>2</v>
      </c>
      <c r="AK227" s="6" t="s">
        <v>2</v>
      </c>
      <c r="AL227" s="22" t="s">
        <v>2</v>
      </c>
      <c r="AM227" s="73">
        <v>40</v>
      </c>
      <c r="AN227" s="73" t="s">
        <v>2</v>
      </c>
      <c r="AO227" s="71" t="s">
        <v>2</v>
      </c>
      <c r="AP227" s="6" t="s">
        <v>2</v>
      </c>
      <c r="AQ227" s="75" t="s">
        <v>2</v>
      </c>
      <c r="AR227" s="75" t="s">
        <v>2</v>
      </c>
      <c r="AS227" s="75" t="s">
        <v>2</v>
      </c>
      <c r="AT227" s="75" t="s">
        <v>2</v>
      </c>
      <c r="AU227" s="75" t="s">
        <v>2</v>
      </c>
      <c r="AV227" s="77" t="s">
        <v>2</v>
      </c>
      <c r="AW227" s="6" t="s">
        <v>2</v>
      </c>
      <c r="AX227" s="75" t="s">
        <v>2</v>
      </c>
      <c r="AY227" s="75" t="s">
        <v>2</v>
      </c>
      <c r="AZ227" s="77" t="s">
        <v>2</v>
      </c>
      <c r="BA227" s="6" t="s">
        <v>2</v>
      </c>
      <c r="BB227" s="75" t="s">
        <v>2</v>
      </c>
      <c r="BC227" s="75" t="s">
        <v>2</v>
      </c>
      <c r="BD227" s="75" t="s">
        <v>2</v>
      </c>
      <c r="BE227" s="75" t="s">
        <v>2</v>
      </c>
      <c r="BF227" s="77" t="s">
        <v>2</v>
      </c>
      <c r="BG227" s="21" t="s">
        <v>2</v>
      </c>
      <c r="BH227" s="21">
        <v>0</v>
      </c>
      <c r="BI227" s="73" t="s">
        <v>2</v>
      </c>
      <c r="BJ227" s="73" t="s">
        <v>2</v>
      </c>
      <c r="BK227" s="73" t="s">
        <v>2</v>
      </c>
      <c r="BL227" s="73" t="s">
        <v>2</v>
      </c>
      <c r="BM227" s="73" t="s">
        <v>2</v>
      </c>
      <c r="BN227" s="73" t="s">
        <v>2</v>
      </c>
      <c r="BO227" s="73" t="s">
        <v>2</v>
      </c>
      <c r="BP227" s="73" t="s">
        <v>2</v>
      </c>
      <c r="BQ227" s="73" t="s">
        <v>2</v>
      </c>
      <c r="BR227" s="73" t="s">
        <v>2</v>
      </c>
      <c r="BS227" s="73" t="s">
        <v>2</v>
      </c>
      <c r="BT227" s="73" t="s">
        <v>2</v>
      </c>
      <c r="BU227" s="73" t="s">
        <v>2</v>
      </c>
      <c r="BV227" s="73" t="s">
        <v>2</v>
      </c>
      <c r="BW227" s="73" t="s">
        <v>2</v>
      </c>
      <c r="BX227" s="73" t="s">
        <v>2</v>
      </c>
      <c r="BY227" s="73" t="s">
        <v>2</v>
      </c>
      <c r="BZ227" s="71" t="s">
        <v>2</v>
      </c>
      <c r="CA227" s="6" t="s">
        <v>2</v>
      </c>
      <c r="CB227" s="6" t="s">
        <v>2</v>
      </c>
      <c r="CC227" s="6" t="s">
        <v>2</v>
      </c>
      <c r="CD227" s="6" t="s">
        <v>2</v>
      </c>
      <c r="CE227" s="6" t="s">
        <v>2</v>
      </c>
      <c r="CF227" s="6" t="s">
        <v>2</v>
      </c>
      <c r="CG227" s="22" t="s">
        <v>2</v>
      </c>
      <c r="CH227" s="73" t="s">
        <v>2</v>
      </c>
      <c r="CI227" s="71" t="s">
        <v>2</v>
      </c>
      <c r="CJ227" s="6" t="s">
        <v>2</v>
      </c>
      <c r="CK227" s="6" t="s">
        <v>2</v>
      </c>
      <c r="CL227" s="6" t="s">
        <v>2</v>
      </c>
      <c r="CM227" s="22" t="s">
        <v>2</v>
      </c>
      <c r="CN227" s="21" t="s">
        <v>2</v>
      </c>
      <c r="CO227" s="21" t="s">
        <v>2</v>
      </c>
    </row>
    <row r="228" spans="1:93" s="102" customFormat="1" x14ac:dyDescent="0.25">
      <c r="A228" s="107" t="s">
        <v>863</v>
      </c>
      <c r="B228" s="54" t="s">
        <v>1047</v>
      </c>
      <c r="C228" s="5" t="s">
        <v>1098</v>
      </c>
      <c r="D228" s="287">
        <v>5</v>
      </c>
      <c r="E228" s="21">
        <v>40</v>
      </c>
      <c r="F228" s="73">
        <v>40</v>
      </c>
      <c r="G228" s="71">
        <v>167.2</v>
      </c>
      <c r="H228" s="83">
        <v>89.7</v>
      </c>
      <c r="I228" s="6">
        <v>0.5</v>
      </c>
      <c r="J228" s="6">
        <v>7.0000000000000007E-2</v>
      </c>
      <c r="K228" s="6">
        <v>9.23</v>
      </c>
      <c r="L228" s="6">
        <v>0.4</v>
      </c>
      <c r="M228" s="22">
        <v>0.5</v>
      </c>
      <c r="N228" s="73">
        <v>32</v>
      </c>
      <c r="O228" s="73">
        <v>11</v>
      </c>
      <c r="P228" s="6">
        <v>0.3</v>
      </c>
      <c r="Q228" s="6">
        <v>0.1</v>
      </c>
      <c r="R228" s="73">
        <v>1</v>
      </c>
      <c r="S228" s="73">
        <v>115</v>
      </c>
      <c r="T228" s="73">
        <v>12</v>
      </c>
      <c r="U228" s="75">
        <v>1.177</v>
      </c>
      <c r="V228" s="75">
        <v>99</v>
      </c>
      <c r="W228" s="22">
        <v>0.1</v>
      </c>
      <c r="X228" s="6">
        <v>26</v>
      </c>
      <c r="Y228" s="75">
        <v>0.08</v>
      </c>
      <c r="Z228" s="75">
        <v>0.03</v>
      </c>
      <c r="AA228" s="75">
        <v>0.2</v>
      </c>
      <c r="AB228" s="75">
        <v>0.20499999999999999</v>
      </c>
      <c r="AC228" s="75">
        <v>0.11</v>
      </c>
      <c r="AD228" s="73">
        <v>15</v>
      </c>
      <c r="AE228" s="73">
        <v>0</v>
      </c>
      <c r="AF228" s="6" t="s">
        <v>2</v>
      </c>
      <c r="AG228" s="22">
        <v>0</v>
      </c>
      <c r="AH228" s="73">
        <v>0</v>
      </c>
      <c r="AI228" s="73">
        <v>3</v>
      </c>
      <c r="AJ228" s="6" t="s">
        <v>2</v>
      </c>
      <c r="AK228" s="6">
        <v>0.02</v>
      </c>
      <c r="AL228" s="22">
        <v>0.7</v>
      </c>
      <c r="AM228" s="73">
        <v>34</v>
      </c>
      <c r="AN228" s="73">
        <v>0</v>
      </c>
      <c r="AO228" s="71">
        <v>0</v>
      </c>
      <c r="AP228" s="6">
        <v>8.9999999999999993E-3</v>
      </c>
      <c r="AQ228" s="75">
        <v>5.0000000000000001E-3</v>
      </c>
      <c r="AR228" s="75">
        <v>0</v>
      </c>
      <c r="AS228" s="75">
        <v>3.0000000000000001E-3</v>
      </c>
      <c r="AT228" s="75">
        <v>0</v>
      </c>
      <c r="AU228" s="75">
        <v>0</v>
      </c>
      <c r="AV228" s="77">
        <v>0</v>
      </c>
      <c r="AW228" s="6">
        <v>1.4E-2</v>
      </c>
      <c r="AX228" s="75">
        <v>0</v>
      </c>
      <c r="AY228" s="75">
        <v>1E-3</v>
      </c>
      <c r="AZ228" s="77">
        <v>1.2999999999999999E-2</v>
      </c>
      <c r="BA228" s="6">
        <v>4.2000000000000003E-2</v>
      </c>
      <c r="BB228" s="75">
        <v>2.4E-2</v>
      </c>
      <c r="BC228" s="75">
        <v>1.8E-3</v>
      </c>
      <c r="BD228" s="75">
        <v>0</v>
      </c>
      <c r="BE228" s="75">
        <v>0</v>
      </c>
      <c r="BF228" s="77">
        <v>0</v>
      </c>
      <c r="BG228" s="21" t="s">
        <v>2</v>
      </c>
      <c r="BH228" s="21">
        <v>0</v>
      </c>
      <c r="BI228" s="73">
        <v>24</v>
      </c>
      <c r="BJ228" s="73">
        <v>12</v>
      </c>
      <c r="BK228" s="73">
        <v>5</v>
      </c>
      <c r="BL228" s="73">
        <v>21</v>
      </c>
      <c r="BM228" s="73">
        <v>19</v>
      </c>
      <c r="BN228" s="73">
        <v>24</v>
      </c>
      <c r="BO228" s="73">
        <v>24</v>
      </c>
      <c r="BP228" s="73">
        <v>19</v>
      </c>
      <c r="BQ228" s="73">
        <v>19</v>
      </c>
      <c r="BR228" s="73">
        <v>10</v>
      </c>
      <c r="BS228" s="73">
        <v>14</v>
      </c>
      <c r="BT228" s="73">
        <v>19</v>
      </c>
      <c r="BU228" s="73">
        <v>33</v>
      </c>
      <c r="BV228" s="73">
        <v>121</v>
      </c>
      <c r="BW228" s="73">
        <v>79</v>
      </c>
      <c r="BX228" s="73">
        <v>24</v>
      </c>
      <c r="BY228" s="73">
        <v>17</v>
      </c>
      <c r="BZ228" s="71">
        <v>35</v>
      </c>
      <c r="CA228" s="6">
        <v>9.26</v>
      </c>
      <c r="CB228" s="6">
        <v>0</v>
      </c>
      <c r="CC228" s="6">
        <v>0</v>
      </c>
      <c r="CD228" s="6">
        <v>0</v>
      </c>
      <c r="CE228" s="6">
        <v>2.0499999999999998</v>
      </c>
      <c r="CF228" s="6">
        <v>1.74</v>
      </c>
      <c r="CG228" s="22">
        <v>5.47</v>
      </c>
      <c r="CH228" s="73">
        <v>0</v>
      </c>
      <c r="CI228" s="71">
        <v>0</v>
      </c>
      <c r="CJ228" s="6" t="s">
        <v>2</v>
      </c>
      <c r="CK228" s="6" t="s">
        <v>2</v>
      </c>
      <c r="CL228" s="6" t="s">
        <v>2</v>
      </c>
      <c r="CM228" s="22" t="s">
        <v>2</v>
      </c>
      <c r="CN228" s="21">
        <v>6</v>
      </c>
      <c r="CO228" s="21">
        <v>19</v>
      </c>
    </row>
    <row r="229" spans="1:93" s="102" customFormat="1" x14ac:dyDescent="0.25">
      <c r="A229" s="107" t="s">
        <v>864</v>
      </c>
      <c r="B229" s="54" t="s">
        <v>76</v>
      </c>
      <c r="C229" s="5" t="s">
        <v>1048</v>
      </c>
      <c r="D229" s="287">
        <v>5</v>
      </c>
      <c r="E229" s="21">
        <v>12</v>
      </c>
      <c r="F229" s="73">
        <v>37</v>
      </c>
      <c r="G229" s="71">
        <v>154.66</v>
      </c>
      <c r="H229" s="83">
        <v>90.5</v>
      </c>
      <c r="I229" s="6">
        <v>0.9</v>
      </c>
      <c r="J229" s="6">
        <v>0.2</v>
      </c>
      <c r="K229" s="6">
        <v>7.8</v>
      </c>
      <c r="L229" s="6">
        <v>1.5</v>
      </c>
      <c r="M229" s="22">
        <v>0.6</v>
      </c>
      <c r="N229" s="73">
        <v>20</v>
      </c>
      <c r="O229" s="73">
        <v>34</v>
      </c>
      <c r="P229" s="6">
        <v>0.45</v>
      </c>
      <c r="Q229" s="6">
        <v>0.17</v>
      </c>
      <c r="R229" s="73">
        <v>0</v>
      </c>
      <c r="S229" s="73">
        <v>190</v>
      </c>
      <c r="T229" s="73">
        <v>9</v>
      </c>
      <c r="U229" s="75">
        <v>6.0999999999999999E-2</v>
      </c>
      <c r="V229" s="75">
        <v>68</v>
      </c>
      <c r="W229" s="22">
        <v>0.1</v>
      </c>
      <c r="X229" s="6">
        <v>10</v>
      </c>
      <c r="Y229" s="75">
        <v>0.02</v>
      </c>
      <c r="Z229" s="75">
        <v>0.05</v>
      </c>
      <c r="AA229" s="75">
        <v>0.9</v>
      </c>
      <c r="AB229" s="75">
        <v>0.153</v>
      </c>
      <c r="AC229" s="75">
        <v>2.5000000000000001E-2</v>
      </c>
      <c r="AD229" s="73">
        <v>4</v>
      </c>
      <c r="AE229" s="73">
        <v>0</v>
      </c>
      <c r="AF229" s="6">
        <v>0.2</v>
      </c>
      <c r="AG229" s="22">
        <v>0</v>
      </c>
      <c r="AH229" s="73">
        <v>0</v>
      </c>
      <c r="AI229" s="73">
        <v>16</v>
      </c>
      <c r="AJ229" s="6" t="s">
        <v>2</v>
      </c>
      <c r="AK229" s="6">
        <v>0.73</v>
      </c>
      <c r="AL229" s="22">
        <v>2.6</v>
      </c>
      <c r="AM229" s="73">
        <v>162</v>
      </c>
      <c r="AN229" s="73">
        <v>0</v>
      </c>
      <c r="AO229" s="71">
        <v>67</v>
      </c>
      <c r="AP229" s="6">
        <v>1.9E-2</v>
      </c>
      <c r="AQ229" s="75">
        <v>1.7000000000000001E-2</v>
      </c>
      <c r="AR229" s="75">
        <v>0</v>
      </c>
      <c r="AS229" s="75">
        <v>2E-3</v>
      </c>
      <c r="AT229" s="75">
        <v>0</v>
      </c>
      <c r="AU229" s="75">
        <v>0</v>
      </c>
      <c r="AV229" s="77">
        <v>0</v>
      </c>
      <c r="AW229" s="6">
        <v>6.7000000000000004E-2</v>
      </c>
      <c r="AX229" s="75">
        <v>0</v>
      </c>
      <c r="AY229" s="75">
        <v>2E-3</v>
      </c>
      <c r="AZ229" s="77">
        <v>6.5000000000000002E-2</v>
      </c>
      <c r="BA229" s="6">
        <v>8.5999999999999993E-2</v>
      </c>
      <c r="BB229" s="75">
        <v>8.4000000000000005E-2</v>
      </c>
      <c r="BC229" s="75">
        <v>2E-3</v>
      </c>
      <c r="BD229" s="75">
        <v>0</v>
      </c>
      <c r="BE229" s="75">
        <v>0</v>
      </c>
      <c r="BF229" s="77">
        <v>0</v>
      </c>
      <c r="BG229" s="21" t="s">
        <v>2</v>
      </c>
      <c r="BH229" s="21">
        <v>0</v>
      </c>
      <c r="BI229" s="73">
        <v>48</v>
      </c>
      <c r="BJ229" s="73">
        <v>50</v>
      </c>
      <c r="BK229" s="73">
        <v>6</v>
      </c>
      <c r="BL229" s="73">
        <v>29</v>
      </c>
      <c r="BM229" s="73">
        <v>44</v>
      </c>
      <c r="BN229" s="73">
        <v>64</v>
      </c>
      <c r="BO229" s="73">
        <v>46</v>
      </c>
      <c r="BP229" s="73">
        <v>21</v>
      </c>
      <c r="BQ229" s="73">
        <v>27</v>
      </c>
      <c r="BR229" s="73">
        <v>27</v>
      </c>
      <c r="BS229" s="73">
        <v>14</v>
      </c>
      <c r="BT229" s="73">
        <v>33</v>
      </c>
      <c r="BU229" s="73">
        <v>64</v>
      </c>
      <c r="BV229" s="73">
        <v>148</v>
      </c>
      <c r="BW229" s="73">
        <v>229</v>
      </c>
      <c r="BX229" s="73">
        <v>25</v>
      </c>
      <c r="BY229" s="73">
        <v>44</v>
      </c>
      <c r="BZ229" s="71">
        <v>54</v>
      </c>
      <c r="CA229" s="6">
        <v>8.39</v>
      </c>
      <c r="CB229" s="6">
        <v>0.06</v>
      </c>
      <c r="CC229" s="6">
        <v>0.08</v>
      </c>
      <c r="CD229" s="6">
        <v>0</v>
      </c>
      <c r="CE229" s="6">
        <v>1.53</v>
      </c>
      <c r="CF229" s="6">
        <v>1.95</v>
      </c>
      <c r="CG229" s="22">
        <v>4.76</v>
      </c>
      <c r="CH229" s="73">
        <v>0</v>
      </c>
      <c r="CI229" s="71">
        <v>91</v>
      </c>
      <c r="CJ229" s="6" t="s">
        <v>2</v>
      </c>
      <c r="CK229" s="6" t="s">
        <v>2</v>
      </c>
      <c r="CL229" s="6" t="s">
        <v>2</v>
      </c>
      <c r="CM229" s="22" t="s">
        <v>2</v>
      </c>
      <c r="CN229" s="21">
        <v>10</v>
      </c>
      <c r="CO229" s="21">
        <v>21</v>
      </c>
    </row>
    <row r="230" spans="1:93" s="102" customFormat="1" x14ac:dyDescent="0.25">
      <c r="A230" s="107" t="s">
        <v>865</v>
      </c>
      <c r="B230" s="54" t="s">
        <v>77</v>
      </c>
      <c r="C230" s="82" t="s">
        <v>1099</v>
      </c>
      <c r="D230" s="287">
        <v>5</v>
      </c>
      <c r="E230" s="21">
        <v>12</v>
      </c>
      <c r="F230" s="73">
        <v>38</v>
      </c>
      <c r="G230" s="71">
        <v>158.83999999999997</v>
      </c>
      <c r="H230" s="83">
        <v>90.1</v>
      </c>
      <c r="I230" s="6">
        <v>1</v>
      </c>
      <c r="J230" s="6">
        <v>0.1</v>
      </c>
      <c r="K230" s="6">
        <v>8.19</v>
      </c>
      <c r="L230" s="6">
        <v>0.6</v>
      </c>
      <c r="M230" s="22">
        <v>0.6</v>
      </c>
      <c r="N230" s="73">
        <v>40</v>
      </c>
      <c r="O230" s="73">
        <v>32</v>
      </c>
      <c r="P230" s="6">
        <v>2.6</v>
      </c>
      <c r="Q230" s="6">
        <v>0.1</v>
      </c>
      <c r="R230" s="73">
        <v>4</v>
      </c>
      <c r="S230" s="73">
        <v>221</v>
      </c>
      <c r="T230" s="73">
        <v>8</v>
      </c>
      <c r="U230" s="75">
        <v>0.84</v>
      </c>
      <c r="V230" s="75">
        <v>40</v>
      </c>
      <c r="W230" s="22">
        <v>0.6</v>
      </c>
      <c r="X230" s="6">
        <v>54</v>
      </c>
      <c r="Y230" s="75">
        <v>0.02</v>
      </c>
      <c r="Z230" s="75">
        <v>0.02</v>
      </c>
      <c r="AA230" s="75">
        <v>0.4</v>
      </c>
      <c r="AB230" s="75">
        <v>0.218</v>
      </c>
      <c r="AC230" s="75">
        <v>1.9E-2</v>
      </c>
      <c r="AD230" s="73">
        <v>38</v>
      </c>
      <c r="AE230" s="73">
        <v>0</v>
      </c>
      <c r="AF230" s="6" t="s">
        <v>2</v>
      </c>
      <c r="AG230" s="22">
        <v>0</v>
      </c>
      <c r="AH230" s="73">
        <v>0</v>
      </c>
      <c r="AI230" s="73">
        <v>56</v>
      </c>
      <c r="AJ230" s="6" t="s">
        <v>2</v>
      </c>
      <c r="AK230" s="6">
        <v>0.73</v>
      </c>
      <c r="AL230" s="22">
        <v>2.6</v>
      </c>
      <c r="AM230" s="73">
        <v>265</v>
      </c>
      <c r="AN230" s="73">
        <v>48</v>
      </c>
      <c r="AO230" s="71">
        <v>761</v>
      </c>
      <c r="AP230" s="6">
        <v>4.2999999999999997E-2</v>
      </c>
      <c r="AQ230" s="75">
        <v>3.2000000000000001E-2</v>
      </c>
      <c r="AR230" s="75">
        <v>0</v>
      </c>
      <c r="AS230" s="75">
        <v>2E-3</v>
      </c>
      <c r="AT230" s="75">
        <v>0</v>
      </c>
      <c r="AU230" s="75">
        <v>0</v>
      </c>
      <c r="AV230" s="77">
        <v>0</v>
      </c>
      <c r="AW230" s="6">
        <v>3.7999999999999999E-2</v>
      </c>
      <c r="AX230" s="75">
        <v>0</v>
      </c>
      <c r="AY230" s="75">
        <v>0.02</v>
      </c>
      <c r="AZ230" s="77">
        <v>1.7999999999999999E-2</v>
      </c>
      <c r="BA230" s="6">
        <v>3.1E-2</v>
      </c>
      <c r="BB230" s="75">
        <v>6.0000000000000001E-3</v>
      </c>
      <c r="BC230" s="75">
        <v>2.5000000000000001E-2</v>
      </c>
      <c r="BD230" s="75">
        <v>0</v>
      </c>
      <c r="BE230" s="75">
        <v>0</v>
      </c>
      <c r="BF230" s="77">
        <v>0</v>
      </c>
      <c r="BG230" s="21" t="s">
        <v>2</v>
      </c>
      <c r="BH230" s="21">
        <v>0</v>
      </c>
      <c r="BI230" s="73">
        <v>25</v>
      </c>
      <c r="BJ230" s="73">
        <v>2</v>
      </c>
      <c r="BK230" s="73">
        <v>8</v>
      </c>
      <c r="BL230" s="73">
        <v>9</v>
      </c>
      <c r="BM230" s="73">
        <v>11</v>
      </c>
      <c r="BN230" s="73">
        <v>10</v>
      </c>
      <c r="BO230" s="73">
        <v>16</v>
      </c>
      <c r="BP230" s="73">
        <v>8</v>
      </c>
      <c r="BQ230" s="73">
        <v>10</v>
      </c>
      <c r="BR230" s="73">
        <v>5</v>
      </c>
      <c r="BS230" s="73" t="s">
        <v>2</v>
      </c>
      <c r="BT230" s="73">
        <v>5</v>
      </c>
      <c r="BU230" s="73">
        <v>14</v>
      </c>
      <c r="BV230" s="73">
        <v>49</v>
      </c>
      <c r="BW230" s="73">
        <v>33</v>
      </c>
      <c r="BX230" s="73">
        <v>18</v>
      </c>
      <c r="BY230" s="73">
        <v>10</v>
      </c>
      <c r="BZ230" s="71">
        <v>15</v>
      </c>
      <c r="CA230" s="6">
        <v>5.9</v>
      </c>
      <c r="CB230" s="6" t="s">
        <v>2</v>
      </c>
      <c r="CC230" s="6" t="s">
        <v>2</v>
      </c>
      <c r="CD230" s="6" t="s">
        <v>2</v>
      </c>
      <c r="CE230" s="6" t="s">
        <v>2</v>
      </c>
      <c r="CF230" s="6" t="s">
        <v>2</v>
      </c>
      <c r="CG230" s="22" t="s">
        <v>2</v>
      </c>
      <c r="CH230" s="73">
        <v>0</v>
      </c>
      <c r="CI230" s="71">
        <v>4</v>
      </c>
      <c r="CJ230" s="6" t="s">
        <v>2</v>
      </c>
      <c r="CK230" s="6" t="s">
        <v>2</v>
      </c>
      <c r="CL230" s="6" t="s">
        <v>2</v>
      </c>
      <c r="CM230" s="22" t="s">
        <v>2</v>
      </c>
      <c r="CN230" s="21" t="s">
        <v>2</v>
      </c>
      <c r="CO230" s="21" t="s">
        <v>2</v>
      </c>
    </row>
    <row r="231" spans="1:93" s="102" customFormat="1" x14ac:dyDescent="0.25">
      <c r="A231" s="107" t="s">
        <v>866</v>
      </c>
      <c r="B231" s="54" t="s">
        <v>78</v>
      </c>
      <c r="C231" s="5" t="s">
        <v>1100</v>
      </c>
      <c r="D231" s="287">
        <v>5</v>
      </c>
      <c r="E231" s="21">
        <v>19</v>
      </c>
      <c r="F231" s="73">
        <v>27</v>
      </c>
      <c r="G231" s="71">
        <v>112.85999999999999</v>
      </c>
      <c r="H231" s="83">
        <v>93</v>
      </c>
      <c r="I231" s="6">
        <v>0.4</v>
      </c>
      <c r="J231" s="6">
        <v>0.3</v>
      </c>
      <c r="K231" s="6">
        <v>6.4</v>
      </c>
      <c r="L231" s="6">
        <v>2.9</v>
      </c>
      <c r="M231" s="22">
        <v>0.2</v>
      </c>
      <c r="N231" s="73">
        <v>12</v>
      </c>
      <c r="O231" s="73">
        <v>6</v>
      </c>
      <c r="P231" s="6">
        <v>0.5</v>
      </c>
      <c r="Q231" s="6">
        <v>0.06</v>
      </c>
      <c r="R231" s="73">
        <v>0</v>
      </c>
      <c r="S231" s="73">
        <v>123</v>
      </c>
      <c r="T231" s="73">
        <v>5</v>
      </c>
      <c r="U231" s="75">
        <v>2.9000000000000001E-2</v>
      </c>
      <c r="V231" s="75">
        <v>16</v>
      </c>
      <c r="W231" s="22" t="s">
        <v>2</v>
      </c>
      <c r="X231" s="6">
        <v>30</v>
      </c>
      <c r="Y231" s="75">
        <v>0.03</v>
      </c>
      <c r="Z231" s="75">
        <v>0.02</v>
      </c>
      <c r="AA231" s="75">
        <v>0.2</v>
      </c>
      <c r="AB231" s="75" t="s">
        <v>2</v>
      </c>
      <c r="AC231" s="75" t="s">
        <v>2</v>
      </c>
      <c r="AD231" s="73" t="s">
        <v>2</v>
      </c>
      <c r="AE231" s="73" t="s">
        <v>2</v>
      </c>
      <c r="AF231" s="6" t="s">
        <v>2</v>
      </c>
      <c r="AG231" s="22">
        <v>0</v>
      </c>
      <c r="AH231" s="73">
        <v>0</v>
      </c>
      <c r="AI231" s="73">
        <v>0</v>
      </c>
      <c r="AJ231" s="6" t="s">
        <v>2</v>
      </c>
      <c r="AK231" s="6" t="s">
        <v>2</v>
      </c>
      <c r="AL231" s="22" t="s">
        <v>2</v>
      </c>
      <c r="AM231" s="73" t="s">
        <v>2</v>
      </c>
      <c r="AN231" s="73" t="s">
        <v>2</v>
      </c>
      <c r="AO231" s="71" t="s">
        <v>2</v>
      </c>
      <c r="AP231" s="6" t="s">
        <v>2</v>
      </c>
      <c r="AQ231" s="75" t="s">
        <v>2</v>
      </c>
      <c r="AR231" s="75" t="s">
        <v>2</v>
      </c>
      <c r="AS231" s="75" t="s">
        <v>2</v>
      </c>
      <c r="AT231" s="75" t="s">
        <v>2</v>
      </c>
      <c r="AU231" s="75" t="s">
        <v>2</v>
      </c>
      <c r="AV231" s="77" t="s">
        <v>2</v>
      </c>
      <c r="AW231" s="6" t="s">
        <v>2</v>
      </c>
      <c r="AX231" s="75" t="s">
        <v>2</v>
      </c>
      <c r="AY231" s="75" t="s">
        <v>2</v>
      </c>
      <c r="AZ231" s="77" t="s">
        <v>2</v>
      </c>
      <c r="BA231" s="6" t="s">
        <v>2</v>
      </c>
      <c r="BB231" s="75" t="s">
        <v>2</v>
      </c>
      <c r="BC231" s="75" t="s">
        <v>2</v>
      </c>
      <c r="BD231" s="75" t="s">
        <v>2</v>
      </c>
      <c r="BE231" s="75" t="s">
        <v>2</v>
      </c>
      <c r="BF231" s="77" t="s">
        <v>2</v>
      </c>
      <c r="BG231" s="21" t="s">
        <v>2</v>
      </c>
      <c r="BH231" s="21">
        <v>0</v>
      </c>
      <c r="BI231" s="73" t="s">
        <v>2</v>
      </c>
      <c r="BJ231" s="73" t="s">
        <v>2</v>
      </c>
      <c r="BK231" s="73" t="s">
        <v>2</v>
      </c>
      <c r="BL231" s="73" t="s">
        <v>2</v>
      </c>
      <c r="BM231" s="73" t="s">
        <v>2</v>
      </c>
      <c r="BN231" s="73" t="s">
        <v>2</v>
      </c>
      <c r="BO231" s="73" t="s">
        <v>2</v>
      </c>
      <c r="BP231" s="73" t="s">
        <v>2</v>
      </c>
      <c r="BQ231" s="73" t="s">
        <v>2</v>
      </c>
      <c r="BR231" s="73" t="s">
        <v>2</v>
      </c>
      <c r="BS231" s="73" t="s">
        <v>2</v>
      </c>
      <c r="BT231" s="73" t="s">
        <v>2</v>
      </c>
      <c r="BU231" s="73" t="s">
        <v>2</v>
      </c>
      <c r="BV231" s="73" t="s">
        <v>2</v>
      </c>
      <c r="BW231" s="73" t="s">
        <v>2</v>
      </c>
      <c r="BX231" s="73" t="s">
        <v>2</v>
      </c>
      <c r="BY231" s="73" t="s">
        <v>2</v>
      </c>
      <c r="BZ231" s="71" t="s">
        <v>2</v>
      </c>
      <c r="CA231" s="6" t="s">
        <v>2</v>
      </c>
      <c r="CB231" s="6" t="s">
        <v>2</v>
      </c>
      <c r="CC231" s="6" t="s">
        <v>2</v>
      </c>
      <c r="CD231" s="6" t="s">
        <v>2</v>
      </c>
      <c r="CE231" s="6" t="s">
        <v>2</v>
      </c>
      <c r="CF231" s="6" t="s">
        <v>2</v>
      </c>
      <c r="CG231" s="22" t="s">
        <v>2</v>
      </c>
      <c r="CH231" s="73" t="s">
        <v>2</v>
      </c>
      <c r="CI231" s="71" t="s">
        <v>2</v>
      </c>
      <c r="CJ231" s="6" t="s">
        <v>2</v>
      </c>
      <c r="CK231" s="6" t="s">
        <v>2</v>
      </c>
      <c r="CL231" s="6" t="s">
        <v>2</v>
      </c>
      <c r="CM231" s="22" t="s">
        <v>2</v>
      </c>
      <c r="CN231" s="21" t="s">
        <v>2</v>
      </c>
      <c r="CO231" s="21" t="s">
        <v>2</v>
      </c>
    </row>
    <row r="232" spans="1:93" s="102" customFormat="1" x14ac:dyDescent="0.25">
      <c r="A232" s="107" t="s">
        <v>867</v>
      </c>
      <c r="B232" s="54" t="s">
        <v>79</v>
      </c>
      <c r="C232" s="5" t="s">
        <v>1049</v>
      </c>
      <c r="D232" s="287">
        <v>5</v>
      </c>
      <c r="E232" s="21">
        <v>46</v>
      </c>
      <c r="F232" s="73">
        <v>44</v>
      </c>
      <c r="G232" s="71">
        <v>183.92</v>
      </c>
      <c r="H232" s="83">
        <v>88.2</v>
      </c>
      <c r="I232" s="6">
        <v>1.4</v>
      </c>
      <c r="J232" s="6" t="s">
        <v>2</v>
      </c>
      <c r="K232" s="6">
        <v>9.6</v>
      </c>
      <c r="L232" s="6">
        <v>2.4</v>
      </c>
      <c r="M232" s="22">
        <v>0.8</v>
      </c>
      <c r="N232" s="73">
        <v>48</v>
      </c>
      <c r="O232" s="73">
        <v>9</v>
      </c>
      <c r="P232" s="6">
        <v>0.4</v>
      </c>
      <c r="Q232" s="6" t="s">
        <v>2</v>
      </c>
      <c r="R232" s="73" t="s">
        <v>2</v>
      </c>
      <c r="S232" s="73" t="s">
        <v>2</v>
      </c>
      <c r="T232" s="73" t="s">
        <v>2</v>
      </c>
      <c r="U232" s="75" t="s">
        <v>2</v>
      </c>
      <c r="V232" s="75" t="s">
        <v>2</v>
      </c>
      <c r="W232" s="22" t="s">
        <v>2</v>
      </c>
      <c r="X232" s="6">
        <v>24</v>
      </c>
      <c r="Y232" s="75">
        <v>0.02</v>
      </c>
      <c r="Z232" s="75">
        <v>0.11</v>
      </c>
      <c r="AA232" s="75">
        <v>3.3</v>
      </c>
      <c r="AB232" s="75" t="s">
        <v>2</v>
      </c>
      <c r="AC232" s="75" t="s">
        <v>2</v>
      </c>
      <c r="AD232" s="73" t="s">
        <v>2</v>
      </c>
      <c r="AE232" s="73" t="s">
        <v>2</v>
      </c>
      <c r="AF232" s="6" t="s">
        <v>2</v>
      </c>
      <c r="AG232" s="22" t="s">
        <v>2</v>
      </c>
      <c r="AH232" s="73">
        <v>0</v>
      </c>
      <c r="AI232" s="73">
        <v>0</v>
      </c>
      <c r="AJ232" s="6" t="s">
        <v>2</v>
      </c>
      <c r="AK232" s="6" t="s">
        <v>2</v>
      </c>
      <c r="AL232" s="22" t="s">
        <v>2</v>
      </c>
      <c r="AM232" s="73" t="s">
        <v>2</v>
      </c>
      <c r="AN232" s="73" t="s">
        <v>2</v>
      </c>
      <c r="AO232" s="71" t="s">
        <v>2</v>
      </c>
      <c r="AP232" s="6" t="s">
        <v>2</v>
      </c>
      <c r="AQ232" s="75" t="s">
        <v>2</v>
      </c>
      <c r="AR232" s="75" t="s">
        <v>2</v>
      </c>
      <c r="AS232" s="75" t="s">
        <v>2</v>
      </c>
      <c r="AT232" s="75" t="s">
        <v>2</v>
      </c>
      <c r="AU232" s="75" t="s">
        <v>2</v>
      </c>
      <c r="AV232" s="77" t="s">
        <v>2</v>
      </c>
      <c r="AW232" s="6" t="s">
        <v>2</v>
      </c>
      <c r="AX232" s="75" t="s">
        <v>2</v>
      </c>
      <c r="AY232" s="75" t="s">
        <v>2</v>
      </c>
      <c r="AZ232" s="77" t="s">
        <v>2</v>
      </c>
      <c r="BA232" s="6" t="s">
        <v>2</v>
      </c>
      <c r="BB232" s="75" t="s">
        <v>2</v>
      </c>
      <c r="BC232" s="75" t="s">
        <v>2</v>
      </c>
      <c r="BD232" s="75" t="s">
        <v>2</v>
      </c>
      <c r="BE232" s="75" t="s">
        <v>2</v>
      </c>
      <c r="BF232" s="77" t="s">
        <v>2</v>
      </c>
      <c r="BG232" s="21" t="s">
        <v>2</v>
      </c>
      <c r="BH232" s="21">
        <v>0</v>
      </c>
      <c r="BI232" s="73" t="s">
        <v>2</v>
      </c>
      <c r="BJ232" s="73" t="s">
        <v>2</v>
      </c>
      <c r="BK232" s="73" t="s">
        <v>2</v>
      </c>
      <c r="BL232" s="73" t="s">
        <v>2</v>
      </c>
      <c r="BM232" s="73" t="s">
        <v>2</v>
      </c>
      <c r="BN232" s="73" t="s">
        <v>2</v>
      </c>
      <c r="BO232" s="73" t="s">
        <v>2</v>
      </c>
      <c r="BP232" s="73" t="s">
        <v>2</v>
      </c>
      <c r="BQ232" s="73" t="s">
        <v>2</v>
      </c>
      <c r="BR232" s="73" t="s">
        <v>2</v>
      </c>
      <c r="BS232" s="73" t="s">
        <v>2</v>
      </c>
      <c r="BT232" s="73" t="s">
        <v>2</v>
      </c>
      <c r="BU232" s="73" t="s">
        <v>2</v>
      </c>
      <c r="BV232" s="73" t="s">
        <v>2</v>
      </c>
      <c r="BW232" s="73" t="s">
        <v>2</v>
      </c>
      <c r="BX232" s="73" t="s">
        <v>2</v>
      </c>
      <c r="BY232" s="73" t="s">
        <v>2</v>
      </c>
      <c r="BZ232" s="71" t="s">
        <v>2</v>
      </c>
      <c r="CA232" s="6" t="s">
        <v>2</v>
      </c>
      <c r="CB232" s="6" t="s">
        <v>2</v>
      </c>
      <c r="CC232" s="6" t="s">
        <v>2</v>
      </c>
      <c r="CD232" s="6" t="s">
        <v>2</v>
      </c>
      <c r="CE232" s="6" t="s">
        <v>2</v>
      </c>
      <c r="CF232" s="6" t="s">
        <v>2</v>
      </c>
      <c r="CG232" s="22" t="s">
        <v>2</v>
      </c>
      <c r="CH232" s="73" t="s">
        <v>2</v>
      </c>
      <c r="CI232" s="71" t="s">
        <v>2</v>
      </c>
      <c r="CJ232" s="6" t="s">
        <v>2</v>
      </c>
      <c r="CK232" s="6" t="s">
        <v>2</v>
      </c>
      <c r="CL232" s="6" t="s">
        <v>2</v>
      </c>
      <c r="CM232" s="22" t="s">
        <v>2</v>
      </c>
      <c r="CN232" s="21" t="s">
        <v>2</v>
      </c>
      <c r="CO232" s="21" t="s">
        <v>2</v>
      </c>
    </row>
    <row r="233" spans="1:93" s="102" customFormat="1" x14ac:dyDescent="0.25">
      <c r="A233" s="107" t="s">
        <v>868</v>
      </c>
      <c r="B233" s="54" t="s">
        <v>80</v>
      </c>
      <c r="C233" s="5" t="s">
        <v>1101</v>
      </c>
      <c r="D233" s="287">
        <v>5</v>
      </c>
      <c r="E233" s="21">
        <v>12</v>
      </c>
      <c r="F233" s="73">
        <v>38</v>
      </c>
      <c r="G233" s="71">
        <v>158.83999999999997</v>
      </c>
      <c r="H233" s="83">
        <v>90</v>
      </c>
      <c r="I233" s="6">
        <v>0.7</v>
      </c>
      <c r="J233" s="6">
        <v>0.1</v>
      </c>
      <c r="K233" s="6">
        <v>8.6</v>
      </c>
      <c r="L233" s="6">
        <v>2.5</v>
      </c>
      <c r="M233" s="22">
        <v>0.6</v>
      </c>
      <c r="N233" s="73">
        <v>10</v>
      </c>
      <c r="O233" s="73">
        <v>19</v>
      </c>
      <c r="P233" s="6">
        <v>0.2</v>
      </c>
      <c r="Q233" s="6">
        <v>0.19</v>
      </c>
      <c r="R233" s="73">
        <v>4</v>
      </c>
      <c r="S233" s="73">
        <v>214</v>
      </c>
      <c r="T233" s="73">
        <v>9</v>
      </c>
      <c r="U233" s="75">
        <v>1.1200000000000001</v>
      </c>
      <c r="V233" s="75">
        <v>100</v>
      </c>
      <c r="W233" s="22">
        <v>0.6</v>
      </c>
      <c r="X233" s="6">
        <v>16</v>
      </c>
      <c r="Y233" s="75">
        <v>0.01</v>
      </c>
      <c r="Z233" s="75">
        <v>0.02</v>
      </c>
      <c r="AA233" s="75">
        <v>0.2</v>
      </c>
      <c r="AB233" s="75" t="s">
        <v>2</v>
      </c>
      <c r="AC233" s="75">
        <v>0.1</v>
      </c>
      <c r="AD233" s="73">
        <v>8</v>
      </c>
      <c r="AE233" s="73">
        <v>0</v>
      </c>
      <c r="AF233" s="6" t="s">
        <v>2</v>
      </c>
      <c r="AG233" s="22">
        <v>0</v>
      </c>
      <c r="AH233" s="73">
        <v>0</v>
      </c>
      <c r="AI233" s="73">
        <v>81</v>
      </c>
      <c r="AJ233" s="6" t="s">
        <v>2</v>
      </c>
      <c r="AK233" s="6">
        <v>0.73</v>
      </c>
      <c r="AL233" s="22">
        <v>2.6</v>
      </c>
      <c r="AM233" s="73">
        <v>253</v>
      </c>
      <c r="AN233" s="73" t="s">
        <v>2</v>
      </c>
      <c r="AO233" s="71">
        <v>1447</v>
      </c>
      <c r="AP233" s="6">
        <v>0.02</v>
      </c>
      <c r="AQ233" s="75">
        <v>1.6E-2</v>
      </c>
      <c r="AR233" s="75">
        <v>0</v>
      </c>
      <c r="AS233" s="75">
        <v>3.0000000000000001E-3</v>
      </c>
      <c r="AT233" s="75">
        <v>0</v>
      </c>
      <c r="AU233" s="75">
        <v>0</v>
      </c>
      <c r="AV233" s="77">
        <v>0</v>
      </c>
      <c r="AW233" s="6">
        <v>3.6999999999999998E-2</v>
      </c>
      <c r="AX233" s="75">
        <v>0</v>
      </c>
      <c r="AY233" s="75">
        <v>0</v>
      </c>
      <c r="AZ233" s="77">
        <v>3.6999999999999998E-2</v>
      </c>
      <c r="BA233" s="6">
        <v>4.2999999999999997E-2</v>
      </c>
      <c r="BB233" s="75">
        <v>3.9E-2</v>
      </c>
      <c r="BC233" s="75">
        <v>4.0000000000000001E-3</v>
      </c>
      <c r="BD233" s="75">
        <v>0</v>
      </c>
      <c r="BE233" s="75">
        <v>0</v>
      </c>
      <c r="BF233" s="77">
        <v>0</v>
      </c>
      <c r="BG233" s="21" t="s">
        <v>2</v>
      </c>
      <c r="BH233" s="21">
        <v>0</v>
      </c>
      <c r="BI233" s="73">
        <v>32</v>
      </c>
      <c r="BJ233" s="73">
        <v>6</v>
      </c>
      <c r="BK233" s="73">
        <v>11</v>
      </c>
      <c r="BL233" s="73">
        <v>29</v>
      </c>
      <c r="BM233" s="73">
        <v>38</v>
      </c>
      <c r="BN233" s="73">
        <v>29</v>
      </c>
      <c r="BO233" s="73">
        <v>40</v>
      </c>
      <c r="BP233" s="73">
        <v>28</v>
      </c>
      <c r="BQ233" s="73">
        <v>36</v>
      </c>
      <c r="BR233" s="73">
        <v>13</v>
      </c>
      <c r="BS233" s="73">
        <v>14</v>
      </c>
      <c r="BT233" s="73">
        <v>15</v>
      </c>
      <c r="BU233" s="73">
        <v>22</v>
      </c>
      <c r="BV233" s="73">
        <v>52</v>
      </c>
      <c r="BW233" s="73">
        <v>110</v>
      </c>
      <c r="BX233" s="73">
        <v>21</v>
      </c>
      <c r="BY233" s="73">
        <v>19</v>
      </c>
      <c r="BZ233" s="71">
        <v>22</v>
      </c>
      <c r="CA233" s="6">
        <v>12.53</v>
      </c>
      <c r="CB233" s="6" t="s">
        <v>2</v>
      </c>
      <c r="CC233" s="6" t="s">
        <v>2</v>
      </c>
      <c r="CD233" s="6" t="s">
        <v>2</v>
      </c>
      <c r="CE233" s="6">
        <v>5.56</v>
      </c>
      <c r="CF233" s="6">
        <v>5.44</v>
      </c>
      <c r="CG233" s="22">
        <v>1.54</v>
      </c>
      <c r="CH233" s="73">
        <v>158</v>
      </c>
      <c r="CI233" s="71">
        <v>834</v>
      </c>
      <c r="CJ233" s="6" t="s">
        <v>2</v>
      </c>
      <c r="CK233" s="6" t="s">
        <v>2</v>
      </c>
      <c r="CL233" s="6" t="s">
        <v>2</v>
      </c>
      <c r="CM233" s="22" t="s">
        <v>2</v>
      </c>
      <c r="CN233" s="21">
        <v>4</v>
      </c>
      <c r="CO233" s="21" t="s">
        <v>2</v>
      </c>
    </row>
    <row r="234" spans="1:93" s="102" customFormat="1" x14ac:dyDescent="0.25">
      <c r="A234" s="107" t="s">
        <v>869</v>
      </c>
      <c r="B234" s="54" t="s">
        <v>81</v>
      </c>
      <c r="C234" s="82" t="s">
        <v>1050</v>
      </c>
      <c r="D234" s="287">
        <v>5</v>
      </c>
      <c r="E234" s="21">
        <v>13</v>
      </c>
      <c r="F234" s="73">
        <v>48</v>
      </c>
      <c r="G234" s="71">
        <v>200.64</v>
      </c>
      <c r="H234" s="83">
        <v>87.5</v>
      </c>
      <c r="I234" s="6">
        <v>0.9</v>
      </c>
      <c r="J234" s="6" t="s">
        <v>2</v>
      </c>
      <c r="K234" s="6">
        <v>11.1</v>
      </c>
      <c r="L234" s="6">
        <v>2.5</v>
      </c>
      <c r="M234" s="22">
        <v>0.5</v>
      </c>
      <c r="N234" s="73">
        <v>10</v>
      </c>
      <c r="O234" s="73">
        <v>19</v>
      </c>
      <c r="P234" s="6">
        <v>0.2</v>
      </c>
      <c r="Q234" s="6">
        <v>0.22</v>
      </c>
      <c r="R234" s="73">
        <v>3</v>
      </c>
      <c r="S234" s="73">
        <v>217</v>
      </c>
      <c r="T234" s="73" t="s">
        <v>2</v>
      </c>
      <c r="U234" s="75">
        <v>1.22</v>
      </c>
      <c r="V234" s="75">
        <v>100</v>
      </c>
      <c r="W234" s="22" t="s">
        <v>2</v>
      </c>
      <c r="X234" s="6">
        <v>16</v>
      </c>
      <c r="Y234" s="75">
        <v>0.01</v>
      </c>
      <c r="Z234" s="75">
        <v>0.02</v>
      </c>
      <c r="AA234" s="75">
        <v>0.2</v>
      </c>
      <c r="AB234" s="75" t="s">
        <v>2</v>
      </c>
      <c r="AC234" s="75" t="s">
        <v>2</v>
      </c>
      <c r="AD234" s="73" t="s">
        <v>2</v>
      </c>
      <c r="AE234" s="73" t="s">
        <v>2</v>
      </c>
      <c r="AF234" s="6" t="s">
        <v>2</v>
      </c>
      <c r="AG234" s="22" t="s">
        <v>2</v>
      </c>
      <c r="AH234" s="73">
        <v>0</v>
      </c>
      <c r="AI234" s="73">
        <v>135</v>
      </c>
      <c r="AJ234" s="6" t="s">
        <v>2</v>
      </c>
      <c r="AK234" s="6" t="s">
        <v>2</v>
      </c>
      <c r="AL234" s="22" t="s">
        <v>2</v>
      </c>
      <c r="AM234" s="73">
        <v>1615</v>
      </c>
      <c r="AN234" s="73" t="s">
        <v>2</v>
      </c>
      <c r="AO234" s="71" t="s">
        <v>2</v>
      </c>
      <c r="AP234" s="6" t="s">
        <v>2</v>
      </c>
      <c r="AQ234" s="75" t="s">
        <v>2</v>
      </c>
      <c r="AR234" s="75" t="s">
        <v>2</v>
      </c>
      <c r="AS234" s="75" t="s">
        <v>2</v>
      </c>
      <c r="AT234" s="75" t="s">
        <v>2</v>
      </c>
      <c r="AU234" s="75" t="s">
        <v>2</v>
      </c>
      <c r="AV234" s="77" t="s">
        <v>2</v>
      </c>
      <c r="AW234" s="6" t="s">
        <v>2</v>
      </c>
      <c r="AX234" s="75" t="s">
        <v>2</v>
      </c>
      <c r="AY234" s="75" t="s">
        <v>2</v>
      </c>
      <c r="AZ234" s="77" t="s">
        <v>2</v>
      </c>
      <c r="BA234" s="6" t="s">
        <v>2</v>
      </c>
      <c r="BB234" s="75" t="s">
        <v>2</v>
      </c>
      <c r="BC234" s="75" t="s">
        <v>2</v>
      </c>
      <c r="BD234" s="75" t="s">
        <v>2</v>
      </c>
      <c r="BE234" s="75" t="s">
        <v>2</v>
      </c>
      <c r="BF234" s="77" t="s">
        <v>2</v>
      </c>
      <c r="BG234" s="21" t="s">
        <v>2</v>
      </c>
      <c r="BH234" s="21">
        <v>0</v>
      </c>
      <c r="BI234" s="73">
        <v>32</v>
      </c>
      <c r="BJ234" s="73">
        <v>6</v>
      </c>
      <c r="BK234" s="73">
        <v>11</v>
      </c>
      <c r="BL234" s="73">
        <v>29</v>
      </c>
      <c r="BM234" s="73">
        <v>38</v>
      </c>
      <c r="BN234" s="73">
        <v>29</v>
      </c>
      <c r="BO234" s="73">
        <v>40</v>
      </c>
      <c r="BP234" s="73">
        <v>28</v>
      </c>
      <c r="BQ234" s="73">
        <v>36</v>
      </c>
      <c r="BR234" s="73">
        <v>13</v>
      </c>
      <c r="BS234" s="73">
        <v>14</v>
      </c>
      <c r="BT234" s="73">
        <v>15</v>
      </c>
      <c r="BU234" s="73">
        <v>22</v>
      </c>
      <c r="BV234" s="73">
        <v>52</v>
      </c>
      <c r="BW234" s="73">
        <v>110</v>
      </c>
      <c r="BX234" s="73">
        <v>21</v>
      </c>
      <c r="BY234" s="73">
        <v>19</v>
      </c>
      <c r="BZ234" s="71">
        <v>22</v>
      </c>
      <c r="CA234" s="6" t="s">
        <v>2</v>
      </c>
      <c r="CB234" s="6" t="s">
        <v>2</v>
      </c>
      <c r="CC234" s="6" t="s">
        <v>2</v>
      </c>
      <c r="CD234" s="6" t="s">
        <v>2</v>
      </c>
      <c r="CE234" s="6" t="s">
        <v>2</v>
      </c>
      <c r="CF234" s="6" t="s">
        <v>2</v>
      </c>
      <c r="CG234" s="22" t="s">
        <v>2</v>
      </c>
      <c r="CH234" s="73" t="s">
        <v>2</v>
      </c>
      <c r="CI234" s="71" t="s">
        <v>2</v>
      </c>
      <c r="CJ234" s="6" t="s">
        <v>2</v>
      </c>
      <c r="CK234" s="6" t="s">
        <v>2</v>
      </c>
      <c r="CL234" s="6" t="s">
        <v>2</v>
      </c>
      <c r="CM234" s="22" t="s">
        <v>2</v>
      </c>
      <c r="CN234" s="21" t="s">
        <v>2</v>
      </c>
      <c r="CO234" s="21" t="s">
        <v>2</v>
      </c>
    </row>
    <row r="235" spans="1:93" s="102" customFormat="1" x14ac:dyDescent="0.25">
      <c r="A235" s="107" t="s">
        <v>870</v>
      </c>
      <c r="B235" s="54" t="s">
        <v>82</v>
      </c>
      <c r="C235" s="5" t="s">
        <v>1102</v>
      </c>
      <c r="D235" s="287">
        <v>5</v>
      </c>
      <c r="E235" s="21">
        <v>10</v>
      </c>
      <c r="F235" s="73">
        <v>58</v>
      </c>
      <c r="G235" s="71">
        <v>242.44</v>
      </c>
      <c r="H235" s="83">
        <v>85.7</v>
      </c>
      <c r="I235" s="6">
        <v>0.5</v>
      </c>
      <c r="J235" s="6">
        <v>0.7</v>
      </c>
      <c r="K235" s="6">
        <v>12.5</v>
      </c>
      <c r="L235" s="6">
        <v>2.5</v>
      </c>
      <c r="M235" s="22">
        <v>0.6</v>
      </c>
      <c r="N235" s="73">
        <v>52</v>
      </c>
      <c r="O235" s="73">
        <v>24</v>
      </c>
      <c r="P235" s="6">
        <v>2.2999999999999998</v>
      </c>
      <c r="Q235" s="6">
        <v>0.1</v>
      </c>
      <c r="R235" s="73">
        <v>12</v>
      </c>
      <c r="S235" s="73">
        <v>193</v>
      </c>
      <c r="T235" s="73">
        <v>12</v>
      </c>
      <c r="U235" s="75" t="s">
        <v>2</v>
      </c>
      <c r="V235" s="75">
        <v>86</v>
      </c>
      <c r="W235" s="22">
        <v>0.6</v>
      </c>
      <c r="X235" s="6">
        <v>8</v>
      </c>
      <c r="Y235" s="75">
        <v>0</v>
      </c>
      <c r="Z235" s="75">
        <v>0.02</v>
      </c>
      <c r="AA235" s="75">
        <v>0.2</v>
      </c>
      <c r="AB235" s="75">
        <v>0.252</v>
      </c>
      <c r="AC235" s="75">
        <v>3.6999999999999998E-2</v>
      </c>
      <c r="AD235" s="73">
        <v>14</v>
      </c>
      <c r="AE235" s="73">
        <v>0</v>
      </c>
      <c r="AF235" s="6" t="s">
        <v>2</v>
      </c>
      <c r="AG235" s="22">
        <v>0</v>
      </c>
      <c r="AH235" s="73">
        <v>0</v>
      </c>
      <c r="AI235" s="73">
        <v>0</v>
      </c>
      <c r="AJ235" s="6" t="s">
        <v>2</v>
      </c>
      <c r="AK235" s="6" t="s">
        <v>2</v>
      </c>
      <c r="AL235" s="22" t="s">
        <v>2</v>
      </c>
      <c r="AM235" s="73" t="s">
        <v>2</v>
      </c>
      <c r="AN235" s="73" t="s">
        <v>2</v>
      </c>
      <c r="AO235" s="71" t="s">
        <v>2</v>
      </c>
      <c r="AP235" s="6">
        <v>0.19400000000000001</v>
      </c>
      <c r="AQ235" s="75">
        <v>0.1</v>
      </c>
      <c r="AR235" s="75">
        <v>0</v>
      </c>
      <c r="AS235" s="75">
        <v>9.4E-2</v>
      </c>
      <c r="AT235" s="75">
        <v>0</v>
      </c>
      <c r="AU235" s="75">
        <v>0</v>
      </c>
      <c r="AV235" s="77">
        <v>0</v>
      </c>
      <c r="AW235" s="6">
        <v>0</v>
      </c>
      <c r="AX235" s="75">
        <v>0</v>
      </c>
      <c r="AY235" s="75">
        <v>0.52100000000000002</v>
      </c>
      <c r="AZ235" s="77">
        <v>0</v>
      </c>
      <c r="BA235" s="6">
        <v>1.0999999999999999E-2</v>
      </c>
      <c r="BB235" s="75">
        <v>1.0999999999999999E-2</v>
      </c>
      <c r="BC235" s="75">
        <v>0</v>
      </c>
      <c r="BD235" s="75">
        <v>0</v>
      </c>
      <c r="BE235" s="75">
        <v>0</v>
      </c>
      <c r="BF235" s="77">
        <v>0</v>
      </c>
      <c r="BG235" s="21" t="s">
        <v>2</v>
      </c>
      <c r="BH235" s="21">
        <v>0</v>
      </c>
      <c r="BI235" s="73">
        <v>39</v>
      </c>
      <c r="BJ235" s="73">
        <v>3</v>
      </c>
      <c r="BK235" s="73">
        <v>5</v>
      </c>
      <c r="BL235" s="73">
        <v>13</v>
      </c>
      <c r="BM235" s="73">
        <v>12</v>
      </c>
      <c r="BN235" s="73">
        <v>16</v>
      </c>
      <c r="BO235" s="73">
        <v>24</v>
      </c>
      <c r="BP235" s="73">
        <v>15</v>
      </c>
      <c r="BQ235" s="73">
        <v>17</v>
      </c>
      <c r="BR235" s="73">
        <v>16</v>
      </c>
      <c r="BS235" s="73" t="s">
        <v>2</v>
      </c>
      <c r="BT235" s="73">
        <v>14</v>
      </c>
      <c r="BU235" s="73">
        <v>14</v>
      </c>
      <c r="BV235" s="73">
        <v>32</v>
      </c>
      <c r="BW235" s="73">
        <v>38</v>
      </c>
      <c r="BX235" s="73">
        <v>17</v>
      </c>
      <c r="BY235" s="73">
        <v>36</v>
      </c>
      <c r="BZ235" s="71">
        <v>18</v>
      </c>
      <c r="CA235" s="6" t="s">
        <v>2</v>
      </c>
      <c r="CB235" s="6" t="s">
        <v>2</v>
      </c>
      <c r="CC235" s="6" t="s">
        <v>2</v>
      </c>
      <c r="CD235" s="6" t="s">
        <v>2</v>
      </c>
      <c r="CE235" s="6" t="s">
        <v>2</v>
      </c>
      <c r="CF235" s="6" t="s">
        <v>2</v>
      </c>
      <c r="CG235" s="22" t="s">
        <v>2</v>
      </c>
      <c r="CH235" s="73" t="s">
        <v>2</v>
      </c>
      <c r="CI235" s="71" t="s">
        <v>2</v>
      </c>
      <c r="CJ235" s="6" t="s">
        <v>2</v>
      </c>
      <c r="CK235" s="6" t="s">
        <v>2</v>
      </c>
      <c r="CL235" s="6" t="s">
        <v>2</v>
      </c>
      <c r="CM235" s="22" t="s">
        <v>2</v>
      </c>
      <c r="CN235" s="21" t="s">
        <v>2</v>
      </c>
      <c r="CO235" s="21" t="s">
        <v>2</v>
      </c>
    </row>
    <row r="236" spans="1:93" s="102" customFormat="1" x14ac:dyDescent="0.25">
      <c r="A236" s="107" t="s">
        <v>871</v>
      </c>
      <c r="B236" s="54" t="s">
        <v>83</v>
      </c>
      <c r="C236" s="5" t="s">
        <v>1051</v>
      </c>
      <c r="D236" s="287">
        <v>5</v>
      </c>
      <c r="E236" s="21">
        <v>12</v>
      </c>
      <c r="F236" s="73">
        <v>48</v>
      </c>
      <c r="G236" s="71">
        <v>200.64</v>
      </c>
      <c r="H236" s="83">
        <v>87.8</v>
      </c>
      <c r="I236" s="6">
        <v>0.7</v>
      </c>
      <c r="J236" s="6">
        <v>0.2</v>
      </c>
      <c r="K236" s="6">
        <v>10.8</v>
      </c>
      <c r="L236" s="6">
        <v>0.6</v>
      </c>
      <c r="M236" s="22">
        <v>0.5</v>
      </c>
      <c r="N236" s="73">
        <v>19</v>
      </c>
      <c r="O236" s="73">
        <v>16</v>
      </c>
      <c r="P236" s="6">
        <v>2.2999999999999998</v>
      </c>
      <c r="Q236" s="6">
        <v>0.13</v>
      </c>
      <c r="R236" s="73">
        <v>5</v>
      </c>
      <c r="S236" s="73">
        <v>88</v>
      </c>
      <c r="T236" s="73">
        <v>7</v>
      </c>
      <c r="U236" s="75">
        <v>0.05</v>
      </c>
      <c r="V236" s="75">
        <v>140</v>
      </c>
      <c r="W236" s="22">
        <v>0.1</v>
      </c>
      <c r="X236" s="6">
        <v>4</v>
      </c>
      <c r="Y236" s="75">
        <v>0.02</v>
      </c>
      <c r="Z236" s="75">
        <v>0.04</v>
      </c>
      <c r="AA236" s="75">
        <v>0.1</v>
      </c>
      <c r="AB236" s="75">
        <v>4.8000000000000001E-2</v>
      </c>
      <c r="AC236" s="75">
        <v>2.8000000000000001E-2</v>
      </c>
      <c r="AD236" s="73">
        <v>7</v>
      </c>
      <c r="AE236" s="73">
        <v>0</v>
      </c>
      <c r="AF236" s="6">
        <v>0.1</v>
      </c>
      <c r="AG236" s="22">
        <v>0</v>
      </c>
      <c r="AH236" s="73">
        <v>0</v>
      </c>
      <c r="AI236" s="73">
        <v>3</v>
      </c>
      <c r="AJ236" s="6" t="s">
        <v>2</v>
      </c>
      <c r="AK236" s="6">
        <v>0.12</v>
      </c>
      <c r="AL236" s="22">
        <v>4.5</v>
      </c>
      <c r="AM236" s="73">
        <v>27</v>
      </c>
      <c r="AN236" s="73">
        <v>6</v>
      </c>
      <c r="AO236" s="71" t="s">
        <v>2</v>
      </c>
      <c r="AP236" s="6">
        <v>6.0000000000000001E-3</v>
      </c>
      <c r="AQ236" s="75">
        <v>5.0000000000000001E-3</v>
      </c>
      <c r="AR236" s="75">
        <v>0</v>
      </c>
      <c r="AS236" s="75">
        <v>1E-3</v>
      </c>
      <c r="AT236" s="75">
        <v>0</v>
      </c>
      <c r="AU236" s="75">
        <v>0</v>
      </c>
      <c r="AV236" s="77">
        <v>0</v>
      </c>
      <c r="AW236" s="6">
        <v>2.5999999999999999E-2</v>
      </c>
      <c r="AX236" s="75">
        <v>0</v>
      </c>
      <c r="AY236" s="75">
        <v>1E-3</v>
      </c>
      <c r="AZ236" s="77">
        <v>2.5000000000000001E-2</v>
      </c>
      <c r="BA236" s="6">
        <v>2.9000000000000001E-2</v>
      </c>
      <c r="BB236" s="75">
        <v>2.9000000000000001E-2</v>
      </c>
      <c r="BC236" s="75">
        <v>0</v>
      </c>
      <c r="BD236" s="75">
        <v>0</v>
      </c>
      <c r="BE236" s="75">
        <v>0</v>
      </c>
      <c r="BF236" s="77">
        <v>0</v>
      </c>
      <c r="BG236" s="21" t="s">
        <v>2</v>
      </c>
      <c r="BH236" s="21">
        <v>0</v>
      </c>
      <c r="BI236" s="73">
        <v>37</v>
      </c>
      <c r="BJ236" s="73">
        <v>8</v>
      </c>
      <c r="BK236" s="73">
        <v>8</v>
      </c>
      <c r="BL236" s="73">
        <v>46</v>
      </c>
      <c r="BM236" s="73">
        <v>42</v>
      </c>
      <c r="BN236" s="73">
        <v>37</v>
      </c>
      <c r="BO236" s="73">
        <v>50</v>
      </c>
      <c r="BP236" s="73">
        <v>37</v>
      </c>
      <c r="BQ236" s="73">
        <v>32</v>
      </c>
      <c r="BR236" s="73">
        <v>4</v>
      </c>
      <c r="BS236" s="73">
        <v>4</v>
      </c>
      <c r="BT236" s="73">
        <v>18</v>
      </c>
      <c r="BU236" s="73">
        <v>21</v>
      </c>
      <c r="BV236" s="73">
        <v>210</v>
      </c>
      <c r="BW236" s="73">
        <v>40</v>
      </c>
      <c r="BX236" s="73">
        <v>12</v>
      </c>
      <c r="BY236" s="73">
        <v>10</v>
      </c>
      <c r="BZ236" s="71">
        <v>24</v>
      </c>
      <c r="CA236" s="6">
        <v>9.8000000000000007</v>
      </c>
      <c r="CB236" s="6">
        <v>0</v>
      </c>
      <c r="CC236" s="6">
        <v>0.01</v>
      </c>
      <c r="CD236" s="6">
        <v>0.01</v>
      </c>
      <c r="CE236" s="6">
        <v>6.23</v>
      </c>
      <c r="CF236" s="6">
        <v>2.76</v>
      </c>
      <c r="CG236" s="22">
        <v>0.78</v>
      </c>
      <c r="CH236" s="73" t="s">
        <v>2</v>
      </c>
      <c r="CI236" s="71" t="s">
        <v>2</v>
      </c>
      <c r="CJ236" s="6" t="s">
        <v>2</v>
      </c>
      <c r="CK236" s="6" t="s">
        <v>2</v>
      </c>
      <c r="CL236" s="6" t="s">
        <v>2</v>
      </c>
      <c r="CM236" s="22" t="s">
        <v>2</v>
      </c>
      <c r="CN236" s="21">
        <v>8</v>
      </c>
      <c r="CO236" s="21">
        <v>12</v>
      </c>
    </row>
    <row r="237" spans="1:93" s="102" customFormat="1" x14ac:dyDescent="0.25">
      <c r="A237" s="107" t="s">
        <v>872</v>
      </c>
      <c r="B237" s="54" t="s">
        <v>84</v>
      </c>
      <c r="C237" s="5" t="s">
        <v>1103</v>
      </c>
      <c r="D237" s="287">
        <v>5</v>
      </c>
      <c r="E237" s="21">
        <v>85</v>
      </c>
      <c r="F237" s="73">
        <v>79</v>
      </c>
      <c r="G237" s="71">
        <v>330.21999999999997</v>
      </c>
      <c r="H237" s="83">
        <v>79.599999999999994</v>
      </c>
      <c r="I237" s="6">
        <v>0.6</v>
      </c>
      <c r="J237" s="6">
        <v>0.15</v>
      </c>
      <c r="K237" s="6">
        <v>18.850000000000001</v>
      </c>
      <c r="L237" s="6">
        <v>2.5</v>
      </c>
      <c r="M237" s="22">
        <v>0.8</v>
      </c>
      <c r="N237" s="73">
        <v>13</v>
      </c>
      <c r="O237" s="73">
        <v>23</v>
      </c>
      <c r="P237" s="6">
        <v>0.7</v>
      </c>
      <c r="Q237" s="6">
        <v>0.12</v>
      </c>
      <c r="R237" s="73">
        <v>3</v>
      </c>
      <c r="S237" s="73">
        <v>259</v>
      </c>
      <c r="T237" s="73">
        <v>3</v>
      </c>
      <c r="U237" s="75" t="s">
        <v>2</v>
      </c>
      <c r="V237" s="75">
        <v>70</v>
      </c>
      <c r="W237" s="22">
        <v>0.6</v>
      </c>
      <c r="X237" s="6">
        <v>6</v>
      </c>
      <c r="Y237" s="75">
        <v>7.0000000000000007E-2</v>
      </c>
      <c r="Z237" s="75">
        <v>0.01</v>
      </c>
      <c r="AA237" s="75">
        <v>0.3</v>
      </c>
      <c r="AB237" s="75">
        <v>0.59599999999999997</v>
      </c>
      <c r="AC237" s="75">
        <v>0.105</v>
      </c>
      <c r="AD237" s="73">
        <v>6</v>
      </c>
      <c r="AE237" s="73">
        <v>0</v>
      </c>
      <c r="AF237" s="6" t="s">
        <v>2</v>
      </c>
      <c r="AG237" s="22">
        <v>0</v>
      </c>
      <c r="AH237" s="73">
        <v>0</v>
      </c>
      <c r="AI237" s="73">
        <v>5</v>
      </c>
      <c r="AJ237" s="6" t="s">
        <v>2</v>
      </c>
      <c r="AK237" s="6">
        <v>0.6</v>
      </c>
      <c r="AL237" s="22">
        <v>4.5999999999999996</v>
      </c>
      <c r="AM237" s="73">
        <v>40</v>
      </c>
      <c r="AN237" s="73">
        <v>50</v>
      </c>
      <c r="AO237" s="71" t="s">
        <v>2</v>
      </c>
      <c r="AP237" s="6">
        <v>3.7999999999999999E-2</v>
      </c>
      <c r="AQ237" s="75">
        <v>2.1999999999999999E-2</v>
      </c>
      <c r="AR237" s="75">
        <v>0</v>
      </c>
      <c r="AS237" s="75">
        <v>1.2E-2</v>
      </c>
      <c r="AT237" s="75">
        <v>0</v>
      </c>
      <c r="AU237" s="75">
        <v>0</v>
      </c>
      <c r="AV237" s="77">
        <v>0</v>
      </c>
      <c r="AW237" s="6">
        <v>4.5999999999999999E-2</v>
      </c>
      <c r="AX237" s="75">
        <v>0</v>
      </c>
      <c r="AY237" s="75">
        <v>6.0000000000000001E-3</v>
      </c>
      <c r="AZ237" s="77">
        <v>3.9E-2</v>
      </c>
      <c r="BA237" s="6">
        <v>6.3E-2</v>
      </c>
      <c r="BB237" s="75">
        <v>6.3E-2</v>
      </c>
      <c r="BC237" s="75">
        <v>0</v>
      </c>
      <c r="BD237" s="75">
        <v>0</v>
      </c>
      <c r="BE237" s="75">
        <v>0</v>
      </c>
      <c r="BF237" s="77">
        <v>0</v>
      </c>
      <c r="BG237" s="21" t="s">
        <v>2</v>
      </c>
      <c r="BH237" s="21">
        <v>0</v>
      </c>
      <c r="BI237" s="73" t="s">
        <v>2</v>
      </c>
      <c r="BJ237" s="73" t="s">
        <v>2</v>
      </c>
      <c r="BK237" s="73" t="s">
        <v>2</v>
      </c>
      <c r="BL237" s="73" t="s">
        <v>2</v>
      </c>
      <c r="BM237" s="73" t="s">
        <v>2</v>
      </c>
      <c r="BN237" s="73" t="s">
        <v>2</v>
      </c>
      <c r="BO237" s="73" t="s">
        <v>2</v>
      </c>
      <c r="BP237" s="73" t="s">
        <v>2</v>
      </c>
      <c r="BQ237" s="73" t="s">
        <v>2</v>
      </c>
      <c r="BR237" s="73" t="s">
        <v>2</v>
      </c>
      <c r="BS237" s="73" t="s">
        <v>2</v>
      </c>
      <c r="BT237" s="73" t="s">
        <v>2</v>
      </c>
      <c r="BU237" s="73" t="s">
        <v>2</v>
      </c>
      <c r="BV237" s="73" t="s">
        <v>2</v>
      </c>
      <c r="BW237" s="73" t="s">
        <v>2</v>
      </c>
      <c r="BX237" s="73" t="s">
        <v>2</v>
      </c>
      <c r="BY237" s="73" t="s">
        <v>2</v>
      </c>
      <c r="BZ237" s="71" t="s">
        <v>2</v>
      </c>
      <c r="CA237" s="6">
        <v>16.57</v>
      </c>
      <c r="CB237" s="6" t="s">
        <v>2</v>
      </c>
      <c r="CC237" s="6" t="s">
        <v>2</v>
      </c>
      <c r="CD237" s="6" t="s">
        <v>2</v>
      </c>
      <c r="CE237" s="6" t="s">
        <v>2</v>
      </c>
      <c r="CF237" s="6" t="s">
        <v>2</v>
      </c>
      <c r="CG237" s="22" t="s">
        <v>2</v>
      </c>
      <c r="CH237" s="73" t="s">
        <v>2</v>
      </c>
      <c r="CI237" s="71" t="s">
        <v>2</v>
      </c>
      <c r="CJ237" s="6" t="s">
        <v>2</v>
      </c>
      <c r="CK237" s="6" t="s">
        <v>2</v>
      </c>
      <c r="CL237" s="6" t="s">
        <v>2</v>
      </c>
      <c r="CM237" s="22" t="s">
        <v>2</v>
      </c>
      <c r="CN237" s="21">
        <v>17</v>
      </c>
      <c r="CO237" s="21" t="s">
        <v>2</v>
      </c>
    </row>
    <row r="238" spans="1:93" s="102" customFormat="1" x14ac:dyDescent="0.25">
      <c r="A238" s="107" t="s">
        <v>873</v>
      </c>
      <c r="B238" s="54" t="s">
        <v>85</v>
      </c>
      <c r="C238" s="82" t="s">
        <v>1052</v>
      </c>
      <c r="D238" s="287">
        <v>5</v>
      </c>
      <c r="E238" s="21">
        <v>21</v>
      </c>
      <c r="F238" s="73">
        <v>58</v>
      </c>
      <c r="G238" s="71">
        <v>242.44</v>
      </c>
      <c r="H238" s="83">
        <v>84.7</v>
      </c>
      <c r="I238" s="6">
        <v>1.8</v>
      </c>
      <c r="J238" s="6">
        <v>0.6</v>
      </c>
      <c r="K238" s="6">
        <v>12.6</v>
      </c>
      <c r="L238" s="6">
        <v>1.9</v>
      </c>
      <c r="M238" s="22">
        <v>0.9</v>
      </c>
      <c r="N238" s="73">
        <v>38</v>
      </c>
      <c r="O238" s="73">
        <v>14</v>
      </c>
      <c r="P238" s="6">
        <v>0.7</v>
      </c>
      <c r="Q238" s="6" t="s">
        <v>2</v>
      </c>
      <c r="R238" s="73">
        <v>4</v>
      </c>
      <c r="S238" s="73">
        <v>382</v>
      </c>
      <c r="T238" s="73">
        <v>18</v>
      </c>
      <c r="U238" s="75" t="s">
        <v>2</v>
      </c>
      <c r="V238" s="75" t="s">
        <v>2</v>
      </c>
      <c r="W238" s="22" t="s">
        <v>2</v>
      </c>
      <c r="X238" s="6">
        <v>19.2</v>
      </c>
      <c r="Y238" s="75">
        <v>0.08</v>
      </c>
      <c r="Z238" s="75">
        <v>0.1</v>
      </c>
      <c r="AA238" s="75">
        <v>0.5</v>
      </c>
      <c r="AB238" s="75">
        <v>0.13500000000000001</v>
      </c>
      <c r="AC238" s="75">
        <v>0.221</v>
      </c>
      <c r="AD238" s="73" t="s">
        <v>2</v>
      </c>
      <c r="AE238" s="73" t="s">
        <v>2</v>
      </c>
      <c r="AF238" s="6" t="s">
        <v>2</v>
      </c>
      <c r="AG238" s="22" t="s">
        <v>2</v>
      </c>
      <c r="AH238" s="73">
        <v>0</v>
      </c>
      <c r="AI238" s="73">
        <v>0</v>
      </c>
      <c r="AJ238" s="6" t="s">
        <v>2</v>
      </c>
      <c r="AK238" s="6" t="s">
        <v>2</v>
      </c>
      <c r="AL238" s="22" t="s">
        <v>2</v>
      </c>
      <c r="AM238" s="73" t="s">
        <v>2</v>
      </c>
      <c r="AN238" s="73" t="s">
        <v>2</v>
      </c>
      <c r="AO238" s="71" t="s">
        <v>2</v>
      </c>
      <c r="AP238" s="6">
        <v>0.23</v>
      </c>
      <c r="AQ238" s="75" t="s">
        <v>2</v>
      </c>
      <c r="AR238" s="75" t="s">
        <v>2</v>
      </c>
      <c r="AS238" s="75" t="s">
        <v>2</v>
      </c>
      <c r="AT238" s="75" t="s">
        <v>2</v>
      </c>
      <c r="AU238" s="75" t="s">
        <v>2</v>
      </c>
      <c r="AV238" s="77" t="s">
        <v>2</v>
      </c>
      <c r="AW238" s="6" t="s">
        <v>2</v>
      </c>
      <c r="AX238" s="75" t="s">
        <v>2</v>
      </c>
      <c r="AY238" s="75" t="s">
        <v>2</v>
      </c>
      <c r="AZ238" s="77" t="s">
        <v>2</v>
      </c>
      <c r="BA238" s="6" t="s">
        <v>2</v>
      </c>
      <c r="BB238" s="75" t="s">
        <v>2</v>
      </c>
      <c r="BC238" s="75" t="s">
        <v>2</v>
      </c>
      <c r="BD238" s="75" t="s">
        <v>2</v>
      </c>
      <c r="BE238" s="75" t="s">
        <v>2</v>
      </c>
      <c r="BF238" s="77" t="s">
        <v>2</v>
      </c>
      <c r="BG238" s="21" t="s">
        <v>2</v>
      </c>
      <c r="BH238" s="21">
        <v>0</v>
      </c>
      <c r="BI238" s="73">
        <v>37</v>
      </c>
      <c r="BJ238" s="73">
        <v>4</v>
      </c>
      <c r="BK238" s="73">
        <v>7</v>
      </c>
      <c r="BL238" s="73" t="s">
        <v>2</v>
      </c>
      <c r="BM238" s="73" t="s">
        <v>2</v>
      </c>
      <c r="BN238" s="73" t="s">
        <v>2</v>
      </c>
      <c r="BO238" s="73" t="s">
        <v>2</v>
      </c>
      <c r="BP238" s="73" t="s">
        <v>2</v>
      </c>
      <c r="BQ238" s="73" t="s">
        <v>2</v>
      </c>
      <c r="BR238" s="73" t="s">
        <v>2</v>
      </c>
      <c r="BS238" s="73" t="s">
        <v>2</v>
      </c>
      <c r="BT238" s="73" t="s">
        <v>2</v>
      </c>
      <c r="BU238" s="73" t="s">
        <v>2</v>
      </c>
      <c r="BV238" s="73" t="s">
        <v>2</v>
      </c>
      <c r="BW238" s="73" t="s">
        <v>2</v>
      </c>
      <c r="BX238" s="73" t="s">
        <v>2</v>
      </c>
      <c r="BY238" s="73" t="s">
        <v>2</v>
      </c>
      <c r="BZ238" s="71" t="s">
        <v>2</v>
      </c>
      <c r="CA238" s="6" t="s">
        <v>2</v>
      </c>
      <c r="CB238" s="6" t="s">
        <v>2</v>
      </c>
      <c r="CC238" s="6" t="s">
        <v>2</v>
      </c>
      <c r="CD238" s="6" t="s">
        <v>2</v>
      </c>
      <c r="CE238" s="6" t="s">
        <v>2</v>
      </c>
      <c r="CF238" s="6" t="s">
        <v>2</v>
      </c>
      <c r="CG238" s="22" t="s">
        <v>2</v>
      </c>
      <c r="CH238" s="73" t="s">
        <v>2</v>
      </c>
      <c r="CI238" s="71" t="s">
        <v>2</v>
      </c>
      <c r="CJ238" s="6" t="s">
        <v>2</v>
      </c>
      <c r="CK238" s="6" t="s">
        <v>2</v>
      </c>
      <c r="CL238" s="6" t="s">
        <v>2</v>
      </c>
      <c r="CM238" s="22" t="s">
        <v>2</v>
      </c>
      <c r="CN238" s="21" t="s">
        <v>2</v>
      </c>
      <c r="CO238" s="21" t="s">
        <v>2</v>
      </c>
    </row>
    <row r="239" spans="1:93" s="102" customFormat="1" x14ac:dyDescent="0.25">
      <c r="A239" s="107" t="s">
        <v>874</v>
      </c>
      <c r="B239" s="54" t="s">
        <v>1055</v>
      </c>
      <c r="C239" s="5" t="s">
        <v>1053</v>
      </c>
      <c r="D239" s="287">
        <v>5</v>
      </c>
      <c r="E239" s="21">
        <v>14</v>
      </c>
      <c r="F239" s="73">
        <v>24</v>
      </c>
      <c r="G239" s="71">
        <v>100.32</v>
      </c>
      <c r="H239" s="83">
        <v>93.8</v>
      </c>
      <c r="I239" s="6">
        <v>0.2</v>
      </c>
      <c r="J239" s="6" t="s">
        <v>2</v>
      </c>
      <c r="K239" s="6">
        <v>5.7</v>
      </c>
      <c r="L239" s="6" t="s">
        <v>2</v>
      </c>
      <c r="M239" s="22">
        <v>0.3</v>
      </c>
      <c r="N239" s="73">
        <v>32</v>
      </c>
      <c r="O239" s="73">
        <v>7</v>
      </c>
      <c r="P239" s="6">
        <v>0.6</v>
      </c>
      <c r="Q239" s="6" t="s">
        <v>2</v>
      </c>
      <c r="R239" s="73" t="s">
        <v>2</v>
      </c>
      <c r="S239" s="73" t="s">
        <v>2</v>
      </c>
      <c r="T239" s="73" t="s">
        <v>2</v>
      </c>
      <c r="U239" s="75" t="s">
        <v>2</v>
      </c>
      <c r="V239" s="75" t="s">
        <v>2</v>
      </c>
      <c r="W239" s="22" t="s">
        <v>2</v>
      </c>
      <c r="X239" s="6">
        <v>2</v>
      </c>
      <c r="Y239" s="75" t="s">
        <v>2</v>
      </c>
      <c r="Z239" s="75" t="s">
        <v>2</v>
      </c>
      <c r="AA239" s="75" t="s">
        <v>2</v>
      </c>
      <c r="AB239" s="75" t="s">
        <v>2</v>
      </c>
      <c r="AC239" s="75" t="s">
        <v>2</v>
      </c>
      <c r="AD239" s="73" t="s">
        <v>2</v>
      </c>
      <c r="AE239" s="73" t="s">
        <v>2</v>
      </c>
      <c r="AF239" s="6" t="s">
        <v>2</v>
      </c>
      <c r="AG239" s="22" t="s">
        <v>2</v>
      </c>
      <c r="AH239" s="73">
        <v>0</v>
      </c>
      <c r="AI239" s="73">
        <v>0</v>
      </c>
      <c r="AJ239" s="6" t="s">
        <v>2</v>
      </c>
      <c r="AK239" s="6" t="s">
        <v>2</v>
      </c>
      <c r="AL239" s="22" t="s">
        <v>2</v>
      </c>
      <c r="AM239" s="73" t="s">
        <v>2</v>
      </c>
      <c r="AN239" s="73" t="s">
        <v>2</v>
      </c>
      <c r="AO239" s="71" t="s">
        <v>2</v>
      </c>
      <c r="AP239" s="6" t="s">
        <v>2</v>
      </c>
      <c r="AQ239" s="75" t="s">
        <v>2</v>
      </c>
      <c r="AR239" s="75" t="s">
        <v>2</v>
      </c>
      <c r="AS239" s="75" t="s">
        <v>2</v>
      </c>
      <c r="AT239" s="75" t="s">
        <v>2</v>
      </c>
      <c r="AU239" s="75" t="s">
        <v>2</v>
      </c>
      <c r="AV239" s="77" t="s">
        <v>2</v>
      </c>
      <c r="AW239" s="6" t="s">
        <v>2</v>
      </c>
      <c r="AX239" s="75" t="s">
        <v>2</v>
      </c>
      <c r="AY239" s="75" t="s">
        <v>2</v>
      </c>
      <c r="AZ239" s="77" t="s">
        <v>2</v>
      </c>
      <c r="BA239" s="6" t="s">
        <v>2</v>
      </c>
      <c r="BB239" s="75" t="s">
        <v>2</v>
      </c>
      <c r="BC239" s="75" t="s">
        <v>2</v>
      </c>
      <c r="BD239" s="75" t="s">
        <v>2</v>
      </c>
      <c r="BE239" s="75" t="s">
        <v>2</v>
      </c>
      <c r="BF239" s="77" t="s">
        <v>2</v>
      </c>
      <c r="BG239" s="21" t="s">
        <v>2</v>
      </c>
      <c r="BH239" s="21">
        <v>0</v>
      </c>
      <c r="BI239" s="73" t="s">
        <v>2</v>
      </c>
      <c r="BJ239" s="73" t="s">
        <v>2</v>
      </c>
      <c r="BK239" s="73" t="s">
        <v>2</v>
      </c>
      <c r="BL239" s="73" t="s">
        <v>2</v>
      </c>
      <c r="BM239" s="73" t="s">
        <v>2</v>
      </c>
      <c r="BN239" s="73" t="s">
        <v>2</v>
      </c>
      <c r="BO239" s="73" t="s">
        <v>2</v>
      </c>
      <c r="BP239" s="73" t="s">
        <v>2</v>
      </c>
      <c r="BQ239" s="73" t="s">
        <v>2</v>
      </c>
      <c r="BR239" s="73" t="s">
        <v>2</v>
      </c>
      <c r="BS239" s="73" t="s">
        <v>2</v>
      </c>
      <c r="BT239" s="73" t="s">
        <v>2</v>
      </c>
      <c r="BU239" s="73" t="s">
        <v>2</v>
      </c>
      <c r="BV239" s="73" t="s">
        <v>2</v>
      </c>
      <c r="BW239" s="73" t="s">
        <v>2</v>
      </c>
      <c r="BX239" s="73" t="s">
        <v>2</v>
      </c>
      <c r="BY239" s="73" t="s">
        <v>2</v>
      </c>
      <c r="BZ239" s="71" t="s">
        <v>2</v>
      </c>
      <c r="CA239" s="6" t="s">
        <v>2</v>
      </c>
      <c r="CB239" s="6" t="s">
        <v>2</v>
      </c>
      <c r="CC239" s="6" t="s">
        <v>2</v>
      </c>
      <c r="CD239" s="6" t="s">
        <v>2</v>
      </c>
      <c r="CE239" s="6" t="s">
        <v>2</v>
      </c>
      <c r="CF239" s="6" t="s">
        <v>2</v>
      </c>
      <c r="CG239" s="22" t="s">
        <v>2</v>
      </c>
      <c r="CH239" s="73" t="s">
        <v>2</v>
      </c>
      <c r="CI239" s="71" t="s">
        <v>2</v>
      </c>
      <c r="CJ239" s="6" t="s">
        <v>2</v>
      </c>
      <c r="CK239" s="6" t="s">
        <v>2</v>
      </c>
      <c r="CL239" s="6" t="s">
        <v>2</v>
      </c>
      <c r="CM239" s="22" t="s">
        <v>2</v>
      </c>
      <c r="CN239" s="21" t="s">
        <v>2</v>
      </c>
      <c r="CO239" s="21" t="s">
        <v>2</v>
      </c>
    </row>
    <row r="240" spans="1:93" s="102" customFormat="1" x14ac:dyDescent="0.25">
      <c r="A240" s="107" t="s">
        <v>875</v>
      </c>
      <c r="B240" s="54" t="s">
        <v>1054</v>
      </c>
      <c r="C240" s="5" t="s">
        <v>1056</v>
      </c>
      <c r="D240" s="287">
        <v>5</v>
      </c>
      <c r="E240" s="21">
        <v>15</v>
      </c>
      <c r="F240" s="84">
        <v>23</v>
      </c>
      <c r="G240" s="71">
        <v>96.139999999999986</v>
      </c>
      <c r="H240" s="83">
        <v>94.1</v>
      </c>
      <c r="I240" s="6">
        <v>0.6</v>
      </c>
      <c r="J240" s="6">
        <v>0.2</v>
      </c>
      <c r="K240" s="6">
        <v>4.5999999999999996</v>
      </c>
      <c r="L240" s="6">
        <v>0.7</v>
      </c>
      <c r="M240" s="22">
        <v>0.5</v>
      </c>
      <c r="N240" s="73">
        <v>28</v>
      </c>
      <c r="O240" s="73">
        <v>20</v>
      </c>
      <c r="P240" s="6">
        <v>0.4</v>
      </c>
      <c r="Q240" s="6">
        <v>0.1</v>
      </c>
      <c r="R240" s="73">
        <v>0</v>
      </c>
      <c r="S240" s="73">
        <v>157</v>
      </c>
      <c r="T240" s="73">
        <v>7</v>
      </c>
      <c r="U240" s="75">
        <v>5.1999999999999998E-2</v>
      </c>
      <c r="V240" s="75">
        <v>57</v>
      </c>
      <c r="W240" s="22">
        <v>0</v>
      </c>
      <c r="X240" s="31">
        <v>3</v>
      </c>
      <c r="Y240" s="91">
        <v>0.06</v>
      </c>
      <c r="Z240" s="91">
        <v>0.04</v>
      </c>
      <c r="AA240" s="91">
        <v>0.5</v>
      </c>
      <c r="AB240" s="91">
        <v>0.13500000000000001</v>
      </c>
      <c r="AC240" s="91">
        <v>2.9000000000000001E-2</v>
      </c>
      <c r="AD240" s="88">
        <v>5</v>
      </c>
      <c r="AE240" s="88">
        <v>0</v>
      </c>
      <c r="AF240" s="32" t="s">
        <v>2</v>
      </c>
      <c r="AG240" s="33">
        <v>0</v>
      </c>
      <c r="AH240" s="73">
        <v>0</v>
      </c>
      <c r="AI240" s="73">
        <v>139</v>
      </c>
      <c r="AJ240" s="6" t="s">
        <v>2</v>
      </c>
      <c r="AK240" s="6">
        <v>0.26</v>
      </c>
      <c r="AL240" s="22">
        <v>6.4</v>
      </c>
      <c r="AM240" s="73">
        <v>1633</v>
      </c>
      <c r="AN240" s="73">
        <v>63</v>
      </c>
      <c r="AO240" s="71" t="s">
        <v>2</v>
      </c>
      <c r="AP240" s="6">
        <v>1.7000000000000001E-2</v>
      </c>
      <c r="AQ240" s="75">
        <v>1.4E-2</v>
      </c>
      <c r="AR240" s="75">
        <v>0</v>
      </c>
      <c r="AS240" s="75">
        <v>3.0000000000000001E-3</v>
      </c>
      <c r="AT240" s="75">
        <v>0</v>
      </c>
      <c r="AU240" s="75">
        <v>0</v>
      </c>
      <c r="AV240" s="77">
        <v>0</v>
      </c>
      <c r="AW240" s="6">
        <v>0.13400000000000001</v>
      </c>
      <c r="AX240" s="75">
        <v>0</v>
      </c>
      <c r="AY240" s="75">
        <v>2E-3</v>
      </c>
      <c r="AZ240" s="77">
        <v>0.13200000000000001</v>
      </c>
      <c r="BA240" s="6">
        <v>4.3999999999999997E-2</v>
      </c>
      <c r="BB240" s="75">
        <v>4.3999999999999997E-2</v>
      </c>
      <c r="BC240" s="75">
        <v>0</v>
      </c>
      <c r="BD240" s="75">
        <v>0</v>
      </c>
      <c r="BE240" s="75">
        <v>0</v>
      </c>
      <c r="BF240" s="77">
        <v>0</v>
      </c>
      <c r="BG240" s="21" t="s">
        <v>2</v>
      </c>
      <c r="BH240" s="21">
        <v>0</v>
      </c>
      <c r="BI240" s="73">
        <v>16</v>
      </c>
      <c r="BJ240" s="73">
        <v>8</v>
      </c>
      <c r="BK240" s="73">
        <v>9</v>
      </c>
      <c r="BL240" s="73">
        <v>14</v>
      </c>
      <c r="BM240" s="73">
        <v>10</v>
      </c>
      <c r="BN240" s="73">
        <v>16</v>
      </c>
      <c r="BO240" s="73">
        <v>15</v>
      </c>
      <c r="BP240" s="73">
        <v>14</v>
      </c>
      <c r="BQ240" s="73">
        <v>9</v>
      </c>
      <c r="BR240" s="73">
        <v>9</v>
      </c>
      <c r="BS240" s="73">
        <v>2</v>
      </c>
      <c r="BT240" s="73">
        <v>8</v>
      </c>
      <c r="BU240" s="73">
        <v>28</v>
      </c>
      <c r="BV240" s="73">
        <v>352</v>
      </c>
      <c r="BW240" s="73">
        <v>35</v>
      </c>
      <c r="BX240" s="73">
        <v>9</v>
      </c>
      <c r="BY240" s="73">
        <v>27</v>
      </c>
      <c r="BZ240" s="71">
        <v>23</v>
      </c>
      <c r="CA240" s="6">
        <v>9.92</v>
      </c>
      <c r="CB240" s="6">
        <v>0.14000000000000001</v>
      </c>
      <c r="CC240" s="6">
        <v>0.08</v>
      </c>
      <c r="CD240" s="6">
        <v>0</v>
      </c>
      <c r="CE240" s="6">
        <v>3.07</v>
      </c>
      <c r="CF240" s="6">
        <v>5.07</v>
      </c>
      <c r="CG240" s="22">
        <v>1.57</v>
      </c>
      <c r="CH240" s="73" t="s">
        <v>2</v>
      </c>
      <c r="CI240" s="71">
        <v>327</v>
      </c>
      <c r="CJ240" s="6" t="s">
        <v>2</v>
      </c>
      <c r="CK240" s="6" t="s">
        <v>2</v>
      </c>
      <c r="CL240" s="6" t="s">
        <v>2</v>
      </c>
      <c r="CM240" s="22" t="s">
        <v>2</v>
      </c>
      <c r="CN240" s="21">
        <v>7</v>
      </c>
      <c r="CO240" s="21">
        <v>24</v>
      </c>
    </row>
    <row r="241" spans="1:93" s="102" customFormat="1" x14ac:dyDescent="0.25">
      <c r="A241" s="107" t="s">
        <v>876</v>
      </c>
      <c r="B241" s="54" t="s">
        <v>86</v>
      </c>
      <c r="C241" s="5" t="s">
        <v>1104</v>
      </c>
      <c r="D241" s="287">
        <v>5</v>
      </c>
      <c r="E241" s="21">
        <v>55</v>
      </c>
      <c r="F241" s="84">
        <v>54</v>
      </c>
      <c r="G241" s="71">
        <v>225.71999999999997</v>
      </c>
      <c r="H241" s="83">
        <v>85.4</v>
      </c>
      <c r="I241" s="6">
        <v>0.6</v>
      </c>
      <c r="J241" s="6">
        <v>0.19</v>
      </c>
      <c r="K241" s="6">
        <v>12.41</v>
      </c>
      <c r="L241" s="6">
        <v>1.2</v>
      </c>
      <c r="M241" s="22">
        <v>1.4</v>
      </c>
      <c r="N241" s="73">
        <v>21</v>
      </c>
      <c r="O241" s="73">
        <v>28</v>
      </c>
      <c r="P241" s="6">
        <v>0.4</v>
      </c>
      <c r="Q241" s="6">
        <v>0.67</v>
      </c>
      <c r="R241" s="73">
        <v>3</v>
      </c>
      <c r="S241" s="73">
        <v>368</v>
      </c>
      <c r="T241" s="73">
        <v>37</v>
      </c>
      <c r="U241" s="75">
        <v>0.15</v>
      </c>
      <c r="V241" s="75">
        <v>120</v>
      </c>
      <c r="W241" s="22">
        <v>0.6</v>
      </c>
      <c r="X241" s="31">
        <v>5</v>
      </c>
      <c r="Y241" s="91">
        <v>0.09</v>
      </c>
      <c r="Z241" s="91">
        <v>0.04</v>
      </c>
      <c r="AA241" s="91">
        <v>0.7</v>
      </c>
      <c r="AB241" s="91" t="s">
        <v>2</v>
      </c>
      <c r="AC241" s="91">
        <v>0.108</v>
      </c>
      <c r="AD241" s="88">
        <v>14</v>
      </c>
      <c r="AE241" s="88">
        <v>0</v>
      </c>
      <c r="AF241" s="32" t="s">
        <v>2</v>
      </c>
      <c r="AG241" s="33">
        <v>0</v>
      </c>
      <c r="AH241" s="73">
        <v>0</v>
      </c>
      <c r="AI241" s="73">
        <v>15</v>
      </c>
      <c r="AJ241" s="6" t="s">
        <v>2</v>
      </c>
      <c r="AK241" s="6" t="s">
        <v>2</v>
      </c>
      <c r="AL241" s="22" t="s">
        <v>2</v>
      </c>
      <c r="AM241" s="73">
        <v>180</v>
      </c>
      <c r="AN241" s="73" t="s">
        <v>2</v>
      </c>
      <c r="AO241" s="71" t="s">
        <v>2</v>
      </c>
      <c r="AP241" s="6">
        <v>6.3E-2</v>
      </c>
      <c r="AQ241" s="75">
        <v>0.04</v>
      </c>
      <c r="AR241" s="75">
        <v>0</v>
      </c>
      <c r="AS241" s="75">
        <v>2.1999999999999999E-2</v>
      </c>
      <c r="AT241" s="75">
        <v>0</v>
      </c>
      <c r="AU241" s="75">
        <v>0</v>
      </c>
      <c r="AV241" s="77">
        <v>0</v>
      </c>
      <c r="AW241" s="6">
        <v>4.3999999999999997E-2</v>
      </c>
      <c r="AX241" s="75">
        <v>0</v>
      </c>
      <c r="AY241" s="75">
        <v>3.0000000000000001E-3</v>
      </c>
      <c r="AZ241" s="77">
        <v>4.2000000000000003E-2</v>
      </c>
      <c r="BA241" s="6">
        <v>8.5999999999999993E-2</v>
      </c>
      <c r="BB241" s="75">
        <v>6.3E-2</v>
      </c>
      <c r="BC241" s="75">
        <v>2.4E-2</v>
      </c>
      <c r="BD241" s="75">
        <v>0</v>
      </c>
      <c r="BE241" s="75">
        <v>0</v>
      </c>
      <c r="BF241" s="77">
        <v>0</v>
      </c>
      <c r="BG241" s="21" t="s">
        <v>2</v>
      </c>
      <c r="BH241" s="21">
        <v>0</v>
      </c>
      <c r="BI241" s="73" t="s">
        <v>2</v>
      </c>
      <c r="BJ241" s="73" t="s">
        <v>2</v>
      </c>
      <c r="BK241" s="73" t="s">
        <v>2</v>
      </c>
      <c r="BL241" s="73" t="s">
        <v>2</v>
      </c>
      <c r="BM241" s="73" t="s">
        <v>2</v>
      </c>
      <c r="BN241" s="73" t="s">
        <v>2</v>
      </c>
      <c r="BO241" s="73" t="s">
        <v>2</v>
      </c>
      <c r="BP241" s="73" t="s">
        <v>2</v>
      </c>
      <c r="BQ241" s="73" t="s">
        <v>2</v>
      </c>
      <c r="BR241" s="73" t="s">
        <v>2</v>
      </c>
      <c r="BS241" s="73" t="s">
        <v>2</v>
      </c>
      <c r="BT241" s="73" t="s">
        <v>2</v>
      </c>
      <c r="BU241" s="73" t="s">
        <v>2</v>
      </c>
      <c r="BV241" s="73" t="s">
        <v>2</v>
      </c>
      <c r="BW241" s="73" t="s">
        <v>2</v>
      </c>
      <c r="BX241" s="73" t="s">
        <v>2</v>
      </c>
      <c r="BY241" s="73" t="s">
        <v>2</v>
      </c>
      <c r="BZ241" s="71" t="s">
        <v>2</v>
      </c>
      <c r="CA241" s="6" t="s">
        <v>2</v>
      </c>
      <c r="CB241" s="6" t="s">
        <v>2</v>
      </c>
      <c r="CC241" s="6" t="s">
        <v>2</v>
      </c>
      <c r="CD241" s="6" t="s">
        <v>2</v>
      </c>
      <c r="CE241" s="6" t="s">
        <v>2</v>
      </c>
      <c r="CF241" s="6" t="s">
        <v>2</v>
      </c>
      <c r="CG241" s="22" t="s">
        <v>2</v>
      </c>
      <c r="CH241" s="73" t="s">
        <v>2</v>
      </c>
      <c r="CI241" s="71" t="s">
        <v>2</v>
      </c>
      <c r="CJ241" s="6" t="s">
        <v>2</v>
      </c>
      <c r="CK241" s="6" t="s">
        <v>2</v>
      </c>
      <c r="CL241" s="6" t="s">
        <v>2</v>
      </c>
      <c r="CM241" s="22" t="s">
        <v>2</v>
      </c>
      <c r="CN241" s="21" t="s">
        <v>2</v>
      </c>
      <c r="CO241" s="21" t="s">
        <v>2</v>
      </c>
    </row>
    <row r="242" spans="1:93" s="102" customFormat="1" x14ac:dyDescent="0.25">
      <c r="A242" s="107" t="s">
        <v>877</v>
      </c>
      <c r="B242" s="54" t="s">
        <v>87</v>
      </c>
      <c r="C242" s="82" t="s">
        <v>1105</v>
      </c>
      <c r="D242" s="287">
        <v>5</v>
      </c>
      <c r="E242" s="21">
        <v>0</v>
      </c>
      <c r="F242" s="84">
        <v>286</v>
      </c>
      <c r="G242" s="71">
        <v>1195.48</v>
      </c>
      <c r="H242" s="83">
        <v>26</v>
      </c>
      <c r="I242" s="6">
        <v>2.9</v>
      </c>
      <c r="J242" s="6" t="s">
        <v>2</v>
      </c>
      <c r="K242" s="6">
        <v>68.5</v>
      </c>
      <c r="L242" s="6">
        <v>1.5</v>
      </c>
      <c r="M242" s="22">
        <v>2.6</v>
      </c>
      <c r="N242" s="73" t="s">
        <v>2</v>
      </c>
      <c r="O242" s="73" t="s">
        <v>2</v>
      </c>
      <c r="P242" s="6" t="s">
        <v>2</v>
      </c>
      <c r="Q242" s="6" t="s">
        <v>2</v>
      </c>
      <c r="R242" s="73" t="s">
        <v>2</v>
      </c>
      <c r="S242" s="73" t="s">
        <v>2</v>
      </c>
      <c r="T242" s="73" t="s">
        <v>2</v>
      </c>
      <c r="U242" s="75" t="s">
        <v>2</v>
      </c>
      <c r="V242" s="75" t="s">
        <v>2</v>
      </c>
      <c r="W242" s="22" t="s">
        <v>2</v>
      </c>
      <c r="X242" s="31" t="s">
        <v>2</v>
      </c>
      <c r="Y242" s="91" t="s">
        <v>2</v>
      </c>
      <c r="Z242" s="91" t="s">
        <v>2</v>
      </c>
      <c r="AA242" s="91" t="s">
        <v>2</v>
      </c>
      <c r="AB242" s="91" t="s">
        <v>2</v>
      </c>
      <c r="AC242" s="91" t="s">
        <v>2</v>
      </c>
      <c r="AD242" s="88" t="s">
        <v>2</v>
      </c>
      <c r="AE242" s="88" t="s">
        <v>2</v>
      </c>
      <c r="AF242" s="32" t="s">
        <v>2</v>
      </c>
      <c r="AG242" s="33" t="s">
        <v>2</v>
      </c>
      <c r="AH242" s="93">
        <v>0</v>
      </c>
      <c r="AI242" s="93">
        <v>0</v>
      </c>
      <c r="AJ242" s="32" t="s">
        <v>2</v>
      </c>
      <c r="AK242" s="32" t="s">
        <v>2</v>
      </c>
      <c r="AL242" s="33" t="s">
        <v>2</v>
      </c>
      <c r="AM242" s="73" t="s">
        <v>2</v>
      </c>
      <c r="AN242" s="73" t="s">
        <v>2</v>
      </c>
      <c r="AO242" s="71" t="s">
        <v>2</v>
      </c>
      <c r="AP242" s="6" t="s">
        <v>2</v>
      </c>
      <c r="AQ242" s="75" t="s">
        <v>2</v>
      </c>
      <c r="AR242" s="75" t="s">
        <v>2</v>
      </c>
      <c r="AS242" s="75" t="s">
        <v>2</v>
      </c>
      <c r="AT242" s="75" t="s">
        <v>2</v>
      </c>
      <c r="AU242" s="75" t="s">
        <v>2</v>
      </c>
      <c r="AV242" s="77" t="s">
        <v>2</v>
      </c>
      <c r="AW242" s="6" t="s">
        <v>2</v>
      </c>
      <c r="AX242" s="75" t="s">
        <v>2</v>
      </c>
      <c r="AY242" s="75" t="s">
        <v>2</v>
      </c>
      <c r="AZ242" s="77" t="s">
        <v>2</v>
      </c>
      <c r="BA242" s="6" t="s">
        <v>2</v>
      </c>
      <c r="BB242" s="75" t="s">
        <v>2</v>
      </c>
      <c r="BC242" s="75" t="s">
        <v>2</v>
      </c>
      <c r="BD242" s="75" t="s">
        <v>2</v>
      </c>
      <c r="BE242" s="75" t="s">
        <v>2</v>
      </c>
      <c r="BF242" s="77" t="s">
        <v>2</v>
      </c>
      <c r="BG242" s="21" t="s">
        <v>2</v>
      </c>
      <c r="BH242" s="21">
        <v>0</v>
      </c>
      <c r="BI242" s="73" t="s">
        <v>2</v>
      </c>
      <c r="BJ242" s="73" t="s">
        <v>2</v>
      </c>
      <c r="BK242" s="73" t="s">
        <v>2</v>
      </c>
      <c r="BL242" s="73" t="s">
        <v>2</v>
      </c>
      <c r="BM242" s="73" t="s">
        <v>2</v>
      </c>
      <c r="BN242" s="73" t="s">
        <v>2</v>
      </c>
      <c r="BO242" s="73" t="s">
        <v>2</v>
      </c>
      <c r="BP242" s="73" t="s">
        <v>2</v>
      </c>
      <c r="BQ242" s="73" t="s">
        <v>2</v>
      </c>
      <c r="BR242" s="73" t="s">
        <v>2</v>
      </c>
      <c r="BS242" s="73" t="s">
        <v>2</v>
      </c>
      <c r="BT242" s="73" t="s">
        <v>2</v>
      </c>
      <c r="BU242" s="73" t="s">
        <v>2</v>
      </c>
      <c r="BV242" s="73" t="s">
        <v>2</v>
      </c>
      <c r="BW242" s="73" t="s">
        <v>2</v>
      </c>
      <c r="BX242" s="73" t="s">
        <v>2</v>
      </c>
      <c r="BY242" s="73" t="s">
        <v>2</v>
      </c>
      <c r="BZ242" s="71" t="s">
        <v>2</v>
      </c>
      <c r="CA242" s="6" t="s">
        <v>2</v>
      </c>
      <c r="CB242" s="6" t="s">
        <v>2</v>
      </c>
      <c r="CC242" s="6" t="s">
        <v>2</v>
      </c>
      <c r="CD242" s="6" t="s">
        <v>2</v>
      </c>
      <c r="CE242" s="6" t="s">
        <v>2</v>
      </c>
      <c r="CF242" s="6" t="s">
        <v>2</v>
      </c>
      <c r="CG242" s="22" t="s">
        <v>2</v>
      </c>
      <c r="CH242" s="73" t="s">
        <v>2</v>
      </c>
      <c r="CI242" s="71" t="s">
        <v>2</v>
      </c>
      <c r="CJ242" s="6" t="s">
        <v>2</v>
      </c>
      <c r="CK242" s="6" t="s">
        <v>2</v>
      </c>
      <c r="CL242" s="6" t="s">
        <v>2</v>
      </c>
      <c r="CM242" s="22" t="s">
        <v>2</v>
      </c>
      <c r="CN242" s="21" t="s">
        <v>2</v>
      </c>
      <c r="CO242" s="21" t="s">
        <v>2</v>
      </c>
    </row>
    <row r="243" spans="1:93" s="102" customFormat="1" x14ac:dyDescent="0.25">
      <c r="A243" s="107" t="s">
        <v>878</v>
      </c>
      <c r="B243" s="54" t="s">
        <v>88</v>
      </c>
      <c r="C243" s="5" t="s">
        <v>1057</v>
      </c>
      <c r="D243" s="287">
        <v>5</v>
      </c>
      <c r="E243" s="21">
        <v>55</v>
      </c>
      <c r="F243" s="84">
        <v>67</v>
      </c>
      <c r="G243" s="71">
        <v>280.06</v>
      </c>
      <c r="H243" s="83">
        <v>82.2</v>
      </c>
      <c r="I243" s="6">
        <v>1.5</v>
      </c>
      <c r="J243" s="6" t="s">
        <v>2</v>
      </c>
      <c r="K243" s="6">
        <v>15.2</v>
      </c>
      <c r="L243" s="6">
        <v>1.2</v>
      </c>
      <c r="M243" s="22">
        <v>1.1000000000000001</v>
      </c>
      <c r="N243" s="73">
        <v>21</v>
      </c>
      <c r="O243" s="73">
        <v>28</v>
      </c>
      <c r="P243" s="6">
        <v>0.4</v>
      </c>
      <c r="Q243" s="6" t="s">
        <v>2</v>
      </c>
      <c r="R243" s="73" t="s">
        <v>2</v>
      </c>
      <c r="S243" s="73" t="s">
        <v>2</v>
      </c>
      <c r="T243" s="73" t="s">
        <v>2</v>
      </c>
      <c r="U243" s="75" t="s">
        <v>2</v>
      </c>
      <c r="V243" s="75" t="s">
        <v>2</v>
      </c>
      <c r="W243" s="22" t="s">
        <v>2</v>
      </c>
      <c r="X243" s="31">
        <v>5</v>
      </c>
      <c r="Y243" s="91">
        <v>0.09</v>
      </c>
      <c r="Z243" s="91">
        <v>0.04</v>
      </c>
      <c r="AA243" s="91">
        <v>0.7</v>
      </c>
      <c r="AB243" s="91" t="s">
        <v>2</v>
      </c>
      <c r="AC243" s="91" t="s">
        <v>2</v>
      </c>
      <c r="AD243" s="88" t="s">
        <v>2</v>
      </c>
      <c r="AE243" s="88" t="s">
        <v>2</v>
      </c>
      <c r="AF243" s="32" t="s">
        <v>2</v>
      </c>
      <c r="AG243" s="33" t="s">
        <v>2</v>
      </c>
      <c r="AH243" s="93">
        <v>0</v>
      </c>
      <c r="AI243" s="93">
        <v>7</v>
      </c>
      <c r="AJ243" s="32" t="s">
        <v>2</v>
      </c>
      <c r="AK243" s="32" t="s">
        <v>2</v>
      </c>
      <c r="AL243" s="33" t="s">
        <v>2</v>
      </c>
      <c r="AM243" s="73">
        <v>80</v>
      </c>
      <c r="AN243" s="73" t="s">
        <v>2</v>
      </c>
      <c r="AO243" s="71" t="s">
        <v>2</v>
      </c>
      <c r="AP243" s="6" t="s">
        <v>2</v>
      </c>
      <c r="AQ243" s="75" t="s">
        <v>2</v>
      </c>
      <c r="AR243" s="75" t="s">
        <v>2</v>
      </c>
      <c r="AS243" s="75" t="s">
        <v>2</v>
      </c>
      <c r="AT243" s="75" t="s">
        <v>2</v>
      </c>
      <c r="AU243" s="75" t="s">
        <v>2</v>
      </c>
      <c r="AV243" s="77" t="s">
        <v>2</v>
      </c>
      <c r="AW243" s="6" t="s">
        <v>2</v>
      </c>
      <c r="AX243" s="75" t="s">
        <v>2</v>
      </c>
      <c r="AY243" s="75" t="s">
        <v>2</v>
      </c>
      <c r="AZ243" s="77" t="s">
        <v>2</v>
      </c>
      <c r="BA243" s="6" t="s">
        <v>2</v>
      </c>
      <c r="BB243" s="75" t="s">
        <v>2</v>
      </c>
      <c r="BC243" s="75" t="s">
        <v>2</v>
      </c>
      <c r="BD243" s="75" t="s">
        <v>2</v>
      </c>
      <c r="BE243" s="75" t="s">
        <v>2</v>
      </c>
      <c r="BF243" s="77" t="s">
        <v>2</v>
      </c>
      <c r="BG243" s="21" t="s">
        <v>2</v>
      </c>
      <c r="BH243" s="21">
        <v>0</v>
      </c>
      <c r="BI243" s="73" t="s">
        <v>2</v>
      </c>
      <c r="BJ243" s="73" t="s">
        <v>2</v>
      </c>
      <c r="BK243" s="73" t="s">
        <v>2</v>
      </c>
      <c r="BL243" s="73" t="s">
        <v>2</v>
      </c>
      <c r="BM243" s="73" t="s">
        <v>2</v>
      </c>
      <c r="BN243" s="73" t="s">
        <v>2</v>
      </c>
      <c r="BO243" s="73" t="s">
        <v>2</v>
      </c>
      <c r="BP243" s="73" t="s">
        <v>2</v>
      </c>
      <c r="BQ243" s="73" t="s">
        <v>2</v>
      </c>
      <c r="BR243" s="73" t="s">
        <v>2</v>
      </c>
      <c r="BS243" s="73" t="s">
        <v>2</v>
      </c>
      <c r="BT243" s="73" t="s">
        <v>2</v>
      </c>
      <c r="BU243" s="73" t="s">
        <v>2</v>
      </c>
      <c r="BV243" s="73" t="s">
        <v>2</v>
      </c>
      <c r="BW243" s="73" t="s">
        <v>2</v>
      </c>
      <c r="BX243" s="73" t="s">
        <v>2</v>
      </c>
      <c r="BY243" s="73" t="s">
        <v>2</v>
      </c>
      <c r="BZ243" s="71" t="s">
        <v>2</v>
      </c>
      <c r="CA243" s="6" t="s">
        <v>2</v>
      </c>
      <c r="CB243" s="6" t="s">
        <v>2</v>
      </c>
      <c r="CC243" s="6" t="s">
        <v>2</v>
      </c>
      <c r="CD243" s="6" t="s">
        <v>2</v>
      </c>
      <c r="CE243" s="6" t="s">
        <v>2</v>
      </c>
      <c r="CF243" s="6" t="s">
        <v>2</v>
      </c>
      <c r="CG243" s="22" t="s">
        <v>2</v>
      </c>
      <c r="CH243" s="73" t="s">
        <v>2</v>
      </c>
      <c r="CI243" s="71" t="s">
        <v>2</v>
      </c>
      <c r="CJ243" s="6" t="s">
        <v>2</v>
      </c>
      <c r="CK243" s="6" t="s">
        <v>2</v>
      </c>
      <c r="CL243" s="6" t="s">
        <v>2</v>
      </c>
      <c r="CM243" s="22" t="s">
        <v>2</v>
      </c>
      <c r="CN243" s="21" t="s">
        <v>2</v>
      </c>
      <c r="CO243" s="21" t="s">
        <v>2</v>
      </c>
    </row>
    <row r="244" spans="1:93" s="102" customFormat="1" x14ac:dyDescent="0.25">
      <c r="A244" s="107" t="s">
        <v>879</v>
      </c>
      <c r="B244" s="54" t="s">
        <v>89</v>
      </c>
      <c r="C244" s="5" t="s">
        <v>1106</v>
      </c>
      <c r="D244" s="287">
        <v>5</v>
      </c>
      <c r="E244" s="21">
        <v>14</v>
      </c>
      <c r="F244" s="84">
        <v>50</v>
      </c>
      <c r="G244" s="71">
        <v>209</v>
      </c>
      <c r="H244" s="83">
        <v>87.1</v>
      </c>
      <c r="I244" s="40">
        <v>0.9</v>
      </c>
      <c r="J244" s="32">
        <v>0.27</v>
      </c>
      <c r="K244" s="32">
        <v>11.03</v>
      </c>
      <c r="L244" s="32">
        <v>0.8</v>
      </c>
      <c r="M244" s="33">
        <v>0.7</v>
      </c>
      <c r="N244" s="73">
        <v>28</v>
      </c>
      <c r="O244" s="73">
        <v>26</v>
      </c>
      <c r="P244" s="6">
        <v>2.1</v>
      </c>
      <c r="Q244" s="6">
        <v>0.2</v>
      </c>
      <c r="R244" s="73">
        <v>1</v>
      </c>
      <c r="S244" s="73">
        <v>259</v>
      </c>
      <c r="T244" s="73">
        <v>10</v>
      </c>
      <c r="U244" s="75">
        <v>7.6999999999999999E-2</v>
      </c>
      <c r="V244" s="75">
        <v>78</v>
      </c>
      <c r="W244" s="22">
        <v>0.1</v>
      </c>
      <c r="X244" s="31">
        <v>7</v>
      </c>
      <c r="Y244" s="91">
        <v>0.04</v>
      </c>
      <c r="Z244" s="91">
        <v>0.06</v>
      </c>
      <c r="AA244" s="91">
        <v>0.7</v>
      </c>
      <c r="AB244" s="91">
        <v>0.24</v>
      </c>
      <c r="AC244" s="91">
        <v>5.3999999999999999E-2</v>
      </c>
      <c r="AD244" s="88">
        <v>9</v>
      </c>
      <c r="AE244" s="88">
        <v>0</v>
      </c>
      <c r="AF244" s="32" t="s">
        <v>2</v>
      </c>
      <c r="AG244" s="33">
        <v>0</v>
      </c>
      <c r="AH244" s="93">
        <v>0</v>
      </c>
      <c r="AI244" s="93">
        <v>213</v>
      </c>
      <c r="AJ244" s="32" t="s">
        <v>2</v>
      </c>
      <c r="AK244" s="32">
        <v>0.89</v>
      </c>
      <c r="AL244" s="33">
        <v>3.3</v>
      </c>
      <c r="AM244" s="73">
        <v>2554</v>
      </c>
      <c r="AN244" s="73">
        <v>0</v>
      </c>
      <c r="AO244" s="71">
        <v>0</v>
      </c>
      <c r="AP244" s="6">
        <v>2.7E-2</v>
      </c>
      <c r="AQ244" s="75">
        <v>2.4E-2</v>
      </c>
      <c r="AR244" s="75">
        <v>0</v>
      </c>
      <c r="AS244" s="75">
        <v>3.0000000000000001E-3</v>
      </c>
      <c r="AT244" s="75">
        <v>0</v>
      </c>
      <c r="AU244" s="75">
        <v>0</v>
      </c>
      <c r="AV244" s="77">
        <v>0</v>
      </c>
      <c r="AW244" s="6">
        <v>0.17</v>
      </c>
      <c r="AX244" s="75">
        <v>0</v>
      </c>
      <c r="AY244" s="75">
        <v>0</v>
      </c>
      <c r="AZ244" s="77">
        <v>0.17</v>
      </c>
      <c r="BA244" s="6">
        <v>7.6999999999999999E-2</v>
      </c>
      <c r="BB244" s="75">
        <v>7.6999999999999999E-2</v>
      </c>
      <c r="BC244" s="75">
        <v>0</v>
      </c>
      <c r="BD244" s="75">
        <v>0</v>
      </c>
      <c r="BE244" s="75">
        <v>0</v>
      </c>
      <c r="BF244" s="77">
        <v>0</v>
      </c>
      <c r="BG244" s="21" t="s">
        <v>2</v>
      </c>
      <c r="BH244" s="21">
        <v>0</v>
      </c>
      <c r="BI244" s="73">
        <v>20</v>
      </c>
      <c r="BJ244" s="73">
        <v>4</v>
      </c>
      <c r="BK244" s="73">
        <v>2</v>
      </c>
      <c r="BL244" s="73">
        <v>11</v>
      </c>
      <c r="BM244" s="73">
        <v>14</v>
      </c>
      <c r="BN244" s="73">
        <v>15</v>
      </c>
      <c r="BO244" s="73">
        <v>20</v>
      </c>
      <c r="BP244" s="73">
        <v>12</v>
      </c>
      <c r="BQ244" s="73">
        <v>9</v>
      </c>
      <c r="BR244" s="73">
        <v>11</v>
      </c>
      <c r="BS244" s="73">
        <v>6</v>
      </c>
      <c r="BT244" s="73">
        <v>9</v>
      </c>
      <c r="BU244" s="73">
        <v>24</v>
      </c>
      <c r="BV244" s="73">
        <v>148</v>
      </c>
      <c r="BW244" s="73">
        <v>42</v>
      </c>
      <c r="BX244" s="73">
        <v>12</v>
      </c>
      <c r="BY244" s="73">
        <v>19</v>
      </c>
      <c r="BZ244" s="71">
        <v>20</v>
      </c>
      <c r="CA244" s="31">
        <v>9.24</v>
      </c>
      <c r="CB244" s="32">
        <v>0</v>
      </c>
      <c r="CC244" s="32">
        <v>0.06</v>
      </c>
      <c r="CD244" s="32">
        <v>0</v>
      </c>
      <c r="CE244" s="32">
        <v>0.94</v>
      </c>
      <c r="CF244" s="32">
        <v>2.37</v>
      </c>
      <c r="CG244" s="33">
        <v>5.87</v>
      </c>
      <c r="CH244" s="73">
        <v>5</v>
      </c>
      <c r="CI244" s="71">
        <v>0</v>
      </c>
      <c r="CJ244" s="6" t="s">
        <v>2</v>
      </c>
      <c r="CK244" s="6" t="s">
        <v>2</v>
      </c>
      <c r="CL244" s="6" t="s">
        <v>2</v>
      </c>
      <c r="CM244" s="22" t="s">
        <v>2</v>
      </c>
      <c r="CN244" s="21">
        <v>18</v>
      </c>
      <c r="CO244" s="21" t="s">
        <v>2</v>
      </c>
    </row>
    <row r="245" spans="1:93" s="102" customFormat="1" x14ac:dyDescent="0.25">
      <c r="A245" s="107" t="s">
        <v>880</v>
      </c>
      <c r="B245" s="54" t="s">
        <v>90</v>
      </c>
      <c r="C245" s="5" t="s">
        <v>1107</v>
      </c>
      <c r="D245" s="287">
        <v>5</v>
      </c>
      <c r="E245" s="21">
        <v>0</v>
      </c>
      <c r="F245" s="84">
        <v>290</v>
      </c>
      <c r="G245" s="71">
        <v>1212.1999999999998</v>
      </c>
      <c r="H245" s="83">
        <v>25.9</v>
      </c>
      <c r="I245" s="40">
        <v>3</v>
      </c>
      <c r="J245" s="32">
        <v>1.1000000000000001</v>
      </c>
      <c r="K245" s="32">
        <v>66.900000000000006</v>
      </c>
      <c r="L245" s="32">
        <v>4.0999999999999996</v>
      </c>
      <c r="M245" s="33">
        <v>3.1</v>
      </c>
      <c r="N245" s="87">
        <v>62</v>
      </c>
      <c r="O245" s="88">
        <v>106</v>
      </c>
      <c r="P245" s="32">
        <v>4.5</v>
      </c>
      <c r="Q245" s="32">
        <v>0.39</v>
      </c>
      <c r="R245" s="88">
        <v>10</v>
      </c>
      <c r="S245" s="88">
        <v>1162</v>
      </c>
      <c r="T245" s="88">
        <v>32</v>
      </c>
      <c r="U245" s="91">
        <v>0.23499999999999999</v>
      </c>
      <c r="V245" s="91">
        <v>343</v>
      </c>
      <c r="W245" s="33">
        <v>2.2000000000000002</v>
      </c>
      <c r="X245" s="31">
        <v>5</v>
      </c>
      <c r="Y245" s="91">
        <v>0.08</v>
      </c>
      <c r="Z245" s="91">
        <v>0.09</v>
      </c>
      <c r="AA245" s="91">
        <v>1.6</v>
      </c>
      <c r="AB245" s="91">
        <v>0.51600000000000001</v>
      </c>
      <c r="AC245" s="91">
        <v>0.14299999999999999</v>
      </c>
      <c r="AD245" s="88">
        <v>10</v>
      </c>
      <c r="AE245" s="88">
        <v>0</v>
      </c>
      <c r="AF245" s="32" t="s">
        <v>2</v>
      </c>
      <c r="AG245" s="33">
        <v>0</v>
      </c>
      <c r="AH245" s="93">
        <v>0</v>
      </c>
      <c r="AI245" s="93">
        <v>180</v>
      </c>
      <c r="AJ245" s="32" t="s">
        <v>2</v>
      </c>
      <c r="AK245" s="32">
        <v>4.33</v>
      </c>
      <c r="AL245" s="33">
        <v>3.1</v>
      </c>
      <c r="AM245" s="87">
        <v>2163</v>
      </c>
      <c r="AN245" s="88">
        <v>0</v>
      </c>
      <c r="AO245" s="95">
        <v>0</v>
      </c>
      <c r="AP245" s="6">
        <v>1.7000000000000001E-2</v>
      </c>
      <c r="AQ245" s="75">
        <v>1.7000000000000001E-2</v>
      </c>
      <c r="AR245" s="75">
        <v>0</v>
      </c>
      <c r="AS245" s="75">
        <v>0</v>
      </c>
      <c r="AT245" s="75">
        <v>0</v>
      </c>
      <c r="AU245" s="75">
        <v>0</v>
      </c>
      <c r="AV245" s="77">
        <v>0</v>
      </c>
      <c r="AW245" s="6">
        <v>7.3999999999999996E-2</v>
      </c>
      <c r="AX245" s="75">
        <v>0</v>
      </c>
      <c r="AY245" s="75">
        <v>0</v>
      </c>
      <c r="AZ245" s="77">
        <v>7.3999999999999996E-2</v>
      </c>
      <c r="BA245" s="6">
        <v>7.3999999999999996E-2</v>
      </c>
      <c r="BB245" s="75">
        <v>7.3999999999999996E-2</v>
      </c>
      <c r="BC245" s="75">
        <v>0</v>
      </c>
      <c r="BD245" s="75">
        <v>0</v>
      </c>
      <c r="BE245" s="75">
        <v>0</v>
      </c>
      <c r="BF245" s="77">
        <v>0</v>
      </c>
      <c r="BG245" s="21" t="s">
        <v>2</v>
      </c>
      <c r="BH245" s="21">
        <v>0</v>
      </c>
      <c r="BI245" s="73">
        <v>83</v>
      </c>
      <c r="BJ245" s="73">
        <v>15</v>
      </c>
      <c r="BK245" s="73">
        <v>16</v>
      </c>
      <c r="BL245" s="73">
        <v>62</v>
      </c>
      <c r="BM245" s="73">
        <v>73</v>
      </c>
      <c r="BN245" s="73">
        <v>78</v>
      </c>
      <c r="BO245" s="73">
        <v>105</v>
      </c>
      <c r="BP245" s="73">
        <v>63</v>
      </c>
      <c r="BQ245" s="73">
        <v>66</v>
      </c>
      <c r="BR245" s="73">
        <v>47</v>
      </c>
      <c r="BS245" s="73">
        <v>19</v>
      </c>
      <c r="BT245" s="73">
        <v>39</v>
      </c>
      <c r="BU245" s="73">
        <v>110</v>
      </c>
      <c r="BV245" s="73">
        <v>937</v>
      </c>
      <c r="BW245" s="73">
        <v>188</v>
      </c>
      <c r="BX245" s="73">
        <v>70</v>
      </c>
      <c r="BY245" s="73">
        <v>821</v>
      </c>
      <c r="BZ245" s="71">
        <v>87</v>
      </c>
      <c r="CA245" s="31">
        <v>53.44</v>
      </c>
      <c r="CB245" s="32">
        <v>0</v>
      </c>
      <c r="CC245" s="32">
        <v>0</v>
      </c>
      <c r="CD245" s="32">
        <v>0</v>
      </c>
      <c r="CE245" s="32">
        <v>12.47</v>
      </c>
      <c r="CF245" s="32">
        <v>33.08</v>
      </c>
      <c r="CG245" s="33">
        <v>7.89</v>
      </c>
      <c r="CH245" s="88">
        <v>0</v>
      </c>
      <c r="CI245" s="95">
        <v>0</v>
      </c>
      <c r="CJ245" s="6" t="s">
        <v>2</v>
      </c>
      <c r="CK245" s="6" t="s">
        <v>2</v>
      </c>
      <c r="CL245" s="6" t="s">
        <v>2</v>
      </c>
      <c r="CM245" s="22" t="s">
        <v>2</v>
      </c>
      <c r="CN245" s="21" t="s">
        <v>2</v>
      </c>
      <c r="CO245" s="21">
        <v>73</v>
      </c>
    </row>
    <row r="246" spans="1:93" s="102" customFormat="1" ht="35.25" customHeight="1" x14ac:dyDescent="0.25">
      <c r="A246" s="107" t="s">
        <v>881</v>
      </c>
      <c r="B246" s="54" t="s">
        <v>91</v>
      </c>
      <c r="C246" s="82" t="s">
        <v>1108</v>
      </c>
      <c r="D246" s="287">
        <v>5</v>
      </c>
      <c r="E246" s="21">
        <v>20</v>
      </c>
      <c r="F246" s="84">
        <v>69</v>
      </c>
      <c r="G246" s="71">
        <v>288.41999999999996</v>
      </c>
      <c r="H246" s="83">
        <v>82.9</v>
      </c>
      <c r="I246" s="40">
        <v>0.6</v>
      </c>
      <c r="J246" s="32">
        <v>0.4</v>
      </c>
      <c r="K246" s="32">
        <v>15.7</v>
      </c>
      <c r="L246" s="32">
        <v>0.4</v>
      </c>
      <c r="M246" s="33">
        <v>0.4</v>
      </c>
      <c r="N246" s="87">
        <v>4</v>
      </c>
      <c r="O246" s="88">
        <v>4</v>
      </c>
      <c r="P246" s="32">
        <v>0.02</v>
      </c>
      <c r="Q246" s="32" t="s">
        <v>2</v>
      </c>
      <c r="R246" s="88" t="s">
        <v>2</v>
      </c>
      <c r="S246" s="88" t="s">
        <v>2</v>
      </c>
      <c r="T246" s="88" t="s">
        <v>2</v>
      </c>
      <c r="U246" s="91" t="s">
        <v>2</v>
      </c>
      <c r="V246" s="91" t="s">
        <v>2</v>
      </c>
      <c r="W246" s="33" t="s">
        <v>2</v>
      </c>
      <c r="X246" s="31">
        <v>60</v>
      </c>
      <c r="Y246" s="91">
        <v>0.06</v>
      </c>
      <c r="Z246" s="91">
        <v>0.06</v>
      </c>
      <c r="AA246" s="91">
        <v>0.9</v>
      </c>
      <c r="AB246" s="91" t="s">
        <v>2</v>
      </c>
      <c r="AC246" s="91" t="s">
        <v>2</v>
      </c>
      <c r="AD246" s="88" t="s">
        <v>2</v>
      </c>
      <c r="AE246" s="88" t="s">
        <v>2</v>
      </c>
      <c r="AF246" s="32" t="s">
        <v>2</v>
      </c>
      <c r="AG246" s="33" t="s">
        <v>2</v>
      </c>
      <c r="AH246" s="93">
        <v>0</v>
      </c>
      <c r="AI246" s="93">
        <v>159</v>
      </c>
      <c r="AJ246" s="32" t="s">
        <v>2</v>
      </c>
      <c r="AK246" s="32" t="s">
        <v>2</v>
      </c>
      <c r="AL246" s="33" t="s">
        <v>2</v>
      </c>
      <c r="AM246" s="87">
        <v>1905</v>
      </c>
      <c r="AN246" s="88" t="s">
        <v>2</v>
      </c>
      <c r="AO246" s="95" t="s">
        <v>2</v>
      </c>
      <c r="AP246" s="40" t="s">
        <v>2</v>
      </c>
      <c r="AQ246" s="91" t="s">
        <v>2</v>
      </c>
      <c r="AR246" s="91" t="s">
        <v>2</v>
      </c>
      <c r="AS246" s="91" t="s">
        <v>2</v>
      </c>
      <c r="AT246" s="91" t="s">
        <v>2</v>
      </c>
      <c r="AU246" s="91" t="s">
        <v>2</v>
      </c>
      <c r="AV246" s="97" t="s">
        <v>2</v>
      </c>
      <c r="AW246" s="31" t="s">
        <v>2</v>
      </c>
      <c r="AX246" s="91" t="s">
        <v>2</v>
      </c>
      <c r="AY246" s="91" t="s">
        <v>2</v>
      </c>
      <c r="AZ246" s="97" t="s">
        <v>2</v>
      </c>
      <c r="BA246" s="6" t="s">
        <v>2</v>
      </c>
      <c r="BB246" s="75" t="s">
        <v>2</v>
      </c>
      <c r="BC246" s="75" t="s">
        <v>2</v>
      </c>
      <c r="BD246" s="75" t="s">
        <v>2</v>
      </c>
      <c r="BE246" s="75" t="s">
        <v>2</v>
      </c>
      <c r="BF246" s="77" t="s">
        <v>2</v>
      </c>
      <c r="BG246" s="21" t="s">
        <v>2</v>
      </c>
      <c r="BH246" s="21">
        <v>0</v>
      </c>
      <c r="BI246" s="73" t="s">
        <v>2</v>
      </c>
      <c r="BJ246" s="73" t="s">
        <v>2</v>
      </c>
      <c r="BK246" s="73" t="s">
        <v>2</v>
      </c>
      <c r="BL246" s="73" t="s">
        <v>2</v>
      </c>
      <c r="BM246" s="73" t="s">
        <v>2</v>
      </c>
      <c r="BN246" s="73" t="s">
        <v>2</v>
      </c>
      <c r="BO246" s="73" t="s">
        <v>2</v>
      </c>
      <c r="BP246" s="73" t="s">
        <v>2</v>
      </c>
      <c r="BQ246" s="73" t="s">
        <v>2</v>
      </c>
      <c r="BR246" s="73" t="s">
        <v>2</v>
      </c>
      <c r="BS246" s="73" t="s">
        <v>2</v>
      </c>
      <c r="BT246" s="73" t="s">
        <v>2</v>
      </c>
      <c r="BU246" s="73" t="s">
        <v>2</v>
      </c>
      <c r="BV246" s="73" t="s">
        <v>2</v>
      </c>
      <c r="BW246" s="73" t="s">
        <v>2</v>
      </c>
      <c r="BX246" s="73" t="s">
        <v>2</v>
      </c>
      <c r="BY246" s="73" t="s">
        <v>2</v>
      </c>
      <c r="BZ246" s="71" t="s">
        <v>2</v>
      </c>
      <c r="CA246" s="31" t="s">
        <v>2</v>
      </c>
      <c r="CB246" s="32" t="s">
        <v>2</v>
      </c>
      <c r="CC246" s="32" t="s">
        <v>2</v>
      </c>
      <c r="CD246" s="32" t="s">
        <v>2</v>
      </c>
      <c r="CE246" s="32" t="s">
        <v>2</v>
      </c>
      <c r="CF246" s="32" t="s">
        <v>2</v>
      </c>
      <c r="CG246" s="33" t="s">
        <v>2</v>
      </c>
      <c r="CH246" s="88" t="s">
        <v>2</v>
      </c>
      <c r="CI246" s="95" t="s">
        <v>2</v>
      </c>
      <c r="CJ246" s="31" t="s">
        <v>2</v>
      </c>
      <c r="CK246" s="32" t="s">
        <v>2</v>
      </c>
      <c r="CL246" s="32" t="s">
        <v>2</v>
      </c>
      <c r="CM246" s="33" t="s">
        <v>2</v>
      </c>
      <c r="CN246" s="21" t="s">
        <v>2</v>
      </c>
      <c r="CO246" s="21" t="s">
        <v>2</v>
      </c>
    </row>
    <row r="247" spans="1:93" s="102" customFormat="1" ht="24" customHeight="1" x14ac:dyDescent="0.25">
      <c r="A247" s="107" t="s">
        <v>882</v>
      </c>
      <c r="B247" s="54" t="s">
        <v>92</v>
      </c>
      <c r="C247" s="5" t="s">
        <v>1058</v>
      </c>
      <c r="D247" s="287">
        <v>5</v>
      </c>
      <c r="E247" s="21">
        <v>44.4</v>
      </c>
      <c r="F247" s="84">
        <v>69</v>
      </c>
      <c r="G247" s="71">
        <v>288.41999999999996</v>
      </c>
      <c r="H247" s="83">
        <v>82.5</v>
      </c>
      <c r="I247" s="40">
        <v>1.6</v>
      </c>
      <c r="J247" s="32">
        <v>0.2</v>
      </c>
      <c r="K247" s="32">
        <v>15.1</v>
      </c>
      <c r="L247" s="32">
        <v>0.8</v>
      </c>
      <c r="M247" s="33">
        <v>0.6</v>
      </c>
      <c r="N247" s="87">
        <v>35</v>
      </c>
      <c r="O247" s="88">
        <v>45</v>
      </c>
      <c r="P247" s="32">
        <v>0.6</v>
      </c>
      <c r="Q247" s="32">
        <v>0.21</v>
      </c>
      <c r="R247" s="88">
        <v>22</v>
      </c>
      <c r="S247" s="88">
        <v>260</v>
      </c>
      <c r="T247" s="88">
        <v>21</v>
      </c>
      <c r="U247" s="91">
        <v>0.17</v>
      </c>
      <c r="V247" s="91">
        <v>200</v>
      </c>
      <c r="W247" s="33">
        <v>0.6</v>
      </c>
      <c r="X247" s="31">
        <v>36</v>
      </c>
      <c r="Y247" s="91">
        <v>0.11</v>
      </c>
      <c r="Z247" s="91">
        <v>0.1</v>
      </c>
      <c r="AA247" s="91">
        <v>0.8</v>
      </c>
      <c r="AB247" s="91">
        <v>0.22600000000000001</v>
      </c>
      <c r="AC247" s="91">
        <v>0.2</v>
      </c>
      <c r="AD247" s="88">
        <v>14</v>
      </c>
      <c r="AE247" s="88">
        <v>0</v>
      </c>
      <c r="AF247" s="32" t="s">
        <v>2</v>
      </c>
      <c r="AG247" s="33">
        <v>0</v>
      </c>
      <c r="AH247" s="93">
        <v>0</v>
      </c>
      <c r="AI247" s="93">
        <v>0</v>
      </c>
      <c r="AJ247" s="32" t="s">
        <v>2</v>
      </c>
      <c r="AK247" s="32" t="s">
        <v>2</v>
      </c>
      <c r="AL247" s="33" t="s">
        <v>2</v>
      </c>
      <c r="AM247" s="87">
        <v>0</v>
      </c>
      <c r="AN247" s="88" t="s">
        <v>2</v>
      </c>
      <c r="AO247" s="95" t="s">
        <v>2</v>
      </c>
      <c r="AP247" s="40">
        <v>4.8000000000000001E-2</v>
      </c>
      <c r="AQ247" s="91">
        <v>2.8000000000000001E-2</v>
      </c>
      <c r="AR247" s="91">
        <v>0</v>
      </c>
      <c r="AS247" s="91">
        <v>0.02</v>
      </c>
      <c r="AT247" s="91">
        <v>0</v>
      </c>
      <c r="AU247" s="91">
        <v>0</v>
      </c>
      <c r="AV247" s="97">
        <v>0</v>
      </c>
      <c r="AW247" s="31">
        <v>0.114</v>
      </c>
      <c r="AX247" s="91">
        <v>0</v>
      </c>
      <c r="AY247" s="91">
        <v>0</v>
      </c>
      <c r="AZ247" s="97">
        <v>0.114</v>
      </c>
      <c r="BA247" s="6">
        <v>0.04</v>
      </c>
      <c r="BB247" s="75">
        <v>0.04</v>
      </c>
      <c r="BC247" s="75">
        <v>0</v>
      </c>
      <c r="BD247" s="75">
        <v>0</v>
      </c>
      <c r="BE247" s="75">
        <v>0</v>
      </c>
      <c r="BF247" s="77">
        <v>0</v>
      </c>
      <c r="BG247" s="22" t="s">
        <v>2</v>
      </c>
      <c r="BH247" s="21">
        <v>0</v>
      </c>
      <c r="BI247" s="87">
        <v>55</v>
      </c>
      <c r="BJ247" s="88">
        <v>7</v>
      </c>
      <c r="BK247" s="88">
        <v>10</v>
      </c>
      <c r="BL247" s="88" t="s">
        <v>2</v>
      </c>
      <c r="BM247" s="88" t="s">
        <v>2</v>
      </c>
      <c r="BN247" s="88" t="s">
        <v>2</v>
      </c>
      <c r="BO247" s="88" t="s">
        <v>2</v>
      </c>
      <c r="BP247" s="88" t="s">
        <v>2</v>
      </c>
      <c r="BQ247" s="88" t="s">
        <v>2</v>
      </c>
      <c r="BR247" s="88" t="s">
        <v>2</v>
      </c>
      <c r="BS247" s="88" t="s">
        <v>2</v>
      </c>
      <c r="BT247" s="88" t="s">
        <v>2</v>
      </c>
      <c r="BU247" s="88" t="s">
        <v>2</v>
      </c>
      <c r="BV247" s="88" t="s">
        <v>2</v>
      </c>
      <c r="BW247" s="88" t="s">
        <v>2</v>
      </c>
      <c r="BX247" s="88" t="s">
        <v>2</v>
      </c>
      <c r="BY247" s="88" t="s">
        <v>2</v>
      </c>
      <c r="BZ247" s="95" t="s">
        <v>2</v>
      </c>
      <c r="CA247" s="31" t="s">
        <v>2</v>
      </c>
      <c r="CB247" s="32" t="s">
        <v>2</v>
      </c>
      <c r="CC247" s="32" t="s">
        <v>2</v>
      </c>
      <c r="CD247" s="32" t="s">
        <v>2</v>
      </c>
      <c r="CE247" s="32" t="s">
        <v>2</v>
      </c>
      <c r="CF247" s="32" t="s">
        <v>2</v>
      </c>
      <c r="CG247" s="33" t="s">
        <v>2</v>
      </c>
      <c r="CH247" s="88" t="s">
        <v>2</v>
      </c>
      <c r="CI247" s="95" t="s">
        <v>2</v>
      </c>
      <c r="CJ247" s="31" t="s">
        <v>2</v>
      </c>
      <c r="CK247" s="32" t="s">
        <v>2</v>
      </c>
      <c r="CL247" s="32" t="s">
        <v>2</v>
      </c>
      <c r="CM247" s="33" t="s">
        <v>2</v>
      </c>
      <c r="CN247" s="21" t="s">
        <v>2</v>
      </c>
      <c r="CO247" s="22" t="s">
        <v>2</v>
      </c>
    </row>
    <row r="248" spans="1:93" s="127" customFormat="1" ht="23.25" customHeight="1" x14ac:dyDescent="0.25">
      <c r="A248" s="107" t="s">
        <v>883</v>
      </c>
      <c r="B248" s="29" t="s">
        <v>93</v>
      </c>
      <c r="C248" s="29" t="s">
        <v>1059</v>
      </c>
      <c r="D248" s="287">
        <v>5</v>
      </c>
      <c r="E248" s="30">
        <v>45</v>
      </c>
      <c r="F248" s="84">
        <v>52</v>
      </c>
      <c r="G248" s="71">
        <v>217.35999999999999</v>
      </c>
      <c r="H248" s="86">
        <v>86.3</v>
      </c>
      <c r="I248" s="41">
        <v>0.9</v>
      </c>
      <c r="J248" s="35">
        <v>0.1</v>
      </c>
      <c r="K248" s="35">
        <v>12</v>
      </c>
      <c r="L248" s="35">
        <v>1</v>
      </c>
      <c r="M248" s="36">
        <v>0.8</v>
      </c>
      <c r="N248" s="89">
        <v>21</v>
      </c>
      <c r="O248" s="90">
        <v>12</v>
      </c>
      <c r="P248" s="35">
        <v>0.4</v>
      </c>
      <c r="Q248" s="35">
        <v>0.28999999999999998</v>
      </c>
      <c r="R248" s="90">
        <v>26</v>
      </c>
      <c r="S248" s="90">
        <v>257</v>
      </c>
      <c r="T248" s="90">
        <v>10</v>
      </c>
      <c r="U248" s="92">
        <v>0.1</v>
      </c>
      <c r="V248" s="92">
        <v>150</v>
      </c>
      <c r="W248" s="36" t="s">
        <v>2</v>
      </c>
      <c r="X248" s="34">
        <v>58</v>
      </c>
      <c r="Y248" s="92">
        <v>0.03</v>
      </c>
      <c r="Z248" s="92">
        <v>0.14000000000000001</v>
      </c>
      <c r="AA248" s="92">
        <v>0.3</v>
      </c>
      <c r="AB248" s="92" t="s">
        <v>2</v>
      </c>
      <c r="AC248" s="92" t="s">
        <v>2</v>
      </c>
      <c r="AD248" s="90" t="s">
        <v>2</v>
      </c>
      <c r="AE248" s="90" t="s">
        <v>2</v>
      </c>
      <c r="AF248" s="35" t="s">
        <v>2</v>
      </c>
      <c r="AG248" s="36" t="s">
        <v>2</v>
      </c>
      <c r="AH248" s="94">
        <v>0</v>
      </c>
      <c r="AI248" s="94">
        <v>0</v>
      </c>
      <c r="AJ248" s="35" t="s">
        <v>2</v>
      </c>
      <c r="AK248" s="35" t="s">
        <v>2</v>
      </c>
      <c r="AL248" s="36" t="s">
        <v>2</v>
      </c>
      <c r="AM248" s="89">
        <v>0</v>
      </c>
      <c r="AN248" s="90" t="s">
        <v>2</v>
      </c>
      <c r="AO248" s="96" t="s">
        <v>2</v>
      </c>
      <c r="AP248" s="41" t="s">
        <v>2</v>
      </c>
      <c r="AQ248" s="92" t="s">
        <v>2</v>
      </c>
      <c r="AR248" s="92" t="s">
        <v>2</v>
      </c>
      <c r="AS248" s="92" t="s">
        <v>2</v>
      </c>
      <c r="AT248" s="92" t="s">
        <v>2</v>
      </c>
      <c r="AU248" s="92" t="s">
        <v>2</v>
      </c>
      <c r="AV248" s="98" t="s">
        <v>2</v>
      </c>
      <c r="AW248" s="34" t="s">
        <v>2</v>
      </c>
      <c r="AX248" s="92" t="s">
        <v>2</v>
      </c>
      <c r="AY248" s="92" t="s">
        <v>2</v>
      </c>
      <c r="AZ248" s="98" t="s">
        <v>2</v>
      </c>
      <c r="BA248" s="37" t="s">
        <v>2</v>
      </c>
      <c r="BB248" s="99" t="s">
        <v>2</v>
      </c>
      <c r="BC248" s="99" t="s">
        <v>2</v>
      </c>
      <c r="BD248" s="99" t="s">
        <v>2</v>
      </c>
      <c r="BE248" s="99" t="s">
        <v>2</v>
      </c>
      <c r="BF248" s="100" t="s">
        <v>2</v>
      </c>
      <c r="BG248" s="30" t="s">
        <v>2</v>
      </c>
      <c r="BH248" s="30">
        <v>0</v>
      </c>
      <c r="BI248" s="89">
        <v>46</v>
      </c>
      <c r="BJ248" s="90">
        <v>13</v>
      </c>
      <c r="BK248" s="90" t="s">
        <v>2</v>
      </c>
      <c r="BL248" s="90">
        <v>30</v>
      </c>
      <c r="BM248" s="90">
        <v>34</v>
      </c>
      <c r="BN248" s="90">
        <v>58</v>
      </c>
      <c r="BO248" s="90">
        <v>54</v>
      </c>
      <c r="BP248" s="90">
        <v>26</v>
      </c>
      <c r="BQ248" s="90">
        <v>35</v>
      </c>
      <c r="BR248" s="90">
        <v>12</v>
      </c>
      <c r="BS248" s="90" t="s">
        <v>2</v>
      </c>
      <c r="BT248" s="90">
        <v>25</v>
      </c>
      <c r="BU248" s="90">
        <v>157</v>
      </c>
      <c r="BV248" s="90">
        <v>126</v>
      </c>
      <c r="BW248" s="90">
        <v>209</v>
      </c>
      <c r="BX248" s="90">
        <v>42</v>
      </c>
      <c r="BY248" s="90">
        <v>42</v>
      </c>
      <c r="BZ248" s="96">
        <v>48</v>
      </c>
      <c r="CA248" s="34" t="s">
        <v>2</v>
      </c>
      <c r="CB248" s="35" t="s">
        <v>2</v>
      </c>
      <c r="CC248" s="35" t="s">
        <v>2</v>
      </c>
      <c r="CD248" s="35" t="s">
        <v>2</v>
      </c>
      <c r="CE248" s="35" t="s">
        <v>2</v>
      </c>
      <c r="CF248" s="35" t="s">
        <v>2</v>
      </c>
      <c r="CG248" s="36" t="s">
        <v>2</v>
      </c>
      <c r="CH248" s="90" t="s">
        <v>2</v>
      </c>
      <c r="CI248" s="96" t="s">
        <v>2</v>
      </c>
      <c r="CJ248" s="34" t="s">
        <v>2</v>
      </c>
      <c r="CK248" s="35" t="s">
        <v>2</v>
      </c>
      <c r="CL248" s="35" t="s">
        <v>2</v>
      </c>
      <c r="CM248" s="36" t="s">
        <v>2</v>
      </c>
      <c r="CN248" s="30" t="s">
        <v>2</v>
      </c>
      <c r="CO248" s="30" t="s">
        <v>2</v>
      </c>
    </row>
    <row r="249" spans="1:93" s="102" customFormat="1" x14ac:dyDescent="0.25">
      <c r="A249" s="107" t="s">
        <v>884</v>
      </c>
      <c r="B249" s="108" t="s">
        <v>557</v>
      </c>
      <c r="C249" s="108" t="s">
        <v>1109</v>
      </c>
      <c r="D249" s="287">
        <v>5</v>
      </c>
      <c r="E249" s="110">
        <v>0</v>
      </c>
      <c r="F249" s="128">
        <v>292</v>
      </c>
      <c r="G249" s="71">
        <v>1220.56</v>
      </c>
      <c r="H249" s="112">
        <v>25</v>
      </c>
      <c r="I249" s="113">
        <v>4.3</v>
      </c>
      <c r="J249" s="114">
        <v>0.5</v>
      </c>
      <c r="K249" s="114">
        <v>67.599999999999994</v>
      </c>
      <c r="L249" s="114">
        <v>1.7</v>
      </c>
      <c r="M249" s="115">
        <v>2.6</v>
      </c>
      <c r="N249" s="116">
        <v>32</v>
      </c>
      <c r="O249" s="117">
        <v>117</v>
      </c>
      <c r="P249" s="114">
        <v>4.4000000000000004</v>
      </c>
      <c r="Q249" s="114">
        <v>0.22</v>
      </c>
      <c r="R249" s="117">
        <v>48</v>
      </c>
      <c r="S249" s="117">
        <v>658</v>
      </c>
      <c r="T249" s="117">
        <v>46</v>
      </c>
      <c r="U249" s="118">
        <v>0.25</v>
      </c>
      <c r="V249" s="118">
        <v>807</v>
      </c>
      <c r="W249" s="115" t="s">
        <v>2</v>
      </c>
      <c r="X249" s="119">
        <v>34</v>
      </c>
      <c r="Y249" s="118">
        <v>0.02</v>
      </c>
      <c r="Z249" s="118">
        <v>0.5</v>
      </c>
      <c r="AA249" s="118">
        <v>1</v>
      </c>
      <c r="AB249" s="118" t="s">
        <v>2</v>
      </c>
      <c r="AC249" s="118" t="s">
        <v>2</v>
      </c>
      <c r="AD249" s="117" t="s">
        <v>2</v>
      </c>
      <c r="AE249" s="117" t="s">
        <v>2</v>
      </c>
      <c r="AF249" s="114" t="s">
        <v>2</v>
      </c>
      <c r="AG249" s="115" t="s">
        <v>2</v>
      </c>
      <c r="AH249" s="120">
        <v>0</v>
      </c>
      <c r="AI249" s="120">
        <v>0</v>
      </c>
      <c r="AJ249" s="114" t="s">
        <v>2</v>
      </c>
      <c r="AK249" s="114" t="s">
        <v>2</v>
      </c>
      <c r="AL249" s="115" t="s">
        <v>2</v>
      </c>
      <c r="AM249" s="116">
        <v>0</v>
      </c>
      <c r="AN249" s="117" t="s">
        <v>2</v>
      </c>
      <c r="AO249" s="121" t="s">
        <v>2</v>
      </c>
      <c r="AP249" s="113" t="s">
        <v>2</v>
      </c>
      <c r="AQ249" s="118" t="s">
        <v>2</v>
      </c>
      <c r="AR249" s="118" t="s">
        <v>2</v>
      </c>
      <c r="AS249" s="118" t="s">
        <v>2</v>
      </c>
      <c r="AT249" s="118" t="s">
        <v>2</v>
      </c>
      <c r="AU249" s="118" t="s">
        <v>2</v>
      </c>
      <c r="AV249" s="122" t="s">
        <v>2</v>
      </c>
      <c r="AW249" s="119" t="s">
        <v>2</v>
      </c>
      <c r="AX249" s="118" t="s">
        <v>2</v>
      </c>
      <c r="AY249" s="118" t="s">
        <v>2</v>
      </c>
      <c r="AZ249" s="122" t="s">
        <v>2</v>
      </c>
      <c r="BA249" s="123" t="s">
        <v>2</v>
      </c>
      <c r="BB249" s="124" t="s">
        <v>2</v>
      </c>
      <c r="BC249" s="124" t="s">
        <v>2</v>
      </c>
      <c r="BD249" s="124" t="s">
        <v>2</v>
      </c>
      <c r="BE249" s="124" t="s">
        <v>2</v>
      </c>
      <c r="BF249" s="125" t="s">
        <v>2</v>
      </c>
      <c r="BG249" s="110" t="s">
        <v>2</v>
      </c>
      <c r="BH249" s="110">
        <v>0</v>
      </c>
      <c r="BI249" s="116">
        <v>172</v>
      </c>
      <c r="BJ249" s="117">
        <v>49</v>
      </c>
      <c r="BK249" s="117" t="s">
        <v>2</v>
      </c>
      <c r="BL249" s="117">
        <v>112</v>
      </c>
      <c r="BM249" s="117">
        <v>128</v>
      </c>
      <c r="BN249" s="117">
        <v>217</v>
      </c>
      <c r="BO249" s="117">
        <v>202</v>
      </c>
      <c r="BP249" s="117">
        <v>97</v>
      </c>
      <c r="BQ249" s="117">
        <v>131</v>
      </c>
      <c r="BR249" s="117">
        <v>45</v>
      </c>
      <c r="BS249" s="117" t="s">
        <v>2</v>
      </c>
      <c r="BT249" s="117">
        <v>94</v>
      </c>
      <c r="BU249" s="117">
        <v>585</v>
      </c>
      <c r="BV249" s="117">
        <v>469</v>
      </c>
      <c r="BW249" s="117">
        <v>780</v>
      </c>
      <c r="BX249" s="117">
        <v>158</v>
      </c>
      <c r="BY249" s="117">
        <v>158</v>
      </c>
      <c r="BZ249" s="121">
        <v>180</v>
      </c>
      <c r="CA249" s="119" t="s">
        <v>2</v>
      </c>
      <c r="CB249" s="114" t="s">
        <v>2</v>
      </c>
      <c r="CC249" s="114" t="s">
        <v>2</v>
      </c>
      <c r="CD249" s="114" t="s">
        <v>2</v>
      </c>
      <c r="CE249" s="114" t="s">
        <v>2</v>
      </c>
      <c r="CF249" s="114" t="s">
        <v>2</v>
      </c>
      <c r="CG249" s="115" t="s">
        <v>2</v>
      </c>
      <c r="CH249" s="117" t="s">
        <v>2</v>
      </c>
      <c r="CI249" s="121" t="s">
        <v>2</v>
      </c>
      <c r="CJ249" s="119" t="s">
        <v>2</v>
      </c>
      <c r="CK249" s="114" t="s">
        <v>2</v>
      </c>
      <c r="CL249" s="114" t="s">
        <v>2</v>
      </c>
      <c r="CM249" s="115" t="s">
        <v>2</v>
      </c>
      <c r="CN249" s="110" t="s">
        <v>2</v>
      </c>
      <c r="CO249" s="110" t="s">
        <v>2</v>
      </c>
    </row>
    <row r="250" spans="1:93" s="102" customFormat="1" x14ac:dyDescent="0.25">
      <c r="A250" s="107" t="s">
        <v>885</v>
      </c>
      <c r="B250" s="108" t="s">
        <v>558</v>
      </c>
      <c r="C250" s="129" t="s">
        <v>1110</v>
      </c>
      <c r="D250" s="287">
        <v>5</v>
      </c>
      <c r="E250" s="110">
        <v>10</v>
      </c>
      <c r="F250" s="128">
        <v>71</v>
      </c>
      <c r="G250" s="71">
        <v>296.77999999999997</v>
      </c>
      <c r="H250" s="112">
        <v>82.1</v>
      </c>
      <c r="I250" s="113">
        <v>0.4</v>
      </c>
      <c r="J250" s="114">
        <v>0.11</v>
      </c>
      <c r="K250" s="114">
        <v>16.989999999999998</v>
      </c>
      <c r="L250" s="114">
        <v>0.6</v>
      </c>
      <c r="M250" s="115">
        <v>0.4</v>
      </c>
      <c r="N250" s="116">
        <v>17</v>
      </c>
      <c r="O250" s="117">
        <v>22</v>
      </c>
      <c r="P250" s="114">
        <v>0.6</v>
      </c>
      <c r="Q250" s="114">
        <v>7.0000000000000007E-2</v>
      </c>
      <c r="R250" s="117">
        <v>2</v>
      </c>
      <c r="S250" s="117">
        <v>191</v>
      </c>
      <c r="T250" s="117">
        <v>7</v>
      </c>
      <c r="U250" s="118">
        <v>7.0999999999999994E-2</v>
      </c>
      <c r="V250" s="118">
        <v>127</v>
      </c>
      <c r="W250" s="115">
        <v>0.1</v>
      </c>
      <c r="X250" s="119">
        <v>3</v>
      </c>
      <c r="Y250" s="118">
        <v>0.06</v>
      </c>
      <c r="Z250" s="118">
        <v>0.04</v>
      </c>
      <c r="AA250" s="118">
        <v>0.2</v>
      </c>
      <c r="AB250" s="118">
        <v>0.05</v>
      </c>
      <c r="AC250" s="118">
        <v>8.5999999999999993E-2</v>
      </c>
      <c r="AD250" s="117">
        <v>2</v>
      </c>
      <c r="AE250" s="117">
        <v>0</v>
      </c>
      <c r="AF250" s="114">
        <v>0.3</v>
      </c>
      <c r="AG250" s="115">
        <v>0</v>
      </c>
      <c r="AH250" s="120">
        <v>0</v>
      </c>
      <c r="AI250" s="120">
        <v>3</v>
      </c>
      <c r="AJ250" s="114" t="s">
        <v>2</v>
      </c>
      <c r="AK250" s="114">
        <v>0.19</v>
      </c>
      <c r="AL250" s="115">
        <v>14.6</v>
      </c>
      <c r="AM250" s="116">
        <v>39</v>
      </c>
      <c r="AN250" s="117">
        <v>1</v>
      </c>
      <c r="AO250" s="121">
        <v>0</v>
      </c>
      <c r="AP250" s="113">
        <v>5.3999999999999999E-2</v>
      </c>
      <c r="AQ250" s="118">
        <v>4.5999999999999999E-2</v>
      </c>
      <c r="AR250" s="118">
        <v>0</v>
      </c>
      <c r="AS250" s="118">
        <v>6.0000000000000001E-3</v>
      </c>
      <c r="AT250" s="118">
        <v>0</v>
      </c>
      <c r="AU250" s="118">
        <v>0</v>
      </c>
      <c r="AV250" s="122">
        <v>0</v>
      </c>
      <c r="AW250" s="119">
        <v>7.0000000000000001E-3</v>
      </c>
      <c r="AX250" s="118">
        <v>0</v>
      </c>
      <c r="AY250" s="118">
        <v>0</v>
      </c>
      <c r="AZ250" s="122">
        <v>7.0000000000000001E-3</v>
      </c>
      <c r="BA250" s="123">
        <v>4.8000000000000001E-2</v>
      </c>
      <c r="BB250" s="124">
        <v>3.6999999999999998E-2</v>
      </c>
      <c r="BC250" s="124">
        <v>1.0999999999999999E-2</v>
      </c>
      <c r="BD250" s="124">
        <v>0</v>
      </c>
      <c r="BE250" s="124">
        <v>0</v>
      </c>
      <c r="BF250" s="125">
        <v>0</v>
      </c>
      <c r="BG250" s="110" t="s">
        <v>2</v>
      </c>
      <c r="BH250" s="110">
        <v>0</v>
      </c>
      <c r="BI250" s="116">
        <v>11</v>
      </c>
      <c r="BJ250" s="117">
        <v>17</v>
      </c>
      <c r="BK250" s="117">
        <v>2</v>
      </c>
      <c r="BL250" s="117">
        <v>10</v>
      </c>
      <c r="BM250" s="117">
        <v>14</v>
      </c>
      <c r="BN250" s="117">
        <v>14</v>
      </c>
      <c r="BO250" s="117">
        <v>10</v>
      </c>
      <c r="BP250" s="117">
        <v>4</v>
      </c>
      <c r="BQ250" s="117">
        <v>37</v>
      </c>
      <c r="BR250" s="117">
        <v>18</v>
      </c>
      <c r="BS250" s="117">
        <v>8</v>
      </c>
      <c r="BT250" s="117">
        <v>9</v>
      </c>
      <c r="BU250" s="117">
        <v>21</v>
      </c>
      <c r="BV250" s="117">
        <v>60</v>
      </c>
      <c r="BW250" s="117">
        <v>104</v>
      </c>
      <c r="BX250" s="117">
        <v>15</v>
      </c>
      <c r="BY250" s="117">
        <v>17</v>
      </c>
      <c r="BZ250" s="121">
        <v>24</v>
      </c>
      <c r="CA250" s="119">
        <v>15.48</v>
      </c>
      <c r="CB250" s="114">
        <v>0</v>
      </c>
      <c r="CC250" s="114">
        <v>0</v>
      </c>
      <c r="CD250" s="114">
        <v>0</v>
      </c>
      <c r="CE250" s="114">
        <v>8.1300000000000008</v>
      </c>
      <c r="CF250" s="114">
        <v>7.2</v>
      </c>
      <c r="CG250" s="115">
        <v>0.15</v>
      </c>
      <c r="CH250" s="117">
        <v>0</v>
      </c>
      <c r="CI250" s="121">
        <v>72</v>
      </c>
      <c r="CJ250" s="119" t="s">
        <v>2</v>
      </c>
      <c r="CK250" s="114" t="s">
        <v>2</v>
      </c>
      <c r="CL250" s="114" t="s">
        <v>2</v>
      </c>
      <c r="CM250" s="115" t="s">
        <v>2</v>
      </c>
      <c r="CN250" s="110" t="s">
        <v>2</v>
      </c>
      <c r="CO250" s="110">
        <v>27</v>
      </c>
    </row>
    <row r="251" spans="1:93" s="102" customFormat="1" x14ac:dyDescent="0.25">
      <c r="A251" s="107" t="s">
        <v>886</v>
      </c>
      <c r="B251" s="108" t="s">
        <v>559</v>
      </c>
      <c r="C251" s="109" t="s">
        <v>1111</v>
      </c>
      <c r="D251" s="287">
        <v>5</v>
      </c>
      <c r="E251" s="110">
        <v>13</v>
      </c>
      <c r="F251" s="128">
        <v>24</v>
      </c>
      <c r="G251" s="71">
        <v>100.32</v>
      </c>
      <c r="H251" s="112">
        <v>93.6</v>
      </c>
      <c r="I251" s="113">
        <v>0.4</v>
      </c>
      <c r="J251" s="114" t="s">
        <v>2</v>
      </c>
      <c r="K251" s="114">
        <v>5.5</v>
      </c>
      <c r="L251" s="114">
        <v>2.4</v>
      </c>
      <c r="M251" s="115">
        <v>0.5</v>
      </c>
      <c r="N251" s="116">
        <v>40</v>
      </c>
      <c r="O251" s="117">
        <v>21</v>
      </c>
      <c r="P251" s="114">
        <v>1.4</v>
      </c>
      <c r="Q251" s="114">
        <v>0.17</v>
      </c>
      <c r="R251" s="117">
        <v>11</v>
      </c>
      <c r="S251" s="117">
        <v>120</v>
      </c>
      <c r="T251" s="117">
        <v>15</v>
      </c>
      <c r="U251" s="118">
        <v>7.0000000000000007E-2</v>
      </c>
      <c r="V251" s="118">
        <v>160</v>
      </c>
      <c r="W251" s="115" t="s">
        <v>2</v>
      </c>
      <c r="X251" s="119">
        <v>45</v>
      </c>
      <c r="Y251" s="118">
        <v>0.05</v>
      </c>
      <c r="Z251" s="118">
        <v>0.04</v>
      </c>
      <c r="AA251" s="118">
        <v>0.3</v>
      </c>
      <c r="AB251" s="118" t="s">
        <v>2</v>
      </c>
      <c r="AC251" s="118" t="s">
        <v>2</v>
      </c>
      <c r="AD251" s="117" t="s">
        <v>2</v>
      </c>
      <c r="AE251" s="117" t="s">
        <v>2</v>
      </c>
      <c r="AF251" s="114" t="s">
        <v>2</v>
      </c>
      <c r="AG251" s="115" t="s">
        <v>2</v>
      </c>
      <c r="AH251" s="120">
        <v>0</v>
      </c>
      <c r="AI251" s="120">
        <v>1</v>
      </c>
      <c r="AJ251" s="114" t="s">
        <v>2</v>
      </c>
      <c r="AK251" s="114" t="s">
        <v>2</v>
      </c>
      <c r="AL251" s="115" t="s">
        <v>2</v>
      </c>
      <c r="AM251" s="116">
        <v>15</v>
      </c>
      <c r="AN251" s="117" t="s">
        <v>2</v>
      </c>
      <c r="AO251" s="121" t="s">
        <v>2</v>
      </c>
      <c r="AP251" s="113" t="s">
        <v>2</v>
      </c>
      <c r="AQ251" s="118" t="s">
        <v>2</v>
      </c>
      <c r="AR251" s="118" t="s">
        <v>2</v>
      </c>
      <c r="AS251" s="118" t="s">
        <v>2</v>
      </c>
      <c r="AT251" s="118" t="s">
        <v>2</v>
      </c>
      <c r="AU251" s="118" t="s">
        <v>2</v>
      </c>
      <c r="AV251" s="122" t="s">
        <v>2</v>
      </c>
      <c r="AW251" s="119" t="s">
        <v>2</v>
      </c>
      <c r="AX251" s="118" t="s">
        <v>2</v>
      </c>
      <c r="AY251" s="118" t="s">
        <v>2</v>
      </c>
      <c r="AZ251" s="122" t="s">
        <v>2</v>
      </c>
      <c r="BA251" s="123" t="s">
        <v>2</v>
      </c>
      <c r="BB251" s="124" t="s">
        <v>2</v>
      </c>
      <c r="BC251" s="124" t="s">
        <v>2</v>
      </c>
      <c r="BD251" s="124" t="s">
        <v>2</v>
      </c>
      <c r="BE251" s="124" t="s">
        <v>2</v>
      </c>
      <c r="BF251" s="125" t="s">
        <v>2</v>
      </c>
      <c r="BG251" s="110" t="s">
        <v>2</v>
      </c>
      <c r="BH251" s="110">
        <v>0</v>
      </c>
      <c r="BI251" s="116" t="s">
        <v>2</v>
      </c>
      <c r="BJ251" s="117" t="s">
        <v>2</v>
      </c>
      <c r="BK251" s="117" t="s">
        <v>2</v>
      </c>
      <c r="BL251" s="117" t="s">
        <v>2</v>
      </c>
      <c r="BM251" s="117" t="s">
        <v>2</v>
      </c>
      <c r="BN251" s="117" t="s">
        <v>2</v>
      </c>
      <c r="BO251" s="117" t="s">
        <v>2</v>
      </c>
      <c r="BP251" s="117" t="s">
        <v>2</v>
      </c>
      <c r="BQ251" s="117" t="s">
        <v>2</v>
      </c>
      <c r="BR251" s="117" t="s">
        <v>2</v>
      </c>
      <c r="BS251" s="117" t="s">
        <v>2</v>
      </c>
      <c r="BT251" s="117" t="s">
        <v>2</v>
      </c>
      <c r="BU251" s="117" t="s">
        <v>2</v>
      </c>
      <c r="BV251" s="117" t="s">
        <v>2</v>
      </c>
      <c r="BW251" s="117" t="s">
        <v>2</v>
      </c>
      <c r="BX251" s="117" t="s">
        <v>2</v>
      </c>
      <c r="BY251" s="117" t="s">
        <v>2</v>
      </c>
      <c r="BZ251" s="121" t="s">
        <v>2</v>
      </c>
      <c r="CA251" s="119" t="s">
        <v>2</v>
      </c>
      <c r="CB251" s="114" t="s">
        <v>2</v>
      </c>
      <c r="CC251" s="114" t="s">
        <v>2</v>
      </c>
      <c r="CD251" s="114" t="s">
        <v>2</v>
      </c>
      <c r="CE251" s="114" t="s">
        <v>2</v>
      </c>
      <c r="CF251" s="114" t="s">
        <v>2</v>
      </c>
      <c r="CG251" s="115" t="s">
        <v>2</v>
      </c>
      <c r="CH251" s="117" t="s">
        <v>2</v>
      </c>
      <c r="CI251" s="121" t="s">
        <v>2</v>
      </c>
      <c r="CJ251" s="119" t="s">
        <v>2</v>
      </c>
      <c r="CK251" s="114" t="s">
        <v>2</v>
      </c>
      <c r="CL251" s="114" t="s">
        <v>2</v>
      </c>
      <c r="CM251" s="115" t="s">
        <v>2</v>
      </c>
      <c r="CN251" s="110" t="s">
        <v>2</v>
      </c>
      <c r="CO251" s="110" t="s">
        <v>2</v>
      </c>
    </row>
    <row r="252" spans="1:93" s="102" customFormat="1" x14ac:dyDescent="0.25">
      <c r="A252" s="107" t="s">
        <v>887</v>
      </c>
      <c r="B252" s="108" t="s">
        <v>560</v>
      </c>
      <c r="C252" s="109" t="s">
        <v>1112</v>
      </c>
      <c r="D252" s="287">
        <v>5</v>
      </c>
      <c r="E252" s="110">
        <v>24</v>
      </c>
      <c r="F252" s="128">
        <v>22</v>
      </c>
      <c r="G252" s="71">
        <v>91.96</v>
      </c>
      <c r="H252" s="112">
        <v>94</v>
      </c>
      <c r="I252" s="113">
        <v>1.2</v>
      </c>
      <c r="J252" s="114" t="s">
        <v>2</v>
      </c>
      <c r="K252" s="114">
        <v>4.4000000000000004</v>
      </c>
      <c r="L252" s="114">
        <v>2.2999999999999998</v>
      </c>
      <c r="M252" s="115">
        <v>0.4</v>
      </c>
      <c r="N252" s="116">
        <v>27</v>
      </c>
      <c r="O252" s="117">
        <v>30</v>
      </c>
      <c r="P252" s="114">
        <v>0.2</v>
      </c>
      <c r="Q252" s="114" t="s">
        <v>2</v>
      </c>
      <c r="R252" s="117" t="s">
        <v>2</v>
      </c>
      <c r="S252" s="117" t="s">
        <v>2</v>
      </c>
      <c r="T252" s="117" t="s">
        <v>2</v>
      </c>
      <c r="U252" s="118" t="s">
        <v>2</v>
      </c>
      <c r="V252" s="118" t="s">
        <v>2</v>
      </c>
      <c r="W252" s="115" t="s">
        <v>2</v>
      </c>
      <c r="X252" s="119" t="s">
        <v>2</v>
      </c>
      <c r="Y252" s="118" t="s">
        <v>2</v>
      </c>
      <c r="Z252" s="118" t="s">
        <v>2</v>
      </c>
      <c r="AA252" s="118" t="s">
        <v>2</v>
      </c>
      <c r="AB252" s="118" t="s">
        <v>2</v>
      </c>
      <c r="AC252" s="118" t="s">
        <v>2</v>
      </c>
      <c r="AD252" s="117" t="s">
        <v>2</v>
      </c>
      <c r="AE252" s="117" t="s">
        <v>2</v>
      </c>
      <c r="AF252" s="114" t="s">
        <v>2</v>
      </c>
      <c r="AG252" s="115" t="s">
        <v>2</v>
      </c>
      <c r="AH252" s="120">
        <v>0</v>
      </c>
      <c r="AI252" s="120">
        <v>0</v>
      </c>
      <c r="AJ252" s="114" t="s">
        <v>2</v>
      </c>
      <c r="AK252" s="114" t="s">
        <v>2</v>
      </c>
      <c r="AL252" s="115" t="s">
        <v>2</v>
      </c>
      <c r="AM252" s="116" t="s">
        <v>2</v>
      </c>
      <c r="AN252" s="117" t="s">
        <v>2</v>
      </c>
      <c r="AO252" s="121" t="s">
        <v>2</v>
      </c>
      <c r="AP252" s="113" t="s">
        <v>2</v>
      </c>
      <c r="AQ252" s="118" t="s">
        <v>2</v>
      </c>
      <c r="AR252" s="118" t="s">
        <v>2</v>
      </c>
      <c r="AS252" s="118" t="s">
        <v>2</v>
      </c>
      <c r="AT252" s="118" t="s">
        <v>2</v>
      </c>
      <c r="AU252" s="118" t="s">
        <v>2</v>
      </c>
      <c r="AV252" s="122" t="s">
        <v>2</v>
      </c>
      <c r="AW252" s="119" t="s">
        <v>2</v>
      </c>
      <c r="AX252" s="118" t="s">
        <v>2</v>
      </c>
      <c r="AY252" s="118" t="s">
        <v>2</v>
      </c>
      <c r="AZ252" s="122" t="s">
        <v>2</v>
      </c>
      <c r="BA252" s="123" t="s">
        <v>2</v>
      </c>
      <c r="BB252" s="124" t="s">
        <v>2</v>
      </c>
      <c r="BC252" s="124" t="s">
        <v>2</v>
      </c>
      <c r="BD252" s="124" t="s">
        <v>2</v>
      </c>
      <c r="BE252" s="124" t="s">
        <v>2</v>
      </c>
      <c r="BF252" s="125" t="s">
        <v>2</v>
      </c>
      <c r="BG252" s="110" t="s">
        <v>2</v>
      </c>
      <c r="BH252" s="110">
        <v>0</v>
      </c>
      <c r="BI252" s="116" t="s">
        <v>2</v>
      </c>
      <c r="BJ252" s="117" t="s">
        <v>2</v>
      </c>
      <c r="BK252" s="117" t="s">
        <v>2</v>
      </c>
      <c r="BL252" s="117" t="s">
        <v>2</v>
      </c>
      <c r="BM252" s="117" t="s">
        <v>2</v>
      </c>
      <c r="BN252" s="117" t="s">
        <v>2</v>
      </c>
      <c r="BO252" s="117" t="s">
        <v>2</v>
      </c>
      <c r="BP252" s="117" t="s">
        <v>2</v>
      </c>
      <c r="BQ252" s="117" t="s">
        <v>2</v>
      </c>
      <c r="BR252" s="117" t="s">
        <v>2</v>
      </c>
      <c r="BS252" s="117" t="s">
        <v>2</v>
      </c>
      <c r="BT252" s="117" t="s">
        <v>2</v>
      </c>
      <c r="BU252" s="117" t="s">
        <v>2</v>
      </c>
      <c r="BV252" s="117" t="s">
        <v>2</v>
      </c>
      <c r="BW252" s="117" t="s">
        <v>2</v>
      </c>
      <c r="BX252" s="117" t="s">
        <v>2</v>
      </c>
      <c r="BY252" s="117" t="s">
        <v>2</v>
      </c>
      <c r="BZ252" s="121" t="s">
        <v>2</v>
      </c>
      <c r="CA252" s="119" t="s">
        <v>2</v>
      </c>
      <c r="CB252" s="114" t="s">
        <v>2</v>
      </c>
      <c r="CC252" s="114" t="s">
        <v>2</v>
      </c>
      <c r="CD252" s="114" t="s">
        <v>2</v>
      </c>
      <c r="CE252" s="114" t="s">
        <v>2</v>
      </c>
      <c r="CF252" s="114" t="s">
        <v>2</v>
      </c>
      <c r="CG252" s="115" t="s">
        <v>2</v>
      </c>
      <c r="CH252" s="117" t="s">
        <v>2</v>
      </c>
      <c r="CI252" s="121" t="s">
        <v>2</v>
      </c>
      <c r="CJ252" s="119" t="s">
        <v>2</v>
      </c>
      <c r="CK252" s="114" t="s">
        <v>2</v>
      </c>
      <c r="CL252" s="114" t="s">
        <v>2</v>
      </c>
      <c r="CM252" s="115" t="s">
        <v>2</v>
      </c>
      <c r="CN252" s="110" t="s">
        <v>2</v>
      </c>
      <c r="CO252" s="110" t="s">
        <v>2</v>
      </c>
    </row>
    <row r="253" spans="1:93" s="102" customFormat="1" x14ac:dyDescent="0.25">
      <c r="A253" s="107" t="s">
        <v>888</v>
      </c>
      <c r="B253" s="108" t="s">
        <v>561</v>
      </c>
      <c r="C253" s="109" t="s">
        <v>1113</v>
      </c>
      <c r="D253" s="287">
        <v>5</v>
      </c>
      <c r="E253" s="110">
        <v>5</v>
      </c>
      <c r="F253" s="128">
        <v>61</v>
      </c>
      <c r="G253" s="71">
        <v>254.98</v>
      </c>
      <c r="H253" s="112">
        <v>85</v>
      </c>
      <c r="I253" s="113">
        <v>0.6</v>
      </c>
      <c r="J253" s="114">
        <v>0.76</v>
      </c>
      <c r="K253" s="114">
        <v>12.94</v>
      </c>
      <c r="L253" s="114">
        <v>6</v>
      </c>
      <c r="M253" s="115">
        <v>0.7</v>
      </c>
      <c r="N253" s="116">
        <v>10</v>
      </c>
      <c r="O253" s="117">
        <v>16</v>
      </c>
      <c r="P253" s="114">
        <v>1.3</v>
      </c>
      <c r="Q253" s="114">
        <v>2.4</v>
      </c>
      <c r="R253" s="117">
        <v>4</v>
      </c>
      <c r="S253" s="117">
        <v>291</v>
      </c>
      <c r="T253" s="117">
        <v>22</v>
      </c>
      <c r="U253" s="118">
        <v>0.15</v>
      </c>
      <c r="V253" s="118">
        <v>20</v>
      </c>
      <c r="W253" s="115">
        <v>0.6</v>
      </c>
      <c r="X253" s="119">
        <v>62</v>
      </c>
      <c r="Y253" s="118">
        <v>0.05</v>
      </c>
      <c r="Z253" s="118">
        <v>0.04</v>
      </c>
      <c r="AA253" s="118">
        <v>1.1000000000000001</v>
      </c>
      <c r="AB253" s="118">
        <v>0.45100000000000001</v>
      </c>
      <c r="AC253" s="118">
        <v>0.11</v>
      </c>
      <c r="AD253" s="117">
        <v>49</v>
      </c>
      <c r="AE253" s="117">
        <v>0</v>
      </c>
      <c r="AF253" s="114" t="s">
        <v>2</v>
      </c>
      <c r="AG253" s="115">
        <v>0</v>
      </c>
      <c r="AH253" s="120">
        <v>0</v>
      </c>
      <c r="AI253" s="120">
        <v>31</v>
      </c>
      <c r="AJ253" s="114" t="s">
        <v>2</v>
      </c>
      <c r="AK253" s="114">
        <v>0.73</v>
      </c>
      <c r="AL253" s="115">
        <v>2.6</v>
      </c>
      <c r="AM253" s="116">
        <v>374</v>
      </c>
      <c r="AN253" s="117">
        <v>0</v>
      </c>
      <c r="AO253" s="121">
        <v>0</v>
      </c>
      <c r="AP253" s="113">
        <v>0.27200000000000002</v>
      </c>
      <c r="AQ253" s="118">
        <v>0.22800000000000001</v>
      </c>
      <c r="AR253" s="118">
        <v>0</v>
      </c>
      <c r="AS253" s="118">
        <v>2.5000000000000001E-2</v>
      </c>
      <c r="AT253" s="118">
        <v>0</v>
      </c>
      <c r="AU253" s="118">
        <v>0</v>
      </c>
      <c r="AV253" s="122">
        <v>0</v>
      </c>
      <c r="AW253" s="119">
        <v>8.6999999999999994E-2</v>
      </c>
      <c r="AX253" s="118">
        <v>0</v>
      </c>
      <c r="AY253" s="118">
        <v>5.0000000000000001E-3</v>
      </c>
      <c r="AZ253" s="122">
        <v>8.2000000000000003E-2</v>
      </c>
      <c r="BA253" s="123">
        <v>0.40100000000000002</v>
      </c>
      <c r="BB253" s="124">
        <v>0.28799999999999998</v>
      </c>
      <c r="BC253" s="124">
        <v>0.112</v>
      </c>
      <c r="BD253" s="124">
        <v>0</v>
      </c>
      <c r="BE253" s="124">
        <v>0</v>
      </c>
      <c r="BF253" s="125">
        <v>0</v>
      </c>
      <c r="BG253" s="110" t="s">
        <v>2</v>
      </c>
      <c r="BH253" s="110">
        <v>0</v>
      </c>
      <c r="BI253" s="116">
        <v>72</v>
      </c>
      <c r="BJ253" s="117">
        <v>16</v>
      </c>
      <c r="BK253" s="117">
        <v>22</v>
      </c>
      <c r="BL253" s="117">
        <v>6</v>
      </c>
      <c r="BM253" s="117">
        <v>96</v>
      </c>
      <c r="BN253" s="117">
        <v>87</v>
      </c>
      <c r="BO253" s="117">
        <v>171</v>
      </c>
      <c r="BP253" s="117">
        <v>93</v>
      </c>
      <c r="BQ253" s="117" t="s">
        <v>2</v>
      </c>
      <c r="BR253" s="117">
        <v>22</v>
      </c>
      <c r="BS253" s="117" t="s">
        <v>2</v>
      </c>
      <c r="BT253" s="117">
        <v>31</v>
      </c>
      <c r="BU253" s="117">
        <v>128</v>
      </c>
      <c r="BV253" s="117">
        <v>162</v>
      </c>
      <c r="BW253" s="117">
        <v>333</v>
      </c>
      <c r="BX253" s="117">
        <v>128</v>
      </c>
      <c r="BY253" s="117">
        <v>78</v>
      </c>
      <c r="BZ253" s="121">
        <v>75</v>
      </c>
      <c r="CA253" s="119">
        <v>8.92</v>
      </c>
      <c r="CB253" s="114" t="s">
        <v>2</v>
      </c>
      <c r="CC253" s="114" t="s">
        <v>2</v>
      </c>
      <c r="CD253" s="114" t="s">
        <v>2</v>
      </c>
      <c r="CE253" s="114" t="s">
        <v>2</v>
      </c>
      <c r="CF253" s="114" t="s">
        <v>2</v>
      </c>
      <c r="CG253" s="115" t="s">
        <v>2</v>
      </c>
      <c r="CH253" s="117">
        <v>5204</v>
      </c>
      <c r="CI253" s="121">
        <v>0</v>
      </c>
      <c r="CJ253" s="119" t="s">
        <v>2</v>
      </c>
      <c r="CK253" s="114" t="s">
        <v>2</v>
      </c>
      <c r="CL253" s="114" t="s">
        <v>2</v>
      </c>
      <c r="CM253" s="115" t="s">
        <v>2</v>
      </c>
      <c r="CN253" s="110" t="s">
        <v>2</v>
      </c>
      <c r="CO253" s="110" t="s">
        <v>2</v>
      </c>
    </row>
    <row r="254" spans="1:93" s="102" customFormat="1" x14ac:dyDescent="0.25">
      <c r="A254" s="107" t="s">
        <v>889</v>
      </c>
      <c r="B254" s="108" t="s">
        <v>562</v>
      </c>
      <c r="C254" s="109" t="s">
        <v>1114</v>
      </c>
      <c r="D254" s="287">
        <v>5</v>
      </c>
      <c r="E254" s="110">
        <v>26</v>
      </c>
      <c r="F254" s="128">
        <v>76</v>
      </c>
      <c r="G254" s="71">
        <v>317.67999999999995</v>
      </c>
      <c r="H254" s="112">
        <v>88.3</v>
      </c>
      <c r="I254" s="113">
        <v>1.8</v>
      </c>
      <c r="J254" s="114">
        <v>6.2</v>
      </c>
      <c r="K254" s="114">
        <v>3.2</v>
      </c>
      <c r="L254" s="114">
        <v>0.4</v>
      </c>
      <c r="M254" s="115">
        <v>0.5</v>
      </c>
      <c r="N254" s="116">
        <v>49</v>
      </c>
      <c r="O254" s="117">
        <v>69</v>
      </c>
      <c r="P254" s="114">
        <v>1.4</v>
      </c>
      <c r="Q254" s="114" t="s">
        <v>2</v>
      </c>
      <c r="R254" s="117" t="s">
        <v>2</v>
      </c>
      <c r="S254" s="117" t="s">
        <v>2</v>
      </c>
      <c r="T254" s="117" t="s">
        <v>2</v>
      </c>
      <c r="U254" s="118" t="s">
        <v>2</v>
      </c>
      <c r="V254" s="118" t="s">
        <v>2</v>
      </c>
      <c r="W254" s="115" t="s">
        <v>2</v>
      </c>
      <c r="X254" s="119" t="s">
        <v>2</v>
      </c>
      <c r="Y254" s="118" t="s">
        <v>2</v>
      </c>
      <c r="Z254" s="118" t="s">
        <v>2</v>
      </c>
      <c r="AA254" s="118" t="s">
        <v>2</v>
      </c>
      <c r="AB254" s="118" t="s">
        <v>2</v>
      </c>
      <c r="AC254" s="118" t="s">
        <v>2</v>
      </c>
      <c r="AD254" s="117" t="s">
        <v>2</v>
      </c>
      <c r="AE254" s="117" t="s">
        <v>2</v>
      </c>
      <c r="AF254" s="114" t="s">
        <v>2</v>
      </c>
      <c r="AG254" s="115" t="s">
        <v>2</v>
      </c>
      <c r="AH254" s="120">
        <v>0</v>
      </c>
      <c r="AI254" s="120">
        <v>0</v>
      </c>
      <c r="AJ254" s="114" t="s">
        <v>2</v>
      </c>
      <c r="AK254" s="114" t="s">
        <v>2</v>
      </c>
      <c r="AL254" s="115" t="s">
        <v>2</v>
      </c>
      <c r="AM254" s="116" t="s">
        <v>2</v>
      </c>
      <c r="AN254" s="117" t="s">
        <v>2</v>
      </c>
      <c r="AO254" s="121" t="s">
        <v>2</v>
      </c>
      <c r="AP254" s="113" t="s">
        <v>2</v>
      </c>
      <c r="AQ254" s="118" t="s">
        <v>2</v>
      </c>
      <c r="AR254" s="118" t="s">
        <v>2</v>
      </c>
      <c r="AS254" s="118" t="s">
        <v>2</v>
      </c>
      <c r="AT254" s="118" t="s">
        <v>2</v>
      </c>
      <c r="AU254" s="118" t="s">
        <v>2</v>
      </c>
      <c r="AV254" s="122" t="s">
        <v>2</v>
      </c>
      <c r="AW254" s="119" t="s">
        <v>2</v>
      </c>
      <c r="AX254" s="118" t="s">
        <v>2</v>
      </c>
      <c r="AY254" s="118" t="s">
        <v>2</v>
      </c>
      <c r="AZ254" s="122" t="s">
        <v>2</v>
      </c>
      <c r="BA254" s="123" t="s">
        <v>2</v>
      </c>
      <c r="BB254" s="124" t="s">
        <v>2</v>
      </c>
      <c r="BC254" s="124" t="s">
        <v>2</v>
      </c>
      <c r="BD254" s="124" t="s">
        <v>2</v>
      </c>
      <c r="BE254" s="124" t="s">
        <v>2</v>
      </c>
      <c r="BF254" s="125" t="s">
        <v>2</v>
      </c>
      <c r="BG254" s="110" t="s">
        <v>2</v>
      </c>
      <c r="BH254" s="110">
        <v>0</v>
      </c>
      <c r="BI254" s="116" t="s">
        <v>2</v>
      </c>
      <c r="BJ254" s="117" t="s">
        <v>2</v>
      </c>
      <c r="BK254" s="117" t="s">
        <v>2</v>
      </c>
      <c r="BL254" s="117" t="s">
        <v>2</v>
      </c>
      <c r="BM254" s="117" t="s">
        <v>2</v>
      </c>
      <c r="BN254" s="117" t="s">
        <v>2</v>
      </c>
      <c r="BO254" s="117" t="s">
        <v>2</v>
      </c>
      <c r="BP254" s="117" t="s">
        <v>2</v>
      </c>
      <c r="BQ254" s="117" t="s">
        <v>2</v>
      </c>
      <c r="BR254" s="117" t="s">
        <v>2</v>
      </c>
      <c r="BS254" s="117" t="s">
        <v>2</v>
      </c>
      <c r="BT254" s="117" t="s">
        <v>2</v>
      </c>
      <c r="BU254" s="117" t="s">
        <v>2</v>
      </c>
      <c r="BV254" s="117" t="s">
        <v>2</v>
      </c>
      <c r="BW254" s="117" t="s">
        <v>2</v>
      </c>
      <c r="BX254" s="117" t="s">
        <v>2</v>
      </c>
      <c r="BY254" s="117" t="s">
        <v>2</v>
      </c>
      <c r="BZ254" s="121" t="s">
        <v>2</v>
      </c>
      <c r="CA254" s="119" t="s">
        <v>2</v>
      </c>
      <c r="CB254" s="114" t="s">
        <v>2</v>
      </c>
      <c r="CC254" s="114" t="s">
        <v>2</v>
      </c>
      <c r="CD254" s="114" t="s">
        <v>2</v>
      </c>
      <c r="CE254" s="114" t="s">
        <v>2</v>
      </c>
      <c r="CF254" s="114" t="s">
        <v>2</v>
      </c>
      <c r="CG254" s="115" t="s">
        <v>2</v>
      </c>
      <c r="CH254" s="117" t="s">
        <v>2</v>
      </c>
      <c r="CI254" s="121" t="s">
        <v>2</v>
      </c>
      <c r="CJ254" s="119" t="s">
        <v>2</v>
      </c>
      <c r="CK254" s="114" t="s">
        <v>2</v>
      </c>
      <c r="CL254" s="114" t="s">
        <v>2</v>
      </c>
      <c r="CM254" s="115" t="s">
        <v>2</v>
      </c>
      <c r="CN254" s="110" t="s">
        <v>2</v>
      </c>
      <c r="CO254" s="110" t="s">
        <v>2</v>
      </c>
    </row>
    <row r="255" spans="1:93" s="102" customFormat="1" x14ac:dyDescent="0.25">
      <c r="A255" s="107" t="s">
        <v>890</v>
      </c>
      <c r="B255" s="108" t="s">
        <v>1072</v>
      </c>
      <c r="C255" s="109" t="s">
        <v>1115</v>
      </c>
      <c r="D255" s="287">
        <v>5</v>
      </c>
      <c r="E255" s="110">
        <v>28</v>
      </c>
      <c r="F255" s="128">
        <v>103</v>
      </c>
      <c r="G255" s="71">
        <v>430.53999999999996</v>
      </c>
      <c r="H255" s="112">
        <v>85.4</v>
      </c>
      <c r="I255" s="113">
        <v>1.9</v>
      </c>
      <c r="J255" s="114">
        <v>9.4</v>
      </c>
      <c r="K255" s="114">
        <v>2.8</v>
      </c>
      <c r="L255" s="114">
        <v>0.5</v>
      </c>
      <c r="M255" s="115">
        <v>0.5</v>
      </c>
      <c r="N255" s="116">
        <v>60</v>
      </c>
      <c r="O255" s="117">
        <v>85</v>
      </c>
      <c r="P255" s="114">
        <v>1.6</v>
      </c>
      <c r="Q255" s="114">
        <v>0.4</v>
      </c>
      <c r="R255" s="117">
        <v>2</v>
      </c>
      <c r="S255" s="117">
        <v>351</v>
      </c>
      <c r="T255" s="117">
        <v>24</v>
      </c>
      <c r="U255" s="118">
        <v>9.5000000000000001E-2</v>
      </c>
      <c r="V255" s="118">
        <v>311</v>
      </c>
      <c r="W255" s="115" t="s">
        <v>2</v>
      </c>
      <c r="X255" s="119">
        <v>17.399999999999999</v>
      </c>
      <c r="Y255" s="118">
        <v>2.1000000000000001E-2</v>
      </c>
      <c r="Z255" s="118">
        <v>5.2999999999999999E-2</v>
      </c>
      <c r="AA255" s="118">
        <v>0.67200000000000004</v>
      </c>
      <c r="AB255" s="118">
        <v>0.93100000000000005</v>
      </c>
      <c r="AC255" s="118">
        <v>7.8E-2</v>
      </c>
      <c r="AD255" s="117">
        <v>35</v>
      </c>
      <c r="AE255" s="117">
        <v>0</v>
      </c>
      <c r="AF255" s="114">
        <v>3.2</v>
      </c>
      <c r="AG255" s="115">
        <v>0</v>
      </c>
      <c r="AH255" s="120">
        <v>0</v>
      </c>
      <c r="AI255" s="120">
        <v>7</v>
      </c>
      <c r="AJ255" s="114" t="s">
        <v>2</v>
      </c>
      <c r="AK255" s="114">
        <v>2.66</v>
      </c>
      <c r="AL255" s="115" t="s">
        <v>2</v>
      </c>
      <c r="AM255" s="116">
        <v>53</v>
      </c>
      <c r="AN255" s="117">
        <v>27</v>
      </c>
      <c r="AO255" s="121">
        <v>36</v>
      </c>
      <c r="AP255" s="113">
        <v>1.96</v>
      </c>
      <c r="AQ255" s="118">
        <v>1.905</v>
      </c>
      <c r="AR255" s="118">
        <v>0</v>
      </c>
      <c r="AS255" s="118">
        <v>5.5E-2</v>
      </c>
      <c r="AT255" s="118">
        <v>0</v>
      </c>
      <c r="AU255" s="118">
        <v>0</v>
      </c>
      <c r="AV255" s="122">
        <v>0</v>
      </c>
      <c r="AW255" s="119">
        <v>5.5129999999999999</v>
      </c>
      <c r="AX255" s="118">
        <v>0</v>
      </c>
      <c r="AY255" s="118">
        <v>0.82499999999999996</v>
      </c>
      <c r="AZ255" s="122">
        <v>4.5890000000000004</v>
      </c>
      <c r="BA255" s="123">
        <v>1.6759999999999999</v>
      </c>
      <c r="BB255" s="124">
        <v>1.58</v>
      </c>
      <c r="BC255" s="124">
        <v>9.6000000000000002E-2</v>
      </c>
      <c r="BD255" s="124">
        <v>0</v>
      </c>
      <c r="BE255" s="124">
        <v>0</v>
      </c>
      <c r="BF255" s="125">
        <v>0</v>
      </c>
      <c r="BG255" s="110" t="s">
        <v>2</v>
      </c>
      <c r="BH255" s="110">
        <v>0</v>
      </c>
      <c r="BI255" s="116">
        <v>147</v>
      </c>
      <c r="BJ255" s="117">
        <v>42</v>
      </c>
      <c r="BK255" s="117">
        <v>28</v>
      </c>
      <c r="BL255" s="117">
        <v>260</v>
      </c>
      <c r="BM255" s="117">
        <v>82</v>
      </c>
      <c r="BN255" s="117">
        <v>120</v>
      </c>
      <c r="BO255" s="117">
        <v>160</v>
      </c>
      <c r="BP255" s="117">
        <v>94</v>
      </c>
      <c r="BQ255" s="117">
        <v>99</v>
      </c>
      <c r="BR255" s="117">
        <v>55</v>
      </c>
      <c r="BS255" s="117">
        <v>31</v>
      </c>
      <c r="BT255" s="117">
        <v>54</v>
      </c>
      <c r="BU255" s="117">
        <v>121</v>
      </c>
      <c r="BV255" s="117">
        <v>264</v>
      </c>
      <c r="BW255" s="117">
        <v>321</v>
      </c>
      <c r="BX255" s="117">
        <v>116</v>
      </c>
      <c r="BY255" s="117">
        <v>110</v>
      </c>
      <c r="BZ255" s="121">
        <v>128</v>
      </c>
      <c r="CA255" s="119">
        <v>2.42</v>
      </c>
      <c r="CB255" s="114" t="s">
        <v>2</v>
      </c>
      <c r="CC255" s="114">
        <v>0</v>
      </c>
      <c r="CD255" s="114">
        <v>0</v>
      </c>
      <c r="CE255" s="114">
        <v>0.25</v>
      </c>
      <c r="CF255" s="114">
        <v>2.17</v>
      </c>
      <c r="CG255" s="115">
        <v>0</v>
      </c>
      <c r="CH255" s="117">
        <v>0</v>
      </c>
      <c r="CI255" s="121">
        <v>0</v>
      </c>
      <c r="CJ255" s="119" t="s">
        <v>2</v>
      </c>
      <c r="CK255" s="114" t="s">
        <v>2</v>
      </c>
      <c r="CL255" s="114" t="s">
        <v>2</v>
      </c>
      <c r="CM255" s="115" t="s">
        <v>2</v>
      </c>
      <c r="CN255" s="110" t="s">
        <v>2</v>
      </c>
      <c r="CO255" s="110" t="s">
        <v>2</v>
      </c>
    </row>
    <row r="256" spans="1:93" s="102" customFormat="1" ht="31.5" x14ac:dyDescent="0.25">
      <c r="A256" s="107" t="s">
        <v>891</v>
      </c>
      <c r="B256" s="108" t="s">
        <v>563</v>
      </c>
      <c r="C256" s="129" t="s">
        <v>1060</v>
      </c>
      <c r="D256" s="287">
        <v>5</v>
      </c>
      <c r="E256" s="110">
        <v>25</v>
      </c>
      <c r="F256" s="128">
        <v>62</v>
      </c>
      <c r="G256" s="71">
        <v>259.15999999999997</v>
      </c>
      <c r="H256" s="112">
        <v>83.9</v>
      </c>
      <c r="I256" s="113">
        <v>1.8</v>
      </c>
      <c r="J256" s="114" t="s">
        <v>2</v>
      </c>
      <c r="K256" s="114">
        <v>13.7</v>
      </c>
      <c r="L256" s="114">
        <v>0.9</v>
      </c>
      <c r="M256" s="115">
        <v>0.6</v>
      </c>
      <c r="N256" s="116">
        <v>38</v>
      </c>
      <c r="O256" s="117">
        <v>24</v>
      </c>
      <c r="P256" s="114">
        <v>1.6</v>
      </c>
      <c r="Q256" s="114" t="s">
        <v>2</v>
      </c>
      <c r="R256" s="117" t="s">
        <v>2</v>
      </c>
      <c r="S256" s="117" t="s">
        <v>2</v>
      </c>
      <c r="T256" s="117" t="s">
        <v>2</v>
      </c>
      <c r="U256" s="118" t="s">
        <v>2</v>
      </c>
      <c r="V256" s="118" t="s">
        <v>2</v>
      </c>
      <c r="W256" s="115" t="s">
        <v>2</v>
      </c>
      <c r="X256" s="119" t="s">
        <v>2</v>
      </c>
      <c r="Y256" s="118" t="s">
        <v>2</v>
      </c>
      <c r="Z256" s="118" t="s">
        <v>2</v>
      </c>
      <c r="AA256" s="118" t="s">
        <v>2</v>
      </c>
      <c r="AB256" s="118" t="s">
        <v>2</v>
      </c>
      <c r="AC256" s="118" t="s">
        <v>2</v>
      </c>
      <c r="AD256" s="117" t="s">
        <v>2</v>
      </c>
      <c r="AE256" s="117" t="s">
        <v>2</v>
      </c>
      <c r="AF256" s="114" t="s">
        <v>2</v>
      </c>
      <c r="AG256" s="115" t="s">
        <v>2</v>
      </c>
      <c r="AH256" s="120">
        <v>0</v>
      </c>
      <c r="AI256" s="120">
        <v>0</v>
      </c>
      <c r="AJ256" s="114" t="s">
        <v>2</v>
      </c>
      <c r="AK256" s="114" t="s">
        <v>2</v>
      </c>
      <c r="AL256" s="115" t="s">
        <v>2</v>
      </c>
      <c r="AM256" s="116" t="s">
        <v>2</v>
      </c>
      <c r="AN256" s="117" t="s">
        <v>2</v>
      </c>
      <c r="AO256" s="121" t="s">
        <v>2</v>
      </c>
      <c r="AP256" s="113" t="s">
        <v>2</v>
      </c>
      <c r="AQ256" s="118" t="s">
        <v>2</v>
      </c>
      <c r="AR256" s="118" t="s">
        <v>2</v>
      </c>
      <c r="AS256" s="118" t="s">
        <v>2</v>
      </c>
      <c r="AT256" s="118" t="s">
        <v>2</v>
      </c>
      <c r="AU256" s="118" t="s">
        <v>2</v>
      </c>
      <c r="AV256" s="122" t="s">
        <v>2</v>
      </c>
      <c r="AW256" s="119" t="s">
        <v>2</v>
      </c>
      <c r="AX256" s="118" t="s">
        <v>2</v>
      </c>
      <c r="AY256" s="118" t="s">
        <v>2</v>
      </c>
      <c r="AZ256" s="122" t="s">
        <v>2</v>
      </c>
      <c r="BA256" s="123" t="s">
        <v>2</v>
      </c>
      <c r="BB256" s="124" t="s">
        <v>2</v>
      </c>
      <c r="BC256" s="124" t="s">
        <v>2</v>
      </c>
      <c r="BD256" s="124" t="s">
        <v>2</v>
      </c>
      <c r="BE256" s="124" t="s">
        <v>2</v>
      </c>
      <c r="BF256" s="125" t="s">
        <v>2</v>
      </c>
      <c r="BG256" s="110" t="s">
        <v>2</v>
      </c>
      <c r="BH256" s="110">
        <v>0</v>
      </c>
      <c r="BI256" s="116" t="s">
        <v>2</v>
      </c>
      <c r="BJ256" s="117" t="s">
        <v>2</v>
      </c>
      <c r="BK256" s="117" t="s">
        <v>2</v>
      </c>
      <c r="BL256" s="117" t="s">
        <v>2</v>
      </c>
      <c r="BM256" s="117" t="s">
        <v>2</v>
      </c>
      <c r="BN256" s="117" t="s">
        <v>2</v>
      </c>
      <c r="BO256" s="117" t="s">
        <v>2</v>
      </c>
      <c r="BP256" s="117" t="s">
        <v>2</v>
      </c>
      <c r="BQ256" s="117" t="s">
        <v>2</v>
      </c>
      <c r="BR256" s="117" t="s">
        <v>2</v>
      </c>
      <c r="BS256" s="117" t="s">
        <v>2</v>
      </c>
      <c r="BT256" s="117" t="s">
        <v>2</v>
      </c>
      <c r="BU256" s="117" t="s">
        <v>2</v>
      </c>
      <c r="BV256" s="117" t="s">
        <v>2</v>
      </c>
      <c r="BW256" s="117" t="s">
        <v>2</v>
      </c>
      <c r="BX256" s="117" t="s">
        <v>2</v>
      </c>
      <c r="BY256" s="117" t="s">
        <v>2</v>
      </c>
      <c r="BZ256" s="121" t="s">
        <v>2</v>
      </c>
      <c r="CA256" s="119" t="s">
        <v>2</v>
      </c>
      <c r="CB256" s="114" t="s">
        <v>2</v>
      </c>
      <c r="CC256" s="114" t="s">
        <v>2</v>
      </c>
      <c r="CD256" s="114" t="s">
        <v>2</v>
      </c>
      <c r="CE256" s="114" t="s">
        <v>2</v>
      </c>
      <c r="CF256" s="114" t="s">
        <v>2</v>
      </c>
      <c r="CG256" s="115" t="s">
        <v>2</v>
      </c>
      <c r="CH256" s="117" t="s">
        <v>2</v>
      </c>
      <c r="CI256" s="121" t="s">
        <v>2</v>
      </c>
      <c r="CJ256" s="119" t="s">
        <v>2</v>
      </c>
      <c r="CK256" s="114" t="s">
        <v>2</v>
      </c>
      <c r="CL256" s="114" t="s">
        <v>2</v>
      </c>
      <c r="CM256" s="115" t="s">
        <v>2</v>
      </c>
      <c r="CN256" s="110" t="s">
        <v>2</v>
      </c>
      <c r="CO256" s="110" t="s">
        <v>2</v>
      </c>
    </row>
    <row r="257" spans="1:93" s="102" customFormat="1" x14ac:dyDescent="0.25">
      <c r="A257" s="107" t="s">
        <v>892</v>
      </c>
      <c r="B257" s="108" t="s">
        <v>564</v>
      </c>
      <c r="C257" s="109" t="s">
        <v>1061</v>
      </c>
      <c r="D257" s="287">
        <v>5</v>
      </c>
      <c r="E257" s="110">
        <v>0</v>
      </c>
      <c r="F257" s="128">
        <v>47</v>
      </c>
      <c r="G257" s="71">
        <v>196.45999999999998</v>
      </c>
      <c r="H257" s="112">
        <v>87.6</v>
      </c>
      <c r="I257" s="113">
        <v>1.3</v>
      </c>
      <c r="J257" s="114" t="s">
        <v>2</v>
      </c>
      <c r="K257" s="114">
        <v>10.5</v>
      </c>
      <c r="L257" s="114">
        <v>1.8</v>
      </c>
      <c r="M257" s="115">
        <v>0.6</v>
      </c>
      <c r="N257" s="116">
        <v>11</v>
      </c>
      <c r="O257" s="117">
        <v>11</v>
      </c>
      <c r="P257" s="114">
        <v>0.06</v>
      </c>
      <c r="Q257" s="114" t="s">
        <v>2</v>
      </c>
      <c r="R257" s="117" t="s">
        <v>2</v>
      </c>
      <c r="S257" s="117" t="s">
        <v>2</v>
      </c>
      <c r="T257" s="117" t="s">
        <v>2</v>
      </c>
      <c r="U257" s="118" t="s">
        <v>2</v>
      </c>
      <c r="V257" s="118" t="s">
        <v>2</v>
      </c>
      <c r="W257" s="115" t="s">
        <v>2</v>
      </c>
      <c r="X257" s="119">
        <v>9.6</v>
      </c>
      <c r="Y257" s="118" t="s">
        <v>2</v>
      </c>
      <c r="Z257" s="118" t="s">
        <v>2</v>
      </c>
      <c r="AA257" s="118" t="s">
        <v>2</v>
      </c>
      <c r="AB257" s="118" t="s">
        <v>2</v>
      </c>
      <c r="AC257" s="118" t="s">
        <v>2</v>
      </c>
      <c r="AD257" s="117" t="s">
        <v>2</v>
      </c>
      <c r="AE257" s="117" t="s">
        <v>2</v>
      </c>
      <c r="AF257" s="114" t="s">
        <v>2</v>
      </c>
      <c r="AG257" s="115" t="s">
        <v>2</v>
      </c>
      <c r="AH257" s="120">
        <v>0</v>
      </c>
      <c r="AI257" s="120">
        <v>0</v>
      </c>
      <c r="AJ257" s="114" t="s">
        <v>2</v>
      </c>
      <c r="AK257" s="114" t="s">
        <v>2</v>
      </c>
      <c r="AL257" s="115" t="s">
        <v>2</v>
      </c>
      <c r="AM257" s="116" t="s">
        <v>2</v>
      </c>
      <c r="AN257" s="117" t="s">
        <v>2</v>
      </c>
      <c r="AO257" s="121" t="s">
        <v>2</v>
      </c>
      <c r="AP257" s="113" t="s">
        <v>2</v>
      </c>
      <c r="AQ257" s="118" t="s">
        <v>2</v>
      </c>
      <c r="AR257" s="118" t="s">
        <v>2</v>
      </c>
      <c r="AS257" s="118" t="s">
        <v>2</v>
      </c>
      <c r="AT257" s="118" t="s">
        <v>2</v>
      </c>
      <c r="AU257" s="118" t="s">
        <v>2</v>
      </c>
      <c r="AV257" s="122" t="s">
        <v>2</v>
      </c>
      <c r="AW257" s="119" t="s">
        <v>2</v>
      </c>
      <c r="AX257" s="118" t="s">
        <v>2</v>
      </c>
      <c r="AY257" s="118" t="s">
        <v>2</v>
      </c>
      <c r="AZ257" s="122" t="s">
        <v>2</v>
      </c>
      <c r="BA257" s="123" t="s">
        <v>2</v>
      </c>
      <c r="BB257" s="124" t="s">
        <v>2</v>
      </c>
      <c r="BC257" s="124" t="s">
        <v>2</v>
      </c>
      <c r="BD257" s="124" t="s">
        <v>2</v>
      </c>
      <c r="BE257" s="124" t="s">
        <v>2</v>
      </c>
      <c r="BF257" s="125" t="s">
        <v>2</v>
      </c>
      <c r="BG257" s="110" t="s">
        <v>2</v>
      </c>
      <c r="BH257" s="110" t="s">
        <v>2</v>
      </c>
      <c r="BI257" s="116" t="s">
        <v>2</v>
      </c>
      <c r="BJ257" s="117" t="s">
        <v>2</v>
      </c>
      <c r="BK257" s="117" t="s">
        <v>2</v>
      </c>
      <c r="BL257" s="117" t="s">
        <v>2</v>
      </c>
      <c r="BM257" s="117" t="s">
        <v>2</v>
      </c>
      <c r="BN257" s="117" t="s">
        <v>2</v>
      </c>
      <c r="BO257" s="117" t="s">
        <v>2</v>
      </c>
      <c r="BP257" s="117" t="s">
        <v>2</v>
      </c>
      <c r="BQ257" s="117" t="s">
        <v>2</v>
      </c>
      <c r="BR257" s="117" t="s">
        <v>2</v>
      </c>
      <c r="BS257" s="117" t="s">
        <v>2</v>
      </c>
      <c r="BT257" s="117" t="s">
        <v>2</v>
      </c>
      <c r="BU257" s="117" t="s">
        <v>2</v>
      </c>
      <c r="BV257" s="117" t="s">
        <v>2</v>
      </c>
      <c r="BW257" s="117" t="s">
        <v>2</v>
      </c>
      <c r="BX257" s="117" t="s">
        <v>2</v>
      </c>
      <c r="BY257" s="117" t="s">
        <v>2</v>
      </c>
      <c r="BZ257" s="121" t="s">
        <v>2</v>
      </c>
      <c r="CA257" s="119" t="s">
        <v>2</v>
      </c>
      <c r="CB257" s="114" t="s">
        <v>2</v>
      </c>
      <c r="CC257" s="114" t="s">
        <v>2</v>
      </c>
      <c r="CD257" s="114" t="s">
        <v>2</v>
      </c>
      <c r="CE257" s="114" t="s">
        <v>2</v>
      </c>
      <c r="CF257" s="114" t="s">
        <v>2</v>
      </c>
      <c r="CG257" s="115" t="s">
        <v>2</v>
      </c>
      <c r="CH257" s="117" t="s">
        <v>2</v>
      </c>
      <c r="CI257" s="121" t="s">
        <v>2</v>
      </c>
      <c r="CJ257" s="119" t="s">
        <v>2</v>
      </c>
      <c r="CK257" s="114" t="s">
        <v>2</v>
      </c>
      <c r="CL257" s="114" t="s">
        <v>2</v>
      </c>
      <c r="CM257" s="115" t="s">
        <v>2</v>
      </c>
      <c r="CN257" s="110" t="s">
        <v>2</v>
      </c>
      <c r="CO257" s="110" t="s">
        <v>2</v>
      </c>
    </row>
    <row r="258" spans="1:93" s="102" customFormat="1" x14ac:dyDescent="0.25">
      <c r="A258" s="107" t="s">
        <v>893</v>
      </c>
      <c r="B258" s="108" t="s">
        <v>565</v>
      </c>
      <c r="C258" s="109" t="s">
        <v>1062</v>
      </c>
      <c r="D258" s="287">
        <v>5</v>
      </c>
      <c r="E258" s="110">
        <v>25</v>
      </c>
      <c r="F258" s="111">
        <v>106</v>
      </c>
      <c r="G258" s="71">
        <v>443.08</v>
      </c>
      <c r="H258" s="112">
        <v>73.400000000000006</v>
      </c>
      <c r="I258" s="113">
        <v>4.3</v>
      </c>
      <c r="J258" s="114">
        <v>0.4</v>
      </c>
      <c r="K258" s="114">
        <v>21.3</v>
      </c>
      <c r="L258" s="114" t="s">
        <v>2</v>
      </c>
      <c r="M258" s="115">
        <v>0.6</v>
      </c>
      <c r="N258" s="116">
        <v>101</v>
      </c>
      <c r="O258" s="117">
        <v>270</v>
      </c>
      <c r="P258" s="114" t="s">
        <v>2</v>
      </c>
      <c r="Q258" s="114" t="s">
        <v>2</v>
      </c>
      <c r="R258" s="117" t="s">
        <v>2</v>
      </c>
      <c r="S258" s="117" t="s">
        <v>2</v>
      </c>
      <c r="T258" s="117" t="s">
        <v>2</v>
      </c>
      <c r="U258" s="118" t="s">
        <v>2</v>
      </c>
      <c r="V258" s="118" t="s">
        <v>2</v>
      </c>
      <c r="W258" s="115" t="s">
        <v>2</v>
      </c>
      <c r="X258" s="119" t="s">
        <v>2</v>
      </c>
      <c r="Y258" s="118" t="s">
        <v>2</v>
      </c>
      <c r="Z258" s="118" t="s">
        <v>2</v>
      </c>
      <c r="AA258" s="118" t="s">
        <v>2</v>
      </c>
      <c r="AB258" s="118" t="s">
        <v>2</v>
      </c>
      <c r="AC258" s="118" t="s">
        <v>2</v>
      </c>
      <c r="AD258" s="117" t="s">
        <v>2</v>
      </c>
      <c r="AE258" s="117" t="s">
        <v>2</v>
      </c>
      <c r="AF258" s="114" t="s">
        <v>2</v>
      </c>
      <c r="AG258" s="115" t="s">
        <v>2</v>
      </c>
      <c r="AH258" s="120">
        <v>0</v>
      </c>
      <c r="AI258" s="120">
        <v>0</v>
      </c>
      <c r="AJ258" s="114" t="s">
        <v>2</v>
      </c>
      <c r="AK258" s="114" t="s">
        <v>2</v>
      </c>
      <c r="AL258" s="115" t="s">
        <v>2</v>
      </c>
      <c r="AM258" s="116" t="s">
        <v>2</v>
      </c>
      <c r="AN258" s="117" t="s">
        <v>2</v>
      </c>
      <c r="AO258" s="121" t="s">
        <v>2</v>
      </c>
      <c r="AP258" s="113" t="s">
        <v>2</v>
      </c>
      <c r="AQ258" s="118" t="s">
        <v>2</v>
      </c>
      <c r="AR258" s="118" t="s">
        <v>2</v>
      </c>
      <c r="AS258" s="118" t="s">
        <v>2</v>
      </c>
      <c r="AT258" s="118" t="s">
        <v>2</v>
      </c>
      <c r="AU258" s="118" t="s">
        <v>2</v>
      </c>
      <c r="AV258" s="122" t="s">
        <v>2</v>
      </c>
      <c r="AW258" s="119" t="s">
        <v>2</v>
      </c>
      <c r="AX258" s="118" t="s">
        <v>2</v>
      </c>
      <c r="AY258" s="118" t="s">
        <v>2</v>
      </c>
      <c r="AZ258" s="122" t="s">
        <v>2</v>
      </c>
      <c r="BA258" s="123" t="s">
        <v>2</v>
      </c>
      <c r="BB258" s="124" t="s">
        <v>2</v>
      </c>
      <c r="BC258" s="124" t="s">
        <v>2</v>
      </c>
      <c r="BD258" s="124" t="s">
        <v>2</v>
      </c>
      <c r="BE258" s="124" t="s">
        <v>2</v>
      </c>
      <c r="BF258" s="125" t="s">
        <v>2</v>
      </c>
      <c r="BG258" s="110" t="s">
        <v>2</v>
      </c>
      <c r="BH258" s="110">
        <v>0</v>
      </c>
      <c r="BI258" s="116" t="s">
        <v>2</v>
      </c>
      <c r="BJ258" s="117" t="s">
        <v>2</v>
      </c>
      <c r="BK258" s="117" t="s">
        <v>2</v>
      </c>
      <c r="BL258" s="117" t="s">
        <v>2</v>
      </c>
      <c r="BM258" s="117" t="s">
        <v>2</v>
      </c>
      <c r="BN258" s="117" t="s">
        <v>2</v>
      </c>
      <c r="BO258" s="117" t="s">
        <v>2</v>
      </c>
      <c r="BP258" s="117" t="s">
        <v>2</v>
      </c>
      <c r="BQ258" s="117" t="s">
        <v>2</v>
      </c>
      <c r="BR258" s="117" t="s">
        <v>2</v>
      </c>
      <c r="BS258" s="117" t="s">
        <v>2</v>
      </c>
      <c r="BT258" s="117" t="s">
        <v>2</v>
      </c>
      <c r="BU258" s="117" t="s">
        <v>2</v>
      </c>
      <c r="BV258" s="117" t="s">
        <v>2</v>
      </c>
      <c r="BW258" s="117" t="s">
        <v>2</v>
      </c>
      <c r="BX258" s="117" t="s">
        <v>2</v>
      </c>
      <c r="BY258" s="117" t="s">
        <v>2</v>
      </c>
      <c r="BZ258" s="121" t="s">
        <v>2</v>
      </c>
      <c r="CA258" s="119" t="s">
        <v>2</v>
      </c>
      <c r="CB258" s="114" t="s">
        <v>2</v>
      </c>
      <c r="CC258" s="114" t="s">
        <v>2</v>
      </c>
      <c r="CD258" s="114" t="s">
        <v>2</v>
      </c>
      <c r="CE258" s="114" t="s">
        <v>2</v>
      </c>
      <c r="CF258" s="114" t="s">
        <v>2</v>
      </c>
      <c r="CG258" s="115" t="s">
        <v>2</v>
      </c>
      <c r="CH258" s="117" t="s">
        <v>2</v>
      </c>
      <c r="CI258" s="121" t="s">
        <v>2</v>
      </c>
      <c r="CJ258" s="119" t="s">
        <v>2</v>
      </c>
      <c r="CK258" s="114" t="s">
        <v>2</v>
      </c>
      <c r="CL258" s="114" t="s">
        <v>2</v>
      </c>
      <c r="CM258" s="115" t="s">
        <v>2</v>
      </c>
      <c r="CN258" s="110" t="s">
        <v>2</v>
      </c>
      <c r="CO258" s="110" t="s">
        <v>2</v>
      </c>
    </row>
    <row r="259" spans="1:93" s="102" customFormat="1" x14ac:dyDescent="0.25">
      <c r="A259" s="107" t="s">
        <v>894</v>
      </c>
      <c r="B259" s="108" t="s">
        <v>566</v>
      </c>
      <c r="C259" s="109" t="s">
        <v>1063</v>
      </c>
      <c r="D259" s="287">
        <v>5</v>
      </c>
      <c r="E259" s="110">
        <v>4</v>
      </c>
      <c r="F259" s="120">
        <v>42</v>
      </c>
      <c r="G259" s="71">
        <v>175.56</v>
      </c>
      <c r="H259" s="126">
        <v>89</v>
      </c>
      <c r="I259" s="113">
        <v>0.9</v>
      </c>
      <c r="J259" s="114" t="s">
        <v>2</v>
      </c>
      <c r="K259" s="114">
        <v>9.6</v>
      </c>
      <c r="L259" s="114">
        <v>4.0999999999999996</v>
      </c>
      <c r="M259" s="115">
        <v>0.5</v>
      </c>
      <c r="N259" s="116">
        <v>124</v>
      </c>
      <c r="O259" s="117">
        <v>42</v>
      </c>
      <c r="P259" s="114">
        <v>0.3</v>
      </c>
      <c r="Q259" s="114" t="s">
        <v>2</v>
      </c>
      <c r="R259" s="117" t="s">
        <v>2</v>
      </c>
      <c r="S259" s="117" t="s">
        <v>2</v>
      </c>
      <c r="T259" s="117" t="s">
        <v>2</v>
      </c>
      <c r="U259" s="118" t="s">
        <v>2</v>
      </c>
      <c r="V259" s="118" t="s">
        <v>2</v>
      </c>
      <c r="W259" s="115" t="s">
        <v>2</v>
      </c>
      <c r="X259" s="119">
        <v>43</v>
      </c>
      <c r="Y259" s="118">
        <v>0.1</v>
      </c>
      <c r="Z259" s="118">
        <v>0.02</v>
      </c>
      <c r="AA259" s="118">
        <v>0.2</v>
      </c>
      <c r="AB259" s="118" t="s">
        <v>2</v>
      </c>
      <c r="AC259" s="118" t="s">
        <v>2</v>
      </c>
      <c r="AD259" s="117" t="s">
        <v>2</v>
      </c>
      <c r="AE259" s="117" t="s">
        <v>2</v>
      </c>
      <c r="AF259" s="114" t="s">
        <v>2</v>
      </c>
      <c r="AG259" s="115" t="s">
        <v>2</v>
      </c>
      <c r="AH259" s="120">
        <v>0</v>
      </c>
      <c r="AI259" s="120">
        <v>8</v>
      </c>
      <c r="AJ259" s="114" t="s">
        <v>2</v>
      </c>
      <c r="AK259" s="114" t="s">
        <v>2</v>
      </c>
      <c r="AL259" s="115" t="s">
        <v>2</v>
      </c>
      <c r="AM259" s="116">
        <v>100</v>
      </c>
      <c r="AN259" s="117" t="s">
        <v>2</v>
      </c>
      <c r="AO259" s="121" t="s">
        <v>2</v>
      </c>
      <c r="AP259" s="113" t="s">
        <v>2</v>
      </c>
      <c r="AQ259" s="118" t="s">
        <v>2</v>
      </c>
      <c r="AR259" s="118" t="s">
        <v>2</v>
      </c>
      <c r="AS259" s="118" t="s">
        <v>2</v>
      </c>
      <c r="AT259" s="118" t="s">
        <v>2</v>
      </c>
      <c r="AU259" s="118" t="s">
        <v>2</v>
      </c>
      <c r="AV259" s="122" t="s">
        <v>2</v>
      </c>
      <c r="AW259" s="119" t="s">
        <v>2</v>
      </c>
      <c r="AX259" s="118" t="s">
        <v>2</v>
      </c>
      <c r="AY259" s="118" t="s">
        <v>2</v>
      </c>
      <c r="AZ259" s="122" t="s">
        <v>2</v>
      </c>
      <c r="BA259" s="123" t="s">
        <v>2</v>
      </c>
      <c r="BB259" s="124" t="s">
        <v>2</v>
      </c>
      <c r="BC259" s="124" t="s">
        <v>2</v>
      </c>
      <c r="BD259" s="124" t="s">
        <v>2</v>
      </c>
      <c r="BE259" s="124" t="s">
        <v>2</v>
      </c>
      <c r="BF259" s="125" t="s">
        <v>2</v>
      </c>
      <c r="BG259" s="110" t="s">
        <v>2</v>
      </c>
      <c r="BH259" s="110">
        <v>0</v>
      </c>
      <c r="BI259" s="116" t="s">
        <v>2</v>
      </c>
      <c r="BJ259" s="117" t="s">
        <v>2</v>
      </c>
      <c r="BK259" s="117" t="s">
        <v>2</v>
      </c>
      <c r="BL259" s="117" t="s">
        <v>2</v>
      </c>
      <c r="BM259" s="117" t="s">
        <v>2</v>
      </c>
      <c r="BN259" s="117" t="s">
        <v>2</v>
      </c>
      <c r="BO259" s="117" t="s">
        <v>2</v>
      </c>
      <c r="BP259" s="117" t="s">
        <v>2</v>
      </c>
      <c r="BQ259" s="117" t="s">
        <v>2</v>
      </c>
      <c r="BR259" s="117" t="s">
        <v>2</v>
      </c>
      <c r="BS259" s="117" t="s">
        <v>2</v>
      </c>
      <c r="BT259" s="117" t="s">
        <v>2</v>
      </c>
      <c r="BU259" s="117" t="s">
        <v>2</v>
      </c>
      <c r="BV259" s="117" t="s">
        <v>2</v>
      </c>
      <c r="BW259" s="117" t="s">
        <v>2</v>
      </c>
      <c r="BX259" s="117" t="s">
        <v>2</v>
      </c>
      <c r="BY259" s="117" t="s">
        <v>2</v>
      </c>
      <c r="BZ259" s="121" t="s">
        <v>2</v>
      </c>
      <c r="CA259" s="119" t="s">
        <v>2</v>
      </c>
      <c r="CB259" s="114" t="s">
        <v>2</v>
      </c>
      <c r="CC259" s="114" t="s">
        <v>2</v>
      </c>
      <c r="CD259" s="114" t="s">
        <v>2</v>
      </c>
      <c r="CE259" s="114" t="s">
        <v>2</v>
      </c>
      <c r="CF259" s="114" t="s">
        <v>2</v>
      </c>
      <c r="CG259" s="115" t="s">
        <v>2</v>
      </c>
      <c r="CH259" s="117" t="s">
        <v>2</v>
      </c>
      <c r="CI259" s="121" t="s">
        <v>2</v>
      </c>
      <c r="CJ259" s="119" t="s">
        <v>2</v>
      </c>
      <c r="CK259" s="114" t="s">
        <v>2</v>
      </c>
      <c r="CL259" s="114" t="s">
        <v>2</v>
      </c>
      <c r="CM259" s="115" t="s">
        <v>2</v>
      </c>
      <c r="CN259" s="110" t="s">
        <v>2</v>
      </c>
      <c r="CO259" s="110" t="s">
        <v>2</v>
      </c>
    </row>
    <row r="260" spans="1:93" s="102" customFormat="1" x14ac:dyDescent="0.25">
      <c r="A260" s="107" t="s">
        <v>895</v>
      </c>
      <c r="B260" s="108" t="s">
        <v>567</v>
      </c>
      <c r="C260" s="109" t="s">
        <v>1064</v>
      </c>
      <c r="D260" s="287">
        <v>5</v>
      </c>
      <c r="E260" s="110">
        <v>26</v>
      </c>
      <c r="F260" s="120">
        <v>40</v>
      </c>
      <c r="G260" s="71">
        <v>167.2</v>
      </c>
      <c r="H260" s="126">
        <v>89.5</v>
      </c>
      <c r="I260" s="113">
        <v>0.8</v>
      </c>
      <c r="J260" s="114">
        <v>0.3</v>
      </c>
      <c r="K260" s="114">
        <v>9.1999999999999993</v>
      </c>
      <c r="L260" s="114">
        <v>0.6</v>
      </c>
      <c r="M260" s="115">
        <v>0.5</v>
      </c>
      <c r="N260" s="116">
        <v>35</v>
      </c>
      <c r="O260" s="117">
        <v>17</v>
      </c>
      <c r="P260" s="114">
        <v>0.4</v>
      </c>
      <c r="Q260" s="114">
        <v>0.2</v>
      </c>
      <c r="R260" s="117">
        <v>4</v>
      </c>
      <c r="S260" s="117">
        <v>111</v>
      </c>
      <c r="T260" s="117">
        <v>10</v>
      </c>
      <c r="U260" s="118">
        <v>0.08</v>
      </c>
      <c r="V260" s="118">
        <v>100</v>
      </c>
      <c r="W260" s="115">
        <v>0.4</v>
      </c>
      <c r="X260" s="119">
        <v>55</v>
      </c>
      <c r="Y260" s="118">
        <v>0.08</v>
      </c>
      <c r="Z260" s="118">
        <v>0.03</v>
      </c>
      <c r="AA260" s="118">
        <v>0.2</v>
      </c>
      <c r="AB260" s="118">
        <v>0.216</v>
      </c>
      <c r="AC260" s="118">
        <v>7.8E-2</v>
      </c>
      <c r="AD260" s="117">
        <v>16</v>
      </c>
      <c r="AE260" s="117">
        <v>0</v>
      </c>
      <c r="AF260" s="114">
        <v>0.8</v>
      </c>
      <c r="AG260" s="115">
        <v>0</v>
      </c>
      <c r="AH260" s="120">
        <v>0</v>
      </c>
      <c r="AI260" s="120">
        <v>25</v>
      </c>
      <c r="AJ260" s="114" t="s">
        <v>2</v>
      </c>
      <c r="AK260" s="114">
        <v>0.2</v>
      </c>
      <c r="AL260" s="115">
        <v>0</v>
      </c>
      <c r="AM260" s="116">
        <v>43</v>
      </c>
      <c r="AN260" s="117">
        <v>21</v>
      </c>
      <c r="AO260" s="121">
        <v>485</v>
      </c>
      <c r="AP260" s="113">
        <v>3.9E-2</v>
      </c>
      <c r="AQ260" s="118">
        <v>3.5000000000000003E-2</v>
      </c>
      <c r="AR260" s="118">
        <v>0</v>
      </c>
      <c r="AS260" s="118">
        <v>2E-3</v>
      </c>
      <c r="AT260" s="118">
        <v>0</v>
      </c>
      <c r="AU260" s="118">
        <v>0</v>
      </c>
      <c r="AV260" s="122">
        <v>0</v>
      </c>
      <c r="AW260" s="119">
        <v>0.06</v>
      </c>
      <c r="AX260" s="118">
        <v>0</v>
      </c>
      <c r="AY260" s="118">
        <v>7.0000000000000001E-3</v>
      </c>
      <c r="AZ260" s="122">
        <v>5.2999999999999999E-2</v>
      </c>
      <c r="BA260" s="123">
        <v>6.5000000000000002E-2</v>
      </c>
      <c r="BB260" s="124">
        <v>4.8000000000000001E-2</v>
      </c>
      <c r="BC260" s="124">
        <v>1.7999999999999999E-2</v>
      </c>
      <c r="BD260" s="124">
        <v>0</v>
      </c>
      <c r="BE260" s="124">
        <v>0</v>
      </c>
      <c r="BF260" s="125">
        <v>0</v>
      </c>
      <c r="BG260" s="110" t="s">
        <v>2</v>
      </c>
      <c r="BH260" s="110">
        <v>0</v>
      </c>
      <c r="BI260" s="116">
        <v>32</v>
      </c>
      <c r="BJ260" s="117">
        <v>2</v>
      </c>
      <c r="BK260" s="117">
        <v>2</v>
      </c>
      <c r="BL260" s="117">
        <v>18</v>
      </c>
      <c r="BM260" s="117">
        <v>16</v>
      </c>
      <c r="BN260" s="117">
        <v>21</v>
      </c>
      <c r="BO260" s="117">
        <v>28</v>
      </c>
      <c r="BP260" s="117">
        <v>17</v>
      </c>
      <c r="BQ260" s="117">
        <v>68</v>
      </c>
      <c r="BR260" s="117">
        <v>11</v>
      </c>
      <c r="BS260" s="117">
        <v>2</v>
      </c>
      <c r="BT260" s="117">
        <v>15</v>
      </c>
      <c r="BU260" s="117">
        <v>28</v>
      </c>
      <c r="BV260" s="117">
        <v>129</v>
      </c>
      <c r="BW260" s="117">
        <v>61</v>
      </c>
      <c r="BX260" s="117">
        <v>19</v>
      </c>
      <c r="BY260" s="117">
        <v>74</v>
      </c>
      <c r="BZ260" s="121">
        <v>33</v>
      </c>
      <c r="CA260" s="119">
        <v>10.58</v>
      </c>
      <c r="CB260" s="114">
        <v>0</v>
      </c>
      <c r="CC260" s="114">
        <v>0</v>
      </c>
      <c r="CD260" s="114">
        <v>0</v>
      </c>
      <c r="CE260" s="114">
        <v>2.4</v>
      </c>
      <c r="CF260" s="114">
        <v>2.13</v>
      </c>
      <c r="CG260" s="115">
        <v>6.05</v>
      </c>
      <c r="CH260" s="117">
        <v>0</v>
      </c>
      <c r="CI260" s="121">
        <v>243</v>
      </c>
      <c r="CJ260" s="119" t="s">
        <v>2</v>
      </c>
      <c r="CK260" s="114" t="s">
        <v>2</v>
      </c>
      <c r="CL260" s="114" t="s">
        <v>2</v>
      </c>
      <c r="CM260" s="115" t="s">
        <v>2</v>
      </c>
      <c r="CN260" s="110" t="s">
        <v>2</v>
      </c>
      <c r="CO260" s="110" t="s">
        <v>2</v>
      </c>
    </row>
    <row r="261" spans="1:93" s="102" customFormat="1" x14ac:dyDescent="0.25">
      <c r="A261" s="107" t="s">
        <v>896</v>
      </c>
      <c r="B261" s="130" t="s">
        <v>568</v>
      </c>
      <c r="C261" s="109" t="s">
        <v>1065</v>
      </c>
      <c r="D261" s="287">
        <v>5</v>
      </c>
      <c r="E261" s="110">
        <v>75</v>
      </c>
      <c r="F261" s="120">
        <v>138</v>
      </c>
      <c r="G261" s="71">
        <v>576.83999999999992</v>
      </c>
      <c r="H261" s="126">
        <v>66.8</v>
      </c>
      <c r="I261" s="113">
        <v>2.5</v>
      </c>
      <c r="J261" s="114">
        <v>1.6</v>
      </c>
      <c r="K261" s="114">
        <v>28.3</v>
      </c>
      <c r="L261" s="114">
        <v>1.4</v>
      </c>
      <c r="M261" s="115">
        <v>0.8</v>
      </c>
      <c r="N261" s="116">
        <v>20</v>
      </c>
      <c r="O261" s="117">
        <v>63</v>
      </c>
      <c r="P261" s="114">
        <v>0.9</v>
      </c>
      <c r="Q261" s="114">
        <v>0.28000000000000003</v>
      </c>
      <c r="R261" s="117">
        <v>1</v>
      </c>
      <c r="S261" s="117">
        <v>601</v>
      </c>
      <c r="T261" s="117">
        <v>33</v>
      </c>
      <c r="U261" s="118">
        <v>0.32500000000000001</v>
      </c>
      <c r="V261" s="118">
        <v>0</v>
      </c>
      <c r="W261" s="115" t="s">
        <v>2</v>
      </c>
      <c r="X261" s="119">
        <v>37</v>
      </c>
      <c r="Y261" s="118">
        <v>0.27</v>
      </c>
      <c r="Z261" s="118">
        <v>0.28999999999999998</v>
      </c>
      <c r="AA261" s="118">
        <v>1.2</v>
      </c>
      <c r="AB261" s="118">
        <v>0.23</v>
      </c>
      <c r="AC261" s="118">
        <v>0.316</v>
      </c>
      <c r="AD261" s="117">
        <v>36</v>
      </c>
      <c r="AE261" s="117" t="s">
        <v>2</v>
      </c>
      <c r="AF261" s="114" t="s">
        <v>2</v>
      </c>
      <c r="AG261" s="115">
        <v>0</v>
      </c>
      <c r="AH261" s="120">
        <v>0</v>
      </c>
      <c r="AI261" s="120">
        <v>2</v>
      </c>
      <c r="AJ261" s="114" t="s">
        <v>2</v>
      </c>
      <c r="AK261" s="114" t="s">
        <v>2</v>
      </c>
      <c r="AL261" s="115" t="s">
        <v>2</v>
      </c>
      <c r="AM261" s="116">
        <v>23</v>
      </c>
      <c r="AN261" s="117">
        <v>6</v>
      </c>
      <c r="AO261" s="121">
        <v>0</v>
      </c>
      <c r="AP261" s="113" t="s">
        <v>2</v>
      </c>
      <c r="AQ261" s="118" t="s">
        <v>2</v>
      </c>
      <c r="AR261" s="118" t="s">
        <v>2</v>
      </c>
      <c r="AS261" s="118" t="s">
        <v>2</v>
      </c>
      <c r="AT261" s="118" t="s">
        <v>2</v>
      </c>
      <c r="AU261" s="118" t="s">
        <v>2</v>
      </c>
      <c r="AV261" s="122" t="s">
        <v>2</v>
      </c>
      <c r="AW261" s="119" t="s">
        <v>2</v>
      </c>
      <c r="AX261" s="118" t="s">
        <v>2</v>
      </c>
      <c r="AY261" s="118" t="s">
        <v>2</v>
      </c>
      <c r="AZ261" s="122" t="s">
        <v>2</v>
      </c>
      <c r="BA261" s="123" t="s">
        <v>2</v>
      </c>
      <c r="BB261" s="124" t="s">
        <v>2</v>
      </c>
      <c r="BC261" s="124" t="s">
        <v>2</v>
      </c>
      <c r="BD261" s="124" t="s">
        <v>2</v>
      </c>
      <c r="BE261" s="124" t="s">
        <v>2</v>
      </c>
      <c r="BF261" s="125" t="s">
        <v>2</v>
      </c>
      <c r="BG261" s="110" t="s">
        <v>2</v>
      </c>
      <c r="BH261" s="110">
        <v>0</v>
      </c>
      <c r="BI261" s="116" t="s">
        <v>2</v>
      </c>
      <c r="BJ261" s="117" t="s">
        <v>2</v>
      </c>
      <c r="BK261" s="117" t="s">
        <v>2</v>
      </c>
      <c r="BL261" s="117" t="s">
        <v>2</v>
      </c>
      <c r="BM261" s="117" t="s">
        <v>2</v>
      </c>
      <c r="BN261" s="117" t="s">
        <v>2</v>
      </c>
      <c r="BO261" s="117" t="s">
        <v>2</v>
      </c>
      <c r="BP261" s="117" t="s">
        <v>2</v>
      </c>
      <c r="BQ261" s="117" t="s">
        <v>2</v>
      </c>
      <c r="BR261" s="117" t="s">
        <v>2</v>
      </c>
      <c r="BS261" s="117" t="s">
        <v>2</v>
      </c>
      <c r="BT261" s="117" t="s">
        <v>2</v>
      </c>
      <c r="BU261" s="117" t="s">
        <v>2</v>
      </c>
      <c r="BV261" s="117" t="s">
        <v>2</v>
      </c>
      <c r="BW261" s="117" t="s">
        <v>2</v>
      </c>
      <c r="BX261" s="117" t="s">
        <v>2</v>
      </c>
      <c r="BY261" s="117" t="s">
        <v>2</v>
      </c>
      <c r="BZ261" s="121" t="s">
        <v>2</v>
      </c>
      <c r="CA261" s="119" t="s">
        <v>2</v>
      </c>
      <c r="CB261" s="114" t="s">
        <v>2</v>
      </c>
      <c r="CC261" s="114" t="s">
        <v>2</v>
      </c>
      <c r="CD261" s="114" t="s">
        <v>2</v>
      </c>
      <c r="CE261" s="114" t="s">
        <v>2</v>
      </c>
      <c r="CF261" s="114" t="s">
        <v>2</v>
      </c>
      <c r="CG261" s="115" t="s">
        <v>2</v>
      </c>
      <c r="CH261" s="117">
        <v>0</v>
      </c>
      <c r="CI261" s="121">
        <v>0</v>
      </c>
      <c r="CJ261" s="119" t="s">
        <v>2</v>
      </c>
      <c r="CK261" s="114" t="s">
        <v>2</v>
      </c>
      <c r="CL261" s="114" t="s">
        <v>2</v>
      </c>
      <c r="CM261" s="115" t="s">
        <v>2</v>
      </c>
      <c r="CN261" s="110" t="s">
        <v>2</v>
      </c>
      <c r="CO261" s="110" t="s">
        <v>2</v>
      </c>
    </row>
    <row r="262" spans="1:93" s="102" customFormat="1" x14ac:dyDescent="0.25">
      <c r="A262" s="107" t="s">
        <v>897</v>
      </c>
      <c r="B262" s="108" t="s">
        <v>569</v>
      </c>
      <c r="C262" s="109" t="s">
        <v>1066</v>
      </c>
      <c r="D262" s="287">
        <v>5</v>
      </c>
      <c r="E262" s="110">
        <v>24</v>
      </c>
      <c r="F262" s="120">
        <v>49</v>
      </c>
      <c r="G262" s="71">
        <v>204.82</v>
      </c>
      <c r="H262" s="126">
        <v>87</v>
      </c>
      <c r="I262" s="113">
        <v>1.3</v>
      </c>
      <c r="J262" s="114" t="s">
        <v>2</v>
      </c>
      <c r="K262" s="114">
        <v>10.9</v>
      </c>
      <c r="L262" s="114">
        <v>2.7</v>
      </c>
      <c r="M262" s="115">
        <v>0.8</v>
      </c>
      <c r="N262" s="116">
        <v>100</v>
      </c>
      <c r="O262" s="117">
        <v>44</v>
      </c>
      <c r="P262" s="114" t="s">
        <v>2</v>
      </c>
      <c r="Q262" s="114" t="s">
        <v>2</v>
      </c>
      <c r="R262" s="117" t="s">
        <v>2</v>
      </c>
      <c r="S262" s="117" t="s">
        <v>2</v>
      </c>
      <c r="T262" s="117" t="s">
        <v>2</v>
      </c>
      <c r="U262" s="118" t="s">
        <v>2</v>
      </c>
      <c r="V262" s="118" t="s">
        <v>2</v>
      </c>
      <c r="W262" s="115" t="s">
        <v>2</v>
      </c>
      <c r="X262" s="119">
        <v>3</v>
      </c>
      <c r="Y262" s="118" t="s">
        <v>2</v>
      </c>
      <c r="Z262" s="118" t="s">
        <v>2</v>
      </c>
      <c r="AA262" s="118" t="s">
        <v>2</v>
      </c>
      <c r="AB262" s="118" t="s">
        <v>2</v>
      </c>
      <c r="AC262" s="118" t="s">
        <v>2</v>
      </c>
      <c r="AD262" s="117" t="s">
        <v>2</v>
      </c>
      <c r="AE262" s="117" t="s">
        <v>2</v>
      </c>
      <c r="AF262" s="114" t="s">
        <v>2</v>
      </c>
      <c r="AG262" s="115" t="s">
        <v>2</v>
      </c>
      <c r="AH262" s="120">
        <v>0</v>
      </c>
      <c r="AI262" s="120">
        <v>0</v>
      </c>
      <c r="AJ262" s="114" t="s">
        <v>2</v>
      </c>
      <c r="AK262" s="114" t="s">
        <v>2</v>
      </c>
      <c r="AL262" s="115" t="s">
        <v>2</v>
      </c>
      <c r="AM262" s="116" t="s">
        <v>2</v>
      </c>
      <c r="AN262" s="117" t="s">
        <v>2</v>
      </c>
      <c r="AO262" s="121" t="s">
        <v>2</v>
      </c>
      <c r="AP262" s="113" t="s">
        <v>2</v>
      </c>
      <c r="AQ262" s="118" t="s">
        <v>2</v>
      </c>
      <c r="AR262" s="118" t="s">
        <v>2</v>
      </c>
      <c r="AS262" s="118" t="s">
        <v>2</v>
      </c>
      <c r="AT262" s="118" t="s">
        <v>2</v>
      </c>
      <c r="AU262" s="118" t="s">
        <v>2</v>
      </c>
      <c r="AV262" s="122" t="s">
        <v>2</v>
      </c>
      <c r="AW262" s="119" t="s">
        <v>2</v>
      </c>
      <c r="AX262" s="118" t="s">
        <v>2</v>
      </c>
      <c r="AY262" s="118" t="s">
        <v>2</v>
      </c>
      <c r="AZ262" s="122" t="s">
        <v>2</v>
      </c>
      <c r="BA262" s="123" t="s">
        <v>2</v>
      </c>
      <c r="BB262" s="124" t="s">
        <v>2</v>
      </c>
      <c r="BC262" s="124" t="s">
        <v>2</v>
      </c>
      <c r="BD262" s="124" t="s">
        <v>2</v>
      </c>
      <c r="BE262" s="124" t="s">
        <v>2</v>
      </c>
      <c r="BF262" s="125" t="s">
        <v>2</v>
      </c>
      <c r="BG262" s="110" t="s">
        <v>2</v>
      </c>
      <c r="BH262" s="110">
        <v>0</v>
      </c>
      <c r="BI262" s="116" t="s">
        <v>2</v>
      </c>
      <c r="BJ262" s="117" t="s">
        <v>2</v>
      </c>
      <c r="BK262" s="117" t="s">
        <v>2</v>
      </c>
      <c r="BL262" s="117" t="s">
        <v>2</v>
      </c>
      <c r="BM262" s="117" t="s">
        <v>2</v>
      </c>
      <c r="BN262" s="117" t="s">
        <v>2</v>
      </c>
      <c r="BO262" s="117" t="s">
        <v>2</v>
      </c>
      <c r="BP262" s="117" t="s">
        <v>2</v>
      </c>
      <c r="BQ262" s="117" t="s">
        <v>2</v>
      </c>
      <c r="BR262" s="117" t="s">
        <v>2</v>
      </c>
      <c r="BS262" s="117" t="s">
        <v>2</v>
      </c>
      <c r="BT262" s="117" t="s">
        <v>2</v>
      </c>
      <c r="BU262" s="117" t="s">
        <v>2</v>
      </c>
      <c r="BV262" s="117" t="s">
        <v>2</v>
      </c>
      <c r="BW262" s="117" t="s">
        <v>2</v>
      </c>
      <c r="BX262" s="117" t="s">
        <v>2</v>
      </c>
      <c r="BY262" s="117" t="s">
        <v>2</v>
      </c>
      <c r="BZ262" s="121" t="s">
        <v>2</v>
      </c>
      <c r="CA262" s="119" t="s">
        <v>2</v>
      </c>
      <c r="CB262" s="114" t="s">
        <v>2</v>
      </c>
      <c r="CC262" s="114" t="s">
        <v>2</v>
      </c>
      <c r="CD262" s="114" t="s">
        <v>2</v>
      </c>
      <c r="CE262" s="114" t="s">
        <v>2</v>
      </c>
      <c r="CF262" s="114" t="s">
        <v>2</v>
      </c>
      <c r="CG262" s="115" t="s">
        <v>2</v>
      </c>
      <c r="CH262" s="117" t="s">
        <v>2</v>
      </c>
      <c r="CI262" s="121" t="s">
        <v>2</v>
      </c>
      <c r="CJ262" s="119" t="s">
        <v>2</v>
      </c>
      <c r="CK262" s="114" t="s">
        <v>2</v>
      </c>
      <c r="CL262" s="114" t="s">
        <v>2</v>
      </c>
      <c r="CM262" s="115" t="s">
        <v>2</v>
      </c>
      <c r="CN262" s="110" t="s">
        <v>2</v>
      </c>
      <c r="CO262" s="110" t="s">
        <v>2</v>
      </c>
    </row>
    <row r="263" spans="1:93" s="102" customFormat="1" x14ac:dyDescent="0.25">
      <c r="A263" s="107" t="s">
        <v>898</v>
      </c>
      <c r="B263" s="108" t="s">
        <v>570</v>
      </c>
      <c r="C263" s="109" t="s">
        <v>1116</v>
      </c>
      <c r="D263" s="287">
        <v>5</v>
      </c>
      <c r="E263" s="110">
        <v>14</v>
      </c>
      <c r="F263" s="120">
        <v>40</v>
      </c>
      <c r="G263" s="71">
        <v>167.2</v>
      </c>
      <c r="H263" s="126">
        <v>89.5</v>
      </c>
      <c r="I263" s="113">
        <v>0.8</v>
      </c>
      <c r="J263" s="114">
        <v>0.2</v>
      </c>
      <c r="K263" s="114">
        <v>9.1999999999999993</v>
      </c>
      <c r="L263" s="114">
        <v>0.7</v>
      </c>
      <c r="M263" s="115">
        <v>0.5</v>
      </c>
      <c r="N263" s="116">
        <v>44</v>
      </c>
      <c r="O263" s="117">
        <v>25</v>
      </c>
      <c r="P263" s="114">
        <v>0.2</v>
      </c>
      <c r="Q263" s="114">
        <v>0.05</v>
      </c>
      <c r="R263" s="117">
        <v>3</v>
      </c>
      <c r="S263" s="117">
        <v>250</v>
      </c>
      <c r="T263" s="117">
        <v>10</v>
      </c>
      <c r="U263" s="118">
        <v>8.4000000000000005E-2</v>
      </c>
      <c r="V263" s="118">
        <v>73</v>
      </c>
      <c r="W263" s="115" t="s">
        <v>2</v>
      </c>
      <c r="X263" s="119">
        <v>24</v>
      </c>
      <c r="Y263" s="118">
        <v>0.06</v>
      </c>
      <c r="Z263" s="118">
        <v>0.04</v>
      </c>
      <c r="AA263" s="118">
        <v>0.6</v>
      </c>
      <c r="AB263" s="118" t="s">
        <v>2</v>
      </c>
      <c r="AC263" s="118">
        <v>8.1000000000000003E-2</v>
      </c>
      <c r="AD263" s="117" t="s">
        <v>2</v>
      </c>
      <c r="AE263" s="117" t="s">
        <v>2</v>
      </c>
      <c r="AF263" s="114" t="s">
        <v>2</v>
      </c>
      <c r="AG263" s="115" t="s">
        <v>2</v>
      </c>
      <c r="AH263" s="120">
        <v>0</v>
      </c>
      <c r="AI263" s="120">
        <v>0</v>
      </c>
      <c r="AJ263" s="114" t="s">
        <v>2</v>
      </c>
      <c r="AK263" s="114" t="s">
        <v>2</v>
      </c>
      <c r="AL263" s="115" t="s">
        <v>2</v>
      </c>
      <c r="AM263" s="116">
        <v>5</v>
      </c>
      <c r="AN263" s="117" t="s">
        <v>2</v>
      </c>
      <c r="AO263" s="121" t="s">
        <v>2</v>
      </c>
      <c r="AP263" s="113" t="s">
        <v>2</v>
      </c>
      <c r="AQ263" s="118" t="s">
        <v>2</v>
      </c>
      <c r="AR263" s="118" t="s">
        <v>2</v>
      </c>
      <c r="AS263" s="118" t="s">
        <v>2</v>
      </c>
      <c r="AT263" s="118" t="s">
        <v>2</v>
      </c>
      <c r="AU263" s="118" t="s">
        <v>2</v>
      </c>
      <c r="AV263" s="122" t="s">
        <v>2</v>
      </c>
      <c r="AW263" s="119" t="s">
        <v>2</v>
      </c>
      <c r="AX263" s="118" t="s">
        <v>2</v>
      </c>
      <c r="AY263" s="118" t="s">
        <v>2</v>
      </c>
      <c r="AZ263" s="122" t="s">
        <v>2</v>
      </c>
      <c r="BA263" s="123" t="s">
        <v>2</v>
      </c>
      <c r="BB263" s="124" t="s">
        <v>2</v>
      </c>
      <c r="BC263" s="124" t="s">
        <v>2</v>
      </c>
      <c r="BD263" s="124" t="s">
        <v>2</v>
      </c>
      <c r="BE263" s="124" t="s">
        <v>2</v>
      </c>
      <c r="BF263" s="125" t="s">
        <v>2</v>
      </c>
      <c r="BG263" s="110" t="s">
        <v>2</v>
      </c>
      <c r="BH263" s="110">
        <v>0</v>
      </c>
      <c r="BI263" s="116" t="s">
        <v>2</v>
      </c>
      <c r="BJ263" s="117" t="s">
        <v>2</v>
      </c>
      <c r="BK263" s="117" t="s">
        <v>2</v>
      </c>
      <c r="BL263" s="117" t="s">
        <v>2</v>
      </c>
      <c r="BM263" s="117" t="s">
        <v>2</v>
      </c>
      <c r="BN263" s="117" t="s">
        <v>2</v>
      </c>
      <c r="BO263" s="117" t="s">
        <v>2</v>
      </c>
      <c r="BP263" s="117" t="s">
        <v>2</v>
      </c>
      <c r="BQ263" s="117" t="s">
        <v>2</v>
      </c>
      <c r="BR263" s="117" t="s">
        <v>2</v>
      </c>
      <c r="BS263" s="117" t="s">
        <v>2</v>
      </c>
      <c r="BT263" s="117" t="s">
        <v>2</v>
      </c>
      <c r="BU263" s="117" t="s">
        <v>2</v>
      </c>
      <c r="BV263" s="117" t="s">
        <v>2</v>
      </c>
      <c r="BW263" s="117" t="s">
        <v>2</v>
      </c>
      <c r="BX263" s="117" t="s">
        <v>2</v>
      </c>
      <c r="BY263" s="117" t="s">
        <v>2</v>
      </c>
      <c r="BZ263" s="121" t="s">
        <v>2</v>
      </c>
      <c r="CA263" s="119" t="s">
        <v>2</v>
      </c>
      <c r="CB263" s="114" t="s">
        <v>2</v>
      </c>
      <c r="CC263" s="114" t="s">
        <v>2</v>
      </c>
      <c r="CD263" s="114" t="s">
        <v>2</v>
      </c>
      <c r="CE263" s="114" t="s">
        <v>2</v>
      </c>
      <c r="CF263" s="114" t="s">
        <v>2</v>
      </c>
      <c r="CG263" s="115" t="s">
        <v>2</v>
      </c>
      <c r="CH263" s="117" t="s">
        <v>2</v>
      </c>
      <c r="CI263" s="121" t="s">
        <v>2</v>
      </c>
      <c r="CJ263" s="119" t="s">
        <v>2</v>
      </c>
      <c r="CK263" s="114" t="s">
        <v>2</v>
      </c>
      <c r="CL263" s="114" t="s">
        <v>2</v>
      </c>
      <c r="CM263" s="115" t="s">
        <v>2</v>
      </c>
      <c r="CN263" s="110" t="s">
        <v>2</v>
      </c>
      <c r="CO263" s="110" t="s">
        <v>2</v>
      </c>
    </row>
    <row r="264" spans="1:93" s="102" customFormat="1" x14ac:dyDescent="0.25">
      <c r="A264" s="107" t="s">
        <v>899</v>
      </c>
      <c r="B264" s="108" t="s">
        <v>571</v>
      </c>
      <c r="C264" s="109" t="s">
        <v>1117</v>
      </c>
      <c r="D264" s="287">
        <v>5</v>
      </c>
      <c r="E264" s="110">
        <v>12</v>
      </c>
      <c r="F264" s="120">
        <v>50</v>
      </c>
      <c r="G264" s="71">
        <v>209</v>
      </c>
      <c r="H264" s="126">
        <v>87.2</v>
      </c>
      <c r="I264" s="113">
        <v>0.5</v>
      </c>
      <c r="J264" s="114">
        <v>0.09</v>
      </c>
      <c r="K264" s="114">
        <v>11.71</v>
      </c>
      <c r="L264" s="114">
        <v>0.6</v>
      </c>
      <c r="M264" s="115">
        <v>0.5</v>
      </c>
      <c r="N264" s="116">
        <v>19</v>
      </c>
      <c r="O264" s="117">
        <v>13</v>
      </c>
      <c r="P264" s="114">
        <v>2.5</v>
      </c>
      <c r="Q264" s="114">
        <v>0.2</v>
      </c>
      <c r="R264" s="117">
        <v>15</v>
      </c>
      <c r="S264" s="117">
        <v>102</v>
      </c>
      <c r="T264" s="117">
        <v>3</v>
      </c>
      <c r="U264" s="118">
        <v>0.06</v>
      </c>
      <c r="V264" s="118">
        <v>100</v>
      </c>
      <c r="W264" s="115">
        <v>0.2</v>
      </c>
      <c r="X264" s="119">
        <v>7</v>
      </c>
      <c r="Y264" s="118">
        <v>0.04</v>
      </c>
      <c r="Z264" s="118">
        <v>0.03</v>
      </c>
      <c r="AA264" s="118">
        <v>0.2</v>
      </c>
      <c r="AB264" s="118">
        <v>6.0999999999999999E-2</v>
      </c>
      <c r="AC264" s="118">
        <v>4.1000000000000002E-2</v>
      </c>
      <c r="AD264" s="117">
        <v>3</v>
      </c>
      <c r="AE264" s="117">
        <v>0</v>
      </c>
      <c r="AF264" s="114">
        <v>0.3</v>
      </c>
      <c r="AG264" s="115">
        <v>0</v>
      </c>
      <c r="AH264" s="120">
        <v>0</v>
      </c>
      <c r="AI264" s="120">
        <v>3</v>
      </c>
      <c r="AJ264" s="114" t="s">
        <v>2</v>
      </c>
      <c r="AK264" s="114">
        <v>0.18</v>
      </c>
      <c r="AL264" s="115">
        <v>2.2000000000000002</v>
      </c>
      <c r="AM264" s="116">
        <v>27</v>
      </c>
      <c r="AN264" s="117">
        <v>0</v>
      </c>
      <c r="AO264" s="121">
        <v>11</v>
      </c>
      <c r="AP264" s="113">
        <v>2.8000000000000001E-2</v>
      </c>
      <c r="AQ264" s="118">
        <v>2.4E-2</v>
      </c>
      <c r="AR264" s="118">
        <v>0</v>
      </c>
      <c r="AS264" s="118">
        <v>3.0000000000000001E-3</v>
      </c>
      <c r="AT264" s="118">
        <v>0</v>
      </c>
      <c r="AU264" s="118">
        <v>0</v>
      </c>
      <c r="AV264" s="122">
        <v>0</v>
      </c>
      <c r="AW264" s="119">
        <v>7.0000000000000001E-3</v>
      </c>
      <c r="AX264" s="118">
        <v>0</v>
      </c>
      <c r="AY264" s="118">
        <v>0</v>
      </c>
      <c r="AZ264" s="122">
        <v>7.0000000000000001E-3</v>
      </c>
      <c r="BA264" s="123">
        <v>5.0999999999999997E-2</v>
      </c>
      <c r="BB264" s="124">
        <v>4.2999999999999997E-2</v>
      </c>
      <c r="BC264" s="124">
        <v>8.9999999999999993E-3</v>
      </c>
      <c r="BD264" s="124">
        <v>0</v>
      </c>
      <c r="BE264" s="124">
        <v>0</v>
      </c>
      <c r="BF264" s="125">
        <v>0</v>
      </c>
      <c r="BG264" s="110" t="s">
        <v>2</v>
      </c>
      <c r="BH264" s="110">
        <v>0</v>
      </c>
      <c r="BI264" s="116">
        <v>36</v>
      </c>
      <c r="BJ264" s="117">
        <v>5</v>
      </c>
      <c r="BK264" s="117">
        <v>6</v>
      </c>
      <c r="BL264" s="117">
        <v>15</v>
      </c>
      <c r="BM264" s="117">
        <v>22</v>
      </c>
      <c r="BN264" s="117">
        <v>24</v>
      </c>
      <c r="BO264" s="117">
        <v>37</v>
      </c>
      <c r="BP264" s="117">
        <v>21</v>
      </c>
      <c r="BQ264" s="117">
        <v>16</v>
      </c>
      <c r="BR264" s="117">
        <v>12</v>
      </c>
      <c r="BS264" s="117">
        <v>8</v>
      </c>
      <c r="BT264" s="117">
        <v>9</v>
      </c>
      <c r="BU264" s="117">
        <v>27</v>
      </c>
      <c r="BV264" s="117">
        <v>125</v>
      </c>
      <c r="BW264" s="117">
        <v>67</v>
      </c>
      <c r="BX264" s="117">
        <v>23</v>
      </c>
      <c r="BY264" s="117">
        <v>19</v>
      </c>
      <c r="BZ264" s="121">
        <v>26</v>
      </c>
      <c r="CA264" s="119">
        <v>10.39</v>
      </c>
      <c r="CB264" s="114">
        <v>0</v>
      </c>
      <c r="CC264" s="114">
        <v>0</v>
      </c>
      <c r="CD264" s="114">
        <v>0</v>
      </c>
      <c r="CE264" s="114">
        <v>5.9</v>
      </c>
      <c r="CF264" s="114">
        <v>2.4300000000000002</v>
      </c>
      <c r="CG264" s="115">
        <v>2</v>
      </c>
      <c r="CH264" s="117">
        <v>0</v>
      </c>
      <c r="CI264" s="121">
        <v>29</v>
      </c>
      <c r="CJ264" s="119" t="s">
        <v>2</v>
      </c>
      <c r="CK264" s="114" t="s">
        <v>2</v>
      </c>
      <c r="CL264" s="114" t="s">
        <v>2</v>
      </c>
      <c r="CM264" s="115" t="s">
        <v>2</v>
      </c>
      <c r="CN264" s="110">
        <v>12</v>
      </c>
      <c r="CO264" s="110">
        <v>14</v>
      </c>
    </row>
    <row r="265" spans="1:93" s="102" customFormat="1" x14ac:dyDescent="0.25">
      <c r="A265" s="107" t="s">
        <v>900</v>
      </c>
      <c r="B265" s="108" t="s">
        <v>572</v>
      </c>
      <c r="C265" s="109" t="s">
        <v>1118</v>
      </c>
      <c r="D265" s="287">
        <v>5</v>
      </c>
      <c r="E265" s="110">
        <v>48</v>
      </c>
      <c r="F265" s="120">
        <v>49</v>
      </c>
      <c r="G265" s="71">
        <v>204.82</v>
      </c>
      <c r="H265" s="126">
        <v>87.8</v>
      </c>
      <c r="I265" s="113">
        <v>0.7</v>
      </c>
      <c r="J265" s="114">
        <v>0.35</v>
      </c>
      <c r="K265" s="114">
        <v>10.75</v>
      </c>
      <c r="L265" s="114">
        <v>1.1000000000000001</v>
      </c>
      <c r="M265" s="115">
        <v>0.4</v>
      </c>
      <c r="N265" s="116">
        <v>6</v>
      </c>
      <c r="O265" s="117">
        <v>34</v>
      </c>
      <c r="P265" s="114">
        <v>0.5</v>
      </c>
      <c r="Q265" s="114">
        <v>7.0000000000000007E-2</v>
      </c>
      <c r="R265" s="117">
        <v>1</v>
      </c>
      <c r="S265" s="117">
        <v>171</v>
      </c>
      <c r="T265" s="117">
        <v>10</v>
      </c>
      <c r="U265" s="118">
        <v>5.5E-2</v>
      </c>
      <c r="V265" s="118">
        <v>148</v>
      </c>
      <c r="W265" s="115">
        <v>0.6</v>
      </c>
      <c r="X265" s="119">
        <v>36</v>
      </c>
      <c r="Y265" s="118">
        <v>0.02</v>
      </c>
      <c r="Z265" s="118">
        <v>0.04</v>
      </c>
      <c r="AA265" s="118">
        <v>0.7</v>
      </c>
      <c r="AB265" s="118" t="s">
        <v>2</v>
      </c>
      <c r="AC265" s="118">
        <v>0.1</v>
      </c>
      <c r="AD265" s="117">
        <v>14</v>
      </c>
      <c r="AE265" s="117">
        <v>0</v>
      </c>
      <c r="AF265" s="114" t="s">
        <v>2</v>
      </c>
      <c r="AG265" s="115">
        <v>0</v>
      </c>
      <c r="AH265" s="120">
        <v>0</v>
      </c>
      <c r="AI265" s="120">
        <v>0</v>
      </c>
      <c r="AJ265" s="114" t="s">
        <v>2</v>
      </c>
      <c r="AK265" s="114">
        <v>7.0000000000000007E-2</v>
      </c>
      <c r="AL265" s="115">
        <v>0.4</v>
      </c>
      <c r="AM265" s="116" t="s">
        <v>2</v>
      </c>
      <c r="AN265" s="117" t="s">
        <v>2</v>
      </c>
      <c r="AO265" s="121" t="s">
        <v>2</v>
      </c>
      <c r="AP265" s="113">
        <v>9.9000000000000005E-2</v>
      </c>
      <c r="AQ265" s="118">
        <v>7.0000000000000007E-2</v>
      </c>
      <c r="AR265" s="118">
        <v>0</v>
      </c>
      <c r="AS265" s="118">
        <v>2.4E-2</v>
      </c>
      <c r="AT265" s="118">
        <v>0</v>
      </c>
      <c r="AU265" s="118">
        <v>0</v>
      </c>
      <c r="AV265" s="122">
        <v>0</v>
      </c>
      <c r="AW265" s="119">
        <v>0.12</v>
      </c>
      <c r="AX265" s="118">
        <v>0</v>
      </c>
      <c r="AY265" s="118">
        <v>1E-3</v>
      </c>
      <c r="AZ265" s="122">
        <v>0.11899999999999999</v>
      </c>
      <c r="BA265" s="123">
        <v>0.13200000000000001</v>
      </c>
      <c r="BB265" s="124">
        <v>6.7000000000000004E-2</v>
      </c>
      <c r="BC265" s="124">
        <v>6.5000000000000002E-2</v>
      </c>
      <c r="BD265" s="124">
        <v>0</v>
      </c>
      <c r="BE265" s="124">
        <v>0</v>
      </c>
      <c r="BF265" s="125">
        <v>0</v>
      </c>
      <c r="BG265" s="110" t="s">
        <v>2</v>
      </c>
      <c r="BH265" s="110">
        <v>0</v>
      </c>
      <c r="BI265" s="116">
        <v>41</v>
      </c>
      <c r="BJ265" s="117">
        <v>9</v>
      </c>
      <c r="BK265" s="117">
        <v>7</v>
      </c>
      <c r="BL265" s="117" t="s">
        <v>2</v>
      </c>
      <c r="BM265" s="117" t="s">
        <v>2</v>
      </c>
      <c r="BN265" s="117" t="s">
        <v>2</v>
      </c>
      <c r="BO265" s="117" t="s">
        <v>2</v>
      </c>
      <c r="BP265" s="117" t="s">
        <v>2</v>
      </c>
      <c r="BQ265" s="117" t="s">
        <v>2</v>
      </c>
      <c r="BR265" s="117" t="s">
        <v>2</v>
      </c>
      <c r="BS265" s="117" t="s">
        <v>2</v>
      </c>
      <c r="BT265" s="117" t="s">
        <v>2</v>
      </c>
      <c r="BU265" s="117" t="s">
        <v>2</v>
      </c>
      <c r="BV265" s="117" t="s">
        <v>2</v>
      </c>
      <c r="BW265" s="117" t="s">
        <v>2</v>
      </c>
      <c r="BX265" s="117" t="s">
        <v>2</v>
      </c>
      <c r="BY265" s="117" t="s">
        <v>2</v>
      </c>
      <c r="BZ265" s="121" t="s">
        <v>2</v>
      </c>
      <c r="CA265" s="119">
        <v>15.23</v>
      </c>
      <c r="CB265" s="114" t="s">
        <v>2</v>
      </c>
      <c r="CC265" s="114" t="s">
        <v>2</v>
      </c>
      <c r="CD265" s="114" t="s">
        <v>2</v>
      </c>
      <c r="CE265" s="114" t="s">
        <v>2</v>
      </c>
      <c r="CF265" s="114" t="s">
        <v>2</v>
      </c>
      <c r="CG265" s="115" t="s">
        <v>2</v>
      </c>
      <c r="CH265" s="117" t="s">
        <v>2</v>
      </c>
      <c r="CI265" s="121" t="s">
        <v>2</v>
      </c>
      <c r="CJ265" s="119" t="s">
        <v>2</v>
      </c>
      <c r="CK265" s="114" t="s">
        <v>2</v>
      </c>
      <c r="CL265" s="114" t="s">
        <v>2</v>
      </c>
      <c r="CM265" s="115" t="s">
        <v>2</v>
      </c>
      <c r="CN265" s="110" t="s">
        <v>2</v>
      </c>
      <c r="CO265" s="110" t="s">
        <v>2</v>
      </c>
    </row>
    <row r="266" spans="1:93" s="102" customFormat="1" x14ac:dyDescent="0.25">
      <c r="A266" s="107" t="s">
        <v>901</v>
      </c>
      <c r="B266" s="108" t="s">
        <v>573</v>
      </c>
      <c r="C266" s="129" t="s">
        <v>1067</v>
      </c>
      <c r="D266" s="287">
        <v>5</v>
      </c>
      <c r="E266" s="110">
        <v>44</v>
      </c>
      <c r="F266" s="120">
        <v>264</v>
      </c>
      <c r="G266" s="71">
        <v>1103.52</v>
      </c>
      <c r="H266" s="126">
        <v>34.9</v>
      </c>
      <c r="I266" s="113">
        <v>3</v>
      </c>
      <c r="J266" s="114">
        <v>1.9</v>
      </c>
      <c r="K266" s="114">
        <v>58.6</v>
      </c>
      <c r="L266" s="114">
        <v>1</v>
      </c>
      <c r="M266" s="115">
        <v>1.6</v>
      </c>
      <c r="N266" s="116">
        <v>25</v>
      </c>
      <c r="O266" s="117">
        <v>58</v>
      </c>
      <c r="P266" s="114">
        <v>4.4000000000000004</v>
      </c>
      <c r="Q266" s="114">
        <v>0.28000000000000003</v>
      </c>
      <c r="R266" s="117">
        <v>3</v>
      </c>
      <c r="S266" s="117">
        <v>1110</v>
      </c>
      <c r="T266" s="117">
        <v>42</v>
      </c>
      <c r="U266" s="118">
        <v>0.23400000000000001</v>
      </c>
      <c r="V266" s="118">
        <v>631</v>
      </c>
      <c r="W266" s="115">
        <v>1.3</v>
      </c>
      <c r="X266" s="119">
        <v>183</v>
      </c>
      <c r="Y266" s="118">
        <v>0.01</v>
      </c>
      <c r="Z266" s="118">
        <v>0.56999999999999995</v>
      </c>
      <c r="AA266" s="118">
        <v>3.1</v>
      </c>
      <c r="AB266" s="118" t="s">
        <v>2</v>
      </c>
      <c r="AC266" s="118">
        <v>0.09</v>
      </c>
      <c r="AD266" s="117">
        <v>12</v>
      </c>
      <c r="AE266" s="117">
        <v>0</v>
      </c>
      <c r="AF266" s="114" t="s">
        <v>2</v>
      </c>
      <c r="AG266" s="115">
        <v>0</v>
      </c>
      <c r="AH266" s="120">
        <v>0</v>
      </c>
      <c r="AI266" s="120">
        <v>0</v>
      </c>
      <c r="AJ266" s="114" t="s">
        <v>2</v>
      </c>
      <c r="AK266" s="114">
        <v>0.31</v>
      </c>
      <c r="AL266" s="115">
        <v>1.6</v>
      </c>
      <c r="AM266" s="116">
        <v>0</v>
      </c>
      <c r="AN266" s="117" t="s">
        <v>2</v>
      </c>
      <c r="AO266" s="121" t="s">
        <v>2</v>
      </c>
      <c r="AP266" s="113">
        <v>0.27</v>
      </c>
      <c r="AQ266" s="118">
        <v>0.19</v>
      </c>
      <c r="AR266" s="118">
        <v>0</v>
      </c>
      <c r="AS266" s="118">
        <v>6.5000000000000002E-2</v>
      </c>
      <c r="AT266" s="118">
        <v>0</v>
      </c>
      <c r="AU266" s="118">
        <v>0</v>
      </c>
      <c r="AV266" s="122">
        <v>0</v>
      </c>
      <c r="AW266" s="119">
        <v>0.32800000000000001</v>
      </c>
      <c r="AX266" s="118">
        <v>0</v>
      </c>
      <c r="AY266" s="118">
        <v>4.0000000000000001E-3</v>
      </c>
      <c r="AZ266" s="122">
        <v>0.32400000000000001</v>
      </c>
      <c r="BA266" s="123">
        <v>0.36099999999999999</v>
      </c>
      <c r="BB266" s="124">
        <v>0.184</v>
      </c>
      <c r="BC266" s="124">
        <v>0.17799999999999999</v>
      </c>
      <c r="BD266" s="124">
        <v>0</v>
      </c>
      <c r="BE266" s="124">
        <v>0</v>
      </c>
      <c r="BF266" s="125">
        <v>0</v>
      </c>
      <c r="BG266" s="110" t="s">
        <v>2</v>
      </c>
      <c r="BH266" s="110">
        <v>0</v>
      </c>
      <c r="BI266" s="116" t="s">
        <v>2</v>
      </c>
      <c r="BJ266" s="117" t="s">
        <v>2</v>
      </c>
      <c r="BK266" s="117" t="s">
        <v>2</v>
      </c>
      <c r="BL266" s="117" t="s">
        <v>2</v>
      </c>
      <c r="BM266" s="117" t="s">
        <v>2</v>
      </c>
      <c r="BN266" s="117" t="s">
        <v>2</v>
      </c>
      <c r="BO266" s="117" t="s">
        <v>2</v>
      </c>
      <c r="BP266" s="117" t="s">
        <v>2</v>
      </c>
      <c r="BQ266" s="117" t="s">
        <v>2</v>
      </c>
      <c r="BR266" s="117" t="s">
        <v>2</v>
      </c>
      <c r="BS266" s="117" t="s">
        <v>2</v>
      </c>
      <c r="BT266" s="117" t="s">
        <v>2</v>
      </c>
      <c r="BU266" s="117" t="s">
        <v>2</v>
      </c>
      <c r="BV266" s="117" t="s">
        <v>2</v>
      </c>
      <c r="BW266" s="117" t="s">
        <v>2</v>
      </c>
      <c r="BX266" s="117" t="s">
        <v>2</v>
      </c>
      <c r="BY266" s="117" t="s">
        <v>2</v>
      </c>
      <c r="BZ266" s="121" t="s">
        <v>2</v>
      </c>
      <c r="CA266" s="119">
        <v>66.099999999999994</v>
      </c>
      <c r="CB266" s="114" t="s">
        <v>2</v>
      </c>
      <c r="CC266" s="114" t="s">
        <v>2</v>
      </c>
      <c r="CD266" s="114" t="s">
        <v>2</v>
      </c>
      <c r="CE266" s="114" t="s">
        <v>2</v>
      </c>
      <c r="CF266" s="114" t="s">
        <v>2</v>
      </c>
      <c r="CG266" s="115" t="s">
        <v>2</v>
      </c>
      <c r="CH266" s="117" t="s">
        <v>2</v>
      </c>
      <c r="CI266" s="121" t="s">
        <v>2</v>
      </c>
      <c r="CJ266" s="119" t="s">
        <v>2</v>
      </c>
      <c r="CK266" s="114" t="s">
        <v>2</v>
      </c>
      <c r="CL266" s="114" t="s">
        <v>2</v>
      </c>
      <c r="CM266" s="115" t="s">
        <v>2</v>
      </c>
      <c r="CN266" s="110" t="s">
        <v>2</v>
      </c>
      <c r="CO266" s="110" t="s">
        <v>2</v>
      </c>
    </row>
    <row r="267" spans="1:93" s="102" customFormat="1" x14ac:dyDescent="0.25">
      <c r="A267" s="107" t="s">
        <v>902</v>
      </c>
      <c r="B267" s="108" t="s">
        <v>574</v>
      </c>
      <c r="C267" s="109" t="s">
        <v>1119</v>
      </c>
      <c r="D267" s="287">
        <v>5</v>
      </c>
      <c r="E267" s="110">
        <v>22</v>
      </c>
      <c r="F267" s="120">
        <v>51</v>
      </c>
      <c r="G267" s="71">
        <v>213.17999999999998</v>
      </c>
      <c r="H267" s="126">
        <v>86.5</v>
      </c>
      <c r="I267" s="113">
        <v>1</v>
      </c>
      <c r="J267" s="114" t="s">
        <v>2</v>
      </c>
      <c r="K267" s="114">
        <v>11.7</v>
      </c>
      <c r="L267" s="114">
        <v>2.2999999999999998</v>
      </c>
      <c r="M267" s="115">
        <v>0.8</v>
      </c>
      <c r="N267" s="116">
        <v>68</v>
      </c>
      <c r="O267" s="117">
        <v>32</v>
      </c>
      <c r="P267" s="114">
        <v>0.4</v>
      </c>
      <c r="Q267" s="114" t="s">
        <v>2</v>
      </c>
      <c r="R267" s="117" t="s">
        <v>2</v>
      </c>
      <c r="S267" s="117" t="s">
        <v>2</v>
      </c>
      <c r="T267" s="117" t="s">
        <v>2</v>
      </c>
      <c r="U267" s="118" t="s">
        <v>2</v>
      </c>
      <c r="V267" s="118" t="s">
        <v>2</v>
      </c>
      <c r="W267" s="115" t="s">
        <v>2</v>
      </c>
      <c r="X267" s="119">
        <v>5</v>
      </c>
      <c r="Y267" s="118">
        <v>0.01</v>
      </c>
      <c r="Z267" s="118">
        <v>0.02</v>
      </c>
      <c r="AA267" s="118">
        <v>0.9</v>
      </c>
      <c r="AB267" s="118" t="s">
        <v>2</v>
      </c>
      <c r="AC267" s="118" t="s">
        <v>2</v>
      </c>
      <c r="AD267" s="117" t="s">
        <v>2</v>
      </c>
      <c r="AE267" s="117" t="s">
        <v>2</v>
      </c>
      <c r="AF267" s="114" t="s">
        <v>2</v>
      </c>
      <c r="AG267" s="115" t="s">
        <v>2</v>
      </c>
      <c r="AH267" s="120">
        <v>0</v>
      </c>
      <c r="AI267" s="120">
        <v>0</v>
      </c>
      <c r="AJ267" s="114" t="s">
        <v>2</v>
      </c>
      <c r="AK267" s="114" t="s">
        <v>2</v>
      </c>
      <c r="AL267" s="115" t="s">
        <v>2</v>
      </c>
      <c r="AM267" s="116" t="s">
        <v>2</v>
      </c>
      <c r="AN267" s="117" t="s">
        <v>2</v>
      </c>
      <c r="AO267" s="121" t="s">
        <v>2</v>
      </c>
      <c r="AP267" s="113" t="s">
        <v>2</v>
      </c>
      <c r="AQ267" s="118" t="s">
        <v>2</v>
      </c>
      <c r="AR267" s="118" t="s">
        <v>2</v>
      </c>
      <c r="AS267" s="118" t="s">
        <v>2</v>
      </c>
      <c r="AT267" s="118" t="s">
        <v>2</v>
      </c>
      <c r="AU267" s="118" t="s">
        <v>2</v>
      </c>
      <c r="AV267" s="122" t="s">
        <v>2</v>
      </c>
      <c r="AW267" s="119" t="s">
        <v>2</v>
      </c>
      <c r="AX267" s="118" t="s">
        <v>2</v>
      </c>
      <c r="AY267" s="118" t="s">
        <v>2</v>
      </c>
      <c r="AZ267" s="122" t="s">
        <v>2</v>
      </c>
      <c r="BA267" s="123" t="s">
        <v>2</v>
      </c>
      <c r="BB267" s="124" t="s">
        <v>2</v>
      </c>
      <c r="BC267" s="124" t="s">
        <v>2</v>
      </c>
      <c r="BD267" s="124" t="s">
        <v>2</v>
      </c>
      <c r="BE267" s="124" t="s">
        <v>2</v>
      </c>
      <c r="BF267" s="125" t="s">
        <v>2</v>
      </c>
      <c r="BG267" s="110" t="s">
        <v>2</v>
      </c>
      <c r="BH267" s="110">
        <v>0</v>
      </c>
      <c r="BI267" s="116" t="s">
        <v>2</v>
      </c>
      <c r="BJ267" s="117" t="s">
        <v>2</v>
      </c>
      <c r="BK267" s="117" t="s">
        <v>2</v>
      </c>
      <c r="BL267" s="117" t="s">
        <v>2</v>
      </c>
      <c r="BM267" s="117" t="s">
        <v>2</v>
      </c>
      <c r="BN267" s="117" t="s">
        <v>2</v>
      </c>
      <c r="BO267" s="117" t="s">
        <v>2</v>
      </c>
      <c r="BP267" s="117" t="s">
        <v>2</v>
      </c>
      <c r="BQ267" s="117" t="s">
        <v>2</v>
      </c>
      <c r="BR267" s="117" t="s">
        <v>2</v>
      </c>
      <c r="BS267" s="117" t="s">
        <v>2</v>
      </c>
      <c r="BT267" s="117" t="s">
        <v>2</v>
      </c>
      <c r="BU267" s="117" t="s">
        <v>2</v>
      </c>
      <c r="BV267" s="117" t="s">
        <v>2</v>
      </c>
      <c r="BW267" s="117" t="s">
        <v>2</v>
      </c>
      <c r="BX267" s="117" t="s">
        <v>2</v>
      </c>
      <c r="BY267" s="117" t="s">
        <v>2</v>
      </c>
      <c r="BZ267" s="121" t="s">
        <v>2</v>
      </c>
      <c r="CA267" s="119" t="s">
        <v>2</v>
      </c>
      <c r="CB267" s="114" t="s">
        <v>2</v>
      </c>
      <c r="CC267" s="114" t="s">
        <v>2</v>
      </c>
      <c r="CD267" s="114" t="s">
        <v>2</v>
      </c>
      <c r="CE267" s="114" t="s">
        <v>2</v>
      </c>
      <c r="CF267" s="114" t="s">
        <v>2</v>
      </c>
      <c r="CG267" s="115" t="s">
        <v>2</v>
      </c>
      <c r="CH267" s="117" t="s">
        <v>2</v>
      </c>
      <c r="CI267" s="121" t="s">
        <v>2</v>
      </c>
      <c r="CJ267" s="119" t="s">
        <v>2</v>
      </c>
      <c r="CK267" s="114" t="s">
        <v>2</v>
      </c>
      <c r="CL267" s="114" t="s">
        <v>2</v>
      </c>
      <c r="CM267" s="115" t="s">
        <v>2</v>
      </c>
      <c r="CN267" s="110" t="s">
        <v>2</v>
      </c>
      <c r="CO267" s="110" t="s">
        <v>2</v>
      </c>
    </row>
    <row r="268" spans="1:93" s="102" customFormat="1" x14ac:dyDescent="0.25">
      <c r="A268" s="107" t="s">
        <v>903</v>
      </c>
      <c r="B268" s="108" t="s">
        <v>575</v>
      </c>
      <c r="C268" s="109" t="s">
        <v>1068</v>
      </c>
      <c r="D268" s="287">
        <v>5</v>
      </c>
      <c r="E268" s="110">
        <v>20</v>
      </c>
      <c r="F268" s="120">
        <v>69</v>
      </c>
      <c r="G268" s="71">
        <v>288.41999999999996</v>
      </c>
      <c r="H268" s="126">
        <v>82.6</v>
      </c>
      <c r="I268" s="113">
        <v>0.6</v>
      </c>
      <c r="J268" s="114">
        <v>0.3</v>
      </c>
      <c r="K268" s="114">
        <v>15.9</v>
      </c>
      <c r="L268" s="114">
        <v>1.8</v>
      </c>
      <c r="M268" s="115">
        <v>0.6</v>
      </c>
      <c r="N268" s="116">
        <v>10</v>
      </c>
      <c r="O268" s="117">
        <v>13</v>
      </c>
      <c r="P268" s="114">
        <v>0.4</v>
      </c>
      <c r="Q268" s="114">
        <v>0.56000000000000005</v>
      </c>
      <c r="R268" s="117">
        <v>2</v>
      </c>
      <c r="S268" s="117">
        <v>114</v>
      </c>
      <c r="T268" s="117">
        <v>9</v>
      </c>
      <c r="U268" s="118">
        <v>0.28000000000000003</v>
      </c>
      <c r="V268" s="118">
        <v>150</v>
      </c>
      <c r="W268" s="115">
        <v>0.6</v>
      </c>
      <c r="X268" s="119">
        <v>30</v>
      </c>
      <c r="Y268" s="118">
        <v>0.05</v>
      </c>
      <c r="Z268" s="118">
        <v>0.05</v>
      </c>
      <c r="AA268" s="118">
        <v>0.3</v>
      </c>
      <c r="AB268" s="118">
        <v>0.16</v>
      </c>
      <c r="AC268" s="118">
        <v>0.13400000000000001</v>
      </c>
      <c r="AD268" s="117">
        <v>14</v>
      </c>
      <c r="AE268" s="117">
        <v>0</v>
      </c>
      <c r="AF268" s="114" t="s">
        <v>2</v>
      </c>
      <c r="AG268" s="115">
        <v>0</v>
      </c>
      <c r="AH268" s="120">
        <v>0</v>
      </c>
      <c r="AI268" s="120">
        <v>38</v>
      </c>
      <c r="AJ268" s="114" t="s">
        <v>2</v>
      </c>
      <c r="AK268" s="114">
        <v>1.1200000000000001</v>
      </c>
      <c r="AL268" s="115">
        <v>4.2</v>
      </c>
      <c r="AM268" s="116">
        <v>445</v>
      </c>
      <c r="AN268" s="117">
        <v>17</v>
      </c>
      <c r="AO268" s="121">
        <v>11</v>
      </c>
      <c r="AP268" s="113">
        <v>6.6000000000000003E-2</v>
      </c>
      <c r="AQ268" s="118">
        <v>5.1999999999999998E-2</v>
      </c>
      <c r="AR268" s="118">
        <v>0</v>
      </c>
      <c r="AS268" s="118">
        <v>3.0000000000000001E-3</v>
      </c>
      <c r="AT268" s="118">
        <v>0</v>
      </c>
      <c r="AU268" s="118">
        <v>0</v>
      </c>
      <c r="AV268" s="122">
        <v>0</v>
      </c>
      <c r="AW268" s="119">
        <v>0.10100000000000001</v>
      </c>
      <c r="AX268" s="118">
        <v>0</v>
      </c>
      <c r="AY268" s="118">
        <v>4.8000000000000001E-2</v>
      </c>
      <c r="AZ268" s="122">
        <v>5.3999999999999999E-2</v>
      </c>
      <c r="BA268" s="123">
        <v>5.0999999999999997E-2</v>
      </c>
      <c r="BB268" s="124">
        <v>1.4E-2</v>
      </c>
      <c r="BC268" s="124">
        <v>3.6999999999999998E-2</v>
      </c>
      <c r="BD268" s="124">
        <v>0</v>
      </c>
      <c r="BE268" s="124">
        <v>0</v>
      </c>
      <c r="BF268" s="125">
        <v>0</v>
      </c>
      <c r="BG268" s="110" t="s">
        <v>2</v>
      </c>
      <c r="BH268" s="110">
        <v>0</v>
      </c>
      <c r="BI268" s="116">
        <v>41</v>
      </c>
      <c r="BJ268" s="117">
        <v>5</v>
      </c>
      <c r="BK268" s="117">
        <v>8</v>
      </c>
      <c r="BL268" s="117">
        <v>17</v>
      </c>
      <c r="BM268" s="117">
        <v>19</v>
      </c>
      <c r="BN268" s="117">
        <v>26</v>
      </c>
      <c r="BO268" s="117">
        <v>31</v>
      </c>
      <c r="BP268" s="117">
        <v>18</v>
      </c>
      <c r="BQ268" s="117">
        <v>19</v>
      </c>
      <c r="BR268" s="117">
        <v>12</v>
      </c>
      <c r="BS268" s="117" t="s">
        <v>2</v>
      </c>
      <c r="BT268" s="117">
        <v>10</v>
      </c>
      <c r="BU268" s="117">
        <v>51</v>
      </c>
      <c r="BV268" s="117">
        <v>42</v>
      </c>
      <c r="BW268" s="117">
        <v>60</v>
      </c>
      <c r="BX268" s="117">
        <v>21</v>
      </c>
      <c r="BY268" s="117">
        <v>18</v>
      </c>
      <c r="BZ268" s="121">
        <v>22</v>
      </c>
      <c r="CA268" s="119">
        <v>14.8</v>
      </c>
      <c r="CB268" s="114" t="s">
        <v>2</v>
      </c>
      <c r="CC268" s="114" t="s">
        <v>2</v>
      </c>
      <c r="CD268" s="114" t="s">
        <v>2</v>
      </c>
      <c r="CE268" s="114" t="s">
        <v>2</v>
      </c>
      <c r="CF268" s="114" t="s">
        <v>2</v>
      </c>
      <c r="CG268" s="115" t="s">
        <v>2</v>
      </c>
      <c r="CH268" s="117" t="s">
        <v>2</v>
      </c>
      <c r="CI268" s="121" t="s">
        <v>2</v>
      </c>
      <c r="CJ268" s="119" t="s">
        <v>2</v>
      </c>
      <c r="CK268" s="114" t="s">
        <v>2</v>
      </c>
      <c r="CL268" s="114" t="s">
        <v>2</v>
      </c>
      <c r="CM268" s="115" t="s">
        <v>2</v>
      </c>
      <c r="CN268" s="110" t="s">
        <v>2</v>
      </c>
      <c r="CO268" s="110" t="s">
        <v>2</v>
      </c>
    </row>
    <row r="269" spans="1:93" s="102" customFormat="1" ht="16.5" thickBot="1" x14ac:dyDescent="0.3">
      <c r="A269" s="131" t="s">
        <v>904</v>
      </c>
      <c r="B269" s="132" t="s">
        <v>576</v>
      </c>
      <c r="C269" s="133" t="s">
        <v>1069</v>
      </c>
      <c r="D269" s="287">
        <v>5</v>
      </c>
      <c r="E269" s="134">
        <v>14</v>
      </c>
      <c r="F269" s="135">
        <v>68</v>
      </c>
      <c r="G269" s="149">
        <v>284.24</v>
      </c>
      <c r="H269" s="136">
        <v>83.1</v>
      </c>
      <c r="I269" s="137">
        <v>1.1399999999999999</v>
      </c>
      <c r="J269" s="138">
        <v>0.52</v>
      </c>
      <c r="K269" s="138">
        <v>14.66</v>
      </c>
      <c r="L269" s="138">
        <v>3</v>
      </c>
      <c r="M269" s="139">
        <v>0.6</v>
      </c>
      <c r="N269" s="140">
        <v>34</v>
      </c>
      <c r="O269" s="141">
        <v>34</v>
      </c>
      <c r="P269" s="138">
        <v>0.31</v>
      </c>
      <c r="Q269" s="138">
        <v>0.14000000000000001</v>
      </c>
      <c r="R269" s="141">
        <v>3</v>
      </c>
      <c r="S269" s="141">
        <v>312</v>
      </c>
      <c r="T269" s="141">
        <v>17</v>
      </c>
      <c r="U269" s="142">
        <v>9.8000000000000004E-2</v>
      </c>
      <c r="V269" s="142">
        <v>130</v>
      </c>
      <c r="W269" s="139">
        <v>0.2</v>
      </c>
      <c r="X269" s="143">
        <v>92.7</v>
      </c>
      <c r="Y269" s="142">
        <v>0.03</v>
      </c>
      <c r="Z269" s="142">
        <v>0.03</v>
      </c>
      <c r="AA269" s="142">
        <v>0.3</v>
      </c>
      <c r="AB269" s="142">
        <v>0.183</v>
      </c>
      <c r="AC269" s="142">
        <v>6.3E-2</v>
      </c>
      <c r="AD269" s="141">
        <v>25</v>
      </c>
      <c r="AE269" s="141">
        <v>0</v>
      </c>
      <c r="AF269" s="138" t="s">
        <v>2</v>
      </c>
      <c r="AG269" s="139">
        <v>0</v>
      </c>
      <c r="AH269" s="135">
        <v>0</v>
      </c>
      <c r="AI269" s="135">
        <v>4</v>
      </c>
      <c r="AJ269" s="138" t="s">
        <v>2</v>
      </c>
      <c r="AK269" s="138">
        <v>1.46</v>
      </c>
      <c r="AL269" s="139">
        <v>40.299999999999997</v>
      </c>
      <c r="AM269" s="140">
        <v>52</v>
      </c>
      <c r="AN269" s="141">
        <v>0</v>
      </c>
      <c r="AO269" s="144">
        <v>0</v>
      </c>
      <c r="AP269" s="137">
        <v>2.9000000000000001E-2</v>
      </c>
      <c r="AQ269" s="142">
        <v>1.7000000000000001E-2</v>
      </c>
      <c r="AR269" s="142">
        <v>0</v>
      </c>
      <c r="AS269" s="142">
        <v>1.2E-2</v>
      </c>
      <c r="AT269" s="142">
        <v>0</v>
      </c>
      <c r="AU269" s="142">
        <v>0</v>
      </c>
      <c r="AV269" s="145">
        <v>0</v>
      </c>
      <c r="AW269" s="143">
        <v>4.7E-2</v>
      </c>
      <c r="AX269" s="142">
        <v>0</v>
      </c>
      <c r="AY269" s="142">
        <v>0</v>
      </c>
      <c r="AZ269" s="145">
        <v>4.7E-2</v>
      </c>
      <c r="BA269" s="146">
        <v>0.28699999999999998</v>
      </c>
      <c r="BB269" s="147">
        <v>0.246</v>
      </c>
      <c r="BC269" s="147">
        <v>4.2000000000000003E-2</v>
      </c>
      <c r="BD269" s="147">
        <v>0</v>
      </c>
      <c r="BE269" s="147">
        <v>0</v>
      </c>
      <c r="BF269" s="148">
        <v>0</v>
      </c>
      <c r="BG269" s="134" t="s">
        <v>2</v>
      </c>
      <c r="BH269" s="134">
        <v>0</v>
      </c>
      <c r="BI269" s="140">
        <v>61</v>
      </c>
      <c r="BJ269" s="141">
        <v>24</v>
      </c>
      <c r="BK269" s="141">
        <v>15</v>
      </c>
      <c r="BL269" s="141">
        <v>44</v>
      </c>
      <c r="BM269" s="141">
        <v>47</v>
      </c>
      <c r="BN269" s="141">
        <v>57</v>
      </c>
      <c r="BO269" s="141">
        <v>66</v>
      </c>
      <c r="BP269" s="141">
        <v>51</v>
      </c>
      <c r="BQ269" s="141">
        <v>81</v>
      </c>
      <c r="BR269" s="141">
        <v>27</v>
      </c>
      <c r="BS269" s="141">
        <v>31</v>
      </c>
      <c r="BT269" s="141">
        <v>34</v>
      </c>
      <c r="BU269" s="141">
        <v>53</v>
      </c>
      <c r="BV269" s="141">
        <v>126</v>
      </c>
      <c r="BW269" s="141">
        <v>184</v>
      </c>
      <c r="BX269" s="141">
        <v>60</v>
      </c>
      <c r="BY269" s="141">
        <v>44</v>
      </c>
      <c r="BZ269" s="144">
        <v>53</v>
      </c>
      <c r="CA269" s="143">
        <v>8.99</v>
      </c>
      <c r="CB269" s="138">
        <v>0.17</v>
      </c>
      <c r="CC269" s="138">
        <v>0.19</v>
      </c>
      <c r="CD269" s="138">
        <v>0</v>
      </c>
      <c r="CE269" s="138">
        <v>4.3499999999999996</v>
      </c>
      <c r="CF269" s="138">
        <v>4.1100000000000003</v>
      </c>
      <c r="CG269" s="139">
        <v>0.15</v>
      </c>
      <c r="CH269" s="141">
        <v>0</v>
      </c>
      <c r="CI269" s="144">
        <v>122</v>
      </c>
      <c r="CJ269" s="143" t="s">
        <v>2</v>
      </c>
      <c r="CK269" s="138" t="s">
        <v>2</v>
      </c>
      <c r="CL269" s="138" t="s">
        <v>2</v>
      </c>
      <c r="CM269" s="139" t="s">
        <v>2</v>
      </c>
      <c r="CN269" s="134" t="s">
        <v>2</v>
      </c>
      <c r="CO269" s="134" t="s">
        <v>2</v>
      </c>
    </row>
    <row r="270" spans="1:93" s="207" customFormat="1" thickTop="1" x14ac:dyDescent="0.25">
      <c r="A270" s="229" t="s">
        <v>1337</v>
      </c>
      <c r="B270" s="197" t="s">
        <v>94</v>
      </c>
      <c r="C270" s="198" t="s">
        <v>1338</v>
      </c>
      <c r="D270" s="289">
        <v>6</v>
      </c>
      <c r="E270" s="230">
        <v>0</v>
      </c>
      <c r="F270" s="231">
        <v>756</v>
      </c>
      <c r="G270" s="231">
        <v>3161</v>
      </c>
      <c r="H270" s="232">
        <v>15.4</v>
      </c>
      <c r="I270" s="223">
        <v>0.5</v>
      </c>
      <c r="J270" s="223">
        <v>83.5</v>
      </c>
      <c r="K270" s="223">
        <v>0.5</v>
      </c>
      <c r="L270" s="223">
        <v>0</v>
      </c>
      <c r="M270" s="233">
        <v>0.1</v>
      </c>
      <c r="N270" s="234">
        <v>12</v>
      </c>
      <c r="O270" s="234">
        <v>12</v>
      </c>
      <c r="P270" s="223">
        <v>0.1</v>
      </c>
      <c r="Q270" s="223">
        <v>0.09</v>
      </c>
      <c r="R270" s="234">
        <v>11</v>
      </c>
      <c r="S270" s="234">
        <v>24</v>
      </c>
      <c r="T270" s="234">
        <v>2</v>
      </c>
      <c r="U270" s="224">
        <v>4.0000000000000001E-3</v>
      </c>
      <c r="V270" s="224">
        <v>16</v>
      </c>
      <c r="W270" s="233">
        <v>1</v>
      </c>
      <c r="X270" s="203">
        <v>0</v>
      </c>
      <c r="Y270" s="224">
        <v>0.01</v>
      </c>
      <c r="Z270" s="224">
        <v>0.04</v>
      </c>
      <c r="AA270" s="224">
        <v>0</v>
      </c>
      <c r="AB270" s="224">
        <v>0.11</v>
      </c>
      <c r="AC270" s="224">
        <v>3.0000000000000001E-3</v>
      </c>
      <c r="AD270" s="234">
        <v>3</v>
      </c>
      <c r="AE270" s="234">
        <v>0</v>
      </c>
      <c r="AF270" s="203" t="s">
        <v>2</v>
      </c>
      <c r="AG270" s="233">
        <v>0</v>
      </c>
      <c r="AH270" s="235">
        <v>600</v>
      </c>
      <c r="AI270" s="234">
        <v>613</v>
      </c>
      <c r="AJ270" s="203" t="s">
        <v>2</v>
      </c>
      <c r="AK270" s="223">
        <v>2.3199999999999998</v>
      </c>
      <c r="AL270" s="233">
        <v>7</v>
      </c>
      <c r="AM270" s="200">
        <v>158</v>
      </c>
      <c r="AN270" s="200">
        <v>0</v>
      </c>
      <c r="AO270" s="201">
        <v>0</v>
      </c>
      <c r="AP270" s="223">
        <v>51.368000000000002</v>
      </c>
      <c r="AQ270" s="224">
        <v>21.696999999999999</v>
      </c>
      <c r="AR270" s="224">
        <v>0.56000000000000005</v>
      </c>
      <c r="AS270" s="224">
        <v>9.9990000000000006</v>
      </c>
      <c r="AT270" s="224">
        <v>0.13800000000000001</v>
      </c>
      <c r="AU270" s="224">
        <v>0</v>
      </c>
      <c r="AV270" s="236">
        <v>0</v>
      </c>
      <c r="AW270" s="223">
        <v>21.02</v>
      </c>
      <c r="AX270" s="224">
        <v>0</v>
      </c>
      <c r="AY270" s="224">
        <v>0.96</v>
      </c>
      <c r="AZ270" s="236">
        <v>16.98</v>
      </c>
      <c r="BA270" s="223">
        <v>3.04</v>
      </c>
      <c r="BB270" s="224">
        <v>2.17</v>
      </c>
      <c r="BC270" s="224">
        <v>0.32</v>
      </c>
      <c r="BD270" s="224">
        <v>0</v>
      </c>
      <c r="BE270" s="224">
        <v>0</v>
      </c>
      <c r="BF270" s="236">
        <v>0</v>
      </c>
      <c r="BG270" s="230">
        <v>2.9820000000000002</v>
      </c>
      <c r="BH270" s="230">
        <v>270</v>
      </c>
      <c r="BI270" s="234" t="s">
        <v>2</v>
      </c>
      <c r="BJ270" s="234" t="s">
        <v>2</v>
      </c>
      <c r="BK270" s="234" t="s">
        <v>2</v>
      </c>
      <c r="BL270" s="234" t="s">
        <v>2</v>
      </c>
      <c r="BM270" s="234" t="s">
        <v>2</v>
      </c>
      <c r="BN270" s="234" t="s">
        <v>2</v>
      </c>
      <c r="BO270" s="234" t="s">
        <v>2</v>
      </c>
      <c r="BP270" s="234" t="s">
        <v>2</v>
      </c>
      <c r="BQ270" s="234" t="s">
        <v>2</v>
      </c>
      <c r="BR270" s="234" t="s">
        <v>2</v>
      </c>
      <c r="BS270" s="234" t="s">
        <v>2</v>
      </c>
      <c r="BT270" s="234" t="s">
        <v>2</v>
      </c>
      <c r="BU270" s="234" t="s">
        <v>2</v>
      </c>
      <c r="BV270" s="234" t="s">
        <v>2</v>
      </c>
      <c r="BW270" s="234" t="s">
        <v>2</v>
      </c>
      <c r="BX270" s="234" t="s">
        <v>2</v>
      </c>
      <c r="BY270" s="234" t="s">
        <v>2</v>
      </c>
      <c r="BZ270" s="237" t="s">
        <v>2</v>
      </c>
      <c r="CA270" s="203">
        <v>0.06</v>
      </c>
      <c r="CB270" s="203" t="s">
        <v>2</v>
      </c>
      <c r="CC270" s="203" t="s">
        <v>2</v>
      </c>
      <c r="CD270" s="203" t="s">
        <v>2</v>
      </c>
      <c r="CE270" s="203" t="s">
        <v>2</v>
      </c>
      <c r="CF270" s="203" t="s">
        <v>2</v>
      </c>
      <c r="CG270" s="204" t="s">
        <v>2</v>
      </c>
      <c r="CH270" s="200">
        <v>0</v>
      </c>
      <c r="CI270" s="201">
        <v>0</v>
      </c>
      <c r="CJ270" s="200">
        <v>0</v>
      </c>
      <c r="CK270" s="200">
        <v>0</v>
      </c>
      <c r="CL270" s="200">
        <v>0</v>
      </c>
      <c r="CM270" s="201">
        <v>0</v>
      </c>
      <c r="CN270" s="235">
        <v>4</v>
      </c>
      <c r="CO270" s="231" t="s">
        <v>2</v>
      </c>
    </row>
    <row r="271" spans="1:93" s="207" customFormat="1" ht="15" x14ac:dyDescent="0.25">
      <c r="A271" s="229" t="s">
        <v>1339</v>
      </c>
      <c r="B271" s="197" t="s">
        <v>95</v>
      </c>
      <c r="C271" s="198" t="s">
        <v>1340</v>
      </c>
      <c r="D271" s="289">
        <v>6</v>
      </c>
      <c r="E271" s="230">
        <v>0</v>
      </c>
      <c r="F271" s="231">
        <v>897</v>
      </c>
      <c r="G271" s="231">
        <v>3754</v>
      </c>
      <c r="H271" s="202">
        <v>0.3</v>
      </c>
      <c r="I271" s="223">
        <v>0</v>
      </c>
      <c r="J271" s="203">
        <v>99.7</v>
      </c>
      <c r="K271" s="223">
        <v>0</v>
      </c>
      <c r="L271" s="223">
        <v>0</v>
      </c>
      <c r="M271" s="233">
        <v>0</v>
      </c>
      <c r="N271" s="200" t="s">
        <v>2</v>
      </c>
      <c r="O271" s="200" t="s">
        <v>2</v>
      </c>
      <c r="P271" s="203" t="s">
        <v>2</v>
      </c>
      <c r="Q271" s="203" t="s">
        <v>2</v>
      </c>
      <c r="R271" s="200" t="s">
        <v>2</v>
      </c>
      <c r="S271" s="200" t="s">
        <v>2</v>
      </c>
      <c r="T271" s="200" t="s">
        <v>2</v>
      </c>
      <c r="U271" s="205" t="s">
        <v>2</v>
      </c>
      <c r="V271" s="205" t="s">
        <v>2</v>
      </c>
      <c r="W271" s="204" t="s">
        <v>2</v>
      </c>
      <c r="X271" s="203">
        <v>0</v>
      </c>
      <c r="Y271" s="205" t="s">
        <v>2</v>
      </c>
      <c r="Z271" s="205" t="s">
        <v>2</v>
      </c>
      <c r="AA271" s="205" t="s">
        <v>2</v>
      </c>
      <c r="AB271" s="205" t="s">
        <v>2</v>
      </c>
      <c r="AC271" s="205" t="s">
        <v>2</v>
      </c>
      <c r="AD271" s="200" t="s">
        <v>2</v>
      </c>
      <c r="AE271" s="200" t="s">
        <v>2</v>
      </c>
      <c r="AF271" s="203" t="s">
        <v>2</v>
      </c>
      <c r="AG271" s="204" t="s">
        <v>2</v>
      </c>
      <c r="AH271" s="231" t="s">
        <v>2</v>
      </c>
      <c r="AI271" s="200">
        <v>0</v>
      </c>
      <c r="AJ271" s="203" t="s">
        <v>2</v>
      </c>
      <c r="AK271" s="203" t="s">
        <v>2</v>
      </c>
      <c r="AL271" s="204" t="s">
        <v>2</v>
      </c>
      <c r="AM271" s="200">
        <v>0</v>
      </c>
      <c r="AN271" s="200">
        <v>0</v>
      </c>
      <c r="AO271" s="201">
        <v>0</v>
      </c>
      <c r="AP271" s="203" t="s">
        <v>2</v>
      </c>
      <c r="AQ271" s="205" t="s">
        <v>2</v>
      </c>
      <c r="AR271" s="205" t="s">
        <v>2</v>
      </c>
      <c r="AS271" s="205" t="s">
        <v>2</v>
      </c>
      <c r="AT271" s="205" t="s">
        <v>2</v>
      </c>
      <c r="AU271" s="205" t="s">
        <v>2</v>
      </c>
      <c r="AV271" s="206" t="s">
        <v>2</v>
      </c>
      <c r="AW271" s="203" t="s">
        <v>2</v>
      </c>
      <c r="AX271" s="205" t="s">
        <v>2</v>
      </c>
      <c r="AY271" s="205" t="s">
        <v>2</v>
      </c>
      <c r="AZ271" s="206" t="s">
        <v>2</v>
      </c>
      <c r="BA271" s="203" t="s">
        <v>2</v>
      </c>
      <c r="BB271" s="205" t="s">
        <v>2</v>
      </c>
      <c r="BC271" s="205" t="s">
        <v>2</v>
      </c>
      <c r="BD271" s="205" t="s">
        <v>2</v>
      </c>
      <c r="BE271" s="205" t="s">
        <v>2</v>
      </c>
      <c r="BF271" s="206" t="s">
        <v>2</v>
      </c>
      <c r="BG271" s="199" t="s">
        <v>2</v>
      </c>
      <c r="BH271" s="199" t="s">
        <v>2</v>
      </c>
      <c r="BI271" s="234" t="s">
        <v>96</v>
      </c>
      <c r="BJ271" s="234" t="s">
        <v>96</v>
      </c>
      <c r="BK271" s="234">
        <v>0</v>
      </c>
      <c r="BL271" s="234">
        <v>0</v>
      </c>
      <c r="BM271" s="234">
        <v>0</v>
      </c>
      <c r="BN271" s="234">
        <v>0</v>
      </c>
      <c r="BO271" s="234">
        <v>0</v>
      </c>
      <c r="BP271" s="234">
        <v>0</v>
      </c>
      <c r="BQ271" s="234">
        <v>0</v>
      </c>
      <c r="BR271" s="234">
        <v>0</v>
      </c>
      <c r="BS271" s="234">
        <v>0</v>
      </c>
      <c r="BT271" s="234">
        <v>0</v>
      </c>
      <c r="BU271" s="234">
        <v>0</v>
      </c>
      <c r="BV271" s="234">
        <v>0</v>
      </c>
      <c r="BW271" s="234">
        <v>0</v>
      </c>
      <c r="BX271" s="234">
        <v>0</v>
      </c>
      <c r="BY271" s="234">
        <v>0</v>
      </c>
      <c r="BZ271" s="237">
        <v>0</v>
      </c>
      <c r="CA271" s="203">
        <v>0</v>
      </c>
      <c r="CB271" s="203">
        <v>0</v>
      </c>
      <c r="CC271" s="203">
        <v>0</v>
      </c>
      <c r="CD271" s="203">
        <v>0</v>
      </c>
      <c r="CE271" s="203">
        <v>0</v>
      </c>
      <c r="CF271" s="203">
        <v>0</v>
      </c>
      <c r="CG271" s="204">
        <v>0</v>
      </c>
      <c r="CH271" s="200">
        <v>0</v>
      </c>
      <c r="CI271" s="201">
        <v>0</v>
      </c>
      <c r="CJ271" s="200">
        <v>0</v>
      </c>
      <c r="CK271" s="200">
        <v>0</v>
      </c>
      <c r="CL271" s="200">
        <v>0</v>
      </c>
      <c r="CM271" s="201">
        <v>0</v>
      </c>
      <c r="CN271" s="231" t="s">
        <v>2</v>
      </c>
      <c r="CO271" s="231">
        <v>0</v>
      </c>
    </row>
    <row r="272" spans="1:93" s="207" customFormat="1" ht="15" x14ac:dyDescent="0.25">
      <c r="A272" s="229" t="s">
        <v>1341</v>
      </c>
      <c r="B272" s="197" t="s">
        <v>97</v>
      </c>
      <c r="C272" s="198" t="s">
        <v>1342</v>
      </c>
      <c r="D272" s="289">
        <v>6</v>
      </c>
      <c r="E272" s="199">
        <v>0</v>
      </c>
      <c r="F272" s="231">
        <v>827</v>
      </c>
      <c r="G272" s="231">
        <v>3460</v>
      </c>
      <c r="H272" s="202">
        <v>3</v>
      </c>
      <c r="I272" s="203">
        <v>2</v>
      </c>
      <c r="J272" s="203">
        <v>91</v>
      </c>
      <c r="K272" s="203">
        <v>0</v>
      </c>
      <c r="L272" s="203">
        <v>0</v>
      </c>
      <c r="M272" s="204">
        <v>4</v>
      </c>
      <c r="N272" s="200" t="s">
        <v>2</v>
      </c>
      <c r="O272" s="200" t="s">
        <v>2</v>
      </c>
      <c r="P272" s="203" t="s">
        <v>2</v>
      </c>
      <c r="Q272" s="203" t="s">
        <v>2</v>
      </c>
      <c r="R272" s="200" t="s">
        <v>2</v>
      </c>
      <c r="S272" s="200" t="s">
        <v>2</v>
      </c>
      <c r="T272" s="200" t="s">
        <v>2</v>
      </c>
      <c r="U272" s="205" t="s">
        <v>2</v>
      </c>
      <c r="V272" s="205" t="s">
        <v>2</v>
      </c>
      <c r="W272" s="204" t="s">
        <v>2</v>
      </c>
      <c r="X272" s="203">
        <v>0</v>
      </c>
      <c r="Y272" s="205" t="s">
        <v>2</v>
      </c>
      <c r="Z272" s="205" t="s">
        <v>2</v>
      </c>
      <c r="AA272" s="205" t="s">
        <v>2</v>
      </c>
      <c r="AB272" s="205" t="s">
        <v>2</v>
      </c>
      <c r="AC272" s="205" t="s">
        <v>2</v>
      </c>
      <c r="AD272" s="200" t="s">
        <v>2</v>
      </c>
      <c r="AE272" s="200" t="s">
        <v>2</v>
      </c>
      <c r="AF272" s="203" t="s">
        <v>2</v>
      </c>
      <c r="AG272" s="204" t="s">
        <v>2</v>
      </c>
      <c r="AH272" s="231" t="s">
        <v>2</v>
      </c>
      <c r="AI272" s="200">
        <v>0</v>
      </c>
      <c r="AJ272" s="203" t="s">
        <v>2</v>
      </c>
      <c r="AK272" s="203" t="s">
        <v>2</v>
      </c>
      <c r="AL272" s="204" t="s">
        <v>2</v>
      </c>
      <c r="AM272" s="200">
        <v>0</v>
      </c>
      <c r="AN272" s="200">
        <v>0</v>
      </c>
      <c r="AO272" s="201">
        <v>0</v>
      </c>
      <c r="AP272" s="203" t="s">
        <v>2</v>
      </c>
      <c r="AQ272" s="205" t="s">
        <v>2</v>
      </c>
      <c r="AR272" s="205" t="s">
        <v>2</v>
      </c>
      <c r="AS272" s="205" t="s">
        <v>2</v>
      </c>
      <c r="AT272" s="205" t="s">
        <v>2</v>
      </c>
      <c r="AU272" s="205" t="s">
        <v>2</v>
      </c>
      <c r="AV272" s="206" t="s">
        <v>2</v>
      </c>
      <c r="AW272" s="203" t="s">
        <v>2</v>
      </c>
      <c r="AX272" s="205" t="s">
        <v>2</v>
      </c>
      <c r="AY272" s="205" t="s">
        <v>2</v>
      </c>
      <c r="AZ272" s="206" t="s">
        <v>2</v>
      </c>
      <c r="BA272" s="203" t="s">
        <v>2</v>
      </c>
      <c r="BB272" s="205" t="s">
        <v>2</v>
      </c>
      <c r="BC272" s="205" t="s">
        <v>2</v>
      </c>
      <c r="BD272" s="205" t="s">
        <v>2</v>
      </c>
      <c r="BE272" s="205" t="s">
        <v>2</v>
      </c>
      <c r="BF272" s="206" t="s">
        <v>2</v>
      </c>
      <c r="BG272" s="199" t="s">
        <v>2</v>
      </c>
      <c r="BH272" s="199" t="s">
        <v>2</v>
      </c>
      <c r="BI272" s="200" t="s">
        <v>2</v>
      </c>
      <c r="BJ272" s="200" t="s">
        <v>2</v>
      </c>
      <c r="BK272" s="200" t="s">
        <v>2</v>
      </c>
      <c r="BL272" s="200" t="s">
        <v>2</v>
      </c>
      <c r="BM272" s="200" t="s">
        <v>2</v>
      </c>
      <c r="BN272" s="200" t="s">
        <v>2</v>
      </c>
      <c r="BO272" s="200" t="s">
        <v>2</v>
      </c>
      <c r="BP272" s="200" t="s">
        <v>2</v>
      </c>
      <c r="BQ272" s="200" t="s">
        <v>2</v>
      </c>
      <c r="BR272" s="200" t="s">
        <v>2</v>
      </c>
      <c r="BS272" s="200" t="s">
        <v>2</v>
      </c>
      <c r="BT272" s="200" t="s">
        <v>2</v>
      </c>
      <c r="BU272" s="200" t="s">
        <v>2</v>
      </c>
      <c r="BV272" s="200" t="s">
        <v>2</v>
      </c>
      <c r="BW272" s="200" t="s">
        <v>2</v>
      </c>
      <c r="BX272" s="200" t="s">
        <v>2</v>
      </c>
      <c r="BY272" s="200" t="s">
        <v>2</v>
      </c>
      <c r="BZ272" s="201" t="s">
        <v>2</v>
      </c>
      <c r="CA272" s="203">
        <v>0</v>
      </c>
      <c r="CB272" s="203">
        <v>0</v>
      </c>
      <c r="CC272" s="203">
        <v>0</v>
      </c>
      <c r="CD272" s="203">
        <v>0</v>
      </c>
      <c r="CE272" s="203">
        <v>0</v>
      </c>
      <c r="CF272" s="203">
        <v>0</v>
      </c>
      <c r="CG272" s="204">
        <v>0</v>
      </c>
      <c r="CH272" s="200">
        <v>0</v>
      </c>
      <c r="CI272" s="201">
        <v>0</v>
      </c>
      <c r="CJ272" s="200">
        <v>0</v>
      </c>
      <c r="CK272" s="200">
        <v>0</v>
      </c>
      <c r="CL272" s="200">
        <v>0</v>
      </c>
      <c r="CM272" s="201">
        <v>0</v>
      </c>
      <c r="CN272" s="231" t="s">
        <v>2</v>
      </c>
      <c r="CO272" s="231">
        <v>0</v>
      </c>
    </row>
    <row r="273" spans="1:93" s="207" customFormat="1" ht="15" x14ac:dyDescent="0.25">
      <c r="A273" s="229" t="s">
        <v>1343</v>
      </c>
      <c r="B273" s="197" t="s">
        <v>98</v>
      </c>
      <c r="C273" s="198" t="s">
        <v>1344</v>
      </c>
      <c r="D273" s="289">
        <v>6</v>
      </c>
      <c r="E273" s="199">
        <v>0</v>
      </c>
      <c r="F273" s="231">
        <v>896</v>
      </c>
      <c r="G273" s="231">
        <v>3751</v>
      </c>
      <c r="H273" s="202">
        <v>0.4</v>
      </c>
      <c r="I273" s="203">
        <v>0</v>
      </c>
      <c r="J273" s="203">
        <v>99.6</v>
      </c>
      <c r="K273" s="203">
        <v>0</v>
      </c>
      <c r="L273" s="203">
        <v>0</v>
      </c>
      <c r="M273" s="204">
        <v>0</v>
      </c>
      <c r="N273" s="200">
        <v>2</v>
      </c>
      <c r="O273" s="200">
        <v>12</v>
      </c>
      <c r="P273" s="203">
        <v>0.3</v>
      </c>
      <c r="Q273" s="203" t="s">
        <v>2</v>
      </c>
      <c r="R273" s="200" t="s">
        <v>2</v>
      </c>
      <c r="S273" s="200" t="s">
        <v>2</v>
      </c>
      <c r="T273" s="200" t="s">
        <v>2</v>
      </c>
      <c r="U273" s="205" t="s">
        <v>2</v>
      </c>
      <c r="V273" s="205" t="s">
        <v>2</v>
      </c>
      <c r="W273" s="204" t="s">
        <v>2</v>
      </c>
      <c r="X273" s="203">
        <v>0</v>
      </c>
      <c r="Y273" s="205">
        <v>0.02</v>
      </c>
      <c r="Z273" s="205" t="s">
        <v>2</v>
      </c>
      <c r="AA273" s="205" t="s">
        <v>2</v>
      </c>
      <c r="AB273" s="205" t="s">
        <v>2</v>
      </c>
      <c r="AC273" s="205" t="s">
        <v>2</v>
      </c>
      <c r="AD273" s="200" t="s">
        <v>2</v>
      </c>
      <c r="AE273" s="200" t="s">
        <v>2</v>
      </c>
      <c r="AF273" s="203" t="s">
        <v>2</v>
      </c>
      <c r="AG273" s="204" t="s">
        <v>2</v>
      </c>
      <c r="AH273" s="231" t="s">
        <v>2</v>
      </c>
      <c r="AI273" s="200">
        <v>0</v>
      </c>
      <c r="AJ273" s="203" t="s">
        <v>2</v>
      </c>
      <c r="AK273" s="203" t="s">
        <v>2</v>
      </c>
      <c r="AL273" s="204" t="s">
        <v>2</v>
      </c>
      <c r="AM273" s="200">
        <v>0</v>
      </c>
      <c r="AN273" s="200">
        <v>0</v>
      </c>
      <c r="AO273" s="201">
        <v>0</v>
      </c>
      <c r="AP273" s="203">
        <v>39.1</v>
      </c>
      <c r="AQ273" s="205">
        <v>23.8</v>
      </c>
      <c r="AR273" s="205">
        <v>0</v>
      </c>
      <c r="AS273" s="205">
        <v>13.5</v>
      </c>
      <c r="AT273" s="205">
        <v>0</v>
      </c>
      <c r="AU273" s="205">
        <v>0</v>
      </c>
      <c r="AV273" s="206">
        <v>0</v>
      </c>
      <c r="AW273" s="203">
        <v>45.1</v>
      </c>
      <c r="AX273" s="205">
        <v>0</v>
      </c>
      <c r="AY273" s="205">
        <v>2.7</v>
      </c>
      <c r="AZ273" s="206">
        <v>41.2</v>
      </c>
      <c r="BA273" s="203">
        <v>11.2</v>
      </c>
      <c r="BB273" s="205">
        <v>10.199999999999999</v>
      </c>
      <c r="BC273" s="205">
        <v>1</v>
      </c>
      <c r="BD273" s="205">
        <v>0</v>
      </c>
      <c r="BE273" s="205">
        <v>0</v>
      </c>
      <c r="BF273" s="206">
        <v>0</v>
      </c>
      <c r="BG273" s="199" t="s">
        <v>2</v>
      </c>
      <c r="BH273" s="199">
        <v>95</v>
      </c>
      <c r="BI273" s="200" t="s">
        <v>2</v>
      </c>
      <c r="BJ273" s="200" t="s">
        <v>2</v>
      </c>
      <c r="BK273" s="200" t="s">
        <v>2</v>
      </c>
      <c r="BL273" s="200" t="s">
        <v>2</v>
      </c>
      <c r="BM273" s="200" t="s">
        <v>2</v>
      </c>
      <c r="BN273" s="200" t="s">
        <v>2</v>
      </c>
      <c r="BO273" s="200" t="s">
        <v>2</v>
      </c>
      <c r="BP273" s="200" t="s">
        <v>2</v>
      </c>
      <c r="BQ273" s="200" t="s">
        <v>2</v>
      </c>
      <c r="BR273" s="200" t="s">
        <v>2</v>
      </c>
      <c r="BS273" s="200" t="s">
        <v>2</v>
      </c>
      <c r="BT273" s="200" t="s">
        <v>2</v>
      </c>
      <c r="BU273" s="200" t="s">
        <v>2</v>
      </c>
      <c r="BV273" s="200" t="s">
        <v>2</v>
      </c>
      <c r="BW273" s="200" t="s">
        <v>2</v>
      </c>
      <c r="BX273" s="200" t="s">
        <v>2</v>
      </c>
      <c r="BY273" s="200" t="s">
        <v>2</v>
      </c>
      <c r="BZ273" s="201" t="s">
        <v>2</v>
      </c>
      <c r="CA273" s="203">
        <v>0</v>
      </c>
      <c r="CB273" s="203">
        <v>0</v>
      </c>
      <c r="CC273" s="203">
        <v>0</v>
      </c>
      <c r="CD273" s="203">
        <v>0</v>
      </c>
      <c r="CE273" s="203">
        <v>0</v>
      </c>
      <c r="CF273" s="203">
        <v>0</v>
      </c>
      <c r="CG273" s="204">
        <v>0</v>
      </c>
      <c r="CH273" s="200">
        <v>0</v>
      </c>
      <c r="CI273" s="201">
        <v>0</v>
      </c>
      <c r="CJ273" s="200">
        <v>0</v>
      </c>
      <c r="CK273" s="200">
        <v>0</v>
      </c>
      <c r="CL273" s="200">
        <v>0</v>
      </c>
      <c r="CM273" s="201">
        <v>0</v>
      </c>
      <c r="CN273" s="231" t="s">
        <v>2</v>
      </c>
      <c r="CO273" s="231">
        <v>0</v>
      </c>
    </row>
    <row r="274" spans="1:93" s="207" customFormat="1" ht="15" x14ac:dyDescent="0.25">
      <c r="A274" s="229" t="s">
        <v>1345</v>
      </c>
      <c r="B274" s="197" t="s">
        <v>99</v>
      </c>
      <c r="C274" s="198" t="s">
        <v>1346</v>
      </c>
      <c r="D274" s="289">
        <v>6</v>
      </c>
      <c r="E274" s="199">
        <v>0</v>
      </c>
      <c r="F274" s="231">
        <v>729</v>
      </c>
      <c r="G274" s="231">
        <v>3049</v>
      </c>
      <c r="H274" s="202">
        <v>18.5</v>
      </c>
      <c r="I274" s="203">
        <v>0.5</v>
      </c>
      <c r="J274" s="203">
        <v>80.7</v>
      </c>
      <c r="K274" s="203">
        <v>0.1</v>
      </c>
      <c r="L274" s="203">
        <v>0</v>
      </c>
      <c r="M274" s="204">
        <v>0.2</v>
      </c>
      <c r="N274" s="200">
        <v>17</v>
      </c>
      <c r="O274" s="200">
        <v>13</v>
      </c>
      <c r="P274" s="203" t="s">
        <v>2</v>
      </c>
      <c r="Q274" s="203">
        <v>0.02</v>
      </c>
      <c r="R274" s="200">
        <v>2</v>
      </c>
      <c r="S274" s="200">
        <v>25</v>
      </c>
      <c r="T274" s="200">
        <v>2</v>
      </c>
      <c r="U274" s="205">
        <v>0</v>
      </c>
      <c r="V274" s="205">
        <v>0</v>
      </c>
      <c r="W274" s="204">
        <v>0</v>
      </c>
      <c r="X274" s="203">
        <v>0.1</v>
      </c>
      <c r="Y274" s="205">
        <v>0.01</v>
      </c>
      <c r="Z274" s="205">
        <v>2.1000000000000001E-2</v>
      </c>
      <c r="AA274" s="205">
        <v>0</v>
      </c>
      <c r="AB274" s="205">
        <v>4.9000000000000002E-2</v>
      </c>
      <c r="AC274" s="205">
        <v>5.0000000000000001E-3</v>
      </c>
      <c r="AD274" s="200">
        <v>1</v>
      </c>
      <c r="AE274" s="200">
        <v>0</v>
      </c>
      <c r="AF274" s="203" t="s">
        <v>2</v>
      </c>
      <c r="AG274" s="204">
        <v>0.06</v>
      </c>
      <c r="AH274" s="231">
        <v>768</v>
      </c>
      <c r="AI274" s="200">
        <v>819</v>
      </c>
      <c r="AJ274" s="203" t="s">
        <v>2</v>
      </c>
      <c r="AK274" s="203">
        <v>12.8</v>
      </c>
      <c r="AL274" s="204">
        <v>93</v>
      </c>
      <c r="AM274" s="200">
        <v>610</v>
      </c>
      <c r="AN274" s="200">
        <v>0</v>
      </c>
      <c r="AO274" s="201">
        <v>0</v>
      </c>
      <c r="AP274" s="203">
        <v>15</v>
      </c>
      <c r="AQ274" s="205">
        <v>9.5</v>
      </c>
      <c r="AR274" s="205">
        <v>0</v>
      </c>
      <c r="AS274" s="205">
        <v>5</v>
      </c>
      <c r="AT274" s="205">
        <v>0</v>
      </c>
      <c r="AU274" s="205">
        <v>0</v>
      </c>
      <c r="AV274" s="206">
        <v>0</v>
      </c>
      <c r="AW274" s="203">
        <v>36.700000000000003</v>
      </c>
      <c r="AX274" s="205">
        <v>0</v>
      </c>
      <c r="AY274" s="205">
        <v>0</v>
      </c>
      <c r="AZ274" s="206">
        <v>36.700000000000003</v>
      </c>
      <c r="BA274" s="203">
        <v>25</v>
      </c>
      <c r="BB274" s="205">
        <v>24.7</v>
      </c>
      <c r="BC274" s="205">
        <v>0.3</v>
      </c>
      <c r="BD274" s="205">
        <v>0</v>
      </c>
      <c r="BE274" s="205">
        <v>0</v>
      </c>
      <c r="BF274" s="206">
        <v>0</v>
      </c>
      <c r="BG274" s="199" t="s">
        <v>2</v>
      </c>
      <c r="BH274" s="199">
        <v>0</v>
      </c>
      <c r="BI274" s="200">
        <v>39</v>
      </c>
      <c r="BJ274" s="200">
        <v>12</v>
      </c>
      <c r="BK274" s="200">
        <v>7</v>
      </c>
      <c r="BL274" s="200">
        <v>24</v>
      </c>
      <c r="BM274" s="200">
        <v>22</v>
      </c>
      <c r="BN274" s="200">
        <v>33</v>
      </c>
      <c r="BO274" s="200">
        <v>49</v>
      </c>
      <c r="BP274" s="200">
        <v>30</v>
      </c>
      <c r="BQ274" s="200">
        <v>18</v>
      </c>
      <c r="BR274" s="200">
        <v>13</v>
      </c>
      <c r="BS274" s="200">
        <v>5</v>
      </c>
      <c r="BT274" s="200">
        <v>24</v>
      </c>
      <c r="BU274" s="200">
        <v>17</v>
      </c>
      <c r="BV274" s="200">
        <v>38</v>
      </c>
      <c r="BW274" s="200">
        <v>104</v>
      </c>
      <c r="BX274" s="200">
        <v>11</v>
      </c>
      <c r="BY274" s="200">
        <v>48</v>
      </c>
      <c r="BZ274" s="201">
        <v>27</v>
      </c>
      <c r="CA274" s="203" t="s">
        <v>2</v>
      </c>
      <c r="CB274" s="203" t="s">
        <v>2</v>
      </c>
      <c r="CC274" s="203" t="s">
        <v>2</v>
      </c>
      <c r="CD274" s="203" t="s">
        <v>2</v>
      </c>
      <c r="CE274" s="203" t="s">
        <v>2</v>
      </c>
      <c r="CF274" s="203" t="s">
        <v>2</v>
      </c>
      <c r="CG274" s="204" t="s">
        <v>2</v>
      </c>
      <c r="CH274" s="200">
        <v>0</v>
      </c>
      <c r="CI274" s="201">
        <v>0</v>
      </c>
      <c r="CJ274" s="200" t="s">
        <v>2</v>
      </c>
      <c r="CK274" s="200" t="s">
        <v>2</v>
      </c>
      <c r="CL274" s="200" t="s">
        <v>2</v>
      </c>
      <c r="CM274" s="201" t="s">
        <v>2</v>
      </c>
      <c r="CN274" s="231">
        <v>265</v>
      </c>
      <c r="CO274" s="231">
        <v>0</v>
      </c>
    </row>
    <row r="275" spans="1:93" s="207" customFormat="1" ht="15" x14ac:dyDescent="0.25">
      <c r="A275" s="229" t="s">
        <v>1347</v>
      </c>
      <c r="B275" s="197" t="s">
        <v>100</v>
      </c>
      <c r="C275" s="198" t="s">
        <v>1348</v>
      </c>
      <c r="D275" s="289">
        <v>6</v>
      </c>
      <c r="E275" s="199">
        <v>0</v>
      </c>
      <c r="F275" s="231">
        <v>900</v>
      </c>
      <c r="G275" s="231">
        <v>3766</v>
      </c>
      <c r="H275" s="202">
        <v>0</v>
      </c>
      <c r="I275" s="203">
        <v>0</v>
      </c>
      <c r="J275" s="203">
        <v>100</v>
      </c>
      <c r="K275" s="203">
        <v>0</v>
      </c>
      <c r="L275" s="203">
        <v>0</v>
      </c>
      <c r="M275" s="204">
        <v>0</v>
      </c>
      <c r="N275" s="200" t="s">
        <v>2</v>
      </c>
      <c r="O275" s="200" t="s">
        <v>2</v>
      </c>
      <c r="P275" s="203" t="s">
        <v>2</v>
      </c>
      <c r="Q275" s="203" t="s">
        <v>2</v>
      </c>
      <c r="R275" s="200" t="s">
        <v>2</v>
      </c>
      <c r="S275" s="200" t="s">
        <v>2</v>
      </c>
      <c r="T275" s="200" t="s">
        <v>2</v>
      </c>
      <c r="U275" s="205" t="s">
        <v>2</v>
      </c>
      <c r="V275" s="205" t="s">
        <v>2</v>
      </c>
      <c r="W275" s="204" t="s">
        <v>2</v>
      </c>
      <c r="X275" s="203" t="s">
        <v>2</v>
      </c>
      <c r="Y275" s="205" t="s">
        <v>2</v>
      </c>
      <c r="Z275" s="205" t="s">
        <v>2</v>
      </c>
      <c r="AA275" s="205" t="s">
        <v>2</v>
      </c>
      <c r="AB275" s="205" t="s">
        <v>2</v>
      </c>
      <c r="AC275" s="205" t="s">
        <v>2</v>
      </c>
      <c r="AD275" s="200" t="s">
        <v>2</v>
      </c>
      <c r="AE275" s="200" t="s">
        <v>2</v>
      </c>
      <c r="AF275" s="203" t="s">
        <v>2</v>
      </c>
      <c r="AG275" s="204" t="s">
        <v>2</v>
      </c>
      <c r="AH275" s="199" t="s">
        <v>2</v>
      </c>
      <c r="AI275" s="200">
        <v>0</v>
      </c>
      <c r="AJ275" s="203" t="s">
        <v>2</v>
      </c>
      <c r="AK275" s="203">
        <v>35.299999999999997</v>
      </c>
      <c r="AL275" s="204">
        <v>24.7</v>
      </c>
      <c r="AM275" s="200">
        <v>0</v>
      </c>
      <c r="AN275" s="200">
        <v>0</v>
      </c>
      <c r="AO275" s="201">
        <v>0</v>
      </c>
      <c r="AP275" s="203">
        <v>25.9</v>
      </c>
      <c r="AQ275" s="205">
        <v>22.7</v>
      </c>
      <c r="AR275" s="205">
        <v>0</v>
      </c>
      <c r="AS275" s="205">
        <v>2.2999999999999998</v>
      </c>
      <c r="AT275" s="205">
        <v>0</v>
      </c>
      <c r="AU275" s="205">
        <v>0</v>
      </c>
      <c r="AV275" s="206">
        <v>0</v>
      </c>
      <c r="AW275" s="203">
        <v>17.8</v>
      </c>
      <c r="AX275" s="205">
        <v>0</v>
      </c>
      <c r="AY275" s="205">
        <v>0.8</v>
      </c>
      <c r="AZ275" s="206">
        <v>17</v>
      </c>
      <c r="BA275" s="203">
        <v>51.9</v>
      </c>
      <c r="BB275" s="205">
        <v>51.5</v>
      </c>
      <c r="BC275" s="205">
        <v>0.2</v>
      </c>
      <c r="BD275" s="205">
        <v>0</v>
      </c>
      <c r="BE275" s="205">
        <v>0</v>
      </c>
      <c r="BF275" s="206">
        <v>0</v>
      </c>
      <c r="BG275" s="199" t="s">
        <v>2</v>
      </c>
      <c r="BH275" s="199">
        <v>0</v>
      </c>
      <c r="BI275" s="200">
        <v>0</v>
      </c>
      <c r="BJ275" s="200">
        <v>0</v>
      </c>
      <c r="BK275" s="200">
        <v>0</v>
      </c>
      <c r="BL275" s="200">
        <v>0</v>
      </c>
      <c r="BM275" s="200">
        <v>0</v>
      </c>
      <c r="BN275" s="200">
        <v>0</v>
      </c>
      <c r="BO275" s="200">
        <v>0</v>
      </c>
      <c r="BP275" s="200">
        <v>0</v>
      </c>
      <c r="BQ275" s="200">
        <v>0</v>
      </c>
      <c r="BR275" s="200">
        <v>0</v>
      </c>
      <c r="BS275" s="200">
        <v>0</v>
      </c>
      <c r="BT275" s="200">
        <v>0</v>
      </c>
      <c r="BU275" s="200">
        <v>0</v>
      </c>
      <c r="BV275" s="200">
        <v>0</v>
      </c>
      <c r="BW275" s="200">
        <v>0</v>
      </c>
      <c r="BX275" s="200">
        <v>0</v>
      </c>
      <c r="BY275" s="200">
        <v>0</v>
      </c>
      <c r="BZ275" s="201">
        <v>0</v>
      </c>
      <c r="CA275" s="203">
        <v>0</v>
      </c>
      <c r="CB275" s="203">
        <v>0</v>
      </c>
      <c r="CC275" s="203">
        <v>0</v>
      </c>
      <c r="CD275" s="203">
        <v>0</v>
      </c>
      <c r="CE275" s="203">
        <v>0</v>
      </c>
      <c r="CF275" s="203">
        <v>0</v>
      </c>
      <c r="CG275" s="204">
        <v>0</v>
      </c>
      <c r="CH275" s="200">
        <v>0</v>
      </c>
      <c r="CI275" s="201">
        <v>0</v>
      </c>
      <c r="CJ275" s="200">
        <v>0</v>
      </c>
      <c r="CK275" s="200">
        <v>0</v>
      </c>
      <c r="CL275" s="200">
        <v>0</v>
      </c>
      <c r="CM275" s="201">
        <v>0</v>
      </c>
      <c r="CN275" s="231">
        <v>324</v>
      </c>
      <c r="CO275" s="231">
        <v>0</v>
      </c>
    </row>
    <row r="276" spans="1:93" s="207" customFormat="1" ht="15" x14ac:dyDescent="0.25">
      <c r="A276" s="229" t="s">
        <v>1349</v>
      </c>
      <c r="B276" s="197" t="s">
        <v>101</v>
      </c>
      <c r="C276" s="198" t="s">
        <v>1350</v>
      </c>
      <c r="D276" s="289">
        <v>6</v>
      </c>
      <c r="E276" s="199">
        <v>0</v>
      </c>
      <c r="F276" s="231">
        <v>900</v>
      </c>
      <c r="G276" s="231">
        <v>3766</v>
      </c>
      <c r="H276" s="202">
        <v>0</v>
      </c>
      <c r="I276" s="203">
        <v>0</v>
      </c>
      <c r="J276" s="203">
        <v>100</v>
      </c>
      <c r="K276" s="203">
        <v>0</v>
      </c>
      <c r="L276" s="203">
        <v>0</v>
      </c>
      <c r="M276" s="204">
        <v>0</v>
      </c>
      <c r="N276" s="200" t="s">
        <v>2</v>
      </c>
      <c r="O276" s="200" t="s">
        <v>2</v>
      </c>
      <c r="P276" s="203">
        <v>7.0000000000000007E-2</v>
      </c>
      <c r="Q276" s="203" t="s">
        <v>2</v>
      </c>
      <c r="R276" s="200" t="s">
        <v>2</v>
      </c>
      <c r="S276" s="200" t="s">
        <v>2</v>
      </c>
      <c r="T276" s="200" t="s">
        <v>2</v>
      </c>
      <c r="U276" s="205" t="s">
        <v>2</v>
      </c>
      <c r="V276" s="205" t="s">
        <v>2</v>
      </c>
      <c r="W276" s="204" t="s">
        <v>2</v>
      </c>
      <c r="X276" s="203" t="s">
        <v>2</v>
      </c>
      <c r="Y276" s="205" t="s">
        <v>2</v>
      </c>
      <c r="Z276" s="205" t="s">
        <v>2</v>
      </c>
      <c r="AA276" s="205" t="s">
        <v>2</v>
      </c>
      <c r="AB276" s="205" t="s">
        <v>2</v>
      </c>
      <c r="AC276" s="205" t="s">
        <v>2</v>
      </c>
      <c r="AD276" s="200" t="s">
        <v>2</v>
      </c>
      <c r="AE276" s="200" t="s">
        <v>2</v>
      </c>
      <c r="AF276" s="225" t="s">
        <v>2</v>
      </c>
      <c r="AG276" s="204" t="s">
        <v>2</v>
      </c>
      <c r="AH276" s="204" t="s">
        <v>2</v>
      </c>
      <c r="AI276" s="200">
        <v>0</v>
      </c>
      <c r="AJ276" s="203" t="s">
        <v>2</v>
      </c>
      <c r="AK276" s="203">
        <v>32.299999999999997</v>
      </c>
      <c r="AL276" s="204">
        <v>24.7</v>
      </c>
      <c r="AM276" s="200">
        <v>0</v>
      </c>
      <c r="AN276" s="200">
        <v>0</v>
      </c>
      <c r="AO276" s="201">
        <v>0</v>
      </c>
      <c r="AP276" s="203">
        <v>19.7</v>
      </c>
      <c r="AQ276" s="205">
        <v>16.899999999999999</v>
      </c>
      <c r="AR276" s="205">
        <v>0</v>
      </c>
      <c r="AS276" s="205">
        <v>1.6</v>
      </c>
      <c r="AT276" s="205">
        <v>0</v>
      </c>
      <c r="AU276" s="205">
        <v>0</v>
      </c>
      <c r="AV276" s="206">
        <v>0</v>
      </c>
      <c r="AW276" s="203">
        <v>39.299999999999997</v>
      </c>
      <c r="AX276" s="205">
        <v>0</v>
      </c>
      <c r="AY276" s="205">
        <v>0.2</v>
      </c>
      <c r="AZ276" s="206">
        <v>39.1</v>
      </c>
      <c r="BA276" s="203">
        <v>35</v>
      </c>
      <c r="BB276" s="205">
        <v>33.4</v>
      </c>
      <c r="BC276" s="205">
        <v>1.6</v>
      </c>
      <c r="BD276" s="205">
        <v>0</v>
      </c>
      <c r="BE276" s="205">
        <v>0</v>
      </c>
      <c r="BF276" s="206">
        <v>0</v>
      </c>
      <c r="BG276" s="199" t="s">
        <v>2</v>
      </c>
      <c r="BH276" s="199">
        <v>0</v>
      </c>
      <c r="BI276" s="200">
        <v>0</v>
      </c>
      <c r="BJ276" s="200">
        <v>0</v>
      </c>
      <c r="BK276" s="200">
        <v>0</v>
      </c>
      <c r="BL276" s="200">
        <v>0</v>
      </c>
      <c r="BM276" s="200">
        <v>0</v>
      </c>
      <c r="BN276" s="200">
        <v>0</v>
      </c>
      <c r="BO276" s="200">
        <v>0</v>
      </c>
      <c r="BP276" s="200">
        <v>0</v>
      </c>
      <c r="BQ276" s="200">
        <v>0</v>
      </c>
      <c r="BR276" s="200">
        <v>0</v>
      </c>
      <c r="BS276" s="200">
        <v>0</v>
      </c>
      <c r="BT276" s="200">
        <v>0</v>
      </c>
      <c r="BU276" s="200">
        <v>0</v>
      </c>
      <c r="BV276" s="200">
        <v>0</v>
      </c>
      <c r="BW276" s="200">
        <v>0</v>
      </c>
      <c r="BX276" s="200">
        <v>0</v>
      </c>
      <c r="BY276" s="200">
        <v>0</v>
      </c>
      <c r="BZ276" s="201">
        <v>0</v>
      </c>
      <c r="CA276" s="203">
        <v>0</v>
      </c>
      <c r="CB276" s="203">
        <v>0</v>
      </c>
      <c r="CC276" s="203">
        <v>0</v>
      </c>
      <c r="CD276" s="203">
        <v>0</v>
      </c>
      <c r="CE276" s="203">
        <v>0</v>
      </c>
      <c r="CF276" s="203">
        <v>0</v>
      </c>
      <c r="CG276" s="204">
        <v>0</v>
      </c>
      <c r="CH276" s="200">
        <v>0</v>
      </c>
      <c r="CI276" s="201">
        <v>0</v>
      </c>
      <c r="CJ276" s="200">
        <v>0</v>
      </c>
      <c r="CK276" s="200">
        <v>0</v>
      </c>
      <c r="CL276" s="200">
        <v>0</v>
      </c>
      <c r="CM276" s="201">
        <v>0</v>
      </c>
      <c r="CN276" s="231">
        <v>1190</v>
      </c>
      <c r="CO276" s="231">
        <v>0</v>
      </c>
    </row>
    <row r="277" spans="1:93" s="207" customFormat="1" ht="15" x14ac:dyDescent="0.25">
      <c r="A277" s="229" t="s">
        <v>1351</v>
      </c>
      <c r="B277" s="197" t="s">
        <v>102</v>
      </c>
      <c r="C277" s="198" t="s">
        <v>1352</v>
      </c>
      <c r="D277" s="289">
        <v>6</v>
      </c>
      <c r="E277" s="199">
        <v>0</v>
      </c>
      <c r="F277" s="231">
        <v>900</v>
      </c>
      <c r="G277" s="231">
        <v>3766</v>
      </c>
      <c r="H277" s="202">
        <v>0</v>
      </c>
      <c r="I277" s="203">
        <v>0</v>
      </c>
      <c r="J277" s="203">
        <v>100</v>
      </c>
      <c r="K277" s="203">
        <v>0</v>
      </c>
      <c r="L277" s="203">
        <v>0</v>
      </c>
      <c r="M277" s="204">
        <v>0</v>
      </c>
      <c r="N277" s="200" t="s">
        <v>2</v>
      </c>
      <c r="O277" s="200" t="s">
        <v>2</v>
      </c>
      <c r="P277" s="203" t="s">
        <v>2</v>
      </c>
      <c r="Q277" s="203" t="s">
        <v>2</v>
      </c>
      <c r="R277" s="200" t="s">
        <v>2</v>
      </c>
      <c r="S277" s="200" t="s">
        <v>2</v>
      </c>
      <c r="T277" s="200" t="s">
        <v>2</v>
      </c>
      <c r="U277" s="205" t="s">
        <v>2</v>
      </c>
      <c r="V277" s="205" t="s">
        <v>2</v>
      </c>
      <c r="W277" s="204" t="s">
        <v>2</v>
      </c>
      <c r="X277" s="203" t="s">
        <v>2</v>
      </c>
      <c r="Y277" s="205" t="s">
        <v>2</v>
      </c>
      <c r="Z277" s="205" t="s">
        <v>2</v>
      </c>
      <c r="AA277" s="205" t="s">
        <v>2</v>
      </c>
      <c r="AB277" s="205" t="s">
        <v>2</v>
      </c>
      <c r="AC277" s="205" t="s">
        <v>2</v>
      </c>
      <c r="AD277" s="200" t="s">
        <v>2</v>
      </c>
      <c r="AE277" s="200" t="s">
        <v>2</v>
      </c>
      <c r="AF277" s="225" t="s">
        <v>2</v>
      </c>
      <c r="AG277" s="204" t="s">
        <v>2</v>
      </c>
      <c r="AH277" s="204" t="s">
        <v>2</v>
      </c>
      <c r="AI277" s="200">
        <v>0</v>
      </c>
      <c r="AJ277" s="203" t="s">
        <v>2</v>
      </c>
      <c r="AK277" s="203">
        <v>15.94</v>
      </c>
      <c r="AL277" s="204">
        <v>8</v>
      </c>
      <c r="AM277" s="200">
        <v>0</v>
      </c>
      <c r="AN277" s="200">
        <v>0</v>
      </c>
      <c r="AO277" s="201">
        <v>0</v>
      </c>
      <c r="AP277" s="203">
        <v>49.3</v>
      </c>
      <c r="AQ277" s="205">
        <v>43.5</v>
      </c>
      <c r="AR277" s="205">
        <v>0</v>
      </c>
      <c r="AS277" s="205">
        <v>4.3</v>
      </c>
      <c r="AT277" s="205">
        <v>0</v>
      </c>
      <c r="AU277" s="205">
        <v>0</v>
      </c>
      <c r="AV277" s="206">
        <v>0</v>
      </c>
      <c r="AW277" s="203">
        <v>37</v>
      </c>
      <c r="AX277" s="205">
        <v>0</v>
      </c>
      <c r="AY277" s="205">
        <v>0.3</v>
      </c>
      <c r="AZ277" s="206">
        <v>36.6</v>
      </c>
      <c r="BA277" s="203">
        <v>9.3000000000000007</v>
      </c>
      <c r="BB277" s="205">
        <v>9.1</v>
      </c>
      <c r="BC277" s="205">
        <v>0.2</v>
      </c>
      <c r="BD277" s="205">
        <v>0</v>
      </c>
      <c r="BE277" s="205">
        <v>0</v>
      </c>
      <c r="BF277" s="206">
        <v>0</v>
      </c>
      <c r="BG277" s="199" t="s">
        <v>2</v>
      </c>
      <c r="BH277" s="199">
        <v>0</v>
      </c>
      <c r="BI277" s="200">
        <v>0</v>
      </c>
      <c r="BJ277" s="200">
        <v>0</v>
      </c>
      <c r="BK277" s="200">
        <v>0</v>
      </c>
      <c r="BL277" s="200">
        <v>0</v>
      </c>
      <c r="BM277" s="200">
        <v>0</v>
      </c>
      <c r="BN277" s="200">
        <v>0</v>
      </c>
      <c r="BO277" s="200">
        <v>0</v>
      </c>
      <c r="BP277" s="200">
        <v>0</v>
      </c>
      <c r="BQ277" s="200">
        <v>0</v>
      </c>
      <c r="BR277" s="200">
        <v>0</v>
      </c>
      <c r="BS277" s="200">
        <v>0</v>
      </c>
      <c r="BT277" s="200">
        <v>0</v>
      </c>
      <c r="BU277" s="200">
        <v>0</v>
      </c>
      <c r="BV277" s="200">
        <v>0</v>
      </c>
      <c r="BW277" s="200">
        <v>0</v>
      </c>
      <c r="BX277" s="200">
        <v>0</v>
      </c>
      <c r="BY277" s="200">
        <v>0</v>
      </c>
      <c r="BZ277" s="201">
        <v>0</v>
      </c>
      <c r="CA277" s="203">
        <v>0</v>
      </c>
      <c r="CB277" s="203">
        <v>0</v>
      </c>
      <c r="CC277" s="203">
        <v>0</v>
      </c>
      <c r="CD277" s="203">
        <v>0</v>
      </c>
      <c r="CE277" s="203">
        <v>0</v>
      </c>
      <c r="CF277" s="203">
        <v>0</v>
      </c>
      <c r="CG277" s="204">
        <v>0</v>
      </c>
      <c r="CH277" s="200">
        <v>0</v>
      </c>
      <c r="CI277" s="201">
        <v>0</v>
      </c>
      <c r="CJ277" s="200">
        <v>0</v>
      </c>
      <c r="CK277" s="200">
        <v>0</v>
      </c>
      <c r="CL277" s="200">
        <v>0</v>
      </c>
      <c r="CM277" s="201">
        <v>0</v>
      </c>
      <c r="CN277" s="231" t="s">
        <v>2</v>
      </c>
      <c r="CO277" s="231">
        <v>0</v>
      </c>
    </row>
    <row r="278" spans="1:93" s="207" customFormat="1" ht="15" x14ac:dyDescent="0.25">
      <c r="A278" s="229" t="s">
        <v>1353</v>
      </c>
      <c r="B278" s="197" t="s">
        <v>103</v>
      </c>
      <c r="C278" s="198" t="s">
        <v>1354</v>
      </c>
      <c r="D278" s="289">
        <v>6</v>
      </c>
      <c r="E278" s="199">
        <v>0</v>
      </c>
      <c r="F278" s="231">
        <v>900</v>
      </c>
      <c r="G278" s="231">
        <v>3766</v>
      </c>
      <c r="H278" s="202">
        <v>0</v>
      </c>
      <c r="I278" s="203">
        <v>0</v>
      </c>
      <c r="J278" s="203">
        <v>100</v>
      </c>
      <c r="K278" s="203">
        <v>0</v>
      </c>
      <c r="L278" s="203">
        <v>0</v>
      </c>
      <c r="M278" s="204">
        <v>0</v>
      </c>
      <c r="N278" s="200" t="s">
        <v>2</v>
      </c>
      <c r="O278" s="200" t="s">
        <v>2</v>
      </c>
      <c r="P278" s="203">
        <v>0.04</v>
      </c>
      <c r="Q278" s="203" t="s">
        <v>2</v>
      </c>
      <c r="R278" s="200" t="s">
        <v>2</v>
      </c>
      <c r="S278" s="200" t="s">
        <v>2</v>
      </c>
      <c r="T278" s="200" t="s">
        <v>2</v>
      </c>
      <c r="U278" s="205" t="s">
        <v>2</v>
      </c>
      <c r="V278" s="205" t="s">
        <v>2</v>
      </c>
      <c r="W278" s="204" t="s">
        <v>2</v>
      </c>
      <c r="X278" s="203" t="s">
        <v>2</v>
      </c>
      <c r="Y278" s="205" t="s">
        <v>2</v>
      </c>
      <c r="Z278" s="205" t="s">
        <v>2</v>
      </c>
      <c r="AA278" s="205" t="s">
        <v>2</v>
      </c>
      <c r="AB278" s="205" t="s">
        <v>2</v>
      </c>
      <c r="AC278" s="205" t="s">
        <v>2</v>
      </c>
      <c r="AD278" s="200" t="s">
        <v>2</v>
      </c>
      <c r="AE278" s="200" t="s">
        <v>2</v>
      </c>
      <c r="AF278" s="225" t="s">
        <v>2</v>
      </c>
      <c r="AG278" s="204" t="s">
        <v>2</v>
      </c>
      <c r="AH278" s="204" t="s">
        <v>2</v>
      </c>
      <c r="AI278" s="200">
        <v>0</v>
      </c>
      <c r="AJ278" s="203" t="s">
        <v>2</v>
      </c>
      <c r="AK278" s="203">
        <v>0.09</v>
      </c>
      <c r="AL278" s="204">
        <v>0.5</v>
      </c>
      <c r="AM278" s="200">
        <v>0</v>
      </c>
      <c r="AN278" s="200">
        <v>0</v>
      </c>
      <c r="AO278" s="201">
        <v>0</v>
      </c>
      <c r="AP278" s="203">
        <v>86.5</v>
      </c>
      <c r="AQ278" s="205">
        <v>8.1999999999999993</v>
      </c>
      <c r="AR278" s="205">
        <v>0</v>
      </c>
      <c r="AS278" s="205">
        <v>2.8</v>
      </c>
      <c r="AT278" s="205">
        <v>0</v>
      </c>
      <c r="AU278" s="205">
        <v>0</v>
      </c>
      <c r="AV278" s="206">
        <v>0</v>
      </c>
      <c r="AW278" s="203">
        <v>5.8</v>
      </c>
      <c r="AX278" s="205">
        <v>0</v>
      </c>
      <c r="AY278" s="205">
        <v>0</v>
      </c>
      <c r="AZ278" s="206">
        <v>5.8</v>
      </c>
      <c r="BA278" s="203">
        <v>1.8</v>
      </c>
      <c r="BB278" s="205">
        <v>1.8</v>
      </c>
      <c r="BC278" s="205">
        <v>0</v>
      </c>
      <c r="BD278" s="205">
        <v>0</v>
      </c>
      <c r="BE278" s="205">
        <v>0</v>
      </c>
      <c r="BF278" s="206">
        <v>0</v>
      </c>
      <c r="BG278" s="199" t="s">
        <v>2</v>
      </c>
      <c r="BH278" s="199">
        <v>0</v>
      </c>
      <c r="BI278" s="200">
        <v>0</v>
      </c>
      <c r="BJ278" s="200">
        <v>0</v>
      </c>
      <c r="BK278" s="200">
        <v>0</v>
      </c>
      <c r="BL278" s="200">
        <v>0</v>
      </c>
      <c r="BM278" s="200">
        <v>0</v>
      </c>
      <c r="BN278" s="200">
        <v>0</v>
      </c>
      <c r="BO278" s="200">
        <v>0</v>
      </c>
      <c r="BP278" s="200">
        <v>0</v>
      </c>
      <c r="BQ278" s="200">
        <v>0</v>
      </c>
      <c r="BR278" s="200">
        <v>0</v>
      </c>
      <c r="BS278" s="200">
        <v>0</v>
      </c>
      <c r="BT278" s="200">
        <v>0</v>
      </c>
      <c r="BU278" s="200">
        <v>0</v>
      </c>
      <c r="BV278" s="200">
        <v>0</v>
      </c>
      <c r="BW278" s="200">
        <v>0</v>
      </c>
      <c r="BX278" s="200">
        <v>0</v>
      </c>
      <c r="BY278" s="200">
        <v>0</v>
      </c>
      <c r="BZ278" s="201">
        <v>0</v>
      </c>
      <c r="CA278" s="203">
        <v>0</v>
      </c>
      <c r="CB278" s="203">
        <v>0</v>
      </c>
      <c r="CC278" s="203">
        <v>0</v>
      </c>
      <c r="CD278" s="203">
        <v>0</v>
      </c>
      <c r="CE278" s="203">
        <v>0</v>
      </c>
      <c r="CF278" s="203">
        <v>0</v>
      </c>
      <c r="CG278" s="204">
        <v>0</v>
      </c>
      <c r="CH278" s="200">
        <v>0</v>
      </c>
      <c r="CI278" s="201">
        <v>0</v>
      </c>
      <c r="CJ278" s="200">
        <v>0</v>
      </c>
      <c r="CK278" s="200">
        <v>0</v>
      </c>
      <c r="CL278" s="200">
        <v>0</v>
      </c>
      <c r="CM278" s="201">
        <v>0</v>
      </c>
      <c r="CN278" s="231">
        <v>86</v>
      </c>
      <c r="CO278" s="231">
        <v>0</v>
      </c>
    </row>
    <row r="279" spans="1:93" s="207" customFormat="1" ht="15" x14ac:dyDescent="0.25">
      <c r="A279" s="229" t="s">
        <v>1355</v>
      </c>
      <c r="B279" s="197" t="s">
        <v>104</v>
      </c>
      <c r="C279" s="198" t="s">
        <v>1356</v>
      </c>
      <c r="D279" s="289">
        <v>6</v>
      </c>
      <c r="E279" s="199">
        <v>0</v>
      </c>
      <c r="F279" s="231">
        <v>900</v>
      </c>
      <c r="G279" s="231">
        <v>3766</v>
      </c>
      <c r="H279" s="202">
        <v>0</v>
      </c>
      <c r="I279" s="203">
        <v>0</v>
      </c>
      <c r="J279" s="203">
        <v>100</v>
      </c>
      <c r="K279" s="203">
        <v>0</v>
      </c>
      <c r="L279" s="203">
        <v>0</v>
      </c>
      <c r="M279" s="204">
        <v>0</v>
      </c>
      <c r="N279" s="200" t="s">
        <v>2</v>
      </c>
      <c r="O279" s="200" t="s">
        <v>2</v>
      </c>
      <c r="P279" s="203">
        <v>0.02</v>
      </c>
      <c r="Q279" s="203" t="s">
        <v>2</v>
      </c>
      <c r="R279" s="200" t="s">
        <v>2</v>
      </c>
      <c r="S279" s="200" t="s">
        <v>2</v>
      </c>
      <c r="T279" s="200" t="s">
        <v>2</v>
      </c>
      <c r="U279" s="205" t="s">
        <v>2</v>
      </c>
      <c r="V279" s="205" t="s">
        <v>2</v>
      </c>
      <c r="W279" s="204" t="s">
        <v>2</v>
      </c>
      <c r="X279" s="203" t="s">
        <v>2</v>
      </c>
      <c r="Y279" s="205" t="s">
        <v>2</v>
      </c>
      <c r="Z279" s="205" t="s">
        <v>2</v>
      </c>
      <c r="AA279" s="205" t="s">
        <v>2</v>
      </c>
      <c r="AB279" s="205" t="s">
        <v>2</v>
      </c>
      <c r="AC279" s="205" t="s">
        <v>2</v>
      </c>
      <c r="AD279" s="200" t="s">
        <v>2</v>
      </c>
      <c r="AE279" s="200" t="s">
        <v>2</v>
      </c>
      <c r="AF279" s="225" t="s">
        <v>2</v>
      </c>
      <c r="AG279" s="204" t="s">
        <v>2</v>
      </c>
      <c r="AH279" s="204" t="s">
        <v>2</v>
      </c>
      <c r="AI279" s="200">
        <v>0</v>
      </c>
      <c r="AJ279" s="203" t="s">
        <v>2</v>
      </c>
      <c r="AK279" s="203">
        <v>9.2100000000000009</v>
      </c>
      <c r="AL279" s="204">
        <v>197.6</v>
      </c>
      <c r="AM279" s="200">
        <v>0</v>
      </c>
      <c r="AN279" s="200">
        <v>0</v>
      </c>
      <c r="AO279" s="201">
        <v>0</v>
      </c>
      <c r="AP279" s="203">
        <v>14.4</v>
      </c>
      <c r="AQ279" s="205">
        <v>10.3</v>
      </c>
      <c r="AR279" s="205">
        <v>0</v>
      </c>
      <c r="AS279" s="205">
        <v>3.8</v>
      </c>
      <c r="AT279" s="205">
        <v>0</v>
      </c>
      <c r="AU279" s="205">
        <v>0</v>
      </c>
      <c r="AV279" s="206">
        <v>0</v>
      </c>
      <c r="AW279" s="203">
        <v>23.3</v>
      </c>
      <c r="AX279" s="205">
        <v>0</v>
      </c>
      <c r="AY279" s="205">
        <v>0.2</v>
      </c>
      <c r="AZ279" s="206">
        <v>22.8</v>
      </c>
      <c r="BA279" s="203">
        <v>57.9</v>
      </c>
      <c r="BB279" s="205">
        <v>51</v>
      </c>
      <c r="BC279" s="205">
        <v>6.8</v>
      </c>
      <c r="BD279" s="205">
        <v>0</v>
      </c>
      <c r="BE279" s="205">
        <v>0</v>
      </c>
      <c r="BF279" s="206">
        <v>0</v>
      </c>
      <c r="BG279" s="199" t="s">
        <v>2</v>
      </c>
      <c r="BH279" s="199">
        <v>0</v>
      </c>
      <c r="BI279" s="200">
        <v>0</v>
      </c>
      <c r="BJ279" s="200">
        <v>0</v>
      </c>
      <c r="BK279" s="200">
        <v>0</v>
      </c>
      <c r="BL279" s="200">
        <v>0</v>
      </c>
      <c r="BM279" s="200">
        <v>0</v>
      </c>
      <c r="BN279" s="200">
        <v>0</v>
      </c>
      <c r="BO279" s="200">
        <v>0</v>
      </c>
      <c r="BP279" s="200">
        <v>0</v>
      </c>
      <c r="BQ279" s="200">
        <v>0</v>
      </c>
      <c r="BR279" s="200">
        <v>0</v>
      </c>
      <c r="BS279" s="200">
        <v>0</v>
      </c>
      <c r="BT279" s="200">
        <v>0</v>
      </c>
      <c r="BU279" s="200">
        <v>0</v>
      </c>
      <c r="BV279" s="200">
        <v>0</v>
      </c>
      <c r="BW279" s="200">
        <v>0</v>
      </c>
      <c r="BX279" s="200">
        <v>0</v>
      </c>
      <c r="BY279" s="200">
        <v>0</v>
      </c>
      <c r="BZ279" s="201">
        <v>0</v>
      </c>
      <c r="CA279" s="203">
        <v>0</v>
      </c>
      <c r="CB279" s="203">
        <v>0</v>
      </c>
      <c r="CC279" s="203">
        <v>0</v>
      </c>
      <c r="CD279" s="203">
        <v>0</v>
      </c>
      <c r="CE279" s="203">
        <v>0</v>
      </c>
      <c r="CF279" s="203">
        <v>0</v>
      </c>
      <c r="CG279" s="204">
        <v>0</v>
      </c>
      <c r="CH279" s="200">
        <v>0</v>
      </c>
      <c r="CI279" s="201">
        <v>0</v>
      </c>
      <c r="CJ279" s="200">
        <v>0</v>
      </c>
      <c r="CK279" s="200">
        <v>0</v>
      </c>
      <c r="CL279" s="200">
        <v>0</v>
      </c>
      <c r="CM279" s="201">
        <v>0</v>
      </c>
      <c r="CN279" s="231">
        <v>250</v>
      </c>
      <c r="CO279" s="231">
        <v>0</v>
      </c>
    </row>
    <row r="280" spans="1:93" s="207" customFormat="1" ht="15" x14ac:dyDescent="0.25">
      <c r="A280" s="229" t="s">
        <v>1357</v>
      </c>
      <c r="B280" s="197" t="s">
        <v>105</v>
      </c>
      <c r="C280" s="198" t="s">
        <v>1358</v>
      </c>
      <c r="D280" s="289">
        <v>6</v>
      </c>
      <c r="E280" s="199">
        <v>0</v>
      </c>
      <c r="F280" s="231">
        <v>900</v>
      </c>
      <c r="G280" s="231">
        <v>3766</v>
      </c>
      <c r="H280" s="202">
        <v>0</v>
      </c>
      <c r="I280" s="203">
        <v>0</v>
      </c>
      <c r="J280" s="203">
        <v>100</v>
      </c>
      <c r="K280" s="203">
        <v>0</v>
      </c>
      <c r="L280" s="203">
        <v>0</v>
      </c>
      <c r="M280" s="204">
        <v>0</v>
      </c>
      <c r="N280" s="200" t="s">
        <v>2</v>
      </c>
      <c r="O280" s="200" t="s">
        <v>2</v>
      </c>
      <c r="P280" s="203">
        <v>0.03</v>
      </c>
      <c r="Q280" s="203" t="s">
        <v>2</v>
      </c>
      <c r="R280" s="200" t="s">
        <v>2</v>
      </c>
      <c r="S280" s="200" t="s">
        <v>2</v>
      </c>
      <c r="T280" s="200" t="s">
        <v>2</v>
      </c>
      <c r="U280" s="205" t="s">
        <v>2</v>
      </c>
      <c r="V280" s="205" t="s">
        <v>2</v>
      </c>
      <c r="W280" s="204" t="s">
        <v>2</v>
      </c>
      <c r="X280" s="203" t="s">
        <v>2</v>
      </c>
      <c r="Y280" s="205" t="s">
        <v>2</v>
      </c>
      <c r="Z280" s="205" t="s">
        <v>2</v>
      </c>
      <c r="AA280" s="205" t="s">
        <v>2</v>
      </c>
      <c r="AB280" s="205" t="s">
        <v>2</v>
      </c>
      <c r="AC280" s="205" t="s">
        <v>2</v>
      </c>
      <c r="AD280" s="200" t="s">
        <v>2</v>
      </c>
      <c r="AE280" s="200" t="s">
        <v>2</v>
      </c>
      <c r="AF280" s="225" t="s">
        <v>2</v>
      </c>
      <c r="AG280" s="204" t="s">
        <v>2</v>
      </c>
      <c r="AH280" s="204" t="s">
        <v>2</v>
      </c>
      <c r="AI280" s="200">
        <v>0</v>
      </c>
      <c r="AJ280" s="203" t="s">
        <v>2</v>
      </c>
      <c r="AK280" s="203">
        <v>15.69</v>
      </c>
      <c r="AL280" s="204">
        <v>0.7</v>
      </c>
      <c r="AM280" s="200">
        <v>0</v>
      </c>
      <c r="AN280" s="200">
        <v>0</v>
      </c>
      <c r="AO280" s="201">
        <v>0</v>
      </c>
      <c r="AP280" s="203">
        <v>16.899999999999999</v>
      </c>
      <c r="AQ280" s="205">
        <v>9.5</v>
      </c>
      <c r="AR280" s="205">
        <v>0</v>
      </c>
      <c r="AS280" s="205">
        <v>2.2000000000000002</v>
      </c>
      <c r="AT280" s="205">
        <v>1.4</v>
      </c>
      <c r="AU280" s="205">
        <v>2.8</v>
      </c>
      <c r="AV280" s="206">
        <v>0.9</v>
      </c>
      <c r="AW280" s="203">
        <v>46.2</v>
      </c>
      <c r="AX280" s="205">
        <v>0</v>
      </c>
      <c r="AY280" s="205">
        <v>0.1</v>
      </c>
      <c r="AZ280" s="206">
        <v>44.8</v>
      </c>
      <c r="BA280" s="203">
        <v>32</v>
      </c>
      <c r="BB280" s="205">
        <v>32</v>
      </c>
      <c r="BC280" s="205">
        <v>0</v>
      </c>
      <c r="BD280" s="205">
        <v>0</v>
      </c>
      <c r="BE280" s="205">
        <v>0</v>
      </c>
      <c r="BF280" s="206">
        <v>0</v>
      </c>
      <c r="BG280" s="199" t="s">
        <v>2</v>
      </c>
      <c r="BH280" s="199">
        <v>0</v>
      </c>
      <c r="BI280" s="200">
        <v>0</v>
      </c>
      <c r="BJ280" s="200">
        <v>0</v>
      </c>
      <c r="BK280" s="200">
        <v>0</v>
      </c>
      <c r="BL280" s="200">
        <v>0</v>
      </c>
      <c r="BM280" s="200">
        <v>0</v>
      </c>
      <c r="BN280" s="200">
        <v>0</v>
      </c>
      <c r="BO280" s="200">
        <v>0</v>
      </c>
      <c r="BP280" s="200">
        <v>0</v>
      </c>
      <c r="BQ280" s="200">
        <v>0</v>
      </c>
      <c r="BR280" s="200">
        <v>0</v>
      </c>
      <c r="BS280" s="200">
        <v>0</v>
      </c>
      <c r="BT280" s="200">
        <v>0</v>
      </c>
      <c r="BU280" s="200">
        <v>0</v>
      </c>
      <c r="BV280" s="200">
        <v>0</v>
      </c>
      <c r="BW280" s="200">
        <v>0</v>
      </c>
      <c r="BX280" s="200">
        <v>0</v>
      </c>
      <c r="BY280" s="200">
        <v>0</v>
      </c>
      <c r="BZ280" s="201">
        <v>0</v>
      </c>
      <c r="CA280" s="203">
        <v>0</v>
      </c>
      <c r="CB280" s="203">
        <v>0</v>
      </c>
      <c r="CC280" s="203">
        <v>0</v>
      </c>
      <c r="CD280" s="203">
        <v>0</v>
      </c>
      <c r="CE280" s="203">
        <v>0</v>
      </c>
      <c r="CF280" s="203">
        <v>0</v>
      </c>
      <c r="CG280" s="204">
        <v>0</v>
      </c>
      <c r="CH280" s="200">
        <v>0</v>
      </c>
      <c r="CI280" s="201">
        <v>0</v>
      </c>
      <c r="CJ280" s="200">
        <v>0</v>
      </c>
      <c r="CK280" s="200">
        <v>0</v>
      </c>
      <c r="CL280" s="200">
        <v>0</v>
      </c>
      <c r="CM280" s="201">
        <v>0</v>
      </c>
      <c r="CN280" s="231">
        <v>207</v>
      </c>
      <c r="CO280" s="231">
        <v>0</v>
      </c>
    </row>
    <row r="281" spans="1:93" s="207" customFormat="1" ht="15" x14ac:dyDescent="0.25">
      <c r="A281" s="229" t="s">
        <v>1359</v>
      </c>
      <c r="B281" s="197" t="s">
        <v>106</v>
      </c>
      <c r="C281" s="198" t="s">
        <v>1360</v>
      </c>
      <c r="D281" s="289">
        <v>6</v>
      </c>
      <c r="E281" s="199">
        <v>0</v>
      </c>
      <c r="F281" s="231">
        <v>900</v>
      </c>
      <c r="G281" s="231">
        <v>3766</v>
      </c>
      <c r="H281" s="202">
        <v>0</v>
      </c>
      <c r="I281" s="203">
        <v>0</v>
      </c>
      <c r="J281" s="203">
        <v>100</v>
      </c>
      <c r="K281" s="203">
        <v>0</v>
      </c>
      <c r="L281" s="203">
        <v>0</v>
      </c>
      <c r="M281" s="204">
        <v>0</v>
      </c>
      <c r="N281" s="200" t="s">
        <v>2</v>
      </c>
      <c r="O281" s="200" t="s">
        <v>2</v>
      </c>
      <c r="P281" s="203" t="s">
        <v>2</v>
      </c>
      <c r="Q281" s="203" t="s">
        <v>2</v>
      </c>
      <c r="R281" s="200" t="s">
        <v>2</v>
      </c>
      <c r="S281" s="200" t="s">
        <v>2</v>
      </c>
      <c r="T281" s="200" t="s">
        <v>2</v>
      </c>
      <c r="U281" s="205" t="s">
        <v>2</v>
      </c>
      <c r="V281" s="205" t="s">
        <v>2</v>
      </c>
      <c r="W281" s="204" t="s">
        <v>2</v>
      </c>
      <c r="X281" s="203" t="s">
        <v>2</v>
      </c>
      <c r="Y281" s="205" t="s">
        <v>2</v>
      </c>
      <c r="Z281" s="205" t="s">
        <v>2</v>
      </c>
      <c r="AA281" s="205" t="s">
        <v>2</v>
      </c>
      <c r="AB281" s="205" t="s">
        <v>2</v>
      </c>
      <c r="AC281" s="205" t="s">
        <v>2</v>
      </c>
      <c r="AD281" s="200" t="s">
        <v>2</v>
      </c>
      <c r="AE281" s="200" t="s">
        <v>2</v>
      </c>
      <c r="AF281" s="225" t="s">
        <v>2</v>
      </c>
      <c r="AG281" s="204" t="s">
        <v>2</v>
      </c>
      <c r="AH281" s="204" t="s">
        <v>2</v>
      </c>
      <c r="AI281" s="200">
        <v>0</v>
      </c>
      <c r="AJ281" s="203" t="s">
        <v>2</v>
      </c>
      <c r="AK281" s="203">
        <v>1.4</v>
      </c>
      <c r="AL281" s="204">
        <v>13.6</v>
      </c>
      <c r="AM281" s="200">
        <v>0</v>
      </c>
      <c r="AN281" s="200">
        <v>0</v>
      </c>
      <c r="AO281" s="201">
        <v>0</v>
      </c>
      <c r="AP281" s="203">
        <v>14.2</v>
      </c>
      <c r="AQ281" s="205">
        <v>8.9</v>
      </c>
      <c r="AR281" s="205">
        <v>0</v>
      </c>
      <c r="AS281" s="205">
        <v>4.8</v>
      </c>
      <c r="AT281" s="205">
        <v>0</v>
      </c>
      <c r="AU281" s="205">
        <v>0</v>
      </c>
      <c r="AV281" s="206">
        <v>0</v>
      </c>
      <c r="AW281" s="203">
        <v>39.700000000000003</v>
      </c>
      <c r="AX281" s="205">
        <v>0</v>
      </c>
      <c r="AY281" s="205">
        <v>0.2</v>
      </c>
      <c r="AZ281" s="206">
        <v>39.299999999999997</v>
      </c>
      <c r="BA281" s="203">
        <v>41.7</v>
      </c>
      <c r="BB281" s="205">
        <v>41.3</v>
      </c>
      <c r="BC281" s="205">
        <v>0.3</v>
      </c>
      <c r="BD281" s="205">
        <v>0</v>
      </c>
      <c r="BE281" s="205">
        <v>0</v>
      </c>
      <c r="BF281" s="206">
        <v>0</v>
      </c>
      <c r="BG281" s="199" t="s">
        <v>2</v>
      </c>
      <c r="BH281" s="199">
        <v>0</v>
      </c>
      <c r="BI281" s="200">
        <v>0</v>
      </c>
      <c r="BJ281" s="200">
        <v>0</v>
      </c>
      <c r="BK281" s="200">
        <v>0</v>
      </c>
      <c r="BL281" s="200">
        <v>0</v>
      </c>
      <c r="BM281" s="200">
        <v>0</v>
      </c>
      <c r="BN281" s="200">
        <v>0</v>
      </c>
      <c r="BO281" s="200">
        <v>0</v>
      </c>
      <c r="BP281" s="200">
        <v>0</v>
      </c>
      <c r="BQ281" s="200">
        <v>0</v>
      </c>
      <c r="BR281" s="200">
        <v>0</v>
      </c>
      <c r="BS281" s="200">
        <v>0</v>
      </c>
      <c r="BT281" s="200">
        <v>0</v>
      </c>
      <c r="BU281" s="200">
        <v>0</v>
      </c>
      <c r="BV281" s="200">
        <v>0</v>
      </c>
      <c r="BW281" s="200">
        <v>0</v>
      </c>
      <c r="BX281" s="200">
        <v>0</v>
      </c>
      <c r="BY281" s="200">
        <v>0</v>
      </c>
      <c r="BZ281" s="201">
        <v>0</v>
      </c>
      <c r="CA281" s="203">
        <v>0</v>
      </c>
      <c r="CB281" s="203">
        <v>0</v>
      </c>
      <c r="CC281" s="203">
        <v>0</v>
      </c>
      <c r="CD281" s="203">
        <v>0</v>
      </c>
      <c r="CE281" s="203">
        <v>0</v>
      </c>
      <c r="CF281" s="203">
        <v>0</v>
      </c>
      <c r="CG281" s="204">
        <v>0</v>
      </c>
      <c r="CH281" s="200">
        <v>0</v>
      </c>
      <c r="CI281" s="201">
        <v>0</v>
      </c>
      <c r="CJ281" s="200">
        <v>0</v>
      </c>
      <c r="CK281" s="200">
        <v>0</v>
      </c>
      <c r="CL281" s="200">
        <v>0</v>
      </c>
      <c r="CM281" s="201">
        <v>0</v>
      </c>
      <c r="CN281" s="231">
        <v>865</v>
      </c>
      <c r="CO281" s="231" t="s">
        <v>2</v>
      </c>
    </row>
    <row r="282" spans="1:93" s="207" customFormat="1" ht="15" x14ac:dyDescent="0.25">
      <c r="A282" s="229" t="s">
        <v>1361</v>
      </c>
      <c r="B282" s="197" t="s">
        <v>107</v>
      </c>
      <c r="C282" s="198" t="s">
        <v>1362</v>
      </c>
      <c r="D282" s="289">
        <v>6</v>
      </c>
      <c r="E282" s="199">
        <v>0</v>
      </c>
      <c r="F282" s="231">
        <v>900</v>
      </c>
      <c r="G282" s="231">
        <v>3766</v>
      </c>
      <c r="H282" s="202">
        <v>0</v>
      </c>
      <c r="I282" s="203">
        <v>0</v>
      </c>
      <c r="J282" s="203">
        <v>100</v>
      </c>
      <c r="K282" s="203">
        <v>0</v>
      </c>
      <c r="L282" s="203">
        <v>0</v>
      </c>
      <c r="M282" s="204">
        <v>0</v>
      </c>
      <c r="N282" s="200" t="s">
        <v>2</v>
      </c>
      <c r="O282" s="200" t="s">
        <v>2</v>
      </c>
      <c r="P282" s="203" t="s">
        <v>2</v>
      </c>
      <c r="Q282" s="203" t="s">
        <v>2</v>
      </c>
      <c r="R282" s="200" t="s">
        <v>2</v>
      </c>
      <c r="S282" s="200" t="s">
        <v>2</v>
      </c>
      <c r="T282" s="200" t="s">
        <v>2</v>
      </c>
      <c r="U282" s="205" t="s">
        <v>2</v>
      </c>
      <c r="V282" s="205" t="s">
        <v>2</v>
      </c>
      <c r="W282" s="204" t="s">
        <v>2</v>
      </c>
      <c r="X282" s="203" t="s">
        <v>2</v>
      </c>
      <c r="Y282" s="205" t="s">
        <v>2</v>
      </c>
      <c r="Z282" s="205" t="s">
        <v>2</v>
      </c>
      <c r="AA282" s="205" t="s">
        <v>2</v>
      </c>
      <c r="AB282" s="205" t="s">
        <v>2</v>
      </c>
      <c r="AC282" s="205" t="s">
        <v>2</v>
      </c>
      <c r="AD282" s="200" t="s">
        <v>2</v>
      </c>
      <c r="AE282" s="200" t="s">
        <v>2</v>
      </c>
      <c r="AF282" s="225" t="s">
        <v>2</v>
      </c>
      <c r="AG282" s="204" t="s">
        <v>2</v>
      </c>
      <c r="AH282" s="204" t="s">
        <v>2</v>
      </c>
      <c r="AI282" s="200" t="s">
        <v>2</v>
      </c>
      <c r="AJ282" s="203" t="s">
        <v>2</v>
      </c>
      <c r="AK282" s="203">
        <v>14.3</v>
      </c>
      <c r="AL282" s="204">
        <v>1.9</v>
      </c>
      <c r="AM282" s="200">
        <v>0</v>
      </c>
      <c r="AN282" s="200">
        <v>0</v>
      </c>
      <c r="AO282" s="201">
        <v>0</v>
      </c>
      <c r="AP282" s="203">
        <v>12.948</v>
      </c>
      <c r="AQ282" s="205">
        <v>10.579000000000001</v>
      </c>
      <c r="AR282" s="205">
        <v>6.7000000000000004E-2</v>
      </c>
      <c r="AS282" s="205">
        <v>1.8480000000000001</v>
      </c>
      <c r="AT282" s="205">
        <v>0.43099999999999999</v>
      </c>
      <c r="AU282" s="205">
        <v>0</v>
      </c>
      <c r="AV282" s="206" t="s">
        <v>2</v>
      </c>
      <c r="AW282" s="203">
        <v>27.58</v>
      </c>
      <c r="AX282" s="205">
        <v>0</v>
      </c>
      <c r="AY282" s="205">
        <v>0.114</v>
      </c>
      <c r="AZ282" s="206">
        <v>27.332999999999998</v>
      </c>
      <c r="BA282" s="203">
        <v>54.68</v>
      </c>
      <c r="BB282" s="205">
        <v>53.23</v>
      </c>
      <c r="BC282" s="205">
        <v>1.161</v>
      </c>
      <c r="BD282" s="205">
        <v>0</v>
      </c>
      <c r="BE282" s="205">
        <v>0</v>
      </c>
      <c r="BF282" s="206">
        <v>0</v>
      </c>
      <c r="BG282" s="199">
        <v>0.28599999999999998</v>
      </c>
      <c r="BH282" s="199">
        <v>0</v>
      </c>
      <c r="BI282" s="200">
        <v>0</v>
      </c>
      <c r="BJ282" s="200">
        <v>0</v>
      </c>
      <c r="BK282" s="200">
        <v>0</v>
      </c>
      <c r="BL282" s="200">
        <v>0</v>
      </c>
      <c r="BM282" s="200">
        <v>0</v>
      </c>
      <c r="BN282" s="200">
        <v>0</v>
      </c>
      <c r="BO282" s="200">
        <v>0</v>
      </c>
      <c r="BP282" s="200">
        <v>0</v>
      </c>
      <c r="BQ282" s="200">
        <v>0</v>
      </c>
      <c r="BR282" s="200">
        <v>0</v>
      </c>
      <c r="BS282" s="200">
        <v>0</v>
      </c>
      <c r="BT282" s="200">
        <v>0</v>
      </c>
      <c r="BU282" s="200">
        <v>0</v>
      </c>
      <c r="BV282" s="200">
        <v>0</v>
      </c>
      <c r="BW282" s="200">
        <v>0</v>
      </c>
      <c r="BX282" s="200">
        <v>0</v>
      </c>
      <c r="BY282" s="200">
        <v>0</v>
      </c>
      <c r="BZ282" s="201">
        <v>0</v>
      </c>
      <c r="CA282" s="203">
        <v>0</v>
      </c>
      <c r="CB282" s="203">
        <v>0</v>
      </c>
      <c r="CC282" s="203">
        <v>0</v>
      </c>
      <c r="CD282" s="203">
        <v>0</v>
      </c>
      <c r="CE282" s="203">
        <v>0</v>
      </c>
      <c r="CF282" s="203">
        <v>0</v>
      </c>
      <c r="CG282" s="204">
        <v>0</v>
      </c>
      <c r="CH282" s="200">
        <v>0</v>
      </c>
      <c r="CI282" s="201">
        <v>0</v>
      </c>
      <c r="CJ282" s="200">
        <v>0</v>
      </c>
      <c r="CK282" s="200">
        <v>0</v>
      </c>
      <c r="CL282" s="200">
        <v>0</v>
      </c>
      <c r="CM282" s="201">
        <v>0</v>
      </c>
      <c r="CN282" s="231">
        <v>968</v>
      </c>
      <c r="CO282" s="231">
        <v>0</v>
      </c>
    </row>
    <row r="283" spans="1:93" s="207" customFormat="1" thickBot="1" x14ac:dyDescent="0.3">
      <c r="A283" s="229" t="s">
        <v>1363</v>
      </c>
      <c r="B283" s="209" t="s">
        <v>108</v>
      </c>
      <c r="C283" s="210" t="s">
        <v>1364</v>
      </c>
      <c r="D283" s="289">
        <v>6</v>
      </c>
      <c r="E283" s="211">
        <v>0</v>
      </c>
      <c r="F283" s="238">
        <v>900</v>
      </c>
      <c r="G283" s="238">
        <v>3766</v>
      </c>
      <c r="H283" s="214">
        <v>0</v>
      </c>
      <c r="I283" s="215">
        <v>0</v>
      </c>
      <c r="J283" s="215">
        <v>100</v>
      </c>
      <c r="K283" s="215">
        <v>0</v>
      </c>
      <c r="L283" s="215">
        <v>0</v>
      </c>
      <c r="M283" s="216">
        <v>0</v>
      </c>
      <c r="N283" s="212">
        <v>1</v>
      </c>
      <c r="O283" s="212" t="s">
        <v>2</v>
      </c>
      <c r="P283" s="215">
        <v>0.56000000000000005</v>
      </c>
      <c r="Q283" s="215" t="s">
        <v>2</v>
      </c>
      <c r="R283" s="212">
        <v>2</v>
      </c>
      <c r="S283" s="212">
        <v>1</v>
      </c>
      <c r="T283" s="212" t="s">
        <v>2</v>
      </c>
      <c r="U283" s="217" t="s">
        <v>2</v>
      </c>
      <c r="V283" s="217" t="s">
        <v>2</v>
      </c>
      <c r="W283" s="216" t="s">
        <v>2</v>
      </c>
      <c r="X283" s="215" t="s">
        <v>2</v>
      </c>
      <c r="Y283" s="217" t="s">
        <v>2</v>
      </c>
      <c r="Z283" s="217" t="s">
        <v>2</v>
      </c>
      <c r="AA283" s="217" t="s">
        <v>2</v>
      </c>
      <c r="AB283" s="217" t="s">
        <v>2</v>
      </c>
      <c r="AC283" s="217" t="s">
        <v>2</v>
      </c>
      <c r="AD283" s="212" t="s">
        <v>2</v>
      </c>
      <c r="AE283" s="212" t="s">
        <v>2</v>
      </c>
      <c r="AF283" s="215" t="s">
        <v>2</v>
      </c>
      <c r="AG283" s="216" t="s">
        <v>2</v>
      </c>
      <c r="AH283" s="211" t="s">
        <v>2</v>
      </c>
      <c r="AI283" s="212" t="s">
        <v>2</v>
      </c>
      <c r="AJ283" s="215" t="s">
        <v>2</v>
      </c>
      <c r="AK283" s="215">
        <v>14.35</v>
      </c>
      <c r="AL283" s="216">
        <v>60.2</v>
      </c>
      <c r="AM283" s="212">
        <v>0</v>
      </c>
      <c r="AN283" s="212">
        <v>0</v>
      </c>
      <c r="AO283" s="213">
        <v>0</v>
      </c>
      <c r="AP283" s="215">
        <v>13.808</v>
      </c>
      <c r="AQ283" s="217">
        <v>11.29</v>
      </c>
      <c r="AR283" s="217">
        <v>2.1999999999999999E-2</v>
      </c>
      <c r="AS283" s="217">
        <v>1.9530000000000001</v>
      </c>
      <c r="AT283" s="217">
        <v>0.41399999999999998</v>
      </c>
      <c r="AU283" s="217">
        <v>0.129</v>
      </c>
      <c r="AV283" s="219">
        <v>0</v>
      </c>
      <c r="AW283" s="215">
        <v>72.959999999999994</v>
      </c>
      <c r="AX283" s="217">
        <v>0</v>
      </c>
      <c r="AY283" s="217">
        <v>1.2549999999999999</v>
      </c>
      <c r="AZ283" s="219">
        <v>71.269000000000005</v>
      </c>
      <c r="BA283" s="215">
        <v>10.52</v>
      </c>
      <c r="BB283" s="217">
        <v>9.7620000000000005</v>
      </c>
      <c r="BC283" s="217">
        <v>0.76100000000000001</v>
      </c>
      <c r="BD283" s="217">
        <v>0</v>
      </c>
      <c r="BE283" s="217">
        <v>0</v>
      </c>
      <c r="BF283" s="219">
        <v>0</v>
      </c>
      <c r="BG283" s="211" t="s">
        <v>2</v>
      </c>
      <c r="BH283" s="211">
        <v>0</v>
      </c>
      <c r="BI283" s="212">
        <v>0</v>
      </c>
      <c r="BJ283" s="212">
        <v>0</v>
      </c>
      <c r="BK283" s="212">
        <v>0</v>
      </c>
      <c r="BL283" s="212">
        <v>0</v>
      </c>
      <c r="BM283" s="212">
        <v>0</v>
      </c>
      <c r="BN283" s="212">
        <v>0</v>
      </c>
      <c r="BO283" s="212">
        <v>0</v>
      </c>
      <c r="BP283" s="212">
        <v>0</v>
      </c>
      <c r="BQ283" s="212">
        <v>0</v>
      </c>
      <c r="BR283" s="212">
        <v>0</v>
      </c>
      <c r="BS283" s="212">
        <v>0</v>
      </c>
      <c r="BT283" s="212">
        <v>0</v>
      </c>
      <c r="BU283" s="212">
        <v>0</v>
      </c>
      <c r="BV283" s="212">
        <v>0</v>
      </c>
      <c r="BW283" s="212">
        <v>0</v>
      </c>
      <c r="BX283" s="212">
        <v>0</v>
      </c>
      <c r="BY283" s="212">
        <v>0</v>
      </c>
      <c r="BZ283" s="213">
        <v>0</v>
      </c>
      <c r="CA283" s="215">
        <v>0</v>
      </c>
      <c r="CB283" s="215">
        <v>0</v>
      </c>
      <c r="CC283" s="215">
        <v>0</v>
      </c>
      <c r="CD283" s="215">
        <v>0</v>
      </c>
      <c r="CE283" s="215">
        <v>0</v>
      </c>
      <c r="CF283" s="215">
        <v>0</v>
      </c>
      <c r="CG283" s="216">
        <v>0</v>
      </c>
      <c r="CH283" s="212">
        <v>0</v>
      </c>
      <c r="CI283" s="213">
        <v>0</v>
      </c>
      <c r="CJ283" s="212">
        <v>0</v>
      </c>
      <c r="CK283" s="212">
        <v>0</v>
      </c>
      <c r="CL283" s="212">
        <v>0</v>
      </c>
      <c r="CM283" s="213">
        <v>0</v>
      </c>
      <c r="CN283" s="238">
        <v>221</v>
      </c>
      <c r="CO283" s="238">
        <v>0</v>
      </c>
    </row>
    <row r="284" spans="1:93" ht="16.5" thickTop="1" x14ac:dyDescent="0.25"/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</vt:lpstr>
      <vt:lpstr>GhiChuCachNhap</vt:lpstr>
      <vt:lpstr>part6</vt:lpstr>
      <vt:lpstr>part4</vt:lpstr>
      <vt:lpstr>part3</vt:lpstr>
      <vt:lpstr>part2</vt:lpstr>
      <vt:lpstr>part1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 si Nguyet</dc:creator>
  <cp:lastModifiedBy>Orenda</cp:lastModifiedBy>
  <dcterms:created xsi:type="dcterms:W3CDTF">2019-01-04T01:58:39Z</dcterms:created>
  <dcterms:modified xsi:type="dcterms:W3CDTF">2021-02-03T10:35:00Z</dcterms:modified>
</cp:coreProperties>
</file>