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 Thanh Tung\Desktop\Report gửi web\HPV Định Genotype\"/>
    </mc:Choice>
  </mc:AlternateContent>
  <xr:revisionPtr revIDLastSave="0" documentId="13_ncr:1_{AEAC3311-FBC1-425D-9E25-BB014ADCEC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ling HPV G" sheetId="15" r:id="rId1"/>
    <sheet name="Hiệu xuất HPV G" sheetId="28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15" l="1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Y8" i="15"/>
  <c r="Y7" i="15"/>
  <c r="Y6" i="15"/>
  <c r="Y5" i="15"/>
  <c r="Y4" i="15"/>
  <c r="Y3" i="15"/>
  <c r="Y11" i="28"/>
  <c r="Z11" i="28"/>
  <c r="AA11" i="28"/>
  <c r="AB11" i="28"/>
  <c r="AC11" i="28"/>
  <c r="AD11" i="28"/>
  <c r="AE11" i="28"/>
  <c r="AF11" i="28"/>
  <c r="AO11" i="28" s="1"/>
  <c r="AG11" i="28"/>
  <c r="Y12" i="28"/>
  <c r="Z12" i="28"/>
  <c r="AA12" i="28"/>
  <c r="AB12" i="28"/>
  <c r="AC12" i="28"/>
  <c r="AD12" i="28"/>
  <c r="AE12" i="28"/>
  <c r="AF12" i="28"/>
  <c r="AG12" i="28"/>
  <c r="Y13" i="28"/>
  <c r="Z13" i="28"/>
  <c r="AA13" i="28"/>
  <c r="AB13" i="28"/>
  <c r="AC13" i="28"/>
  <c r="AD13" i="28"/>
  <c r="AE13" i="28"/>
  <c r="AF13" i="28"/>
  <c r="AG13" i="28"/>
  <c r="Y14" i="28"/>
  <c r="Z14" i="28"/>
  <c r="AA14" i="28"/>
  <c r="AB14" i="28"/>
  <c r="AC14" i="28"/>
  <c r="AD14" i="28"/>
  <c r="AE14" i="28"/>
  <c r="AF14" i="28"/>
  <c r="AG14" i="28"/>
  <c r="Y15" i="28"/>
  <c r="Z15" i="28"/>
  <c r="AA15" i="28"/>
  <c r="AB15" i="28"/>
  <c r="AC15" i="28"/>
  <c r="AD15" i="28"/>
  <c r="AE15" i="28"/>
  <c r="AF15" i="28"/>
  <c r="AO15" i="28" s="1"/>
  <c r="AG15" i="28"/>
  <c r="Y16" i="28"/>
  <c r="Z16" i="28"/>
  <c r="AA16" i="28"/>
  <c r="AB16" i="28"/>
  <c r="AC16" i="28"/>
  <c r="AD16" i="28"/>
  <c r="AE16" i="28"/>
  <c r="AF16" i="28"/>
  <c r="AG16" i="28"/>
  <c r="Y17" i="28"/>
  <c r="Z17" i="28"/>
  <c r="AI17" i="28" s="1"/>
  <c r="AA17" i="28"/>
  <c r="AB17" i="28"/>
  <c r="AC17" i="28"/>
  <c r="AD17" i="28"/>
  <c r="AM17" i="28" s="1"/>
  <c r="AE17" i="28"/>
  <c r="AF17" i="28"/>
  <c r="AG17" i="28"/>
  <c r="Y18" i="28"/>
  <c r="Z18" i="28"/>
  <c r="AA18" i="28"/>
  <c r="AB18" i="28"/>
  <c r="AC18" i="28"/>
  <c r="AD18" i="28"/>
  <c r="AE18" i="28"/>
  <c r="AF18" i="28"/>
  <c r="AG18" i="28"/>
  <c r="Y19" i="28"/>
  <c r="Z19" i="28"/>
  <c r="AA19" i="28"/>
  <c r="AB19" i="28"/>
  <c r="AC19" i="28"/>
  <c r="AD19" i="28"/>
  <c r="AE19" i="28"/>
  <c r="AF19" i="28"/>
  <c r="AG19" i="28"/>
  <c r="Y20" i="28"/>
  <c r="Z20" i="28"/>
  <c r="AA20" i="28"/>
  <c r="AB20" i="28"/>
  <c r="AC20" i="28"/>
  <c r="AD20" i="28"/>
  <c r="AE20" i="28"/>
  <c r="AF20" i="28"/>
  <c r="AG20" i="28"/>
  <c r="Y21" i="28"/>
  <c r="Z21" i="28"/>
  <c r="AA21" i="28"/>
  <c r="AB21" i="28"/>
  <c r="AC21" i="28"/>
  <c r="AD21" i="28"/>
  <c r="AE21" i="28"/>
  <c r="AF21" i="28"/>
  <c r="AG21" i="28"/>
  <c r="Y22" i="28"/>
  <c r="Z22" i="28"/>
  <c r="AA22" i="28"/>
  <c r="AB22" i="28"/>
  <c r="AC22" i="28"/>
  <c r="AL22" i="28" s="1"/>
  <c r="AD22" i="28"/>
  <c r="AE22" i="28"/>
  <c r="AF22" i="28"/>
  <c r="AG22" i="28"/>
  <c r="Y23" i="28"/>
  <c r="Z23" i="28"/>
  <c r="AA23" i="28"/>
  <c r="AB23" i="28"/>
  <c r="AC23" i="28"/>
  <c r="AD23" i="28"/>
  <c r="AE23" i="28"/>
  <c r="AF23" i="28"/>
  <c r="AO23" i="28" s="1"/>
  <c r="AG23" i="28"/>
  <c r="Y24" i="28"/>
  <c r="Z24" i="28"/>
  <c r="AA24" i="28"/>
  <c r="AB24" i="28"/>
  <c r="AC24" i="28"/>
  <c r="AD24" i="28"/>
  <c r="AE24" i="28"/>
  <c r="AN24" i="28" s="1"/>
  <c r="AF24" i="28"/>
  <c r="AG24" i="28"/>
  <c r="Y25" i="28"/>
  <c r="Z25" i="28"/>
  <c r="AI25" i="28" s="1"/>
  <c r="AA25" i="28"/>
  <c r="AB25" i="28"/>
  <c r="AC25" i="28"/>
  <c r="AD25" i="28"/>
  <c r="AM25" i="28" s="1"/>
  <c r="AE25" i="28"/>
  <c r="AF25" i="28"/>
  <c r="AG25" i="28"/>
  <c r="Y26" i="28"/>
  <c r="Z26" i="28"/>
  <c r="AA26" i="28"/>
  <c r="AB26" i="28"/>
  <c r="AC26" i="28"/>
  <c r="AD26" i="28"/>
  <c r="AE26" i="28"/>
  <c r="AF26" i="28"/>
  <c r="AG26" i="28"/>
  <c r="AP26" i="28" s="1"/>
  <c r="Y27" i="28"/>
  <c r="Z27" i="28"/>
  <c r="AA27" i="28"/>
  <c r="AB27" i="28"/>
  <c r="AC27" i="28"/>
  <c r="AD27" i="28"/>
  <c r="AE27" i="28"/>
  <c r="AF27" i="28"/>
  <c r="AG27" i="28"/>
  <c r="Y28" i="28"/>
  <c r="Z28" i="28"/>
  <c r="AA28" i="28"/>
  <c r="AB28" i="28"/>
  <c r="AC28" i="28"/>
  <c r="AD28" i="28"/>
  <c r="AE28" i="28"/>
  <c r="AF28" i="28"/>
  <c r="AG28" i="28"/>
  <c r="Y29" i="28"/>
  <c r="Z29" i="28"/>
  <c r="AI29" i="28" s="1"/>
  <c r="AA29" i="28"/>
  <c r="AB29" i="28"/>
  <c r="AC29" i="28"/>
  <c r="AD29" i="28"/>
  <c r="AE29" i="28"/>
  <c r="AF29" i="28"/>
  <c r="AG29" i="28"/>
  <c r="Y30" i="28"/>
  <c r="AH30" i="28" s="1"/>
  <c r="Z30" i="28"/>
  <c r="AA30" i="28"/>
  <c r="AB30" i="28"/>
  <c r="AC30" i="28"/>
  <c r="AD30" i="28"/>
  <c r="AE30" i="28"/>
  <c r="AF30" i="28"/>
  <c r="AG30" i="28"/>
  <c r="AP30" i="28" s="1"/>
  <c r="Y31" i="28"/>
  <c r="Z31" i="28"/>
  <c r="AA31" i="28"/>
  <c r="AB31" i="28"/>
  <c r="AK31" i="28" s="1"/>
  <c r="AC31" i="28"/>
  <c r="AD31" i="28"/>
  <c r="AE31" i="28"/>
  <c r="AF31" i="28"/>
  <c r="AO31" i="28" s="1"/>
  <c r="AG31" i="28"/>
  <c r="Y32" i="28"/>
  <c r="Z32" i="28"/>
  <c r="AA32" i="28"/>
  <c r="AJ32" i="28" s="1"/>
  <c r="AB32" i="28"/>
  <c r="AC32" i="28"/>
  <c r="AD32" i="28"/>
  <c r="AE32" i="28"/>
  <c r="AN32" i="28" s="1"/>
  <c r="AF32" i="28"/>
  <c r="AG32" i="28"/>
  <c r="Y6" i="28"/>
  <c r="Z6" i="28"/>
  <c r="AA6" i="28"/>
  <c r="AB6" i="28"/>
  <c r="AC6" i="28"/>
  <c r="AD6" i="28"/>
  <c r="AE6" i="28"/>
  <c r="AF6" i="28"/>
  <c r="AO6" i="28" s="1"/>
  <c r="AG6" i="28"/>
  <c r="Y7" i="28"/>
  <c r="Z7" i="28"/>
  <c r="AA7" i="28"/>
  <c r="AB7" i="28"/>
  <c r="AC7" i="28"/>
  <c r="AD7" i="28"/>
  <c r="AE7" i="28"/>
  <c r="AN7" i="28" s="1"/>
  <c r="AF7" i="28"/>
  <c r="AG7" i="28"/>
  <c r="Y8" i="28"/>
  <c r="Z8" i="28"/>
  <c r="AI8" i="28" s="1"/>
  <c r="AA8" i="28"/>
  <c r="AB8" i="28"/>
  <c r="AC8" i="28"/>
  <c r="AL8" i="28" s="1"/>
  <c r="AD8" i="28"/>
  <c r="AM8" i="28" s="1"/>
  <c r="AE8" i="28"/>
  <c r="AF8" i="28"/>
  <c r="AG8" i="28"/>
  <c r="Y9" i="28"/>
  <c r="Z9" i="28"/>
  <c r="AA9" i="28"/>
  <c r="AB9" i="28"/>
  <c r="AC9" i="28"/>
  <c r="AD9" i="28"/>
  <c r="AE9" i="28"/>
  <c r="AF9" i="28"/>
  <c r="AG9" i="28"/>
  <c r="Y10" i="28"/>
  <c r="Z10" i="28"/>
  <c r="AA10" i="28"/>
  <c r="AJ10" i="28" s="1"/>
  <c r="AB10" i="28"/>
  <c r="AK10" i="28" s="1"/>
  <c r="AC10" i="28"/>
  <c r="AD10" i="28"/>
  <c r="AE10" i="28"/>
  <c r="AF10" i="28"/>
  <c r="AO10" i="28" s="1"/>
  <c r="AG10" i="28"/>
  <c r="Y5" i="28"/>
  <c r="Z5" i="28"/>
  <c r="AA5" i="28"/>
  <c r="AB5" i="28"/>
  <c r="AC5" i="28"/>
  <c r="AD5" i="28"/>
  <c r="AE5" i="28"/>
  <c r="AF5" i="28"/>
  <c r="AG5" i="28"/>
  <c r="Z4" i="28"/>
  <c r="AA4" i="28"/>
  <c r="AB4" i="28"/>
  <c r="AC4" i="28"/>
  <c r="Y2" i="15" s="1"/>
  <c r="AD4" i="28"/>
  <c r="AE4" i="28"/>
  <c r="AF4" i="28"/>
  <c r="AG4" i="28"/>
  <c r="Y4" i="28"/>
  <c r="P5" i="28"/>
  <c r="Q5" i="28"/>
  <c r="R5" i="28"/>
  <c r="S5" i="28"/>
  <c r="T5" i="28"/>
  <c r="U5" i="28"/>
  <c r="V5" i="28"/>
  <c r="W5" i="28"/>
  <c r="X5" i="28"/>
  <c r="AN5" i="28"/>
  <c r="AM5" i="28"/>
  <c r="AP5" i="28"/>
  <c r="P6" i="28"/>
  <c r="Q6" i="28"/>
  <c r="R6" i="28"/>
  <c r="S6" i="28"/>
  <c r="T6" i="28"/>
  <c r="U6" i="28"/>
  <c r="V6" i="28"/>
  <c r="W6" i="28"/>
  <c r="X6" i="28"/>
  <c r="AP6" i="28" s="1"/>
  <c r="AM6" i="28"/>
  <c r="AN6" i="28"/>
  <c r="P7" i="28"/>
  <c r="Q7" i="28"/>
  <c r="R7" i="28"/>
  <c r="S7" i="28"/>
  <c r="T7" i="28"/>
  <c r="U7" i="28"/>
  <c r="V7" i="28"/>
  <c r="W7" i="28"/>
  <c r="X7" i="28"/>
  <c r="AP7" i="28"/>
  <c r="AO7" i="28"/>
  <c r="P8" i="28"/>
  <c r="Q8" i="28"/>
  <c r="R8" i="28"/>
  <c r="AJ8" i="28" s="1"/>
  <c r="S8" i="28"/>
  <c r="T8" i="28"/>
  <c r="U8" i="28"/>
  <c r="V8" i="28"/>
  <c r="AN8" i="28" s="1"/>
  <c r="W8" i="28"/>
  <c r="X8" i="28"/>
  <c r="AH8" i="28"/>
  <c r="AK8" i="28"/>
  <c r="AO8" i="28"/>
  <c r="AP8" i="28"/>
  <c r="P9" i="28"/>
  <c r="Q9" i="28"/>
  <c r="R9" i="28"/>
  <c r="S9" i="28"/>
  <c r="T9" i="28"/>
  <c r="U9" i="28"/>
  <c r="V9" i="28"/>
  <c r="W9" i="28"/>
  <c r="AO9" i="28" s="1"/>
  <c r="X9" i="28"/>
  <c r="AN9" i="28"/>
  <c r="AM9" i="28"/>
  <c r="AP9" i="28"/>
  <c r="P10" i="28"/>
  <c r="AH10" i="28" s="1"/>
  <c r="Q10" i="28"/>
  <c r="R10" i="28"/>
  <c r="S10" i="28"/>
  <c r="T10" i="28"/>
  <c r="AL10" i="28" s="1"/>
  <c r="U10" i="28"/>
  <c r="V10" i="28"/>
  <c r="W10" i="28"/>
  <c r="X10" i="28"/>
  <c r="AP10" i="28" s="1"/>
  <c r="AI10" i="28"/>
  <c r="AM10" i="28"/>
  <c r="AN10" i="28"/>
  <c r="P11" i="28"/>
  <c r="Q11" i="28"/>
  <c r="R11" i="28"/>
  <c r="S11" i="28"/>
  <c r="T11" i="28"/>
  <c r="U11" i="28"/>
  <c r="AM11" i="28" s="1"/>
  <c r="V11" i="28"/>
  <c r="W11" i="28"/>
  <c r="X11" i="28"/>
  <c r="AP11" i="28"/>
  <c r="AN11" i="28"/>
  <c r="P12" i="28"/>
  <c r="Q12" i="28"/>
  <c r="R12" i="28"/>
  <c r="S12" i="28"/>
  <c r="T12" i="28"/>
  <c r="U12" i="28"/>
  <c r="V12" i="28"/>
  <c r="AN12" i="28" s="1"/>
  <c r="W12" i="28"/>
  <c r="X12" i="28"/>
  <c r="AM12" i="28"/>
  <c r="AO12" i="28"/>
  <c r="AP12" i="28"/>
  <c r="P13" i="28"/>
  <c r="Q13" i="28"/>
  <c r="R13" i="28"/>
  <c r="S13" i="28"/>
  <c r="T13" i="28"/>
  <c r="U13" i="28"/>
  <c r="V13" i="28"/>
  <c r="W13" i="28"/>
  <c r="AO13" i="28" s="1"/>
  <c r="X13" i="28"/>
  <c r="AN13" i="28"/>
  <c r="AM13" i="28"/>
  <c r="AP13" i="28"/>
  <c r="P14" i="28"/>
  <c r="Q14" i="28"/>
  <c r="R14" i="28"/>
  <c r="S14" i="28"/>
  <c r="T14" i="28"/>
  <c r="U14" i="28"/>
  <c r="V14" i="28"/>
  <c r="W14" i="28"/>
  <c r="X14" i="28"/>
  <c r="AO14" i="28"/>
  <c r="AM14" i="28"/>
  <c r="AN14" i="28"/>
  <c r="P15" i="28"/>
  <c r="Q15" i="28"/>
  <c r="R15" i="28"/>
  <c r="S15" i="28"/>
  <c r="T15" i="28"/>
  <c r="U15" i="28"/>
  <c r="V15" i="28"/>
  <c r="W15" i="28"/>
  <c r="X15" i="28"/>
  <c r="AP15" i="28"/>
  <c r="AM15" i="28"/>
  <c r="AN15" i="28"/>
  <c r="P16" i="28"/>
  <c r="Q16" i="28"/>
  <c r="R16" i="28"/>
  <c r="S16" i="28"/>
  <c r="T16" i="28"/>
  <c r="U16" i="28"/>
  <c r="V16" i="28"/>
  <c r="W16" i="28"/>
  <c r="X16" i="28"/>
  <c r="AH16" i="28"/>
  <c r="AI16" i="28"/>
  <c r="AL16" i="28"/>
  <c r="AM16" i="28"/>
  <c r="AO16" i="28"/>
  <c r="AK16" i="28"/>
  <c r="AP16" i="28"/>
  <c r="P17" i="28"/>
  <c r="Q17" i="28"/>
  <c r="R17" i="28"/>
  <c r="S17" i="28"/>
  <c r="AK17" i="28" s="1"/>
  <c r="T17" i="28"/>
  <c r="U17" i="28"/>
  <c r="V17" i="28"/>
  <c r="W17" i="28"/>
  <c r="AO17" i="28" s="1"/>
  <c r="X17" i="28"/>
  <c r="AH17" i="28"/>
  <c r="AJ17" i="28"/>
  <c r="AN17" i="28"/>
  <c r="AP17" i="28"/>
  <c r="AL17" i="28"/>
  <c r="P18" i="28"/>
  <c r="Q18" i="28"/>
  <c r="R18" i="28"/>
  <c r="S18" i="28"/>
  <c r="T18" i="28"/>
  <c r="U18" i="28"/>
  <c r="V18" i="28"/>
  <c r="W18" i="28"/>
  <c r="AO18" i="28" s="1"/>
  <c r="X18" i="28"/>
  <c r="AJ18" i="28"/>
  <c r="AK18" i="28"/>
  <c r="AM18" i="28"/>
  <c r="AI18" i="28"/>
  <c r="AN18" i="28"/>
  <c r="P19" i="28"/>
  <c r="Q19" i="28"/>
  <c r="R19" i="28"/>
  <c r="S19" i="28"/>
  <c r="T19" i="28"/>
  <c r="U19" i="28"/>
  <c r="AM19" i="28" s="1"/>
  <c r="V19" i="28"/>
  <c r="W19" i="28"/>
  <c r="X19" i="28"/>
  <c r="AP19" i="28" s="1"/>
  <c r="AL19" i="28"/>
  <c r="AN19" i="28"/>
  <c r="AO19" i="28"/>
  <c r="P20" i="28"/>
  <c r="Q20" i="28"/>
  <c r="R20" i="28"/>
  <c r="S20" i="28"/>
  <c r="T20" i="28"/>
  <c r="U20" i="28"/>
  <c r="V20" i="28"/>
  <c r="W20" i="28"/>
  <c r="X20" i="28"/>
  <c r="AP20" i="28" s="1"/>
  <c r="AM20" i="28"/>
  <c r="AO20" i="28"/>
  <c r="AN20" i="28"/>
  <c r="P21" i="28"/>
  <c r="Q21" i="28"/>
  <c r="R21" i="28"/>
  <c r="S21" i="28"/>
  <c r="AK21" i="28" s="1"/>
  <c r="T21" i="28"/>
  <c r="U21" i="28"/>
  <c r="V21" i="28"/>
  <c r="W21" i="28"/>
  <c r="X21" i="28"/>
  <c r="AH21" i="28"/>
  <c r="AJ21" i="28"/>
  <c r="AM21" i="28"/>
  <c r="AN21" i="28"/>
  <c r="AP21" i="28"/>
  <c r="AL21" i="28"/>
  <c r="AO21" i="28"/>
  <c r="P22" i="28"/>
  <c r="Q22" i="28"/>
  <c r="R22" i="28"/>
  <c r="AJ22" i="28" s="1"/>
  <c r="S22" i="28"/>
  <c r="T22" i="28"/>
  <c r="U22" i="28"/>
  <c r="V22" i="28"/>
  <c r="AN22" i="28" s="1"/>
  <c r="W22" i="28"/>
  <c r="X22" i="28"/>
  <c r="AK22" i="28"/>
  <c r="AM22" i="28"/>
  <c r="AO22" i="28"/>
  <c r="P23" i="28"/>
  <c r="AH23" i="28" s="1"/>
  <c r="Q23" i="28"/>
  <c r="R23" i="28"/>
  <c r="S23" i="28"/>
  <c r="T23" i="28"/>
  <c r="X21" i="15" s="1"/>
  <c r="U23" i="28"/>
  <c r="V23" i="28"/>
  <c r="W23" i="28"/>
  <c r="X23" i="28"/>
  <c r="AP23" i="28" s="1"/>
  <c r="AM23" i="28"/>
  <c r="AN23" i="28"/>
  <c r="P24" i="28"/>
  <c r="Q24" i="28"/>
  <c r="AI24" i="28" s="1"/>
  <c r="R24" i="28"/>
  <c r="S24" i="28"/>
  <c r="T24" i="28"/>
  <c r="U24" i="28"/>
  <c r="AM24" i="28" s="1"/>
  <c r="V24" i="28"/>
  <c r="W24" i="28"/>
  <c r="X24" i="28"/>
  <c r="AH24" i="28"/>
  <c r="AJ24" i="28"/>
  <c r="AL24" i="28"/>
  <c r="AP24" i="28"/>
  <c r="AK24" i="28"/>
  <c r="AO24" i="28"/>
  <c r="P25" i="28"/>
  <c r="Q25" i="28"/>
  <c r="R25" i="28"/>
  <c r="AJ25" i="28" s="1"/>
  <c r="S25" i="28"/>
  <c r="T25" i="28"/>
  <c r="U25" i="28"/>
  <c r="V25" i="28"/>
  <c r="AN25" i="28" s="1"/>
  <c r="W25" i="28"/>
  <c r="X25" i="28"/>
  <c r="AP25" i="28" s="1"/>
  <c r="AK25" i="28"/>
  <c r="AO25" i="28"/>
  <c r="AL25" i="28"/>
  <c r="P26" i="28"/>
  <c r="Q26" i="28"/>
  <c r="AI26" i="28" s="1"/>
  <c r="R26" i="28"/>
  <c r="S26" i="28"/>
  <c r="T26" i="28"/>
  <c r="U26" i="28"/>
  <c r="V26" i="28"/>
  <c r="W26" i="28"/>
  <c r="AO26" i="28" s="1"/>
  <c r="X26" i="28"/>
  <c r="AJ26" i="28"/>
  <c r="AN26" i="28"/>
  <c r="AM26" i="28"/>
  <c r="P27" i="28"/>
  <c r="Q27" i="28"/>
  <c r="R27" i="28"/>
  <c r="S27" i="28"/>
  <c r="T27" i="28"/>
  <c r="AL28" i="28" s="1"/>
  <c r="U27" i="28"/>
  <c r="V27" i="28"/>
  <c r="W27" i="28"/>
  <c r="X27" i="28"/>
  <c r="AP27" i="28" s="1"/>
  <c r="AI27" i="28"/>
  <c r="AM27" i="28"/>
  <c r="AO27" i="28"/>
  <c r="AN27" i="28"/>
  <c r="P28" i="28"/>
  <c r="Q28" i="28"/>
  <c r="AI28" i="28" s="1"/>
  <c r="R28" i="28"/>
  <c r="S28" i="28"/>
  <c r="T28" i="28"/>
  <c r="U28" i="28"/>
  <c r="AM28" i="28" s="1"/>
  <c r="V28" i="28"/>
  <c r="W28" i="28"/>
  <c r="AO28" i="28" s="1"/>
  <c r="X28" i="28"/>
  <c r="AH28" i="28"/>
  <c r="AN28" i="28"/>
  <c r="AP28" i="28"/>
  <c r="P29" i="28"/>
  <c r="Q29" i="28"/>
  <c r="R29" i="28"/>
  <c r="AJ29" i="28" s="1"/>
  <c r="S29" i="28"/>
  <c r="T29" i="28"/>
  <c r="U29" i="28"/>
  <c r="V29" i="28"/>
  <c r="AN29" i="28" s="1"/>
  <c r="W29" i="28"/>
  <c r="X29" i="28"/>
  <c r="AM29" i="28"/>
  <c r="AO29" i="28"/>
  <c r="AH29" i="28"/>
  <c r="AL29" i="28"/>
  <c r="AP29" i="28"/>
  <c r="P30" i="28"/>
  <c r="Q30" i="28"/>
  <c r="R30" i="28"/>
  <c r="S30" i="28"/>
  <c r="AK30" i="28" s="1"/>
  <c r="T30" i="28"/>
  <c r="U30" i="28"/>
  <c r="V30" i="28"/>
  <c r="W30" i="28"/>
  <c r="AO30" i="28" s="1"/>
  <c r="X30" i="28"/>
  <c r="AJ30" i="28"/>
  <c r="AL30" i="28"/>
  <c r="AN30" i="28"/>
  <c r="AI30" i="28"/>
  <c r="AM30" i="28"/>
  <c r="P31" i="28"/>
  <c r="AH31" i="28" s="1"/>
  <c r="Q31" i="28"/>
  <c r="R31" i="28"/>
  <c r="AJ31" i="28" s="1"/>
  <c r="S31" i="28"/>
  <c r="T31" i="28"/>
  <c r="U31" i="28"/>
  <c r="V31" i="28"/>
  <c r="W31" i="28"/>
  <c r="X31" i="28"/>
  <c r="AP31" i="28" s="1"/>
  <c r="AI31" i="28"/>
  <c r="AM31" i="28"/>
  <c r="AN31" i="28"/>
  <c r="P32" i="28"/>
  <c r="Q32" i="28"/>
  <c r="AI32" i="28" s="1"/>
  <c r="R32" i="28"/>
  <c r="S32" i="28"/>
  <c r="AK32" i="28" s="1"/>
  <c r="T32" i="28"/>
  <c r="U32" i="28"/>
  <c r="AM32" i="28" s="1"/>
  <c r="V32" i="28"/>
  <c r="W32" i="28"/>
  <c r="X32" i="28"/>
  <c r="AH32" i="28"/>
  <c r="AL32" i="28"/>
  <c r="AP32" i="28"/>
  <c r="AO32" i="28"/>
  <c r="AN4" i="28"/>
  <c r="X4" i="28"/>
  <c r="AP4" i="28" s="1"/>
  <c r="W4" i="28"/>
  <c r="AO4" i="28" s="1"/>
  <c r="V4" i="28"/>
  <c r="U4" i="28"/>
  <c r="AM4" i="28" s="1"/>
  <c r="T4" i="28"/>
  <c r="S4" i="28"/>
  <c r="R4" i="28"/>
  <c r="Q4" i="28"/>
  <c r="P4" i="28"/>
  <c r="A73" i="28"/>
  <c r="X30" i="15"/>
  <c r="X28" i="15"/>
  <c r="X27" i="15"/>
  <c r="X26" i="15"/>
  <c r="X24" i="15"/>
  <c r="X23" i="15"/>
  <c r="X22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X3" i="15"/>
  <c r="X2" i="15"/>
  <c r="AP18" i="28" l="1"/>
  <c r="AL18" i="28"/>
  <c r="AH18" i="28"/>
  <c r="AI21" i="28"/>
  <c r="AP14" i="28"/>
  <c r="AK27" i="28"/>
  <c r="AP22" i="28"/>
  <c r="AN16" i="28"/>
  <c r="AJ16" i="28"/>
  <c r="AM7" i="28"/>
  <c r="AO5" i="28"/>
  <c r="AK28" i="28"/>
  <c r="AJ27" i="28"/>
  <c r="AH25" i="28"/>
  <c r="AL20" i="28"/>
  <c r="AH4" i="28"/>
  <c r="AL4" i="28"/>
  <c r="AL31" i="28"/>
  <c r="X29" i="15"/>
  <c r="AI20" i="28"/>
  <c r="AK26" i="28"/>
  <c r="AH20" i="28"/>
  <c r="AL5" i="28"/>
  <c r="AL9" i="28"/>
  <c r="AL13" i="28"/>
  <c r="AL12" i="28"/>
  <c r="AL27" i="28"/>
  <c r="AL15" i="28"/>
  <c r="AL26" i="28"/>
  <c r="X25" i="15"/>
  <c r="AL7" i="28"/>
  <c r="AL11" i="28"/>
  <c r="AH5" i="28"/>
  <c r="AH9" i="28"/>
  <c r="AH13" i="28"/>
  <c r="AH12" i="28"/>
  <c r="AH27" i="28"/>
  <c r="AJ9" i="28"/>
  <c r="AH7" i="28"/>
  <c r="AH15" i="28"/>
  <c r="AH26" i="28"/>
  <c r="AJ28" i="28"/>
  <c r="AK29" i="28"/>
  <c r="AI12" i="28"/>
  <c r="AH11" i="28"/>
  <c r="AH19" i="28"/>
  <c r="AJ4" i="28"/>
  <c r="AL23" i="28"/>
  <c r="AJ19" i="28"/>
  <c r="AH14" i="28"/>
  <c r="AI4" i="28"/>
  <c r="AK12" i="28"/>
  <c r="AK7" i="28"/>
  <c r="AK11" i="28"/>
  <c r="AK23" i="28"/>
  <c r="AI22" i="28"/>
  <c r="AK20" i="28"/>
  <c r="AI19" i="28"/>
  <c r="AK15" i="28"/>
  <c r="AK13" i="28"/>
  <c r="AI11" i="28"/>
  <c r="AJ7" i="28"/>
  <c r="AJ11" i="28"/>
  <c r="AJ15" i="28"/>
  <c r="AJ6" i="28"/>
  <c r="AJ14" i="28"/>
  <c r="AJ23" i="28"/>
  <c r="AH22" i="28"/>
  <c r="AJ20" i="28"/>
  <c r="AI15" i="28"/>
  <c r="AK9" i="28"/>
  <c r="AI7" i="28"/>
  <c r="AK6" i="28"/>
  <c r="AJ5" i="28"/>
  <c r="AL14" i="28"/>
  <c r="AK5" i="28"/>
  <c r="AK4" i="28"/>
  <c r="AI6" i="28"/>
  <c r="AI14" i="28"/>
  <c r="AI5" i="28"/>
  <c r="AI9" i="28"/>
  <c r="AI13" i="28"/>
  <c r="AI23" i="28"/>
  <c r="AK19" i="28"/>
  <c r="AK14" i="28"/>
  <c r="AJ13" i="28"/>
  <c r="AJ12" i="28"/>
  <c r="AL6" i="28"/>
  <c r="AH6" i="28"/>
  <c r="C85" i="28"/>
  <c r="C84" i="28"/>
  <c r="J30" i="15"/>
  <c r="J29" i="15"/>
  <c r="J28" i="15"/>
  <c r="J27" i="15"/>
  <c r="J26" i="15"/>
  <c r="J25" i="15"/>
  <c r="J24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23" i="15"/>
  <c r="J10" i="15"/>
  <c r="J9" i="15"/>
  <c r="J8" i="15"/>
  <c r="J7" i="15"/>
  <c r="J6" i="15"/>
  <c r="J5" i="15"/>
  <c r="J4" i="15"/>
  <c r="J3" i="15"/>
  <c r="J2" i="15"/>
  <c r="T6" i="15" l="1"/>
  <c r="S6" i="15"/>
  <c r="T30" i="15"/>
  <c r="S30" i="15"/>
  <c r="T29" i="15"/>
  <c r="S29" i="15"/>
  <c r="U22" i="15"/>
  <c r="U20" i="15"/>
  <c r="U19" i="15"/>
  <c r="U16" i="15"/>
  <c r="U15" i="15"/>
  <c r="U14" i="15"/>
  <c r="U23" i="15"/>
  <c r="U8" i="15"/>
  <c r="T28" i="15"/>
  <c r="S28" i="15"/>
  <c r="U30" i="15" l="1"/>
  <c r="U29" i="15"/>
  <c r="U6" i="15"/>
  <c r="U28" i="15"/>
  <c r="C68" i="28"/>
  <c r="C59" i="28" s="1"/>
  <c r="C61" i="28" s="1"/>
  <c r="A61" i="28"/>
  <c r="E69" i="28" l="1"/>
  <c r="B108" i="28" l="1"/>
  <c r="B103" i="28" s="1"/>
  <c r="C94" i="28"/>
  <c r="C86" i="28"/>
  <c r="C87" i="28" s="1"/>
  <c r="C88" i="28" s="1"/>
  <c r="C89" i="28" s="1"/>
  <c r="C90" i="28" s="1"/>
  <c r="C80" i="28"/>
  <c r="T21" i="15"/>
  <c r="S21" i="15"/>
  <c r="D80" i="28" l="1"/>
  <c r="C71" i="28"/>
  <c r="C73" i="28" s="1"/>
  <c r="U21" i="15"/>
  <c r="V34" i="28"/>
  <c r="X34" i="28"/>
  <c r="U34" i="28"/>
  <c r="V36" i="28"/>
  <c r="W34" i="28"/>
  <c r="U36" i="28"/>
  <c r="B100" i="28"/>
  <c r="B104" i="28"/>
  <c r="B97" i="28"/>
  <c r="B101" i="28"/>
  <c r="B105" i="28"/>
  <c r="B98" i="28"/>
  <c r="B102" i="28"/>
  <c r="B99" i="28"/>
  <c r="T34" i="28"/>
  <c r="S34" i="28"/>
  <c r="S36" i="28"/>
  <c r="W36" i="28"/>
  <c r="X36" i="28"/>
  <c r="T36" i="28"/>
  <c r="D68" i="28"/>
  <c r="W30" i="15" l="1"/>
  <c r="W29" i="15"/>
  <c r="W28" i="15"/>
  <c r="W27" i="15"/>
  <c r="W26" i="15"/>
  <c r="W25" i="15"/>
  <c r="W24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23" i="15"/>
  <c r="V30" i="15"/>
  <c r="V29" i="15"/>
  <c r="V28" i="15"/>
  <c r="V27" i="15"/>
  <c r="V26" i="15"/>
  <c r="V25" i="15"/>
  <c r="V24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23" i="15"/>
  <c r="V2" i="15"/>
  <c r="W6" i="15"/>
  <c r="V6" i="15"/>
  <c r="W8" i="15"/>
  <c r="W3" i="15"/>
  <c r="W7" i="15"/>
  <c r="W10" i="15"/>
  <c r="W5" i="15"/>
  <c r="W9" i="15"/>
  <c r="W4" i="15"/>
  <c r="V9" i="15"/>
  <c r="V4" i="15"/>
  <c r="V8" i="15"/>
  <c r="V3" i="15"/>
  <c r="V7" i="15"/>
  <c r="V10" i="15"/>
  <c r="V5" i="15"/>
  <c r="W2" i="15"/>
  <c r="R36" i="28" l="1"/>
  <c r="R34" i="28"/>
  <c r="T3" i="15" l="1"/>
  <c r="T4" i="15"/>
  <c r="T5" i="15"/>
  <c r="T7" i="15"/>
  <c r="T9" i="15"/>
  <c r="T10" i="15"/>
  <c r="T11" i="15"/>
  <c r="T12" i="15"/>
  <c r="T13" i="15"/>
  <c r="T17" i="15"/>
  <c r="T18" i="15"/>
  <c r="T24" i="15"/>
  <c r="T25" i="15"/>
  <c r="T26" i="15"/>
  <c r="T27" i="15"/>
  <c r="T2" i="15"/>
  <c r="S3" i="15"/>
  <c r="U3" i="15" s="1"/>
  <c r="S4" i="15"/>
  <c r="U4" i="15" s="1"/>
  <c r="S5" i="15"/>
  <c r="U5" i="15" s="1"/>
  <c r="S7" i="15"/>
  <c r="U7" i="15" s="1"/>
  <c r="S9" i="15"/>
  <c r="U9" i="15" s="1"/>
  <c r="S10" i="15"/>
  <c r="S11" i="15"/>
  <c r="U11" i="15" s="1"/>
  <c r="S12" i="15"/>
  <c r="S13" i="15"/>
  <c r="U13" i="15" s="1"/>
  <c r="S17" i="15"/>
  <c r="U17" i="15" s="1"/>
  <c r="S18" i="15"/>
  <c r="U18" i="15" s="1"/>
  <c r="S24" i="15"/>
  <c r="U24" i="15" s="1"/>
  <c r="S25" i="15"/>
  <c r="U25" i="15" s="1"/>
  <c r="S26" i="15"/>
  <c r="U26" i="15" s="1"/>
  <c r="S27" i="15"/>
  <c r="U27" i="15" s="1"/>
  <c r="S2" i="15"/>
  <c r="U10" i="15" l="1"/>
  <c r="U12" i="15"/>
  <c r="U2" i="15"/>
  <c r="D94" i="28" s="1"/>
  <c r="D89" i="28" s="1"/>
  <c r="C63" i="28" l="1"/>
  <c r="P36" i="28"/>
  <c r="P34" i="28"/>
  <c r="E70" i="28" l="1"/>
  <c r="D84" i="28"/>
  <c r="D90" i="28"/>
  <c r="D87" i="28"/>
  <c r="D85" i="28"/>
  <c r="D86" i="28"/>
  <c r="D88" i="28"/>
  <c r="Q34" i="28" l="1"/>
  <c r="Q36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<sst xmlns="http://schemas.openxmlformats.org/spreadsheetml/2006/main" count="748" uniqueCount="322">
  <si>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</si>
  <si>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</si>
  <si>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</si>
  <si>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</si>
  <si>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</si>
  <si>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</si>
  <si>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</si>
  <si>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</si>
  <si>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</si>
  <si>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</si>
  <si>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</si>
  <si>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</si>
  <si>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</si>
  <si>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</si>
  <si>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</si>
  <si>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</si>
  <si>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ABI</t>
  </si>
  <si>
    <t>2-8</t>
  </si>
  <si>
    <t>2</t>
  </si>
  <si>
    <t>DNG508</t>
  </si>
  <si>
    <t>BỆNH VIỆN ĐA KHOA QUỐC TẾ VINMEC ĐÀ NẴNG</t>
  </si>
  <si>
    <t>Đạt</t>
  </si>
  <si>
    <t>4</t>
  </si>
  <si>
    <t>HCM508</t>
  </si>
  <si>
    <t>SaMag12</t>
  </si>
  <si>
    <t>SaMag</t>
  </si>
  <si>
    <t>ABI7500Fast</t>
  </si>
  <si>
    <t>TW</t>
  </si>
  <si>
    <t>HCM106M</t>
  </si>
  <si>
    <t>TRUNG TÂM ĐÀO TẠO VÀ CHẨN ĐOÁN Y SINH HỌC PHÂN TỬ</t>
  </si>
  <si>
    <t>Nguyên vẹn</t>
  </si>
  <si>
    <t>HCM107</t>
  </si>
  <si>
    <t>BỆNH VIỆN ĐHYD TP.HCM</t>
  </si>
  <si>
    <t>KHA201V</t>
  </si>
  <si>
    <t>BỆNH VIỆN ĐA KHOA TỈNH KHÁNH HÒA</t>
  </si>
  <si>
    <t>6</t>
  </si>
  <si>
    <t>8</t>
  </si>
  <si>
    <t>Roche</t>
  </si>
  <si>
    <t>Tự động</t>
  </si>
  <si>
    <t xml:space="preserve">Tự động </t>
  </si>
  <si>
    <t>Tốt</t>
  </si>
  <si>
    <t>Rotor Gene Q</t>
  </si>
  <si>
    <t>Khác</t>
  </si>
  <si>
    <t>QNM509</t>
  </si>
  <si>
    <t xml:space="preserve">KingFisher Flex. 
</t>
  </si>
  <si>
    <t>Realtime PCR</t>
  </si>
  <si>
    <t>Sacace</t>
  </si>
  <si>
    <t>Biorad</t>
  </si>
  <si>
    <t>CFX96</t>
  </si>
  <si>
    <t>-20</t>
  </si>
  <si>
    <t>nguyên vẹn</t>
  </si>
  <si>
    <t>Thủ công</t>
  </si>
  <si>
    <t>HCM529</t>
  </si>
  <si>
    <t>HANHPHUCLAB</t>
  </si>
  <si>
    <t>Linegene 9600- Bioer</t>
  </si>
  <si>
    <t>Bioer</t>
  </si>
  <si>
    <t>HCM505</t>
  </si>
  <si>
    <t>điểm</t>
  </si>
  <si>
    <t>CHI NHÁNH CÔNG TY CỔ PHẦN BỆNH VIỆN ĐA KHOA VINMEC</t>
  </si>
  <si>
    <t>Điểm tích lũy</t>
  </si>
  <si>
    <t>Hiệu xuất</t>
  </si>
  <si>
    <t>MÃ
ĐƠN VỊ</t>
  </si>
  <si>
    <t>TÊN
ĐƠN VỊ</t>
  </si>
  <si>
    <t>kit PCR</t>
  </si>
  <si>
    <t>máy PCR</t>
  </si>
  <si>
    <t>hệ máy</t>
  </si>
  <si>
    <t>0</t>
  </si>
  <si>
    <t>Âm tính</t>
  </si>
  <si>
    <t>QIAsymphony</t>
  </si>
  <si>
    <t>AD1</t>
  </si>
  <si>
    <t>AD2</t>
  </si>
  <si>
    <t>AD1-1</t>
  </si>
  <si>
    <t>AD2-1</t>
  </si>
  <si>
    <t>may tc</t>
  </si>
  <si>
    <t>ngkq</t>
  </si>
  <si>
    <t>nd</t>
  </si>
  <si>
    <t>HCM110V</t>
  </si>
  <si>
    <t>VIỆN PASTEUR TP. HCM</t>
  </si>
  <si>
    <t>CÔNG TY TNHH Y TẾ VIỄN ĐÔNG VIỆT NAM (BỆNH VIỆN FV)</t>
  </si>
  <si>
    <t>HCM533</t>
  </si>
  <si>
    <t>PHÒNG XÉT NGHIỆM THUỘC CÔNG TY TNHHDV&amp;TM NAM KHOA</t>
  </si>
  <si>
    <t>Thermo SCIENTIFIC KingFisher Flex</t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</si>
  <si>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</si>
  <si>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HNI501</t>
  </si>
  <si>
    <t>BỆNH VIỆN ĐA KHOA QUỐC TẾ VINMEC TIMES CITY</t>
  </si>
  <si>
    <t>HCM201V</t>
  </si>
  <si>
    <t>BỆNH VIỆN NHÂN DÂN GIA ĐỊNH</t>
  </si>
  <si>
    <t>Sacycler 96</t>
  </si>
  <si>
    <t>HCM101V</t>
  </si>
  <si>
    <t xml:space="preserve">BỆNH VIỆN CHỢ RẪY </t>
  </si>
  <si>
    <t>HCM213</t>
  </si>
  <si>
    <t>BỆNH VIỆN HÙNG VƯƠNG</t>
  </si>
  <si>
    <t>Aptima® HPV Assay</t>
  </si>
  <si>
    <t>Panther System</t>
  </si>
  <si>
    <t>Hologic</t>
  </si>
  <si>
    <t>TopPURE@MAGA GENOMIC DNA/RNA EXTRACTION KIT_ABT</t>
  </si>
  <si>
    <t>Genepure Pro-bioer</t>
  </si>
  <si>
    <t>DNG504</t>
  </si>
  <si>
    <t>BỆNH VIỆN ĐA KHOA GIA ĐÌNH ĐÀ NẴNG</t>
  </si>
  <si>
    <t>LightPower iVAHPV Genotype rPCR_RDB VA.A02-003M</t>
  </si>
  <si>
    <t>Máy MyGo Pro 1</t>
  </si>
  <si>
    <t>QPG 01</t>
  </si>
  <si>
    <t>QPG 02</t>
  </si>
  <si>
    <t>QPG01-1</t>
  </si>
  <si>
    <t>QPG02-2</t>
  </si>
  <si>
    <t>DKBQ</t>
  </si>
  <si>
    <t>QPG013</t>
  </si>
  <si>
    <t>Sacace, ABI 7500</t>
  </si>
  <si>
    <t>QPG007</t>
  </si>
  <si>
    <t>Invisorb Spin Universal Kit</t>
  </si>
  <si>
    <t>STRATEC Molecular GmbH, Đức</t>
  </si>
  <si>
    <t>HPV genotype 14 Real-TM Quant, Sacace/Ý, Test</t>
  </si>
  <si>
    <t>7500 Fast Real Time PCR, Thermo, USA.</t>
  </si>
  <si>
    <t>Bình thường</t>
  </si>
  <si>
    <t>QPG017</t>
  </si>
  <si>
    <t>QPG004</t>
  </si>
  <si>
    <t>BDG521</t>
  </si>
  <si>
    <t>CÔNG TY CỔ PHẦN BỆNH VIỆN ĐA KHOA QUỐC TẾ BECAMEX</t>
  </si>
  <si>
    <r>
      <rPr>
        <sz val="12"/>
        <color theme="1"/>
        <rFont val="Times New Roman"/>
        <family val="1"/>
      </rPr>
      <t xml:space="preserve">PANAMAX 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Viral DNA/RNA Extraction Kit</t>
    </r>
  </si>
  <si>
    <t>Hệ thống tách chiết tự động</t>
  </si>
  <si>
    <t>PANA RealTyper HPV Screening Kit (Panagane)</t>
  </si>
  <si>
    <t>QuantStudio 5 Dx (Thermo Fisher Scientific)</t>
  </si>
  <si>
    <t>QPG018</t>
  </si>
  <si>
    <t>QPG002</t>
  </si>
  <si>
    <t>QPG011</t>
  </si>
  <si>
    <t>AnyplexTM II HPV28 Detection (Seegene)</t>
  </si>
  <si>
    <t xml:space="preserve">AnyplexTM II HPV28 Detection (Seegene) </t>
  </si>
  <si>
    <t xml:space="preserve">CFX96TM  Real-Time System (Bio-Rad) </t>
  </si>
  <si>
    <t>QPG014</t>
  </si>
  <si>
    <t>Anyplex HPV HR</t>
  </si>
  <si>
    <t>QPG022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</si>
  <si>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HPV TQ PCRmix</t>
    </r>
  </si>
  <si>
    <t>Mát</t>
  </si>
  <si>
    <t>QPG020</t>
  </si>
  <si>
    <t>QPG016-B</t>
  </si>
  <si>
    <t>HCM202D</t>
  </si>
  <si>
    <t>BỆNH VIỆN TỪ DŨ</t>
  </si>
  <si>
    <t>Aptima</t>
  </si>
  <si>
    <t>Panther</t>
  </si>
  <si>
    <t>QPG006</t>
  </si>
  <si>
    <t>DNG204</t>
  </si>
  <si>
    <t>BỆNH VIỆN PHỤ-SẢN NHI ĐÀ NẴNG</t>
  </si>
  <si>
    <t>ROCHE- HPV</t>
  </si>
  <si>
    <t>MÁY COBASS- X480</t>
  </si>
  <si>
    <t>MÁY COBASS- Z480</t>
  </si>
  <si>
    <t>QPG016-A</t>
  </si>
  <si>
    <t>Cobas-4800</t>
  </si>
  <si>
    <t>QPG019</t>
  </si>
  <si>
    <t>TRƯỜNG ĐẠI HỌC PHAN CHÂU TRINH</t>
  </si>
  <si>
    <t>IVD NK DNARNAprep – MAGBED – FLEX kit</t>
  </si>
  <si>
    <t>IVD NK PCR – PVI kit, Bộ xét nghiệm IVD NK PCR – PVII kit</t>
  </si>
  <si>
    <t>Rotor Gene Q MDx 5plex Platform.</t>
  </si>
  <si>
    <t>QPG009</t>
  </si>
  <si>
    <t>Samag STD DNA Extraction kit</t>
  </si>
  <si>
    <t>Samag-24</t>
  </si>
  <si>
    <t>HPV Genotypes 14 Real-TM Quant</t>
  </si>
  <si>
    <t>QPG003</t>
  </si>
  <si>
    <t>QPG021</t>
  </si>
  <si>
    <t>IVD NK PCR – PVII KIT</t>
  </si>
  <si>
    <t>Đóng gói kín</t>
  </si>
  <si>
    <t>Tách chiết từ hãng ABT</t>
  </si>
  <si>
    <t>BIOER_NPA-32P</t>
  </si>
  <si>
    <t xml:space="preserve"> </t>
  </si>
  <si>
    <t>HNI201</t>
  </si>
  <si>
    <t>BỆNH VIỆN PHỤ SẢN HÀ NỘI</t>
  </si>
  <si>
    <t>BD Onclarity HPV Assay</t>
  </si>
  <si>
    <t>BD ViperLT (VLT0334)</t>
  </si>
  <si>
    <t>Đạt yêu cầu</t>
  </si>
  <si>
    <t>TopPURE®MAGA GENOMIC DNA EXTRACTION KIT</t>
  </si>
  <si>
    <t>Máy MyGo Pro 2</t>
  </si>
  <si>
    <t>BD ViperLT</t>
  </si>
  <si>
    <t>Amp kit HPV</t>
  </si>
  <si>
    <t>Alinity m - Abbott</t>
  </si>
  <si>
    <t>Cobas 4800 HPV Amplification/Detection Kit</t>
  </si>
  <si>
    <t>Cobas X480</t>
  </si>
  <si>
    <t>Cobas Z480</t>
  </si>
  <si>
    <t>QPG023</t>
  </si>
  <si>
    <t>Qiagen</t>
  </si>
  <si>
    <t>HCM526</t>
  </si>
  <si>
    <t>REALTIME PCR</t>
  </si>
  <si>
    <t>ROTO GENE Q</t>
  </si>
  <si>
    <t>LẠNH</t>
  </si>
  <si>
    <t>TANBEAD NUCLEIC ACID EXTRATION KIT</t>
  </si>
  <si>
    <t>TANBEAD NANOTECHNOLOGY INSIDE</t>
  </si>
  <si>
    <t>ACCUPID HR-HPV GENOTYPE KIT (16-18)</t>
  </si>
  <si>
    <t>MẪU TẾ BÀO BẢO QUẢN LẠNH</t>
  </si>
  <si>
    <t>QPG024</t>
  </si>
  <si>
    <t>XÉT NGHIỆM Y KHOA ILAB</t>
  </si>
  <si>
    <t>QuantStudio 5 Dx</t>
  </si>
  <si>
    <t>QIAamp Mini Kit</t>
  </si>
  <si>
    <t>Panamax 48 (Panagene)</t>
  </si>
  <si>
    <t>Sắt oxit kết hợp với từ trường</t>
  </si>
  <si>
    <t>trung bình</t>
  </si>
  <si>
    <t>Tất cả hóa chất</t>
  </si>
  <si>
    <t>Số lượng đơn vị</t>
  </si>
  <si>
    <t>Phần trăm tích lũy của các đơn vị</t>
  </si>
  <si>
    <t>Điểm của đơn vị</t>
  </si>
  <si>
    <t>Series 1</t>
  </si>
  <si>
    <t>Dương tính</t>
  </si>
  <si>
    <t>Kết quả đơn vị</t>
  </si>
  <si>
    <t>08/11/2022</t>
  </si>
  <si>
    <t>QPG02</t>
  </si>
  <si>
    <t>NA</t>
  </si>
  <si>
    <t>QPG01</t>
  </si>
  <si>
    <t>04/11/2022</t>
  </si>
  <si>
    <t>14/11/2022</t>
  </si>
  <si>
    <t>11/11/2022</t>
  </si>
  <si>
    <t>Mẫu được bảo quản 3 lớp, vẫn còn nguyên vẹn, thể tích dung dịch mẫu không bị hao hụt, nhiệt độ ổn định.</t>
  </si>
  <si>
    <t>03/11/2022</t>
  </si>
  <si>
    <t>31/10/2022</t>
  </si>
  <si>
    <t>05/11/2022</t>
  </si>
  <si>
    <t>03/112022</t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</si>
  <si>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</si>
  <si>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</si>
  <si>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CTO101</t>
  </si>
  <si>
    <t>BỆNH VIỆN ĐA KHOA TRUNG ƯƠNG CẦN THƠ</t>
  </si>
  <si>
    <t>2-9</t>
  </si>
  <si>
    <t>2-10</t>
  </si>
  <si>
    <t>STARlet (Seegene)</t>
  </si>
  <si>
    <t>Chu kỳ nhiệt</t>
  </si>
  <si>
    <t>HNI517</t>
  </si>
  <si>
    <t>CÔNG TY TNHH THƯƠNG MẠI VÀ XÉT NGHIỆM ÂU CHÂU</t>
  </si>
  <si>
    <t>Nguyên thùng xốp có bảo quản gel đá khô</t>
  </si>
  <si>
    <t>Phương pháp hạt từ</t>
  </si>
  <si>
    <t>Alinity m (Abbott Molecular - USA)</t>
  </si>
  <si>
    <t>Alinity m HR HPV AMP Kit</t>
  </si>
  <si>
    <t>Alinity m Sample Prep Kit 1, Alinity m Lysis Solution, Alinity m Diluent Solution, Alinity m Vapor Barrier Solution.</t>
  </si>
  <si>
    <t>Type 58</t>
  </si>
  <si>
    <t>Tự động bằng hạt từ</t>
  </si>
  <si>
    <t>28/2/2023</t>
  </si>
  <si>
    <t>02/3/2023</t>
  </si>
  <si>
    <t>08/3/2023</t>
  </si>
  <si>
    <t>03/3/2023</t>
  </si>
  <si>
    <t>06/3/2023</t>
  </si>
  <si>
    <t>Dương 12 type</t>
  </si>
  <si>
    <t>10/3/2023</t>
  </si>
  <si>
    <t>QPG016-C</t>
  </si>
  <si>
    <t>HPV nhóm A (gồm các type: 31/33/52/58)</t>
  </si>
  <si>
    <t>Âm tính (N/A)</t>
  </si>
  <si>
    <t>HPV type 58</t>
  </si>
  <si>
    <t>01/3/2023</t>
  </si>
  <si>
    <t>07/3/2023</t>
  </si>
  <si>
    <t>Dương tính Highrisk</t>
  </si>
  <si>
    <t>Dương tính type 58 và type 68</t>
  </si>
  <si>
    <t>Tách chiết tự động dựa trên công nghệ từ tính</t>
  </si>
  <si>
    <t>Dương tính type 58</t>
  </si>
  <si>
    <t>Không tìm thấy các HPV genotype nguy cơ cao (16, 18, 31, 33, 35, 39, 45, 51, 52, 56, 58, 59, 66, 68) trong mẫu xét nghiệm</t>
  </si>
  <si>
    <t>Dương tính với một trong 12 HPV genotype 31, 33, 35, 39, 45, 51, 52, 56, 58, 59, 66, 68</t>
  </si>
  <si>
    <t>Mẫu nguyên vẹn</t>
  </si>
  <si>
    <t>HNI516</t>
  </si>
  <si>
    <t>Other type (31,33, 35,39, 45, 51, 52, 56, 58, 59, 66 and 68)</t>
  </si>
  <si>
    <r>
      <t>Quick-DNA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Miniprep Kit (Zymoresearch)</t>
    </r>
  </si>
  <si>
    <t>Sắc ký cột</t>
  </si>
  <si>
    <t>Microfuge-20R (Beckman Coulter)</t>
  </si>
  <si>
    <t xml:space="preserve">CFX96 Dx System </t>
  </si>
  <si>
    <t>04/3/2023</t>
  </si>
  <si>
    <t>- Dương tính với 11 type nguy cơ cao
- Âm tính type 16
- Âm tính type 18/45</t>
  </si>
  <si>
    <t>Aptima HPV 250 test kit</t>
  </si>
  <si>
    <t>01/03/2023</t>
  </si>
  <si>
    <t>02/03/2023</t>
  </si>
  <si>
    <t>Âm tính với 14 type</t>
  </si>
  <si>
    <t>HPV genotype (Group A: 31/33/52/58)</t>
  </si>
  <si>
    <t>Abbott</t>
  </si>
  <si>
    <t>27/2/2023</t>
  </si>
  <si>
    <t>13/3/2023</t>
  </si>
  <si>
    <t>DLK315</t>
  </si>
  <si>
    <t>Dương tính (Other - 31, 33, 35, 39, 45, 51, 52, 56, 58, 59, 66, 68)</t>
  </si>
  <si>
    <t>PANAMAX TM Viral DNA/RNA Extraction Kit</t>
  </si>
  <si>
    <t>Tách tự động từ tính</t>
  </si>
  <si>
    <t>Panamax 48</t>
  </si>
  <si>
    <t>Realtime PCR kết hợp Melting curve</t>
  </si>
  <si>
    <t>09/3/2023</t>
  </si>
  <si>
    <t>Đá gel vẫn còn</t>
  </si>
  <si>
    <t>BDG206</t>
  </si>
  <si>
    <t>Dương tính (1 trong 12 type 31, 33, 35, 39, 45, 51, 52, 56, 58, 59, 66, 68)</t>
  </si>
  <si>
    <t>Cobas 4800 HPV Amp/Det 960 CE IVD</t>
  </si>
  <si>
    <t>Cobas z 480</t>
  </si>
  <si>
    <t>Tách chiết bằng hạt từ</t>
  </si>
  <si>
    <t>Cobas x 480</t>
  </si>
  <si>
    <t>Cobas 4800 SYS Sample PREP 960T IVD</t>
  </si>
  <si>
    <t>9/3/2023</t>
  </si>
  <si>
    <t>14/3/2023</t>
  </si>
  <si>
    <t>7-10</t>
  </si>
  <si>
    <t>2-7</t>
  </si>
  <si>
    <t>HCM539</t>
  </si>
  <si>
    <t xml:space="preserve">Dương tính các chủng khác </t>
  </si>
  <si>
    <t>Tách chiết tự động</t>
  </si>
  <si>
    <t>PANAMAX 48</t>
  </si>
  <si>
    <r>
      <t>PANA RealTyper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HPV Screening Kit </t>
    </r>
  </si>
  <si>
    <t>CFX96 Real-time PCR System</t>
  </si>
  <si>
    <t>11/03/2023</t>
  </si>
  <si>
    <t>CÔNG TY CỔ PHẦN Y DƯỢC PHACOGEN</t>
  </si>
  <si>
    <t>QPG029</t>
  </si>
  <si>
    <t>BỆNH VIỆN ĐẠI HỌC Y DƯỢC BUÔN MA THUỘT</t>
  </si>
  <si>
    <t>QPG031</t>
  </si>
  <si>
    <t>BỆNH VIỆN ĐA KHOA MỸ ĐỨC</t>
  </si>
  <si>
    <t>QPG030</t>
  </si>
  <si>
    <t>QPG026</t>
  </si>
  <si>
    <t>TRUNG TÂM CHĂM SÓC SỨC KHỎE SINH SẢN BÌNH DƯƠNG</t>
  </si>
  <si>
    <t>QPG032</t>
  </si>
  <si>
    <t>QPG025</t>
  </si>
  <si>
    <t>QPG027-A</t>
  </si>
  <si>
    <t>QPG027-B</t>
  </si>
  <si>
    <t>QPG028</t>
  </si>
  <si>
    <t>QIAsymphony DSp Virus/Pathogen Mini kit</t>
  </si>
  <si>
    <t>Tách chiết sử dụng hạt từ</t>
  </si>
  <si>
    <t>HPV Genotype 14 Real-TM Quant</t>
  </si>
  <si>
    <t>Sacycler 97</t>
  </si>
  <si>
    <t>17/3/2023</t>
  </si>
  <si>
    <t>15/3/2023</t>
  </si>
  <si>
    <t>Âm tính với 14 type 31,33, 35,39, 45, 51, 52, 56, 58, 59, 66, 68</t>
  </si>
  <si>
    <t>CHU KỲ</t>
  </si>
  <si>
    <t>ĐỢT</t>
  </si>
  <si>
    <t>MẪU</t>
  </si>
  <si>
    <t>NGÀY TRẢ REPORT</t>
  </si>
  <si>
    <t>03/4/2023</t>
  </si>
  <si>
    <t>SỐ LƯỢNG</t>
  </si>
  <si>
    <r>
      <t>PANA RealTyperTM</t>
    </r>
    <r>
      <rPr>
        <sz val="12"/>
        <color theme="1"/>
        <rFont val="Times New Roman"/>
        <family val="1"/>
      </rPr>
      <t xml:space="preserve"> HPV Screening Kit (Panagane) </t>
    </r>
  </si>
  <si>
    <t>IT-IS Life Science Ltd</t>
  </si>
  <si>
    <t>12 type HR</t>
  </si>
  <si>
    <r>
      <t xml:space="preserve">TopSENSI </t>
    </r>
    <r>
      <rPr>
        <sz val="12"/>
        <color theme="1"/>
        <rFont val="Calibri"/>
        <family val="2"/>
      </rPr>
      <t>®</t>
    </r>
    <r>
      <rPr>
        <sz val="12"/>
        <color theme="1"/>
        <rFont val="Times New Roman"/>
        <family val="1"/>
      </rPr>
      <t xml:space="preserve"> HPV High Risk &amp; 16, 18 qPCR KIT</t>
    </r>
  </si>
  <si>
    <t>09/2/2023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</si>
</sst>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66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2" fillId="0" borderId="0" applyNumberFormat="0" applyFill="0" applyBorder="0" applyAlignment="0" applyProtection="0"/>
    <xf numFmtId="0" fontId="11" fillId="0" borderId="0"/>
    <xf numFmtId="0" fontId="4" fillId="0" borderId="0"/>
    <xf numFmtId="0" fontId="4" fillId="0" borderId="0"/>
    <xf numFmtId="0" fontId="1" fillId="0" borderId="0"/>
  </cellStyleXfs>
  <cellXfs count="152">
    <xf numFmtId="0" fontId="0" fillId="0" borderId="0" xfId="0"/>
    <xf numFmtId="49" fontId="4" fillId="0" borderId="0" xfId="0" applyNumberFormat="1" applyFont="1"/>
    <xf numFmtId="49" fontId="0" fillId="12" borderId="1" xfId="0" applyNumberFormat="1" applyFill="1" applyBorder="1"/>
    <xf numFmtId="49" fontId="0" fillId="0" borderId="0" xfId="0" applyNumberFormat="1"/>
    <xf numFmtId="49" fontId="0" fillId="19" borderId="0" xfId="0" applyNumberFormat="1" applyFill="1"/>
    <xf numFmtId="49" fontId="0" fillId="8" borderId="0" xfId="0" applyNumberFormat="1" applyFill="1"/>
    <xf numFmtId="49" fontId="0" fillId="20" borderId="0" xfId="0" applyNumberFormat="1" applyFill="1"/>
    <xf numFmtId="49" fontId="4" fillId="18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49" fontId="4" fillId="27" borderId="1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vertical="center"/>
    </xf>
    <xf numFmtId="49" fontId="4" fillId="23" borderId="1" xfId="0" applyNumberFormat="1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vertical="center"/>
    </xf>
    <xf numFmtId="49" fontId="4" fillId="25" borderId="1" xfId="0" applyNumberFormat="1" applyFont="1" applyFill="1" applyBorder="1" applyAlignment="1">
      <alignment vertical="center"/>
    </xf>
    <xf numFmtId="49" fontId="4" fillId="13" borderId="1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4" borderId="4" xfId="0" applyNumberFormat="1" applyFont="1" applyFill="1" applyBorder="1" applyAlignment="1" applyProtection="1">
      <alignment horizontal="center" vertical="center"/>
      <protection locked="0"/>
    </xf>
    <xf numFmtId="49" fontId="3" fillId="4" borderId="5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 applyProtection="1">
      <alignment horizontal="left" vertical="center"/>
      <protection hidden="1"/>
    </xf>
    <xf numFmtId="49" fontId="4" fillId="5" borderId="1" xfId="0" applyNumberFormat="1" applyFont="1" applyFill="1" applyBorder="1" applyAlignment="1" applyProtection="1">
      <alignment horizontal="left" vertical="center"/>
      <protection hidden="1"/>
    </xf>
    <xf numFmtId="49" fontId="8" fillId="1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 applyProtection="1">
      <alignment horizontal="left" vertical="center"/>
      <protection hidden="1"/>
    </xf>
    <xf numFmtId="49" fontId="4" fillId="6" borderId="1" xfId="0" applyNumberFormat="1" applyFont="1" applyFill="1" applyBorder="1" applyAlignment="1" applyProtection="1">
      <alignment horizontal="left" vertical="center"/>
      <protection hidden="1"/>
    </xf>
    <xf numFmtId="49" fontId="5" fillId="14" borderId="1" xfId="0" applyNumberFormat="1" applyFont="1" applyFill="1" applyBorder="1" applyAlignment="1">
      <alignment horizontal="center" vertical="center"/>
    </xf>
    <xf numFmtId="49" fontId="5" fillId="27" borderId="1" xfId="0" applyNumberFormat="1" applyFont="1" applyFill="1" applyBorder="1" applyAlignment="1" applyProtection="1">
      <alignment horizontal="left" vertical="center"/>
      <protection hidden="1"/>
    </xf>
    <xf numFmtId="49" fontId="4" fillId="27" borderId="1" xfId="0" applyNumberFormat="1" applyFont="1" applyFill="1" applyBorder="1" applyAlignment="1" applyProtection="1">
      <alignment horizontal="left" vertical="center"/>
      <protection hidden="1"/>
    </xf>
    <xf numFmtId="49" fontId="4" fillId="27" borderId="1" xfId="0" applyNumberFormat="1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 applyProtection="1">
      <alignment horizontal="left" vertical="center"/>
      <protection hidden="1"/>
    </xf>
    <xf numFmtId="49" fontId="4" fillId="18" borderId="1" xfId="0" applyNumberFormat="1" applyFont="1" applyFill="1" applyBorder="1" applyAlignment="1" applyProtection="1">
      <alignment horizontal="left" vertical="center"/>
      <protection hidden="1"/>
    </xf>
    <xf numFmtId="49" fontId="4" fillId="18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 applyProtection="1">
      <alignment horizontal="left" vertical="center"/>
      <protection hidden="1"/>
    </xf>
    <xf numFmtId="49" fontId="4" fillId="7" borderId="1" xfId="0" applyNumberFormat="1" applyFont="1" applyFill="1" applyBorder="1" applyAlignment="1" applyProtection="1">
      <alignment horizontal="left" vertical="center"/>
      <protection hidden="1"/>
    </xf>
    <xf numFmtId="49" fontId="5" fillId="15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 applyProtection="1">
      <alignment horizontal="left" vertical="center"/>
      <protection hidden="1"/>
    </xf>
    <xf numFmtId="49" fontId="4" fillId="8" borderId="1" xfId="0" applyNumberFormat="1" applyFont="1" applyFill="1" applyBorder="1" applyAlignment="1" applyProtection="1">
      <alignment horizontal="left" vertical="center"/>
      <protection hidden="1"/>
    </xf>
    <xf numFmtId="49" fontId="5" fillId="16" borderId="1" xfId="0" applyNumberFormat="1" applyFont="1" applyFill="1" applyBorder="1" applyAlignment="1">
      <alignment horizontal="center" vertical="center"/>
    </xf>
    <xf numFmtId="49" fontId="8" fillId="24" borderId="1" xfId="0" applyNumberFormat="1" applyFont="1" applyFill="1" applyBorder="1" applyAlignment="1">
      <alignment horizontal="center" vertical="center"/>
    </xf>
    <xf numFmtId="49" fontId="5" fillId="23" borderId="1" xfId="0" applyNumberFormat="1" applyFont="1" applyFill="1" applyBorder="1" applyAlignment="1" applyProtection="1">
      <alignment horizontal="left" vertical="center"/>
      <protection hidden="1"/>
    </xf>
    <xf numFmtId="49" fontId="4" fillId="23" borderId="1" xfId="0" applyNumberFormat="1" applyFont="1" applyFill="1" applyBorder="1" applyAlignment="1" applyProtection="1">
      <alignment horizontal="left" vertical="center"/>
      <protection hidden="1"/>
    </xf>
    <xf numFmtId="49" fontId="5" fillId="10" borderId="1" xfId="0" applyNumberFormat="1" applyFont="1" applyFill="1" applyBorder="1" applyAlignment="1" applyProtection="1">
      <alignment horizontal="left" vertical="center"/>
      <protection hidden="1"/>
    </xf>
    <xf numFmtId="49" fontId="4" fillId="10" borderId="1" xfId="0" applyNumberFormat="1" applyFont="1" applyFill="1" applyBorder="1" applyAlignment="1" applyProtection="1">
      <alignment horizontal="left" vertical="center"/>
      <protection hidden="1"/>
    </xf>
    <xf numFmtId="49" fontId="5" fillId="17" borderId="1" xfId="0" applyNumberFormat="1" applyFont="1" applyFill="1" applyBorder="1" applyAlignment="1">
      <alignment horizontal="center" vertical="center"/>
    </xf>
    <xf numFmtId="49" fontId="5" fillId="25" borderId="1" xfId="0" applyNumberFormat="1" applyFont="1" applyFill="1" applyBorder="1" applyAlignment="1" applyProtection="1">
      <alignment horizontal="left" vertical="center"/>
      <protection hidden="1"/>
    </xf>
    <xf numFmtId="49" fontId="4" fillId="25" borderId="1" xfId="0" applyNumberFormat="1" applyFont="1" applyFill="1" applyBorder="1" applyAlignment="1" applyProtection="1">
      <alignment horizontal="left" vertical="center"/>
      <protection hidden="1"/>
    </xf>
    <xf numFmtId="49" fontId="5" fillId="26" borderId="1" xfId="0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/>
    <xf numFmtId="49" fontId="0" fillId="12" borderId="1" xfId="0" applyNumberFormat="1" applyFill="1" applyBorder="1" applyAlignment="1">
      <alignment horizontal="center"/>
    </xf>
    <xf numFmtId="49" fontId="7" fillId="4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 applyProtection="1">
      <alignment horizontal="center" vertical="center"/>
      <protection hidden="1"/>
    </xf>
    <xf numFmtId="49" fontId="4" fillId="5" borderId="1" xfId="0" applyNumberFormat="1" applyFont="1" applyFill="1" applyBorder="1" applyAlignment="1">
      <alignment horizontal="center" vertical="center"/>
    </xf>
    <xf numFmtId="49" fontId="0" fillId="5" borderId="0" xfId="0" applyNumberFormat="1" applyFill="1"/>
    <xf numFmtId="49" fontId="4" fillId="6" borderId="1" xfId="0" applyNumberFormat="1" applyFont="1" applyFill="1" applyBorder="1" applyAlignment="1" applyProtection="1">
      <alignment horizontal="center" vertical="center"/>
      <protection hidden="1"/>
    </xf>
    <xf numFmtId="49" fontId="4" fillId="6" borderId="1" xfId="0" applyNumberFormat="1" applyFont="1" applyFill="1" applyBorder="1" applyAlignment="1">
      <alignment horizontal="center" vertical="center"/>
    </xf>
    <xf numFmtId="49" fontId="0" fillId="6" borderId="0" xfId="0" applyNumberFormat="1" applyFill="1"/>
    <xf numFmtId="49" fontId="4" fillId="27" borderId="1" xfId="0" applyNumberFormat="1" applyFont="1" applyFill="1" applyBorder="1" applyAlignment="1" applyProtection="1">
      <alignment horizontal="center" vertical="center"/>
      <protection hidden="1"/>
    </xf>
    <xf numFmtId="49" fontId="0" fillId="27" borderId="0" xfId="0" applyNumberFormat="1" applyFill="1"/>
    <xf numFmtId="49" fontId="4" fillId="18" borderId="1" xfId="0" applyNumberFormat="1" applyFont="1" applyFill="1" applyBorder="1" applyAlignment="1" applyProtection="1">
      <alignment horizontal="center" vertical="center"/>
      <protection hidden="1"/>
    </xf>
    <xf numFmtId="49" fontId="4" fillId="18" borderId="1" xfId="0" applyNumberFormat="1" applyFont="1" applyFill="1" applyBorder="1" applyAlignment="1">
      <alignment horizontal="justify" vertical="center"/>
    </xf>
    <xf numFmtId="49" fontId="6" fillId="18" borderId="1" xfId="0" applyNumberFormat="1" applyFont="1" applyFill="1" applyBorder="1" applyAlignment="1">
      <alignment vertical="center"/>
    </xf>
    <xf numFmtId="49" fontId="0" fillId="18" borderId="0" xfId="0" applyNumberFormat="1" applyFill="1"/>
    <xf numFmtId="49" fontId="4" fillId="7" borderId="1" xfId="0" applyNumberFormat="1" applyFont="1" applyFill="1" applyBorder="1" applyAlignment="1" applyProtection="1">
      <alignment horizontal="center" vertical="center"/>
      <protection hidden="1"/>
    </xf>
    <xf numFmtId="49" fontId="4" fillId="7" borderId="1" xfId="0" applyNumberFormat="1" applyFont="1" applyFill="1" applyBorder="1" applyAlignment="1">
      <alignment horizontal="center" vertical="center"/>
    </xf>
    <xf numFmtId="49" fontId="0" fillId="7" borderId="0" xfId="0" applyNumberFormat="1" applyFill="1"/>
    <xf numFmtId="49" fontId="4" fillId="8" borderId="1" xfId="0" applyNumberFormat="1" applyFont="1" applyFill="1" applyBorder="1" applyAlignment="1" applyProtection="1">
      <alignment horizontal="center" vertical="center"/>
      <protection hidden="1"/>
    </xf>
    <xf numFmtId="49" fontId="4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9" fillId="8" borderId="1" xfId="0" applyNumberFormat="1" applyFont="1" applyFill="1" applyBorder="1" applyAlignment="1">
      <alignment vertical="center"/>
    </xf>
    <xf numFmtId="49" fontId="4" fillId="23" borderId="1" xfId="0" applyNumberFormat="1" applyFont="1" applyFill="1" applyBorder="1" applyAlignment="1" applyProtection="1">
      <alignment horizontal="center" vertical="center"/>
      <protection hidden="1"/>
    </xf>
    <xf numFmtId="49" fontId="4" fillId="23" borderId="1" xfId="0" applyNumberFormat="1" applyFont="1" applyFill="1" applyBorder="1" applyAlignment="1">
      <alignment horizontal="center" vertical="center"/>
    </xf>
    <xf numFmtId="49" fontId="0" fillId="23" borderId="0" xfId="0" applyNumberFormat="1" applyFill="1"/>
    <xf numFmtId="49" fontId="4" fillId="10" borderId="1" xfId="0" applyNumberFormat="1" applyFont="1" applyFill="1" applyBorder="1" applyAlignment="1" applyProtection="1">
      <alignment horizontal="center" vertical="center"/>
      <protection hidden="1"/>
    </xf>
    <xf numFmtId="49" fontId="4" fillId="10" borderId="1" xfId="0" applyNumberFormat="1" applyFont="1" applyFill="1" applyBorder="1" applyAlignment="1">
      <alignment horizontal="center" vertical="center"/>
    </xf>
    <xf numFmtId="49" fontId="0" fillId="10" borderId="0" xfId="0" applyNumberFormat="1" applyFill="1"/>
    <xf numFmtId="49" fontId="4" fillId="25" borderId="1" xfId="0" applyNumberFormat="1" applyFont="1" applyFill="1" applyBorder="1" applyAlignment="1" applyProtection="1">
      <alignment horizontal="center" vertical="center"/>
      <protection hidden="1"/>
    </xf>
    <xf numFmtId="49" fontId="4" fillId="25" borderId="1" xfId="0" applyNumberFormat="1" applyFont="1" applyFill="1" applyBorder="1" applyAlignment="1">
      <alignment horizontal="center" vertical="center"/>
    </xf>
    <xf numFmtId="49" fontId="0" fillId="11" borderId="0" xfId="0" applyNumberFormat="1" applyFill="1"/>
    <xf numFmtId="49" fontId="4" fillId="13" borderId="1" xfId="0" applyNumberFormat="1" applyFont="1" applyFill="1" applyBorder="1" applyAlignment="1" applyProtection="1">
      <alignment horizontal="center" vertical="center"/>
      <protection hidden="1"/>
    </xf>
    <xf numFmtId="49" fontId="4" fillId="13" borderId="1" xfId="1" applyNumberFormat="1" applyFont="1" applyFill="1" applyBorder="1" applyAlignment="1">
      <alignment vertical="center"/>
    </xf>
    <xf numFmtId="49" fontId="0" fillId="13" borderId="0" xfId="0" applyNumberFormat="1" applyFill="1"/>
    <xf numFmtId="49" fontId="4" fillId="12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vertical="center"/>
    </xf>
    <xf numFmtId="49" fontId="0" fillId="12" borderId="4" xfId="0" applyNumberFormat="1" applyFill="1" applyBorder="1"/>
    <xf numFmtId="49" fontId="4" fillId="12" borderId="4" xfId="0" applyNumberFormat="1" applyFont="1" applyFill="1" applyBorder="1"/>
    <xf numFmtId="49" fontId="4" fillId="12" borderId="4" xfId="0" applyNumberFormat="1" applyFont="1" applyFill="1" applyBorder="1" applyAlignment="1">
      <alignment horizontal="center" vertical="center"/>
    </xf>
    <xf numFmtId="49" fontId="4" fillId="12" borderId="4" xfId="0" applyNumberFormat="1" applyFont="1" applyFill="1" applyBorder="1" applyAlignment="1">
      <alignment vertical="center"/>
    </xf>
    <xf numFmtId="49" fontId="0" fillId="12" borderId="4" xfId="0" applyNumberFormat="1" applyFill="1" applyBorder="1" applyAlignment="1">
      <alignment horizontal="center"/>
    </xf>
    <xf numFmtId="49" fontId="0" fillId="22" borderId="4" xfId="0" applyNumberFormat="1" applyFill="1" applyBorder="1"/>
    <xf numFmtId="49" fontId="4" fillId="22" borderId="4" xfId="0" applyNumberFormat="1" applyFont="1" applyFill="1" applyBorder="1"/>
    <xf numFmtId="49" fontId="4" fillId="22" borderId="4" xfId="0" applyNumberFormat="1" applyFont="1" applyFill="1" applyBorder="1" applyAlignment="1">
      <alignment horizontal="center" vertical="center"/>
    </xf>
    <xf numFmtId="49" fontId="4" fillId="22" borderId="4" xfId="0" applyNumberFormat="1" applyFont="1" applyFill="1" applyBorder="1" applyAlignment="1">
      <alignment vertical="center"/>
    </xf>
    <xf numFmtId="49" fontId="4" fillId="22" borderId="1" xfId="0" applyNumberFormat="1" applyFont="1" applyFill="1" applyBorder="1" applyAlignment="1">
      <alignment vertical="center"/>
    </xf>
    <xf numFmtId="49" fontId="0" fillId="22" borderId="1" xfId="0" applyNumberFormat="1" applyFill="1" applyBorder="1"/>
    <xf numFmtId="49" fontId="4" fillId="22" borderId="0" xfId="0" applyNumberFormat="1" applyFont="1" applyFill="1" applyAlignment="1">
      <alignment vertical="center"/>
    </xf>
    <xf numFmtId="49" fontId="0" fillId="22" borderId="0" xfId="0" applyNumberFormat="1" applyFill="1"/>
    <xf numFmtId="49" fontId="0" fillId="0" borderId="0" xfId="0" applyNumberFormat="1" applyAlignment="1">
      <alignment horizontal="center"/>
    </xf>
    <xf numFmtId="49" fontId="0" fillId="12" borderId="1" xfId="0" applyNumberFormat="1" applyFill="1" applyBorder="1" applyAlignment="1">
      <alignment horizontal="center" vertical="center"/>
    </xf>
    <xf numFmtId="49" fontId="4" fillId="22" borderId="4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vertical="center"/>
    </xf>
    <xf numFmtId="49" fontId="0" fillId="12" borderId="4" xfId="0" applyNumberFormat="1" applyFill="1" applyBorder="1" applyAlignment="1">
      <alignment horizontal="center" vertical="center"/>
    </xf>
    <xf numFmtId="49" fontId="0" fillId="22" borderId="4" xfId="0" applyNumberFormat="1" applyFill="1" applyBorder="1" applyAlignment="1">
      <alignment horizontal="center" vertical="center"/>
    </xf>
    <xf numFmtId="49" fontId="5" fillId="12" borderId="1" xfId="0" applyNumberFormat="1" applyFont="1" applyFill="1" applyBorder="1" applyAlignment="1" applyProtection="1">
      <alignment horizontal="left" vertical="center"/>
      <protection hidden="1"/>
    </xf>
    <xf numFmtId="49" fontId="0" fillId="12" borderId="0" xfId="0" applyNumberFormat="1" applyFill="1"/>
    <xf numFmtId="49" fontId="0" fillId="2" borderId="1" xfId="0" applyNumberFormat="1" applyFill="1" applyBorder="1"/>
    <xf numFmtId="49" fontId="0" fillId="10" borderId="1" xfId="0" applyNumberFormat="1" applyFill="1" applyBorder="1"/>
    <xf numFmtId="49" fontId="0" fillId="0" borderId="1" xfId="0" applyNumberFormat="1" applyBorder="1"/>
    <xf numFmtId="49" fontId="4" fillId="0" borderId="1" xfId="4" applyNumberFormat="1" applyBorder="1" applyAlignment="1">
      <alignment horizontal="right"/>
    </xf>
    <xf numFmtId="49" fontId="4" fillId="0" borderId="1" xfId="4" applyNumberFormat="1" applyBorder="1"/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/>
    <xf numFmtId="49" fontId="0" fillId="13" borderId="4" xfId="0" applyNumberFormat="1" applyFill="1" applyBorder="1"/>
    <xf numFmtId="49" fontId="0" fillId="18" borderId="4" xfId="0" applyNumberFormat="1" applyFill="1" applyBorder="1"/>
    <xf numFmtId="49" fontId="0" fillId="10" borderId="4" xfId="0" applyNumberFormat="1" applyFill="1" applyBorder="1"/>
    <xf numFmtId="49" fontId="0" fillId="28" borderId="1" xfId="0" applyNumberFormat="1" applyFill="1" applyBorder="1"/>
    <xf numFmtId="49" fontId="0" fillId="28" borderId="1" xfId="0" applyNumberFormat="1" applyFill="1" applyBorder="1" applyAlignment="1">
      <alignment horizontal="right"/>
    </xf>
    <xf numFmtId="49" fontId="4" fillId="22" borderId="1" xfId="0" applyNumberFormat="1" applyFont="1" applyFill="1" applyBorder="1"/>
    <xf numFmtId="49" fontId="0" fillId="22" borderId="1" xfId="0" applyNumberFormat="1" applyFill="1" applyBorder="1" applyAlignment="1">
      <alignment horizontal="center"/>
    </xf>
    <xf numFmtId="49" fontId="4" fillId="28" borderId="0" xfId="0" applyNumberFormat="1" applyFont="1" applyFill="1"/>
    <xf numFmtId="49" fontId="0" fillId="28" borderId="0" xfId="0" applyNumberFormat="1" applyFill="1" applyAlignment="1">
      <alignment horizontal="center"/>
    </xf>
    <xf numFmtId="49" fontId="0" fillId="28" borderId="0" xfId="0" applyNumberFormat="1" applyFill="1"/>
    <xf numFmtId="49" fontId="4" fillId="9" borderId="1" xfId="0" applyNumberFormat="1" applyFont="1" applyFill="1" applyBorder="1" applyAlignment="1">
      <alignment vertical="center"/>
    </xf>
    <xf numFmtId="49" fontId="5" fillId="9" borderId="1" xfId="0" applyNumberFormat="1" applyFont="1" applyFill="1" applyBorder="1" applyAlignment="1" applyProtection="1">
      <alignment horizontal="left" vertical="center"/>
      <protection hidden="1"/>
    </xf>
    <xf numFmtId="49" fontId="5" fillId="11" borderId="1" xfId="0" applyNumberFormat="1" applyFont="1" applyFill="1" applyBorder="1" applyAlignment="1" applyProtection="1">
      <alignment horizontal="left" vertical="center"/>
      <protection hidden="1"/>
    </xf>
    <xf numFmtId="49" fontId="4" fillId="0" borderId="0" xfId="3" applyNumberFormat="1"/>
    <xf numFmtId="49" fontId="14" fillId="10" borderId="0" xfId="0" applyNumberFormat="1" applyFont="1" applyFill="1"/>
    <xf numFmtId="49" fontId="6" fillId="0" borderId="0" xfId="4" applyNumberFormat="1" applyFont="1"/>
    <xf numFmtId="49" fontId="0" fillId="12" borderId="0" xfId="0" applyNumberFormat="1" applyFill="1" applyAlignment="1">
      <alignment horizontal="left"/>
    </xf>
    <xf numFmtId="49" fontId="0" fillId="20" borderId="0" xfId="0" applyNumberFormat="1" applyFill="1" applyAlignment="1">
      <alignment horizontal="left"/>
    </xf>
    <xf numFmtId="49" fontId="0" fillId="30" borderId="0" xfId="0" applyNumberFormat="1" applyFill="1" applyAlignment="1">
      <alignment horizontal="left"/>
    </xf>
    <xf numFmtId="49" fontId="0" fillId="30" borderId="0" xfId="0" applyNumberFormat="1" applyFill="1"/>
    <xf numFmtId="49" fontId="0" fillId="31" borderId="0" xfId="0" applyNumberFormat="1" applyFill="1" applyAlignment="1">
      <alignment horizontal="left"/>
    </xf>
    <xf numFmtId="49" fontId="0" fillId="31" borderId="0" xfId="0" applyNumberFormat="1" applyFill="1"/>
    <xf numFmtId="49" fontId="0" fillId="21" borderId="0" xfId="0" applyNumberFormat="1" applyFill="1" applyAlignment="1">
      <alignment horizontal="left"/>
    </xf>
    <xf numFmtId="49" fontId="0" fillId="21" borderId="0" xfId="0" applyNumberFormat="1" applyFill="1"/>
    <xf numFmtId="49" fontId="13" fillId="14" borderId="1" xfId="0" applyNumberFormat="1" applyFont="1" applyFill="1" applyBorder="1" applyAlignment="1">
      <alignment horizontal="left" vertical="center"/>
    </xf>
    <xf numFmtId="49" fontId="0" fillId="29" borderId="0" xfId="0" applyNumberFormat="1" applyFill="1"/>
    <xf numFmtId="49" fontId="4" fillId="0" borderId="0" xfId="3" applyNumberFormat="1" applyAlignment="1">
      <alignment horizontal="left"/>
    </xf>
    <xf numFmtId="49" fontId="10" fillId="0" borderId="1" xfId="4" applyNumberFormat="1" applyFont="1" applyBorder="1" applyAlignment="1">
      <alignment horizontal="center"/>
    </xf>
    <xf numFmtId="49" fontId="4" fillId="0" borderId="0" xfId="4" applyNumberFormat="1"/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13" borderId="2" xfId="0" applyNumberFormat="1" applyFill="1" applyBorder="1" applyAlignment="1">
      <alignment horizontal="center"/>
    </xf>
    <xf numFmtId="49" fontId="0" fillId="13" borderId="3" xfId="0" applyNumberFormat="1" applyFill="1" applyBorder="1" applyAlignment="1">
      <alignment horizontal="center"/>
    </xf>
    <xf numFmtId="49" fontId="0" fillId="13" borderId="6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49" fontId="0" fillId="10" borderId="0" xfId="0" applyNumberFormat="1" applyFill="1" applyAlignment="1">
      <alignment horizontal="center"/>
    </xf>
    <xf numFmtId="49" fontId="0" fillId="18" borderId="2" xfId="0" applyNumberFormat="1" applyFill="1" applyBorder="1" applyAlignment="1">
      <alignment horizontal="center"/>
    </xf>
    <xf numFmtId="49" fontId="0" fillId="18" borderId="3" xfId="0" applyNumberFormat="1" applyFill="1" applyBorder="1" applyAlignment="1">
      <alignment horizontal="center"/>
    </xf>
    <xf numFmtId="49" fontId="0" fillId="18" borderId="6" xfId="0" applyNumberFormat="1" applyFill="1" applyBorder="1" applyAlignment="1">
      <alignment horizontal="center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11">
    <dxf>
      <font>
        <color rgb="FF9C0006"/>
      </font>
      <fill>
        <patternFill>
          <bgColor rgb="FFFFC7CE"/>
        </patternFill>
      </fill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576186210256651"/>
          <c:y val="8.2734211069144817E-2"/>
          <c:w val="0.75025508039040034"/>
          <c:h val="0.69569430181805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G'!$B$59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'Hiệu xuất HPV G'!$A$60:$A$65</c:f>
              <c:strCache>
                <c:ptCount val="4"/>
                <c:pt idx="1">
                  <c:v>Âm tính</c:v>
                </c:pt>
                <c:pt idx="3">
                  <c:v>Dương tính</c:v>
                </c:pt>
              </c:strCache>
              <c:extLst/>
            </c:strRef>
          </c:cat>
          <c:val>
            <c:numRef>
              <c:f>'Hiệu xuất HPV G'!$B$60:$B$65</c:f>
              <c:numCache>
                <c:formatCode>@</c:formatCode>
                <c:ptCount val="6"/>
                <c:pt idx="1">
                  <c:v>25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915-4114-8A26-74872E261792}"/>
            </c:ext>
          </c:extLst>
        </c:ser>
        <c:ser>
          <c:idx val="2"/>
          <c:order val="2"/>
          <c:tx>
            <c:strRef>
              <c:f>'Hiệu xuất HPV G'!$D$59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G'!$A$60:$A$65</c:f>
              <c:strCache>
                <c:ptCount val="4"/>
                <c:pt idx="1">
                  <c:v>Âm tính</c:v>
                </c:pt>
                <c:pt idx="3">
                  <c:v>Dương tính</c:v>
                </c:pt>
              </c:strCache>
              <c:extLst/>
            </c:strRef>
          </c:cat>
          <c:val>
            <c:numRef>
              <c:f>'Hiệu xuất HPV G'!$D$60:$D$65</c:f>
              <c:numCache>
                <c:formatCode>@</c:formatCode>
                <c:ptCount val="6"/>
                <c:pt idx="1">
                  <c:v>2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15948000"/>
        <c:axId val="215949120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G'!$C$59</c:f>
              <c:strCache>
                <c:ptCount val="1"/>
                <c:pt idx="0">
                  <c:v>Biorad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'Hiệu xuất HPV G'!$C$60:$C$65</c:f>
              <c:numCache>
                <c:formatCode>@</c:formatCode>
                <c:ptCount val="6"/>
                <c:pt idx="1">
                  <c:v>6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2119968"/>
        <c:axId val="132120528"/>
      </c:barChart>
      <c:catAx>
        <c:axId val="21594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 sz="900" b="1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949120"/>
        <c:crosses val="autoZero"/>
        <c:auto val="0"/>
        <c:lblAlgn val="ctr"/>
        <c:lblOffset val="100"/>
        <c:tickLblSkip val="1"/>
        <c:noMultiLvlLbl val="1"/>
      </c:catAx>
      <c:valAx>
        <c:axId val="215949120"/>
        <c:scaling>
          <c:orientation val="minMax"/>
          <c:max val="30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900" b="1">
                    <a:latin typeface="Arial" panose="020B0604020202020204" pitchFamily="34" charset="0"/>
                    <a:cs typeface="Arial" panose="020B0604020202020204" pitchFamily="34" charset="0"/>
                  </a:rPr>
                  <a:t>Số</a:t>
                </a:r>
                <a:r>
                  <a:rPr lang="en-GB" sz="9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lượng đơn vị</a:t>
                </a:r>
                <a:endParaRPr lang="en-GB" sz="9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215948000"/>
        <c:crossesAt val="1"/>
        <c:crossBetween val="between"/>
        <c:majorUnit val="3"/>
      </c:valAx>
      <c:valAx>
        <c:axId val="132120528"/>
        <c:scaling>
          <c:orientation val="minMax"/>
          <c:max val="7"/>
          <c:min val="0"/>
        </c:scaling>
        <c:delete val="1"/>
        <c:axPos val="r"/>
        <c:numFmt formatCode="@" sourceLinked="1"/>
        <c:majorTickMark val="out"/>
        <c:minorTickMark val="none"/>
        <c:tickLblPos val="nextTo"/>
        <c:crossAx val="132119968"/>
        <c:crosses val="max"/>
        <c:crossBetween val="between"/>
        <c:majorUnit val="1"/>
      </c:valAx>
      <c:dateAx>
        <c:axId val="1321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12052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0464425479749164"/>
          <c:y val="0.11049333755109228"/>
          <c:w val="0.34607205917442135"/>
          <c:h val="0.21062673971084164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7370555953233"/>
          <c:y val="8.9960950003200812E-2"/>
          <c:w val="0.78226326254672729"/>
          <c:h val="0.68815568785609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G'!$B$71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" lastClr="FFFFFF"/>
              </a:solidFill>
            </a:ln>
            <a:effectLst>
              <a:glow rad="12700">
                <a:srgbClr val="4F81BD">
                  <a:alpha val="40000"/>
                </a:srgbClr>
              </a:glow>
            </a:effectLst>
          </c:spPr>
          <c:invertIfNegative val="0"/>
          <c:cat>
            <c:strRef>
              <c:f>'Hiệu xuất HPV G'!$A$72:$A$77</c:f>
              <c:strCache>
                <c:ptCount val="4"/>
                <c:pt idx="1">
                  <c:v>12 type HR</c:v>
                </c:pt>
                <c:pt idx="3">
                  <c:v>Âm tính</c:v>
                </c:pt>
              </c:strCache>
            </c:strRef>
          </c:cat>
          <c:val>
            <c:numRef>
              <c:f>'Hiệu xuất HPV G'!$B$72:$B$77</c:f>
              <c:numCache>
                <c:formatCode>@</c:formatCode>
                <c:ptCount val="6"/>
                <c:pt idx="1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B-4839-8853-7649248E199F}"/>
            </c:ext>
          </c:extLst>
        </c:ser>
        <c:ser>
          <c:idx val="2"/>
          <c:order val="2"/>
          <c:tx>
            <c:strRef>
              <c:f>'Hiệu xuất HPV G'!$D$71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G'!$A$72:$A$77</c:f>
              <c:strCache>
                <c:ptCount val="4"/>
                <c:pt idx="1">
                  <c:v>12 type HR</c:v>
                </c:pt>
                <c:pt idx="3">
                  <c:v>Âm tính</c:v>
                </c:pt>
              </c:strCache>
            </c:strRef>
          </c:cat>
          <c:val>
            <c:numRef>
              <c:f>'Hiệu xuất HPV G'!$D$72:$D$77</c:f>
              <c:numCache>
                <c:formatCode>@</c:formatCode>
                <c:ptCount val="6"/>
                <c:pt idx="1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96"/>
        <c:axId val="133107248"/>
        <c:axId val="133107808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G'!$C$71</c:f>
              <c:strCache>
                <c:ptCount val="1"/>
                <c:pt idx="0">
                  <c:v>Biorad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'Hiệu xuất HPV G'!$A$73:$A$78</c:f>
              <c:strCache>
                <c:ptCount val="3"/>
                <c:pt idx="0">
                  <c:v>12 type HR</c:v>
                </c:pt>
                <c:pt idx="2">
                  <c:v>Âm tính</c:v>
                </c:pt>
              </c:strCache>
            </c:strRef>
          </c:cat>
          <c:val>
            <c:numRef>
              <c:f>'Hiệu xuất HPV G'!$C$72:$C$77</c:f>
              <c:numCache>
                <c:formatCode>@</c:formatCode>
                <c:ptCount val="6"/>
                <c:pt idx="1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3108928"/>
        <c:axId val="133108368"/>
      </c:barChart>
      <c:dateAx>
        <c:axId val="13310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3107808"/>
        <c:crosses val="autoZero"/>
        <c:auto val="0"/>
        <c:lblOffset val="100"/>
        <c:baseTimeUnit val="days"/>
        <c:majorUnit val="1"/>
        <c:minorUnit val="1"/>
      </c:dateAx>
      <c:valAx>
        <c:axId val="133107808"/>
        <c:scaling>
          <c:orientation val="minMax"/>
          <c:max val="3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Số lượng đơn vị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3107248"/>
        <c:crossesAt val="1"/>
        <c:crossBetween val="between"/>
        <c:majorUnit val="3"/>
      </c:valAx>
      <c:valAx>
        <c:axId val="133108368"/>
        <c:scaling>
          <c:orientation val="minMax"/>
          <c:max val="7"/>
          <c:min val="0"/>
        </c:scaling>
        <c:delete val="1"/>
        <c:axPos val="r"/>
        <c:numFmt formatCode="@" sourceLinked="1"/>
        <c:majorTickMark val="out"/>
        <c:minorTickMark val="none"/>
        <c:tickLblPos val="nextTo"/>
        <c:crossAx val="133108928"/>
        <c:crosses val="max"/>
        <c:crossBetween val="between"/>
        <c:majorUnit val="1"/>
      </c:valAx>
      <c:dateAx>
        <c:axId val="13310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0836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3954949661143103"/>
          <c:y val="9.975606889144964E-2"/>
          <c:w val="0.34607205917442135"/>
          <c:h val="0.31292453105048107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 NÀY</a:t>
            </a:r>
          </a:p>
        </c:rich>
      </c:tx>
      <c:layout>
        <c:manualLayout>
          <c:xMode val="edge"/>
          <c:yMode val="edge"/>
          <c:x val="1.16373914799111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G'!$B$83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'Hiệu xuất HPV G'!$A$84:$A$90</c:f>
              <c:numCache>
                <c:formatCode>@</c:formatCode>
                <c:ptCount val="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G'!$B$84:$B$90</c:f>
              <c:numCache>
                <c:formatCode>@</c:formatCode>
                <c:ptCount val="7"/>
                <c:pt idx="0">
                  <c:v>24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42A-89D8-3ACA3A271F9D}"/>
            </c:ext>
          </c:extLst>
        </c:ser>
        <c:ser>
          <c:idx val="2"/>
          <c:order val="2"/>
          <c:tx>
            <c:strRef>
              <c:f>'Hiệu xuất HPV G'!$D$83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'Hiệu xuất HPV G'!$A$84:$A$90</c:f>
              <c:numCache>
                <c:formatCode>@</c:formatCode>
                <c:ptCount val="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G'!$D$84:$D$90</c:f>
              <c:numCache>
                <c:formatCode>@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112288"/>
        <c:axId val="133112848"/>
      </c:barChart>
      <c:lineChart>
        <c:grouping val="standard"/>
        <c:varyColors val="0"/>
        <c:ser>
          <c:idx val="1"/>
          <c:order val="1"/>
          <c:tx>
            <c:strRef>
              <c:f>'Hiệu xuất HPV G'!$C$83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'Hiệu xuất HPV G'!$A$84:$A$90</c:f>
              <c:numCache>
                <c:formatCode>@</c:formatCode>
                <c:ptCount val="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G'!$C$84:$C$90</c:f>
              <c:numCache>
                <c:formatCode>@</c:formatCode>
                <c:ptCount val="7"/>
                <c:pt idx="0">
                  <c:v>96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3968"/>
        <c:axId val="133113408"/>
      </c:lineChart>
      <c:catAx>
        <c:axId val="1331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848"/>
        <c:crosses val="autoZero"/>
        <c:auto val="1"/>
        <c:lblAlgn val="ctr"/>
        <c:lblOffset val="100"/>
        <c:noMultiLvlLbl val="0"/>
      </c:catAx>
      <c:valAx>
        <c:axId val="133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288"/>
        <c:crosses val="autoZero"/>
        <c:crossBetween val="between"/>
        <c:majorUnit val="2"/>
      </c:valAx>
      <c:valAx>
        <c:axId val="13311340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3968"/>
        <c:crosses val="max"/>
        <c:crossBetween val="between"/>
      </c:valAx>
      <c:catAx>
        <c:axId val="133113968"/>
        <c:scaling>
          <c:orientation val="minMax"/>
        </c:scaling>
        <c:delete val="1"/>
        <c:axPos val="t"/>
        <c:numFmt formatCode="@" sourceLinked="1"/>
        <c:majorTickMark val="out"/>
        <c:minorTickMark val="none"/>
        <c:tickLblPos val="nextTo"/>
        <c:crossAx val="13311340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là: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38507686539178E-2"/>
          <c:y val="0.230077519379845"/>
          <c:w val="0.86679958755155606"/>
          <c:h val="0.63225880485869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HPV G'!$B$96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HPV G'!$A$97:$A$105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HPV G'!$B$97:$B$105</c:f>
              <c:numCache>
                <c:formatCode>@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5-4E97-942D-A39E0D6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4304"/>
        <c:axId val="152014864"/>
      </c:scatterChart>
      <c:valAx>
        <c:axId val="152014304"/>
        <c:scaling>
          <c:orientation val="minMax"/>
          <c:max val="9"/>
          <c:min val="1"/>
        </c:scaling>
        <c:delete val="0"/>
        <c:axPos val="b"/>
        <c:numFmt formatCode="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864"/>
        <c:crosses val="autoZero"/>
        <c:crossBetween val="midCat"/>
      </c:valAx>
      <c:valAx>
        <c:axId val="1520148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30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57</xdr:row>
      <xdr:rowOff>66676</xdr:rowOff>
    </xdr:from>
    <xdr:to>
      <xdr:col>14</xdr:col>
      <xdr:colOff>38100</xdr:colOff>
      <xdr:row>67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71</xdr:row>
      <xdr:rowOff>0</xdr:rowOff>
    </xdr:from>
    <xdr:to>
      <xdr:col>14</xdr:col>
      <xdr:colOff>57150</xdr:colOff>
      <xdr:row>80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82</xdr:row>
      <xdr:rowOff>0</xdr:rowOff>
    </xdr:from>
    <xdr:to>
      <xdr:col>15</xdr:col>
      <xdr:colOff>314325</xdr:colOff>
      <xdr:row>93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6</xdr:col>
      <xdr:colOff>228600</xdr:colOff>
      <xdr:row>106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0.54407</cdr:x>
      <cdr:y>0.12315</cdr:y>
    </cdr:from>
    <cdr:to>
      <cdr:x>0.56728</cdr:x>
      <cdr:y>0.15142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E515796-A88C-962C-227C-6075EC5E053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30877" y="395134"/>
          <a:ext cx="73840" cy="9070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0.57491</cdr:x>
      <cdr:y>0.1432</cdr:y>
    </cdr:from>
    <cdr:to>
      <cdr:x>0.59812</cdr:x>
      <cdr:y>0.17147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B9986E7-99B5-5DDA-09E2-293C8694A422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33669" y="286821"/>
          <a:ext cx="74028" cy="5662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</cdr:x>
      <cdr:y>0.08837</cdr:y>
    </cdr:from>
    <cdr:to>
      <cdr:x>0.92143</cdr:x>
      <cdr:y>0.53488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4000500" y="180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0.75893</cdr:x>
      <cdr:y>0.10698</cdr:y>
    </cdr:from>
    <cdr:to>
      <cdr:x>0.93036</cdr:x>
      <cdr:y>0.55349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4048125" y="219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18" displayName="Table118" ref="A83:D90" totalsRowShown="0" headerRowDxfId="10" dataDxfId="9">
  <tableColumns count="4">
    <tableColumn id="1" xr3:uid="{00000000-0010-0000-1000-000001000000}" name="điểm" dataDxfId="8"/>
    <tableColumn id="2" xr3:uid="{00000000-0010-0000-1000-000002000000}" name="Số lượng đơn vị" dataDxfId="7"/>
    <tableColumn id="3" xr3:uid="{00000000-0010-0000-1000-000003000000}" name="Phần trăm tích lũy của các đơn vị" dataDxfId="6">
      <calculatedColumnFormula>F83+(Table118[[#This Row],[Số lượng đơn vị]]/7)*100</calculatedColumnFormula>
    </tableColumn>
    <tableColumn id="4" xr3:uid="{00000000-0010-0000-1000-000004000000}" name="Điểm của đơn vị" dataDxfId="5">
      <calculatedColumnFormula>IF(Table118[[#This Row],[điểm]]=$D$94,1,0)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19" displayName="Table119" ref="A96:B105" totalsRowShown="0" headerRowDxfId="4" dataDxfId="3">
  <tableColumns count="2">
    <tableColumn id="1" xr3:uid="{00000000-0010-0000-1100-000001000000}" name=" " dataDxfId="2"/>
    <tableColumn id="2" xr3:uid="{00000000-0010-0000-1100-000002000000}" name="Series 1" dataDxfId="1">
      <calculatedColumnFormula>VLOOKUP($B$108,B:AP,33,0)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opPURE@MAGA%20GENOMIC%20DNA/RNA%20EXTRACTION%20KIT_AB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33"/>
  <sheetViews>
    <sheetView tabSelected="1" zoomScale="98" zoomScaleNormal="98" workbookViewId="0">
      <pane xSplit="4" ySplit="1" topLeftCell="I2" activePane="bottomRight" state="frozen"/>
      <selection activeCell="G42" sqref="G42"/>
      <selection pane="topRight" activeCell="G42" sqref="G42"/>
      <selection pane="bottomLeft" activeCell="G42" sqref="G42"/>
      <selection pane="bottomRight" activeCell="L32" sqref="L32"/>
    </sheetView>
  </sheetViews>
  <sheetFormatPr defaultColWidth="9" defaultRowHeight="15.75" x14ac:dyDescent="0.25"/>
  <cols>
    <col min="1" max="1" width="4.625" style="3" bestFit="1" customWidth="1"/>
    <col min="2" max="2" width="7.25" style="3" bestFit="1" customWidth="1"/>
    <col min="3" max="4" width="10.25" style="3" bestFit="1" customWidth="1"/>
    <col min="5" max="5" width="28.75" style="3" customWidth="1"/>
    <col min="6" max="6" width="8.5" style="3" bestFit="1" customWidth="1"/>
    <col min="7" max="7" width="5" style="3" bestFit="1" customWidth="1"/>
    <col min="8" max="8" width="7" style="3" bestFit="1" customWidth="1"/>
    <col min="9" max="9" width="10" style="3" customWidth="1"/>
    <col min="10" max="10" width="11.25" style="3" bestFit="1" customWidth="1"/>
    <col min="11" max="11" width="8.125" style="3" bestFit="1" customWidth="1"/>
    <col min="12" max="12" width="9.375" style="3" customWidth="1"/>
    <col min="13" max="13" width="9.125" style="3" customWidth="1"/>
    <col min="14" max="14" width="9" style="3" customWidth="1"/>
    <col min="15" max="15" width="6.875" style="3" bestFit="1" customWidth="1"/>
    <col min="16" max="16" width="10" style="3" bestFit="1" customWidth="1"/>
    <col min="17" max="18" width="6.875" style="3" bestFit="1" customWidth="1"/>
    <col min="19" max="20" width="6.75" style="3" bestFit="1" customWidth="1"/>
    <col min="21" max="21" width="4.25" style="3" bestFit="1" customWidth="1"/>
    <col min="22" max="22" width="4.625" style="3" bestFit="1" customWidth="1"/>
    <col min="23" max="23" width="2.625" style="3" bestFit="1" customWidth="1"/>
    <col min="24" max="24" width="4.375" style="3" bestFit="1" customWidth="1"/>
    <col min="25" max="25" width="9" style="3" bestFit="1" customWidth="1"/>
    <col min="26" max="27" width="9.375" style="3" customWidth="1"/>
    <col min="28" max="28" width="15.75" style="3" customWidth="1"/>
    <col min="29" max="31" width="9.375" style="3" customWidth="1"/>
    <col min="32" max="32" width="9.375" style="97" customWidth="1"/>
    <col min="33" max="33" width="10.625" style="3" customWidth="1"/>
    <col min="34" max="35" width="10.125" style="3" bestFit="1" customWidth="1"/>
    <col min="36" max="38" width="6.875" style="3" customWidth="1"/>
    <col min="39" max="39" width="9" style="3"/>
    <col min="40" max="40" width="8.375" style="3" bestFit="1" customWidth="1"/>
    <col min="41" max="16384" width="9" style="3"/>
  </cols>
  <sheetData>
    <row r="1" spans="1:38" x14ac:dyDescent="0.25">
      <c r="A1" s="50" t="s">
        <v>0</v>
      </c>
      <c r="B1" s="50" t="s">
        <v>1</v>
      </c>
      <c r="C1" s="50" t="s">
        <v>2</v>
      </c>
      <c r="D1" s="50" t="s">
        <v>61</v>
      </c>
      <c r="E1" s="50" t="s">
        <v>62</v>
      </c>
      <c r="F1" s="50" t="s">
        <v>311</v>
      </c>
      <c r="G1" s="50" t="s">
        <v>312</v>
      </c>
      <c r="H1" s="50" t="s">
        <v>313</v>
      </c>
      <c r="I1" s="50" t="s">
        <v>314</v>
      </c>
      <c r="J1" s="50" t="s">
        <v>316</v>
      </c>
      <c r="K1" s="50" t="s">
        <v>101</v>
      </c>
      <c r="L1" s="50" t="s">
        <v>102</v>
      </c>
      <c r="M1" s="50" t="s">
        <v>103</v>
      </c>
      <c r="N1" s="50" t="s">
        <v>104</v>
      </c>
      <c r="O1" s="50" t="s">
        <v>69</v>
      </c>
      <c r="P1" s="50" t="s">
        <v>70</v>
      </c>
      <c r="Q1" s="50" t="s">
        <v>71</v>
      </c>
      <c r="R1" s="50" t="s">
        <v>72</v>
      </c>
      <c r="S1" s="50" t="s">
        <v>3</v>
      </c>
      <c r="T1" s="50" t="s">
        <v>4</v>
      </c>
      <c r="U1" s="50" t="s">
        <v>5</v>
      </c>
      <c r="V1" s="50" t="s">
        <v>6</v>
      </c>
      <c r="W1" s="50" t="s">
        <v>7</v>
      </c>
      <c r="X1" s="50" t="s">
        <v>8</v>
      </c>
      <c r="Y1" s="50" t="s">
        <v>9</v>
      </c>
      <c r="Z1" s="50" t="s">
        <v>10</v>
      </c>
      <c r="AA1" s="50" t="s">
        <v>11</v>
      </c>
      <c r="AB1" s="50" t="s">
        <v>73</v>
      </c>
      <c r="AC1" s="50" t="s">
        <v>63</v>
      </c>
      <c r="AD1" s="50" t="s">
        <v>12</v>
      </c>
      <c r="AE1" s="50" t="s">
        <v>64</v>
      </c>
      <c r="AF1" s="50" t="s">
        <v>65</v>
      </c>
      <c r="AG1" s="50" t="s">
        <v>13</v>
      </c>
      <c r="AH1" s="50" t="s">
        <v>14</v>
      </c>
      <c r="AI1" s="50" t="s">
        <v>74</v>
      </c>
      <c r="AJ1" s="50" t="s">
        <v>15</v>
      </c>
      <c r="AK1" s="50" t="s">
        <v>75</v>
      </c>
      <c r="AL1" s="50" t="s">
        <v>105</v>
      </c>
    </row>
    <row r="2" spans="1:38" s="53" customFormat="1" x14ac:dyDescent="0.25">
      <c r="A2" s="51">
        <v>1</v>
      </c>
      <c r="B2" s="51" t="s">
        <v>27</v>
      </c>
      <c r="C2" s="8" t="s">
        <v>106</v>
      </c>
      <c r="D2" s="20" t="s">
        <v>76</v>
      </c>
      <c r="E2" s="21" t="s">
        <v>77</v>
      </c>
      <c r="F2" s="21">
        <v>7</v>
      </c>
      <c r="G2" s="21">
        <v>1</v>
      </c>
      <c r="H2" s="21">
        <v>230701</v>
      </c>
      <c r="I2" s="21" t="s">
        <v>315</v>
      </c>
      <c r="J2" s="52">
        <f t="shared" ref="J2:J30" si="0">COUNTA($L$2:$L$30)</f>
        <v>25</v>
      </c>
      <c r="K2" s="8" t="s">
        <v>67</v>
      </c>
      <c r="L2" s="8" t="s">
        <v>239</v>
      </c>
      <c r="M2" s="8">
        <v>1</v>
      </c>
      <c r="N2" s="8">
        <v>1</v>
      </c>
      <c r="O2" s="8" t="s">
        <v>67</v>
      </c>
      <c r="P2" s="8" t="s">
        <v>319</v>
      </c>
      <c r="Q2" s="8">
        <v>1</v>
      </c>
      <c r="R2" s="8">
        <v>1</v>
      </c>
      <c r="S2" s="8">
        <f>IF(M2=Q2,3,0)</f>
        <v>3</v>
      </c>
      <c r="T2" s="8">
        <f>IF(N2=R2,3,0)</f>
        <v>3</v>
      </c>
      <c r="U2" s="8">
        <f>SUM(S2:T2)</f>
        <v>6</v>
      </c>
      <c r="V2" s="8">
        <f>ROUNDUP('Hiệu xuất HPV G'!$S$34,2)</f>
        <v>12</v>
      </c>
      <c r="W2" s="8">
        <f>ROUNDUP('Hiệu xuất HPV G'!$S$36,2)</f>
        <v>0</v>
      </c>
      <c r="X2" s="52">
        <f>VLOOKUP(C2,'Hiệu xuất HPV G'!B:AP,19,0)</f>
        <v>12</v>
      </c>
      <c r="Y2" s="52">
        <f>VLOOKUP(C2,'Hiệu xuất HPV G'!B:AP,28,0)</f>
        <v>0.26</v>
      </c>
      <c r="Z2" s="8"/>
      <c r="AA2" s="8"/>
      <c r="AB2" s="8" t="s">
        <v>46</v>
      </c>
      <c r="AC2" s="8" t="s">
        <v>46</v>
      </c>
      <c r="AD2" s="8"/>
      <c r="AE2" s="8" t="s">
        <v>107</v>
      </c>
      <c r="AF2" s="22" t="s">
        <v>16</v>
      </c>
      <c r="AG2" s="8" t="s">
        <v>240</v>
      </c>
      <c r="AH2" s="8" t="s">
        <v>241</v>
      </c>
      <c r="AI2" s="8" t="s">
        <v>241</v>
      </c>
      <c r="AJ2" s="8" t="s">
        <v>21</v>
      </c>
      <c r="AK2" s="8" t="s">
        <v>35</v>
      </c>
      <c r="AL2" s="8" t="s">
        <v>49</v>
      </c>
    </row>
    <row r="3" spans="1:38" s="53" customFormat="1" x14ac:dyDescent="0.25">
      <c r="A3" s="51">
        <v>2</v>
      </c>
      <c r="B3" s="51">
        <v>2</v>
      </c>
      <c r="C3" s="8" t="s">
        <v>108</v>
      </c>
      <c r="D3" s="20" t="s">
        <v>19</v>
      </c>
      <c r="E3" s="21" t="s">
        <v>20</v>
      </c>
      <c r="F3" s="21">
        <v>7</v>
      </c>
      <c r="G3" s="21">
        <v>1</v>
      </c>
      <c r="H3" s="21">
        <v>230701</v>
      </c>
      <c r="I3" s="21" t="s">
        <v>315</v>
      </c>
      <c r="J3" s="52">
        <f t="shared" si="0"/>
        <v>25</v>
      </c>
      <c r="K3" s="8" t="s">
        <v>67</v>
      </c>
      <c r="L3" s="8" t="s">
        <v>227</v>
      </c>
      <c r="M3" s="8">
        <v>1</v>
      </c>
      <c r="N3" s="8">
        <v>1</v>
      </c>
      <c r="O3" s="8" t="s">
        <v>67</v>
      </c>
      <c r="P3" s="8" t="s">
        <v>319</v>
      </c>
      <c r="Q3" s="8">
        <v>1</v>
      </c>
      <c r="R3" s="8">
        <v>1</v>
      </c>
      <c r="S3" s="8">
        <f t="shared" ref="S3:S28" si="1">IF(M3=Q3,3,0)</f>
        <v>3</v>
      </c>
      <c r="T3" s="8">
        <f t="shared" ref="T3:T28" si="2">IF(N3=R3,3,0)</f>
        <v>3</v>
      </c>
      <c r="U3" s="8">
        <f t="shared" ref="U3:U28" si="3">SUM(S3:T3)</f>
        <v>6</v>
      </c>
      <c r="V3" s="8">
        <f>ROUNDUP('Hiệu xuất HPV G'!$S$34,2)</f>
        <v>12</v>
      </c>
      <c r="W3" s="8">
        <f>ROUNDUP('Hiệu xuất HPV G'!$S$36,2)</f>
        <v>0</v>
      </c>
      <c r="X3" s="52">
        <f>VLOOKUP(C3,'Hiệu xuất HPV G'!B:AP,19,0)</f>
        <v>12</v>
      </c>
      <c r="Y3" s="52">
        <f>VLOOKUP(C3,'Hiệu xuất HPV G'!B:AP,28,0)</f>
        <v>0.26</v>
      </c>
      <c r="Z3" s="8" t="s">
        <v>109</v>
      </c>
      <c r="AA3" s="8" t="s">
        <v>51</v>
      </c>
      <c r="AB3" s="8" t="s">
        <v>110</v>
      </c>
      <c r="AC3" s="8" t="s">
        <v>111</v>
      </c>
      <c r="AD3" s="8"/>
      <c r="AE3" s="8" t="s">
        <v>112</v>
      </c>
      <c r="AF3" s="22" t="s">
        <v>16</v>
      </c>
      <c r="AG3" s="8" t="s">
        <v>208</v>
      </c>
      <c r="AH3" s="8" t="s">
        <v>204</v>
      </c>
      <c r="AI3" s="8" t="s">
        <v>206</v>
      </c>
      <c r="AJ3" s="8" t="s">
        <v>113</v>
      </c>
      <c r="AK3" s="8"/>
      <c r="AL3" s="8"/>
    </row>
    <row r="4" spans="1:38" s="53" customFormat="1" x14ac:dyDescent="0.25">
      <c r="A4" s="51">
        <v>3</v>
      </c>
      <c r="B4" s="51">
        <v>2</v>
      </c>
      <c r="C4" s="8" t="s">
        <v>114</v>
      </c>
      <c r="D4" s="20" t="s">
        <v>23</v>
      </c>
      <c r="E4" s="21" t="s">
        <v>58</v>
      </c>
      <c r="F4" s="21">
        <v>7</v>
      </c>
      <c r="G4" s="21">
        <v>1</v>
      </c>
      <c r="H4" s="21">
        <v>230701</v>
      </c>
      <c r="I4" s="21" t="s">
        <v>315</v>
      </c>
      <c r="J4" s="52">
        <f t="shared" si="0"/>
        <v>25</v>
      </c>
      <c r="K4" s="8" t="s">
        <v>67</v>
      </c>
      <c r="L4" s="8" t="s">
        <v>227</v>
      </c>
      <c r="M4" s="8">
        <v>1</v>
      </c>
      <c r="N4" s="8">
        <v>1</v>
      </c>
      <c r="O4" s="8" t="s">
        <v>67</v>
      </c>
      <c r="P4" s="8" t="s">
        <v>319</v>
      </c>
      <c r="Q4" s="8">
        <v>1</v>
      </c>
      <c r="R4" s="8">
        <v>1</v>
      </c>
      <c r="S4" s="8">
        <f t="shared" si="1"/>
        <v>3</v>
      </c>
      <c r="T4" s="8">
        <f t="shared" si="2"/>
        <v>3</v>
      </c>
      <c r="U4" s="8">
        <f t="shared" si="3"/>
        <v>6</v>
      </c>
      <c r="V4" s="8">
        <f>ROUNDUP('Hiệu xuất HPV G'!$S$34,2)</f>
        <v>12</v>
      </c>
      <c r="W4" s="8">
        <f>ROUNDUP('Hiệu xuất HPV G'!$S$36,2)</f>
        <v>0</v>
      </c>
      <c r="X4" s="52">
        <f>VLOOKUP(C4,'Hiệu xuất HPV G'!B:AP,19,0)</f>
        <v>12</v>
      </c>
      <c r="Y4" s="52">
        <f>VLOOKUP(C4,'Hiệu xuất HPV G'!B:AP,28,0)</f>
        <v>0.26</v>
      </c>
      <c r="Z4" s="8" t="s">
        <v>25</v>
      </c>
      <c r="AA4" s="8"/>
      <c r="AB4" s="8" t="s">
        <v>24</v>
      </c>
      <c r="AC4" s="8" t="s">
        <v>25</v>
      </c>
      <c r="AD4" s="8"/>
      <c r="AE4" s="8" t="s">
        <v>26</v>
      </c>
      <c r="AF4" s="22" t="s">
        <v>16</v>
      </c>
      <c r="AG4" s="8"/>
      <c r="AH4" s="8" t="s">
        <v>233</v>
      </c>
      <c r="AI4" s="8" t="s">
        <v>231</v>
      </c>
      <c r="AJ4" s="8" t="s">
        <v>21</v>
      </c>
      <c r="AK4" s="8"/>
      <c r="AL4" s="8" t="s">
        <v>17</v>
      </c>
    </row>
    <row r="5" spans="1:38" s="56" customFormat="1" x14ac:dyDescent="0.25">
      <c r="A5" s="54">
        <v>4</v>
      </c>
      <c r="B5" s="54">
        <v>1</v>
      </c>
      <c r="C5" s="9" t="s">
        <v>152</v>
      </c>
      <c r="D5" s="23" t="s">
        <v>85</v>
      </c>
      <c r="E5" s="24" t="s">
        <v>86</v>
      </c>
      <c r="F5" s="24">
        <v>7</v>
      </c>
      <c r="G5" s="24">
        <v>1</v>
      </c>
      <c r="H5" s="24">
        <v>230701</v>
      </c>
      <c r="I5" s="24" t="s">
        <v>315</v>
      </c>
      <c r="J5" s="55">
        <f t="shared" si="0"/>
        <v>25</v>
      </c>
      <c r="K5" s="9" t="s">
        <v>67</v>
      </c>
      <c r="L5" s="9" t="s">
        <v>227</v>
      </c>
      <c r="M5" s="9">
        <v>1</v>
      </c>
      <c r="N5" s="9">
        <v>1</v>
      </c>
      <c r="O5" s="8" t="s">
        <v>67</v>
      </c>
      <c r="P5" s="8" t="s">
        <v>319</v>
      </c>
      <c r="Q5" s="9">
        <v>1</v>
      </c>
      <c r="R5" s="9">
        <v>1</v>
      </c>
      <c r="S5" s="8">
        <f t="shared" si="1"/>
        <v>3</v>
      </c>
      <c r="T5" s="8">
        <f t="shared" si="2"/>
        <v>3</v>
      </c>
      <c r="U5" s="9">
        <f t="shared" si="3"/>
        <v>6</v>
      </c>
      <c r="V5" s="8">
        <f>ROUNDUP('Hiệu xuất HPV G'!$S$34,2)</f>
        <v>12</v>
      </c>
      <c r="W5" s="8">
        <f>ROUNDUP('Hiệu xuất HPV G'!$S$36,2)</f>
        <v>0</v>
      </c>
      <c r="X5" s="52">
        <f>VLOOKUP(C5,'Hiệu xuất HPV G'!B:AP,19,0)</f>
        <v>12</v>
      </c>
      <c r="Y5" s="52">
        <f>VLOOKUP(C5,'Hiệu xuất HPV G'!B:AP,28,0)</f>
        <v>0.26</v>
      </c>
      <c r="Z5" s="9" t="s">
        <v>153</v>
      </c>
      <c r="AA5" s="9" t="s">
        <v>244</v>
      </c>
      <c r="AB5" s="9" t="s">
        <v>154</v>
      </c>
      <c r="AC5" s="9" t="s">
        <v>155</v>
      </c>
      <c r="AD5" s="9" t="s">
        <v>45</v>
      </c>
      <c r="AE5" s="9" t="s">
        <v>87</v>
      </c>
      <c r="AF5" s="25" t="s">
        <v>46</v>
      </c>
      <c r="AG5" s="8" t="s">
        <v>229</v>
      </c>
      <c r="AH5" s="8" t="s">
        <v>240</v>
      </c>
      <c r="AI5" s="8" t="s">
        <v>235</v>
      </c>
      <c r="AJ5" s="9" t="s">
        <v>30</v>
      </c>
      <c r="AK5" s="9" t="s">
        <v>17</v>
      </c>
      <c r="AL5" s="9" t="s">
        <v>17</v>
      </c>
    </row>
    <row r="6" spans="1:38" s="56" customFormat="1" x14ac:dyDescent="0.25">
      <c r="A6" s="54">
        <v>5</v>
      </c>
      <c r="B6" s="54"/>
      <c r="C6" s="9" t="s">
        <v>303</v>
      </c>
      <c r="D6" s="23" t="s">
        <v>28</v>
      </c>
      <c r="E6" s="24" t="s">
        <v>29</v>
      </c>
      <c r="F6" s="24">
        <v>7</v>
      </c>
      <c r="G6" s="24">
        <v>1</v>
      </c>
      <c r="H6" s="24">
        <v>230701</v>
      </c>
      <c r="I6" s="24" t="s">
        <v>315</v>
      </c>
      <c r="J6" s="55">
        <f t="shared" si="0"/>
        <v>25</v>
      </c>
      <c r="K6" s="9" t="s">
        <v>310</v>
      </c>
      <c r="L6" s="9" t="s">
        <v>227</v>
      </c>
      <c r="M6" s="9">
        <v>1</v>
      </c>
      <c r="N6" s="9">
        <v>1</v>
      </c>
      <c r="O6" s="8" t="s">
        <v>67</v>
      </c>
      <c r="P6" s="8" t="s">
        <v>319</v>
      </c>
      <c r="Q6" s="9">
        <v>1</v>
      </c>
      <c r="R6" s="9">
        <v>1</v>
      </c>
      <c r="S6" s="8">
        <f t="shared" ref="S6" si="4">IF(M6=Q6,3,0)</f>
        <v>3</v>
      </c>
      <c r="T6" s="8">
        <f t="shared" ref="T6" si="5">IF(N6=R6,3,0)</f>
        <v>3</v>
      </c>
      <c r="U6" s="9">
        <f t="shared" ref="U6" si="6">SUM(S6:T6)</f>
        <v>6</v>
      </c>
      <c r="V6" s="8">
        <f>ROUNDUP('Hiệu xuất HPV G'!$S$34,2)</f>
        <v>12</v>
      </c>
      <c r="W6" s="8">
        <f>ROUNDUP('Hiệu xuất HPV G'!$S$36,2)</f>
        <v>0</v>
      </c>
      <c r="X6" s="52" t="str">
        <f>VLOOKUP(C6,'Hiệu xuất HPV G'!B:AP,19,0)</f>
        <v>N/A</v>
      </c>
      <c r="Y6" s="52" t="str">
        <f>VLOOKUP(C6,'Hiệu xuất HPV G'!B:AP,28,0)</f>
        <v>N/A</v>
      </c>
      <c r="Z6" s="9" t="s">
        <v>304</v>
      </c>
      <c r="AA6" s="9" t="s">
        <v>305</v>
      </c>
      <c r="AB6" s="9" t="s">
        <v>68</v>
      </c>
      <c r="AC6" s="9" t="s">
        <v>306</v>
      </c>
      <c r="AD6" s="9" t="s">
        <v>45</v>
      </c>
      <c r="AE6" s="9" t="s">
        <v>307</v>
      </c>
      <c r="AF6" s="25" t="s">
        <v>46</v>
      </c>
      <c r="AG6" s="8" t="s">
        <v>229</v>
      </c>
      <c r="AH6" s="8" t="s">
        <v>309</v>
      </c>
      <c r="AI6" s="8" t="s">
        <v>308</v>
      </c>
      <c r="AJ6" s="9" t="s">
        <v>30</v>
      </c>
      <c r="AK6" s="9" t="s">
        <v>17</v>
      </c>
      <c r="AL6" s="9" t="s">
        <v>49</v>
      </c>
    </row>
    <row r="7" spans="1:38" s="58" customFormat="1" x14ac:dyDescent="0.25">
      <c r="A7" s="57">
        <v>6</v>
      </c>
      <c r="B7" s="57" t="s">
        <v>27</v>
      </c>
      <c r="C7" s="10" t="s">
        <v>156</v>
      </c>
      <c r="D7" s="26" t="s">
        <v>88</v>
      </c>
      <c r="E7" s="27" t="s">
        <v>89</v>
      </c>
      <c r="F7" s="27">
        <v>7</v>
      </c>
      <c r="G7" s="27">
        <v>1</v>
      </c>
      <c r="H7" s="27">
        <v>230701</v>
      </c>
      <c r="I7" s="27" t="s">
        <v>315</v>
      </c>
      <c r="J7" s="28">
        <f t="shared" si="0"/>
        <v>25</v>
      </c>
      <c r="K7" s="10" t="s">
        <v>238</v>
      </c>
      <c r="L7" s="10" t="s">
        <v>237</v>
      </c>
      <c r="M7" s="10">
        <v>1</v>
      </c>
      <c r="N7" s="10">
        <v>1</v>
      </c>
      <c r="O7" s="10" t="s">
        <v>67</v>
      </c>
      <c r="P7" s="10" t="s">
        <v>319</v>
      </c>
      <c r="Q7" s="10">
        <v>1</v>
      </c>
      <c r="R7" s="10">
        <v>1</v>
      </c>
      <c r="S7" s="10">
        <f t="shared" si="1"/>
        <v>3</v>
      </c>
      <c r="T7" s="10">
        <f t="shared" si="2"/>
        <v>3</v>
      </c>
      <c r="U7" s="10">
        <f t="shared" si="3"/>
        <v>6</v>
      </c>
      <c r="V7" s="10">
        <f>ROUNDUP('Hiệu xuất HPV G'!$S$34,2)</f>
        <v>12</v>
      </c>
      <c r="W7" s="10">
        <f>ROUNDUP('Hiệu xuất HPV G'!$S$36,2)</f>
        <v>0</v>
      </c>
      <c r="X7" s="10">
        <f>VLOOKUP(C7,'Hiệu xuất HPV G'!B:AP,19,0)</f>
        <v>12</v>
      </c>
      <c r="Y7" s="10">
        <f>VLOOKUP(C7,'Hiệu xuất HPV G'!B:AP,28,0)</f>
        <v>0.26</v>
      </c>
      <c r="Z7" s="10"/>
      <c r="AA7" s="10"/>
      <c r="AB7" s="10" t="s">
        <v>172</v>
      </c>
      <c r="AC7" s="10" t="s">
        <v>171</v>
      </c>
      <c r="AD7" s="10"/>
      <c r="AE7" s="10" t="s">
        <v>172</v>
      </c>
      <c r="AF7" s="28" t="s">
        <v>262</v>
      </c>
      <c r="AG7" s="10"/>
      <c r="AH7" s="10"/>
      <c r="AI7" s="10" t="s">
        <v>229</v>
      </c>
      <c r="AJ7" s="10"/>
      <c r="AK7" s="10"/>
      <c r="AL7" s="10"/>
    </row>
    <row r="8" spans="1:38" s="58" customFormat="1" x14ac:dyDescent="0.25">
      <c r="A8" s="57">
        <v>7</v>
      </c>
      <c r="B8" s="57"/>
      <c r="C8" s="10" t="s">
        <v>300</v>
      </c>
      <c r="D8" s="26" t="s">
        <v>214</v>
      </c>
      <c r="E8" s="27" t="s">
        <v>215</v>
      </c>
      <c r="F8" s="27">
        <v>7</v>
      </c>
      <c r="G8" s="27">
        <v>1</v>
      </c>
      <c r="H8" s="27">
        <v>230701</v>
      </c>
      <c r="I8" s="27" t="s">
        <v>315</v>
      </c>
      <c r="J8" s="28">
        <f t="shared" si="0"/>
        <v>25</v>
      </c>
      <c r="K8" s="10" t="s">
        <v>67</v>
      </c>
      <c r="L8" s="10" t="s">
        <v>261</v>
      </c>
      <c r="M8" s="10">
        <v>1</v>
      </c>
      <c r="N8" s="10">
        <v>1</v>
      </c>
      <c r="O8" s="10" t="s">
        <v>67</v>
      </c>
      <c r="P8" s="10" t="s">
        <v>319</v>
      </c>
      <c r="Q8" s="10">
        <v>1</v>
      </c>
      <c r="R8" s="10">
        <v>1</v>
      </c>
      <c r="S8" s="10">
        <v>3</v>
      </c>
      <c r="T8" s="10">
        <v>3</v>
      </c>
      <c r="U8" s="10">
        <f t="shared" si="3"/>
        <v>6</v>
      </c>
      <c r="V8" s="10">
        <f>ROUNDUP('Hiệu xuất HPV G'!$S$34,2)</f>
        <v>12</v>
      </c>
      <c r="W8" s="10">
        <f>ROUNDUP('Hiệu xuất HPV G'!$S$36,2)</f>
        <v>0</v>
      </c>
      <c r="X8" s="10" t="str">
        <f>VLOOKUP(C8,'Hiệu xuất HPV G'!B:AP,19,0)</f>
        <v>N/A</v>
      </c>
      <c r="Y8" s="10" t="str">
        <f>VLOOKUP(C8,'Hiệu xuất HPV G'!B:AP,28,0)</f>
        <v>N/A</v>
      </c>
      <c r="Z8" s="10" t="s">
        <v>226</v>
      </c>
      <c r="AA8" s="10" t="s">
        <v>223</v>
      </c>
      <c r="AB8" s="10" t="s">
        <v>224</v>
      </c>
      <c r="AC8" s="10" t="s">
        <v>225</v>
      </c>
      <c r="AD8" s="10"/>
      <c r="AE8" s="10" t="s">
        <v>224</v>
      </c>
      <c r="AF8" s="28" t="s">
        <v>262</v>
      </c>
      <c r="AG8" s="10" t="s">
        <v>263</v>
      </c>
      <c r="AH8" s="10" t="s">
        <v>229</v>
      </c>
      <c r="AI8" s="10" t="s">
        <v>264</v>
      </c>
      <c r="AJ8" s="10" t="s">
        <v>21</v>
      </c>
      <c r="AK8" s="10" t="s">
        <v>36</v>
      </c>
      <c r="AL8" s="10" t="s">
        <v>17</v>
      </c>
    </row>
    <row r="9" spans="1:38" s="62" customFormat="1" ht="31.5" x14ac:dyDescent="0.25">
      <c r="A9" s="59">
        <v>8</v>
      </c>
      <c r="B9" s="59">
        <v>3</v>
      </c>
      <c r="C9" s="7" t="s">
        <v>115</v>
      </c>
      <c r="D9" s="29" t="s">
        <v>116</v>
      </c>
      <c r="E9" s="30" t="s">
        <v>117</v>
      </c>
      <c r="F9" s="30">
        <v>7</v>
      </c>
      <c r="G9" s="30">
        <v>1</v>
      </c>
      <c r="H9" s="30">
        <v>230701</v>
      </c>
      <c r="I9" s="30" t="s">
        <v>315</v>
      </c>
      <c r="J9" s="31">
        <f t="shared" si="0"/>
        <v>25</v>
      </c>
      <c r="K9" s="7" t="s">
        <v>246</v>
      </c>
      <c r="L9" s="7" t="s">
        <v>247</v>
      </c>
      <c r="M9" s="7">
        <v>1</v>
      </c>
      <c r="N9" s="7">
        <v>1</v>
      </c>
      <c r="O9" s="7" t="s">
        <v>67</v>
      </c>
      <c r="P9" s="7" t="s">
        <v>319</v>
      </c>
      <c r="Q9" s="7">
        <v>1</v>
      </c>
      <c r="R9" s="7">
        <v>1</v>
      </c>
      <c r="S9" s="7">
        <f t="shared" si="1"/>
        <v>3</v>
      </c>
      <c r="T9" s="7">
        <f t="shared" si="2"/>
        <v>3</v>
      </c>
      <c r="U9" s="7">
        <f t="shared" si="3"/>
        <v>6</v>
      </c>
      <c r="V9" s="7">
        <f>ROUNDUP('Hiệu xuất HPV G'!$S$34,2)</f>
        <v>12</v>
      </c>
      <c r="W9" s="7">
        <f>ROUNDUP('Hiệu xuất HPV G'!$S$36,2)</f>
        <v>0</v>
      </c>
      <c r="X9" s="7">
        <f>VLOOKUP(C9,'Hiệu xuất HPV G'!B:AP,19,0)</f>
        <v>12</v>
      </c>
      <c r="Y9" s="7">
        <f>VLOOKUP(C9,'Hiệu xuất HPV G'!B:AP,28,0)</f>
        <v>0.26</v>
      </c>
      <c r="Z9" s="7" t="s">
        <v>118</v>
      </c>
      <c r="AA9" s="7" t="s">
        <v>119</v>
      </c>
      <c r="AB9" s="60" t="s">
        <v>190</v>
      </c>
      <c r="AC9" s="7" t="s">
        <v>120</v>
      </c>
      <c r="AD9" s="7"/>
      <c r="AE9" s="61" t="s">
        <v>121</v>
      </c>
      <c r="AF9" s="31" t="s">
        <v>188</v>
      </c>
      <c r="AG9" s="7" t="s">
        <v>240</v>
      </c>
      <c r="AH9" s="7" t="s">
        <v>232</v>
      </c>
      <c r="AI9" s="7" t="s">
        <v>231</v>
      </c>
      <c r="AJ9" s="7" t="s">
        <v>113</v>
      </c>
      <c r="AK9" s="7" t="s">
        <v>22</v>
      </c>
      <c r="AL9" s="7" t="s">
        <v>17</v>
      </c>
    </row>
    <row r="10" spans="1:38" s="65" customFormat="1" x14ac:dyDescent="0.25">
      <c r="A10" s="63">
        <v>9</v>
      </c>
      <c r="B10" s="63">
        <v>1</v>
      </c>
      <c r="C10" s="11" t="s">
        <v>122</v>
      </c>
      <c r="D10" s="32" t="s">
        <v>33</v>
      </c>
      <c r="E10" s="33" t="s">
        <v>34</v>
      </c>
      <c r="F10" s="33">
        <v>7</v>
      </c>
      <c r="G10" s="33">
        <v>1</v>
      </c>
      <c r="H10" s="33">
        <v>230701</v>
      </c>
      <c r="I10" s="33" t="s">
        <v>315</v>
      </c>
      <c r="J10" s="64">
        <f t="shared" si="0"/>
        <v>25</v>
      </c>
      <c r="K10" s="11" t="s">
        <v>67</v>
      </c>
      <c r="L10" s="11" t="s">
        <v>67</v>
      </c>
      <c r="M10" s="11">
        <v>1</v>
      </c>
      <c r="N10" s="11" t="s">
        <v>66</v>
      </c>
      <c r="O10" s="11" t="s">
        <v>67</v>
      </c>
      <c r="P10" s="11" t="s">
        <v>319</v>
      </c>
      <c r="Q10" s="11">
        <v>1</v>
      </c>
      <c r="R10" s="11">
        <v>1</v>
      </c>
      <c r="S10" s="11">
        <f t="shared" si="1"/>
        <v>3</v>
      </c>
      <c r="T10" s="11">
        <f t="shared" si="2"/>
        <v>0</v>
      </c>
      <c r="U10" s="11">
        <f t="shared" si="3"/>
        <v>3</v>
      </c>
      <c r="V10" s="11">
        <f>ROUNDUP('Hiệu xuất HPV G'!$S$34,2)</f>
        <v>12</v>
      </c>
      <c r="W10" s="11">
        <f>ROUNDUP('Hiệu xuất HPV G'!$S$36,2)</f>
        <v>0</v>
      </c>
      <c r="X10" s="11">
        <f>VLOOKUP(C10,'Hiệu xuất HPV G'!B:AP,19,0)</f>
        <v>9</v>
      </c>
      <c r="Y10" s="11">
        <f>VLOOKUP(C10,'Hiệu xuất HPV G'!B:AP,28,0)</f>
        <v>-3.6199999999999997</v>
      </c>
      <c r="Z10" s="11"/>
      <c r="AA10" s="11"/>
      <c r="AB10" s="11"/>
      <c r="AC10" s="11" t="s">
        <v>320</v>
      </c>
      <c r="AD10" s="11" t="s">
        <v>45</v>
      </c>
      <c r="AE10" s="11" t="s">
        <v>41</v>
      </c>
      <c r="AF10" s="34" t="s">
        <v>41</v>
      </c>
      <c r="AG10" s="11" t="s">
        <v>229</v>
      </c>
      <c r="AH10" s="11" t="s">
        <v>321</v>
      </c>
      <c r="AI10" s="11" t="s">
        <v>235</v>
      </c>
      <c r="AJ10" s="11" t="s">
        <v>21</v>
      </c>
      <c r="AK10" s="11"/>
      <c r="AL10" s="11"/>
    </row>
    <row r="11" spans="1:38" s="5" customFormat="1" x14ac:dyDescent="0.25">
      <c r="A11" s="66">
        <v>10</v>
      </c>
      <c r="B11" s="66">
        <v>2</v>
      </c>
      <c r="C11" s="12" t="s">
        <v>124</v>
      </c>
      <c r="D11" s="35" t="s">
        <v>56</v>
      </c>
      <c r="E11" s="36" t="s">
        <v>78</v>
      </c>
      <c r="F11" s="36">
        <v>7</v>
      </c>
      <c r="G11" s="36">
        <v>1</v>
      </c>
      <c r="H11" s="36">
        <v>230701</v>
      </c>
      <c r="I11" s="36" t="s">
        <v>315</v>
      </c>
      <c r="J11" s="67">
        <f t="shared" si="0"/>
        <v>25</v>
      </c>
      <c r="K11" s="12" t="s">
        <v>67</v>
      </c>
      <c r="L11" s="12" t="s">
        <v>245</v>
      </c>
      <c r="M11" s="12">
        <v>1</v>
      </c>
      <c r="N11" s="12">
        <v>1</v>
      </c>
      <c r="O11" s="12" t="s">
        <v>67</v>
      </c>
      <c r="P11" s="12" t="s">
        <v>319</v>
      </c>
      <c r="Q11" s="12">
        <v>1</v>
      </c>
      <c r="R11" s="12">
        <v>1</v>
      </c>
      <c r="S11" s="12">
        <f t="shared" si="1"/>
        <v>3</v>
      </c>
      <c r="T11" s="12">
        <f t="shared" si="2"/>
        <v>3</v>
      </c>
      <c r="U11" s="12">
        <f t="shared" si="3"/>
        <v>6</v>
      </c>
      <c r="V11" s="12">
        <f>ROUNDUP('Hiệu xuất HPV G'!$T$34,2)</f>
        <v>11.8</v>
      </c>
      <c r="W11" s="12">
        <f>ROUNDUP('Hiệu xuất HPV G'!$T$36,2)</f>
        <v>0.78</v>
      </c>
      <c r="X11" s="12">
        <f>VLOOKUP(C11,'Hiệu xuất HPV G'!B:AP,19,0)</f>
        <v>12</v>
      </c>
      <c r="Y11" s="12">
        <f>VLOOKUP(C11,'Hiệu xuất HPV G'!B:AP,28,0)</f>
        <v>0.26</v>
      </c>
      <c r="Z11" s="12" t="s">
        <v>125</v>
      </c>
      <c r="AA11" s="12" t="s">
        <v>39</v>
      </c>
      <c r="AB11" s="12" t="s">
        <v>218</v>
      </c>
      <c r="AC11" s="12" t="s">
        <v>126</v>
      </c>
      <c r="AD11" s="12" t="s">
        <v>219</v>
      </c>
      <c r="AE11" s="12" t="s">
        <v>127</v>
      </c>
      <c r="AF11" s="37" t="s">
        <v>47</v>
      </c>
      <c r="AG11" s="12" t="s">
        <v>240</v>
      </c>
      <c r="AH11" s="12" t="s">
        <v>230</v>
      </c>
      <c r="AI11" s="12" t="s">
        <v>232</v>
      </c>
      <c r="AJ11" s="12" t="s">
        <v>212</v>
      </c>
      <c r="AK11" s="12" t="s">
        <v>36</v>
      </c>
      <c r="AL11" s="12" t="s">
        <v>17</v>
      </c>
    </row>
    <row r="12" spans="1:38" s="5" customFormat="1" x14ac:dyDescent="0.25">
      <c r="A12" s="66">
        <v>11</v>
      </c>
      <c r="B12" s="66">
        <v>2</v>
      </c>
      <c r="C12" s="12" t="s">
        <v>128</v>
      </c>
      <c r="D12" s="35" t="s">
        <v>83</v>
      </c>
      <c r="E12" s="36" t="s">
        <v>84</v>
      </c>
      <c r="F12" s="36">
        <v>7</v>
      </c>
      <c r="G12" s="36">
        <v>1</v>
      </c>
      <c r="H12" s="36">
        <v>230701</v>
      </c>
      <c r="I12" s="36" t="s">
        <v>315</v>
      </c>
      <c r="J12" s="67">
        <f t="shared" si="0"/>
        <v>25</v>
      </c>
      <c r="K12" s="12" t="s">
        <v>67</v>
      </c>
      <c r="L12" s="12" t="s">
        <v>245</v>
      </c>
      <c r="M12" s="12">
        <v>1</v>
      </c>
      <c r="N12" s="12">
        <v>1</v>
      </c>
      <c r="O12" s="12" t="s">
        <v>67</v>
      </c>
      <c r="P12" s="12" t="s">
        <v>319</v>
      </c>
      <c r="Q12" s="12">
        <v>1</v>
      </c>
      <c r="R12" s="12">
        <v>1</v>
      </c>
      <c r="S12" s="12">
        <f t="shared" si="1"/>
        <v>3</v>
      </c>
      <c r="T12" s="12">
        <f t="shared" si="2"/>
        <v>3</v>
      </c>
      <c r="U12" s="12">
        <f t="shared" si="3"/>
        <v>6</v>
      </c>
      <c r="V12" s="12">
        <f>ROUNDUP('Hiệu xuất HPV G'!$T$34,2)</f>
        <v>11.8</v>
      </c>
      <c r="W12" s="12">
        <f>ROUNDUP('Hiệu xuất HPV G'!$T$36,2)</f>
        <v>0.78</v>
      </c>
      <c r="X12" s="12">
        <f>VLOOKUP(C12,'Hiệu xuất HPV G'!B:AP,19,0)</f>
        <v>12</v>
      </c>
      <c r="Y12" s="12">
        <f>VLOOKUP(C12,'Hiệu xuất HPV G'!B:AP,28,0)</f>
        <v>0.26</v>
      </c>
      <c r="Z12" s="12" t="s">
        <v>189</v>
      </c>
      <c r="AA12" s="12"/>
      <c r="AB12" s="12" t="s">
        <v>177</v>
      </c>
      <c r="AC12" s="12" t="s">
        <v>129</v>
      </c>
      <c r="AD12" s="12"/>
      <c r="AE12" s="12" t="s">
        <v>48</v>
      </c>
      <c r="AF12" s="37" t="s">
        <v>47</v>
      </c>
      <c r="AG12" s="12" t="s">
        <v>229</v>
      </c>
      <c r="AH12" s="12" t="s">
        <v>240</v>
      </c>
      <c r="AI12" s="12" t="s">
        <v>240</v>
      </c>
      <c r="AJ12" s="12" t="s">
        <v>248</v>
      </c>
      <c r="AK12" s="12"/>
      <c r="AL12" s="12" t="s">
        <v>17</v>
      </c>
    </row>
    <row r="13" spans="1:38" s="5" customFormat="1" ht="18.75" x14ac:dyDescent="0.25">
      <c r="A13" s="100">
        <v>12</v>
      </c>
      <c r="B13" s="100"/>
      <c r="C13" s="12" t="s">
        <v>130</v>
      </c>
      <c r="D13" s="12" t="s">
        <v>79</v>
      </c>
      <c r="E13" s="12" t="s">
        <v>80</v>
      </c>
      <c r="F13" s="12">
        <v>7</v>
      </c>
      <c r="G13" s="12">
        <v>1</v>
      </c>
      <c r="H13" s="12">
        <v>230701</v>
      </c>
      <c r="I13" s="12" t="s">
        <v>315</v>
      </c>
      <c r="J13" s="67">
        <f t="shared" si="0"/>
        <v>25</v>
      </c>
      <c r="K13" s="12" t="s">
        <v>67</v>
      </c>
      <c r="L13" s="12" t="s">
        <v>227</v>
      </c>
      <c r="M13" s="68">
        <v>1</v>
      </c>
      <c r="N13" s="68">
        <v>1</v>
      </c>
      <c r="O13" s="12" t="s">
        <v>67</v>
      </c>
      <c r="P13" s="12" t="s">
        <v>319</v>
      </c>
      <c r="Q13" s="12">
        <v>1</v>
      </c>
      <c r="R13" s="12">
        <v>1</v>
      </c>
      <c r="S13" s="12">
        <f t="shared" si="1"/>
        <v>3</v>
      </c>
      <c r="T13" s="12">
        <f t="shared" si="2"/>
        <v>3</v>
      </c>
      <c r="U13" s="12">
        <f t="shared" si="3"/>
        <v>6</v>
      </c>
      <c r="V13" s="12">
        <f>ROUNDUP('Hiệu xuất HPV G'!$T$34,2)</f>
        <v>11.8</v>
      </c>
      <c r="W13" s="12">
        <f>ROUNDUP('Hiệu xuất HPV G'!$T$36,2)</f>
        <v>0.78</v>
      </c>
      <c r="X13" s="12">
        <f>VLOOKUP(C13,'Hiệu xuất HPV G'!B:AP,19,0)</f>
        <v>12</v>
      </c>
      <c r="Y13" s="12">
        <f>VLOOKUP(C13,'Hiệu xuất HPV G'!B:AP,28,0)</f>
        <v>0.26</v>
      </c>
      <c r="Z13" s="12" t="s">
        <v>213</v>
      </c>
      <c r="AA13" s="68"/>
      <c r="AB13" s="12" t="s">
        <v>81</v>
      </c>
      <c r="AC13" s="69" t="s">
        <v>131</v>
      </c>
      <c r="AD13" s="68"/>
      <c r="AE13" s="12" t="s">
        <v>82</v>
      </c>
      <c r="AF13" s="37" t="s">
        <v>47</v>
      </c>
      <c r="AG13" s="12" t="s">
        <v>229</v>
      </c>
      <c r="AH13" s="12" t="s">
        <v>232</v>
      </c>
      <c r="AI13" s="12" t="s">
        <v>233</v>
      </c>
      <c r="AJ13" s="68" t="s">
        <v>30</v>
      </c>
      <c r="AK13" s="68" t="s">
        <v>132</v>
      </c>
      <c r="AL13" s="12" t="s">
        <v>17</v>
      </c>
    </row>
    <row r="14" spans="1:38" s="5" customFormat="1" ht="18.75" x14ac:dyDescent="0.25">
      <c r="A14" s="100">
        <v>13</v>
      </c>
      <c r="B14" s="100"/>
      <c r="C14" s="12" t="s">
        <v>292</v>
      </c>
      <c r="D14" s="12" t="s">
        <v>249</v>
      </c>
      <c r="E14" s="12" t="s">
        <v>291</v>
      </c>
      <c r="F14" s="12">
        <v>7</v>
      </c>
      <c r="G14" s="12">
        <v>1</v>
      </c>
      <c r="H14" s="12">
        <v>230701</v>
      </c>
      <c r="I14" s="12" t="s">
        <v>315</v>
      </c>
      <c r="J14" s="67">
        <f t="shared" si="0"/>
        <v>25</v>
      </c>
      <c r="K14" s="12" t="s">
        <v>67</v>
      </c>
      <c r="L14" s="12" t="s">
        <v>250</v>
      </c>
      <c r="M14" s="68">
        <v>1</v>
      </c>
      <c r="N14" s="68">
        <v>1</v>
      </c>
      <c r="O14" s="12" t="s">
        <v>67</v>
      </c>
      <c r="P14" s="12" t="s">
        <v>319</v>
      </c>
      <c r="Q14" s="12">
        <v>1</v>
      </c>
      <c r="R14" s="12">
        <v>1</v>
      </c>
      <c r="S14" s="12">
        <v>3</v>
      </c>
      <c r="T14" s="12">
        <v>3</v>
      </c>
      <c r="U14" s="12">
        <f t="shared" si="3"/>
        <v>6</v>
      </c>
      <c r="V14" s="12">
        <f>ROUNDUP('Hiệu xuất HPV G'!$T$34,2)</f>
        <v>11.8</v>
      </c>
      <c r="W14" s="12">
        <f>ROUNDUP('Hiệu xuất HPV G'!$T$36,2)</f>
        <v>0.78</v>
      </c>
      <c r="X14" s="12" t="str">
        <f>VLOOKUP(C14,'Hiệu xuất HPV G'!B:AP,19,0)</f>
        <v>N/A</v>
      </c>
      <c r="Y14" s="12" t="str">
        <f>VLOOKUP(C14,'Hiệu xuất HPV G'!B:AP,28,0)</f>
        <v>N/A</v>
      </c>
      <c r="Z14" s="12" t="s">
        <v>267</v>
      </c>
      <c r="AA14" s="68" t="s">
        <v>268</v>
      </c>
      <c r="AB14" s="12" t="s">
        <v>269</v>
      </c>
      <c r="AC14" s="69" t="s">
        <v>288</v>
      </c>
      <c r="AD14" s="68" t="s">
        <v>270</v>
      </c>
      <c r="AE14" s="12" t="s">
        <v>48</v>
      </c>
      <c r="AF14" s="37" t="s">
        <v>47</v>
      </c>
      <c r="AG14" s="12" t="s">
        <v>229</v>
      </c>
      <c r="AH14" s="12" t="s">
        <v>240</v>
      </c>
      <c r="AI14" s="12" t="s">
        <v>271</v>
      </c>
      <c r="AJ14" s="68" t="s">
        <v>272</v>
      </c>
      <c r="AK14" s="68" t="s">
        <v>36</v>
      </c>
      <c r="AL14" s="12" t="s">
        <v>17</v>
      </c>
    </row>
    <row r="15" spans="1:38" s="5" customFormat="1" ht="18.75" x14ac:dyDescent="0.25">
      <c r="A15" s="100">
        <v>14</v>
      </c>
      <c r="B15" s="100"/>
      <c r="C15" s="12" t="s">
        <v>294</v>
      </c>
      <c r="D15" s="12" t="s">
        <v>265</v>
      </c>
      <c r="E15" s="12" t="s">
        <v>293</v>
      </c>
      <c r="F15" s="12">
        <v>7</v>
      </c>
      <c r="G15" s="12">
        <v>1</v>
      </c>
      <c r="H15" s="12">
        <v>230701</v>
      </c>
      <c r="I15" s="12" t="s">
        <v>315</v>
      </c>
      <c r="J15" s="67">
        <f t="shared" si="0"/>
        <v>25</v>
      </c>
      <c r="K15" s="12" t="s">
        <v>67</v>
      </c>
      <c r="L15" s="12" t="s">
        <v>266</v>
      </c>
      <c r="M15" s="68">
        <v>1</v>
      </c>
      <c r="N15" s="68">
        <v>1</v>
      </c>
      <c r="O15" s="12" t="s">
        <v>67</v>
      </c>
      <c r="P15" s="12" t="s">
        <v>319</v>
      </c>
      <c r="Q15" s="12">
        <v>1</v>
      </c>
      <c r="R15" s="12">
        <v>1</v>
      </c>
      <c r="S15" s="12">
        <v>3</v>
      </c>
      <c r="T15" s="12">
        <v>3</v>
      </c>
      <c r="U15" s="12">
        <f t="shared" si="3"/>
        <v>6</v>
      </c>
      <c r="V15" s="12">
        <f>ROUNDUP('Hiệu xuất HPV G'!$T$34,2)</f>
        <v>11.8</v>
      </c>
      <c r="W15" s="12">
        <f>ROUNDUP('Hiệu xuất HPV G'!$T$36,2)</f>
        <v>0.78</v>
      </c>
      <c r="X15" s="12" t="str">
        <f>VLOOKUP(C15,'Hiệu xuất HPV G'!B:AP,19,0)</f>
        <v>N/A</v>
      </c>
      <c r="Y15" s="12" t="str">
        <f>VLOOKUP(C15,'Hiệu xuất HPV G'!B:AP,28,0)</f>
        <v>N/A</v>
      </c>
      <c r="Z15" s="12" t="s">
        <v>251</v>
      </c>
      <c r="AA15" s="68" t="s">
        <v>252</v>
      </c>
      <c r="AB15" s="12" t="s">
        <v>253</v>
      </c>
      <c r="AC15" s="69" t="s">
        <v>317</v>
      </c>
      <c r="AD15" s="68" t="s">
        <v>45</v>
      </c>
      <c r="AE15" s="12" t="s">
        <v>254</v>
      </c>
      <c r="AF15" s="37" t="s">
        <v>47</v>
      </c>
      <c r="AG15" s="12" t="s">
        <v>229</v>
      </c>
      <c r="AH15" s="12" t="s">
        <v>255</v>
      </c>
      <c r="AI15" s="12" t="s">
        <v>241</v>
      </c>
      <c r="AJ15" s="68" t="s">
        <v>21</v>
      </c>
      <c r="AK15" s="68" t="s">
        <v>35</v>
      </c>
      <c r="AL15" s="12" t="s">
        <v>17</v>
      </c>
    </row>
    <row r="16" spans="1:38" s="5" customFormat="1" ht="18.75" x14ac:dyDescent="0.25">
      <c r="A16" s="100">
        <v>15</v>
      </c>
      <c r="B16" s="100"/>
      <c r="C16" s="12" t="s">
        <v>296</v>
      </c>
      <c r="D16" s="12" t="s">
        <v>284</v>
      </c>
      <c r="E16" s="12" t="s">
        <v>295</v>
      </c>
      <c r="F16" s="12">
        <v>7</v>
      </c>
      <c r="G16" s="12">
        <v>1</v>
      </c>
      <c r="H16" s="12">
        <v>230701</v>
      </c>
      <c r="I16" s="12" t="s">
        <v>315</v>
      </c>
      <c r="J16" s="67">
        <f t="shared" si="0"/>
        <v>25</v>
      </c>
      <c r="K16" s="12" t="s">
        <v>67</v>
      </c>
      <c r="L16" s="12" t="s">
        <v>285</v>
      </c>
      <c r="M16" s="68">
        <v>1</v>
      </c>
      <c r="N16" s="68">
        <v>1</v>
      </c>
      <c r="O16" s="12" t="s">
        <v>67</v>
      </c>
      <c r="P16" s="12" t="s">
        <v>319</v>
      </c>
      <c r="Q16" s="12">
        <v>1</v>
      </c>
      <c r="R16" s="12">
        <v>1</v>
      </c>
      <c r="S16" s="12">
        <v>3</v>
      </c>
      <c r="T16" s="12">
        <v>3</v>
      </c>
      <c r="U16" s="12">
        <f t="shared" si="3"/>
        <v>6</v>
      </c>
      <c r="V16" s="12">
        <f>ROUNDUP('Hiệu xuất HPV G'!$T$34,2)</f>
        <v>11.8</v>
      </c>
      <c r="W16" s="12">
        <f>ROUNDUP('Hiệu xuất HPV G'!$T$36,2)</f>
        <v>0.78</v>
      </c>
      <c r="X16" s="12" t="str">
        <f>VLOOKUP(C16,'Hiệu xuất HPV G'!B:AP,19,0)</f>
        <v>N/A</v>
      </c>
      <c r="Y16" s="12" t="str">
        <f>VLOOKUP(C16,'Hiệu xuất HPV G'!B:AP,28,0)</f>
        <v>N/A</v>
      </c>
      <c r="Z16" s="12" t="s">
        <v>267</v>
      </c>
      <c r="AA16" s="68" t="s">
        <v>286</v>
      </c>
      <c r="AB16" s="12" t="s">
        <v>287</v>
      </c>
      <c r="AC16" s="69" t="s">
        <v>288</v>
      </c>
      <c r="AD16" s="68" t="s">
        <v>45</v>
      </c>
      <c r="AE16" s="12" t="s">
        <v>289</v>
      </c>
      <c r="AF16" s="37" t="s">
        <v>47</v>
      </c>
      <c r="AG16" s="12" t="s">
        <v>229</v>
      </c>
      <c r="AH16" s="12" t="s">
        <v>258</v>
      </c>
      <c r="AI16" s="12" t="s">
        <v>290</v>
      </c>
      <c r="AJ16" s="68" t="s">
        <v>30</v>
      </c>
      <c r="AK16" s="68"/>
      <c r="AL16" s="12" t="s">
        <v>17</v>
      </c>
    </row>
    <row r="17" spans="1:38" s="72" customFormat="1" x14ac:dyDescent="0.25">
      <c r="A17" s="70">
        <v>16</v>
      </c>
      <c r="B17" s="70"/>
      <c r="C17" s="13" t="s">
        <v>133</v>
      </c>
      <c r="D17" s="13" t="s">
        <v>90</v>
      </c>
      <c r="E17" s="13" t="s">
        <v>91</v>
      </c>
      <c r="F17" s="13">
        <v>7</v>
      </c>
      <c r="G17" s="13">
        <v>1</v>
      </c>
      <c r="H17" s="13">
        <v>230701</v>
      </c>
      <c r="I17" s="13" t="s">
        <v>315</v>
      </c>
      <c r="J17" s="71">
        <f t="shared" si="0"/>
        <v>25</v>
      </c>
      <c r="K17" s="13"/>
      <c r="L17" s="13"/>
      <c r="M17" s="13"/>
      <c r="N17" s="13"/>
      <c r="O17" s="13" t="s">
        <v>67</v>
      </c>
      <c r="P17" s="13" t="s">
        <v>319</v>
      </c>
      <c r="Q17" s="13">
        <v>1</v>
      </c>
      <c r="R17" s="13">
        <v>1</v>
      </c>
      <c r="S17" s="13">
        <f t="shared" si="1"/>
        <v>0</v>
      </c>
      <c r="T17" s="13">
        <f t="shared" si="2"/>
        <v>0</v>
      </c>
      <c r="U17" s="13">
        <f t="shared" si="3"/>
        <v>0</v>
      </c>
      <c r="V17" s="13">
        <f>ROUNDUP('Hiệu xuất HPV G'!$T$34,2)</f>
        <v>11.8</v>
      </c>
      <c r="W17" s="13">
        <f>ROUNDUP('Hiệu xuất HPV G'!$T$36,2)</f>
        <v>0.78</v>
      </c>
      <c r="X17" s="13" t="str">
        <f>VLOOKUP(C17,'Hiệu xuất HPV G'!B:AP,19,0)</f>
        <v>N/A</v>
      </c>
      <c r="Y17" s="13" t="str">
        <f>VLOOKUP(C17,'Hiệu xuất HPV G'!B:AP,28,0)</f>
        <v>N/A</v>
      </c>
      <c r="Z17" s="13" t="s">
        <v>92</v>
      </c>
      <c r="AA17" s="13"/>
      <c r="AB17" s="13" t="s">
        <v>93</v>
      </c>
      <c r="AC17" s="13" t="s">
        <v>92</v>
      </c>
      <c r="AD17" s="13"/>
      <c r="AE17" s="13" t="s">
        <v>93</v>
      </c>
      <c r="AF17" s="38" t="s">
        <v>94</v>
      </c>
      <c r="AG17" s="13" t="s">
        <v>209</v>
      </c>
      <c r="AH17" s="13" t="s">
        <v>210</v>
      </c>
      <c r="AI17" s="13" t="s">
        <v>205</v>
      </c>
      <c r="AJ17" s="13" t="s">
        <v>207</v>
      </c>
      <c r="AK17" s="13">
        <v>8</v>
      </c>
      <c r="AL17" s="13" t="s">
        <v>17</v>
      </c>
    </row>
    <row r="18" spans="1:38" s="72" customFormat="1" x14ac:dyDescent="0.25">
      <c r="A18" s="70">
        <v>17</v>
      </c>
      <c r="B18" s="70" t="s">
        <v>18</v>
      </c>
      <c r="C18" s="13" t="s">
        <v>134</v>
      </c>
      <c r="D18" s="39" t="s">
        <v>135</v>
      </c>
      <c r="E18" s="40" t="s">
        <v>136</v>
      </c>
      <c r="F18" s="40">
        <v>7</v>
      </c>
      <c r="G18" s="40">
        <v>1</v>
      </c>
      <c r="H18" s="40">
        <v>230701</v>
      </c>
      <c r="I18" s="40" t="s">
        <v>315</v>
      </c>
      <c r="J18" s="71">
        <f t="shared" si="0"/>
        <v>25</v>
      </c>
      <c r="K18" s="13" t="s">
        <v>67</v>
      </c>
      <c r="L18" s="13" t="s">
        <v>234</v>
      </c>
      <c r="M18" s="13">
        <v>1</v>
      </c>
      <c r="N18" s="13">
        <v>1</v>
      </c>
      <c r="O18" s="13" t="s">
        <v>67</v>
      </c>
      <c r="P18" s="13" t="s">
        <v>319</v>
      </c>
      <c r="Q18" s="13">
        <v>1</v>
      </c>
      <c r="R18" s="13">
        <v>1</v>
      </c>
      <c r="S18" s="13">
        <f t="shared" si="1"/>
        <v>3</v>
      </c>
      <c r="T18" s="13">
        <f t="shared" si="2"/>
        <v>3</v>
      </c>
      <c r="U18" s="13">
        <f t="shared" si="3"/>
        <v>6</v>
      </c>
      <c r="V18" s="13">
        <f>ROUNDUP('Hiệu xuất HPV G'!$T$34,2)</f>
        <v>11.8</v>
      </c>
      <c r="W18" s="13">
        <f>ROUNDUP('Hiệu xuất HPV G'!$T$36,2)</f>
        <v>0.78</v>
      </c>
      <c r="X18" s="13">
        <f>VLOOKUP(C18,'Hiệu xuất HPV G'!B:AP,19,0)</f>
        <v>12</v>
      </c>
      <c r="Y18" s="13">
        <f>VLOOKUP(C18,'Hiệu xuất HPV G'!B:AP,28,0)</f>
        <v>0.26</v>
      </c>
      <c r="Z18" s="13" t="s">
        <v>137</v>
      </c>
      <c r="AA18" s="13"/>
      <c r="AB18" s="13" t="s">
        <v>138</v>
      </c>
      <c r="AC18" s="13" t="s">
        <v>137</v>
      </c>
      <c r="AD18" s="13"/>
      <c r="AE18" s="13" t="s">
        <v>138</v>
      </c>
      <c r="AF18" s="38" t="s">
        <v>94</v>
      </c>
      <c r="AG18" s="13"/>
      <c r="AH18" s="13"/>
      <c r="AI18" s="13" t="s">
        <v>235</v>
      </c>
      <c r="AJ18" s="13"/>
      <c r="AK18" s="13"/>
      <c r="AL18" s="13"/>
    </row>
    <row r="19" spans="1:38" s="72" customFormat="1" x14ac:dyDescent="0.25">
      <c r="A19" s="70">
        <v>18</v>
      </c>
      <c r="B19" s="70"/>
      <c r="C19" s="13" t="s">
        <v>297</v>
      </c>
      <c r="D19" s="39" t="s">
        <v>220</v>
      </c>
      <c r="E19" s="40" t="s">
        <v>221</v>
      </c>
      <c r="F19" s="40">
        <v>7</v>
      </c>
      <c r="G19" s="40">
        <v>1</v>
      </c>
      <c r="H19" s="40">
        <v>230701</v>
      </c>
      <c r="I19" s="40" t="s">
        <v>315</v>
      </c>
      <c r="J19" s="71">
        <f t="shared" si="0"/>
        <v>25</v>
      </c>
      <c r="K19" s="13" t="s">
        <v>260</v>
      </c>
      <c r="L19" s="13" t="s">
        <v>256</v>
      </c>
      <c r="M19" s="13">
        <v>1</v>
      </c>
      <c r="N19" s="13">
        <v>1</v>
      </c>
      <c r="O19" s="13" t="s">
        <v>67</v>
      </c>
      <c r="P19" s="13" t="s">
        <v>319</v>
      </c>
      <c r="Q19" s="13">
        <v>1</v>
      </c>
      <c r="R19" s="13">
        <v>1</v>
      </c>
      <c r="S19" s="13">
        <v>3</v>
      </c>
      <c r="T19" s="13">
        <v>3</v>
      </c>
      <c r="U19" s="13">
        <f t="shared" si="3"/>
        <v>6</v>
      </c>
      <c r="V19" s="13">
        <f>ROUNDUP('Hiệu xuất HPV G'!$T$34,2)</f>
        <v>11.8</v>
      </c>
      <c r="W19" s="13">
        <f>ROUNDUP('Hiệu xuất HPV G'!$T$36,2)</f>
        <v>0.78</v>
      </c>
      <c r="X19" s="13" t="str">
        <f>VLOOKUP(C19,'Hiệu xuất HPV G'!B:AP,19,0)</f>
        <v>N/A</v>
      </c>
      <c r="Y19" s="13" t="str">
        <f>VLOOKUP(C19,'Hiệu xuất HPV G'!B:AP,28,0)</f>
        <v>N/A</v>
      </c>
      <c r="Z19" s="13"/>
      <c r="AA19" s="13"/>
      <c r="AB19" s="13"/>
      <c r="AC19" s="13" t="s">
        <v>257</v>
      </c>
      <c r="AD19" s="13" t="s">
        <v>45</v>
      </c>
      <c r="AE19" s="13" t="s">
        <v>138</v>
      </c>
      <c r="AF19" s="38" t="s">
        <v>94</v>
      </c>
      <c r="AG19" s="13" t="s">
        <v>258</v>
      </c>
      <c r="AH19" s="13" t="s">
        <v>259</v>
      </c>
      <c r="AI19" s="13" t="s">
        <v>235</v>
      </c>
      <c r="AJ19" s="13" t="s">
        <v>222</v>
      </c>
      <c r="AK19" s="13" t="s">
        <v>17</v>
      </c>
      <c r="AL19" s="13" t="s">
        <v>17</v>
      </c>
    </row>
    <row r="20" spans="1:38" s="75" customFormat="1" x14ac:dyDescent="0.25">
      <c r="A20" s="73">
        <v>19</v>
      </c>
      <c r="B20" s="73">
        <v>1</v>
      </c>
      <c r="C20" s="14" t="s">
        <v>139</v>
      </c>
      <c r="D20" s="41" t="s">
        <v>140</v>
      </c>
      <c r="E20" s="42" t="s">
        <v>141</v>
      </c>
      <c r="F20" s="42">
        <v>7</v>
      </c>
      <c r="G20" s="42">
        <v>1</v>
      </c>
      <c r="H20" s="42">
        <v>230701</v>
      </c>
      <c r="I20" s="42" t="s">
        <v>315</v>
      </c>
      <c r="J20" s="74">
        <f t="shared" si="0"/>
        <v>25</v>
      </c>
      <c r="K20" s="14"/>
      <c r="L20" s="14"/>
      <c r="M20" s="14"/>
      <c r="N20" s="14"/>
      <c r="O20" s="14" t="s">
        <v>67</v>
      </c>
      <c r="P20" s="14" t="s">
        <v>319</v>
      </c>
      <c r="Q20" s="14">
        <v>1</v>
      </c>
      <c r="R20" s="14">
        <v>1</v>
      </c>
      <c r="S20" s="14">
        <v>0</v>
      </c>
      <c r="T20" s="14">
        <v>0</v>
      </c>
      <c r="U20" s="14">
        <f t="shared" si="3"/>
        <v>0</v>
      </c>
      <c r="V20" s="14">
        <f>ROUNDUP('Hiệu xuất HPV G'!$T$34,2)</f>
        <v>11.8</v>
      </c>
      <c r="W20" s="14">
        <f>ROUNDUP('Hiệu xuất HPV G'!$T$36,2)</f>
        <v>0.78</v>
      </c>
      <c r="X20" s="14" t="str">
        <f>VLOOKUP(C20,'Hiệu xuất HPV G'!B:AP,19,0)</f>
        <v>N/A</v>
      </c>
      <c r="Y20" s="14" t="str">
        <f>VLOOKUP(C20,'Hiệu xuất HPV G'!B:AP,28,0)</f>
        <v>N/A</v>
      </c>
      <c r="Z20" s="14" t="s">
        <v>142</v>
      </c>
      <c r="AA20" s="14"/>
      <c r="AB20" s="14" t="s">
        <v>143</v>
      </c>
      <c r="AC20" s="14" t="s">
        <v>142</v>
      </c>
      <c r="AD20" s="14"/>
      <c r="AE20" s="14" t="s">
        <v>144</v>
      </c>
      <c r="AF20" s="43" t="s">
        <v>37</v>
      </c>
      <c r="AG20" s="14"/>
      <c r="AH20" s="14"/>
      <c r="AI20" s="14"/>
      <c r="AJ20" s="14" t="s">
        <v>50</v>
      </c>
      <c r="AK20" s="14"/>
      <c r="AL20" s="14"/>
    </row>
    <row r="21" spans="1:38" s="75" customFormat="1" x14ac:dyDescent="0.25">
      <c r="A21" s="73">
        <v>20</v>
      </c>
      <c r="B21" s="73" t="s">
        <v>18</v>
      </c>
      <c r="C21" s="14" t="s">
        <v>145</v>
      </c>
      <c r="D21" s="41" t="s">
        <v>135</v>
      </c>
      <c r="E21" s="42" t="s">
        <v>136</v>
      </c>
      <c r="F21" s="42">
        <v>7</v>
      </c>
      <c r="G21" s="42">
        <v>1</v>
      </c>
      <c r="H21" s="42">
        <v>230701</v>
      </c>
      <c r="I21" s="42" t="s">
        <v>315</v>
      </c>
      <c r="J21" s="74">
        <f t="shared" si="0"/>
        <v>25</v>
      </c>
      <c r="K21" s="14" t="s">
        <v>67</v>
      </c>
      <c r="L21" s="14" t="s">
        <v>234</v>
      </c>
      <c r="M21" s="14">
        <v>1</v>
      </c>
      <c r="N21" s="14">
        <v>1</v>
      </c>
      <c r="O21" s="14" t="s">
        <v>67</v>
      </c>
      <c r="P21" s="14" t="s">
        <v>319</v>
      </c>
      <c r="Q21" s="14">
        <v>1</v>
      </c>
      <c r="R21" s="14">
        <v>1</v>
      </c>
      <c r="S21" s="14">
        <f t="shared" ref="S21" si="7">IF(M21=Q21,3,0)</f>
        <v>3</v>
      </c>
      <c r="T21" s="14">
        <f t="shared" ref="T21" si="8">IF(N21=R21,3,0)</f>
        <v>3</v>
      </c>
      <c r="U21" s="14">
        <f t="shared" si="3"/>
        <v>6</v>
      </c>
      <c r="V21" s="14">
        <f>ROUNDUP('Hiệu xuất HPV G'!$T$34,2)</f>
        <v>11.8</v>
      </c>
      <c r="W21" s="14">
        <f>ROUNDUP('Hiệu xuất HPV G'!$T$36,2)</f>
        <v>0.78</v>
      </c>
      <c r="X21" s="14">
        <f>VLOOKUP(C21,'Hiệu xuất HPV G'!B:AP,19,0)</f>
        <v>12</v>
      </c>
      <c r="Y21" s="14">
        <f>VLOOKUP(C21,'Hiệu xuất HPV G'!B:AP,28,0)</f>
        <v>0.26</v>
      </c>
      <c r="Z21" s="14"/>
      <c r="AA21" s="14"/>
      <c r="AB21" s="14" t="s">
        <v>146</v>
      </c>
      <c r="AC21" s="14"/>
      <c r="AD21" s="14"/>
      <c r="AE21" s="14" t="s">
        <v>146</v>
      </c>
      <c r="AF21" s="43" t="s">
        <v>37</v>
      </c>
      <c r="AG21" s="14"/>
      <c r="AH21" s="14"/>
      <c r="AI21" s="14" t="s">
        <v>235</v>
      </c>
      <c r="AJ21" s="14"/>
      <c r="AK21" s="14"/>
      <c r="AL21" s="14"/>
    </row>
    <row r="22" spans="1:38" s="75" customFormat="1" x14ac:dyDescent="0.25">
      <c r="A22" s="73">
        <v>21</v>
      </c>
      <c r="B22" s="73"/>
      <c r="C22" s="14" t="s">
        <v>299</v>
      </c>
      <c r="D22" s="41" t="s">
        <v>273</v>
      </c>
      <c r="E22" s="42" t="s">
        <v>298</v>
      </c>
      <c r="F22" s="42">
        <v>7</v>
      </c>
      <c r="G22" s="42">
        <v>1</v>
      </c>
      <c r="H22" s="42">
        <v>230701</v>
      </c>
      <c r="I22" s="42" t="s">
        <v>315</v>
      </c>
      <c r="J22" s="74">
        <f t="shared" si="0"/>
        <v>25</v>
      </c>
      <c r="K22" s="14" t="s">
        <v>67</v>
      </c>
      <c r="L22" s="14" t="s">
        <v>274</v>
      </c>
      <c r="M22" s="14">
        <v>1</v>
      </c>
      <c r="N22" s="14">
        <v>1</v>
      </c>
      <c r="O22" s="14" t="s">
        <v>67</v>
      </c>
      <c r="P22" s="14" t="s">
        <v>319</v>
      </c>
      <c r="Q22" s="14">
        <v>1</v>
      </c>
      <c r="R22" s="14">
        <v>1</v>
      </c>
      <c r="S22" s="14">
        <v>3</v>
      </c>
      <c r="T22" s="14">
        <v>3</v>
      </c>
      <c r="U22" s="14">
        <f t="shared" si="3"/>
        <v>6</v>
      </c>
      <c r="V22" s="14">
        <f>ROUNDUP('Hiệu xuất HPV G'!$T$34,2)</f>
        <v>11.8</v>
      </c>
      <c r="W22" s="14">
        <f>ROUNDUP('Hiệu xuất HPV G'!$T$36,2)</f>
        <v>0.78</v>
      </c>
      <c r="X22" s="14" t="str">
        <f>VLOOKUP(C22,'Hiệu xuất HPV G'!B:AP,19,0)</f>
        <v>N/A</v>
      </c>
      <c r="Y22" s="14" t="str">
        <f>VLOOKUP(C22,'Hiệu xuất HPV G'!B:AP,28,0)</f>
        <v>N/A</v>
      </c>
      <c r="Z22" s="14" t="s">
        <v>279</v>
      </c>
      <c r="AA22" s="14" t="s">
        <v>277</v>
      </c>
      <c r="AB22" s="14" t="s">
        <v>276</v>
      </c>
      <c r="AC22" s="14" t="s">
        <v>275</v>
      </c>
      <c r="AD22" s="14" t="s">
        <v>45</v>
      </c>
      <c r="AE22" s="14" t="s">
        <v>278</v>
      </c>
      <c r="AF22" s="43" t="s">
        <v>37</v>
      </c>
      <c r="AG22" s="14"/>
      <c r="AH22" s="14" t="s">
        <v>280</v>
      </c>
      <c r="AI22" s="14" t="s">
        <v>281</v>
      </c>
      <c r="AJ22" s="14" t="s">
        <v>40</v>
      </c>
      <c r="AK22" s="14" t="s">
        <v>282</v>
      </c>
      <c r="AL22" s="14" t="s">
        <v>283</v>
      </c>
    </row>
    <row r="23" spans="1:38" s="75" customFormat="1" x14ac:dyDescent="0.25">
      <c r="A23" s="73">
        <v>22</v>
      </c>
      <c r="B23" s="73" t="s">
        <v>27</v>
      </c>
      <c r="C23" s="14" t="s">
        <v>123</v>
      </c>
      <c r="D23" s="41" t="s">
        <v>31</v>
      </c>
      <c r="E23" s="42" t="s">
        <v>32</v>
      </c>
      <c r="F23" s="42">
        <v>7</v>
      </c>
      <c r="G23" s="42">
        <v>1</v>
      </c>
      <c r="H23" s="42">
        <v>230701</v>
      </c>
      <c r="I23" s="42" t="s">
        <v>315</v>
      </c>
      <c r="J23" s="74">
        <f t="shared" si="0"/>
        <v>25</v>
      </c>
      <c r="K23" s="14"/>
      <c r="L23" s="14"/>
      <c r="M23" s="14"/>
      <c r="N23" s="14"/>
      <c r="O23" s="14" t="s">
        <v>67</v>
      </c>
      <c r="P23" s="14" t="s">
        <v>319</v>
      </c>
      <c r="Q23" s="14">
        <v>1</v>
      </c>
      <c r="R23" s="14">
        <v>1</v>
      </c>
      <c r="S23" s="14">
        <v>0</v>
      </c>
      <c r="T23" s="14">
        <v>0</v>
      </c>
      <c r="U23" s="14">
        <f>SUM(S23:T23)</f>
        <v>0</v>
      </c>
      <c r="V23" s="14">
        <f>ROUNDUP('Hiệu xuất HPV G'!$T$34,2)</f>
        <v>11.8</v>
      </c>
      <c r="W23" s="14">
        <f>ROUNDUP('Hiệu xuất HPV G'!$T$36,2)</f>
        <v>0.78</v>
      </c>
      <c r="X23" s="14" t="str">
        <f>VLOOKUP(C23,'Hiệu xuất HPV G'!B:AP,19,0)</f>
        <v>N/A</v>
      </c>
      <c r="Y23" s="14" t="str">
        <f>VLOOKUP(C23,'Hiệu xuất HPV G'!B:AP,28,0)</f>
        <v>N/A</v>
      </c>
      <c r="Z23" s="14" t="s">
        <v>173</v>
      </c>
      <c r="AA23" s="14"/>
      <c r="AB23" s="14" t="s">
        <v>174</v>
      </c>
      <c r="AC23" s="14" t="s">
        <v>173</v>
      </c>
      <c r="AD23" s="14"/>
      <c r="AE23" s="14" t="s">
        <v>175</v>
      </c>
      <c r="AF23" s="43" t="s">
        <v>37</v>
      </c>
      <c r="AG23" s="14"/>
      <c r="AH23" s="14"/>
      <c r="AI23" s="14"/>
      <c r="AJ23" s="14"/>
      <c r="AK23" s="14"/>
      <c r="AL23" s="14"/>
    </row>
    <row r="24" spans="1:38" s="78" customFormat="1" x14ac:dyDescent="0.25">
      <c r="A24" s="76">
        <v>23</v>
      </c>
      <c r="B24" s="76"/>
      <c r="C24" s="15" t="s">
        <v>147</v>
      </c>
      <c r="D24" s="44" t="s">
        <v>43</v>
      </c>
      <c r="E24" s="45" t="s">
        <v>148</v>
      </c>
      <c r="F24" s="45">
        <v>7</v>
      </c>
      <c r="G24" s="45">
        <v>1</v>
      </c>
      <c r="H24" s="45">
        <v>230701</v>
      </c>
      <c r="I24" s="45" t="s">
        <v>315</v>
      </c>
      <c r="J24" s="77">
        <f t="shared" si="0"/>
        <v>25</v>
      </c>
      <c r="K24" s="15" t="s">
        <v>67</v>
      </c>
      <c r="L24" s="15" t="s">
        <v>243</v>
      </c>
      <c r="M24" s="15">
        <v>1</v>
      </c>
      <c r="N24" s="15">
        <v>1</v>
      </c>
      <c r="O24" s="15" t="s">
        <v>67</v>
      </c>
      <c r="P24" s="15" t="s">
        <v>319</v>
      </c>
      <c r="Q24" s="15">
        <v>1</v>
      </c>
      <c r="R24" s="15">
        <v>1</v>
      </c>
      <c r="S24" s="15">
        <f t="shared" si="1"/>
        <v>3</v>
      </c>
      <c r="T24" s="15">
        <f t="shared" si="2"/>
        <v>3</v>
      </c>
      <c r="U24" s="15">
        <f t="shared" si="3"/>
        <v>6</v>
      </c>
      <c r="V24" s="15">
        <f>ROUNDUP('Hiệu xuất HPV G'!$T$34,2)</f>
        <v>11.8</v>
      </c>
      <c r="W24" s="15">
        <f>ROUNDUP('Hiệu xuất HPV G'!$T$36,2)</f>
        <v>0.78</v>
      </c>
      <c r="X24" s="15">
        <f>VLOOKUP(C24,'Hiệu xuất HPV G'!B:AP,19,0)</f>
        <v>12</v>
      </c>
      <c r="Y24" s="15">
        <f>VLOOKUP(C24,'Hiệu xuất HPV G'!B:AP,28,0)</f>
        <v>0.26</v>
      </c>
      <c r="Z24" s="15" t="s">
        <v>149</v>
      </c>
      <c r="AA24" s="15" t="s">
        <v>38</v>
      </c>
      <c r="AB24" s="15" t="s">
        <v>44</v>
      </c>
      <c r="AC24" s="15" t="s">
        <v>150</v>
      </c>
      <c r="AD24" s="15" t="s">
        <v>38</v>
      </c>
      <c r="AE24" s="15" t="s">
        <v>151</v>
      </c>
      <c r="AF24" s="46" t="s">
        <v>41</v>
      </c>
      <c r="AG24" s="15" t="s">
        <v>240</v>
      </c>
      <c r="AH24" s="15" t="s">
        <v>232</v>
      </c>
      <c r="AI24" s="15" t="s">
        <v>233</v>
      </c>
      <c r="AJ24" s="15" t="s">
        <v>21</v>
      </c>
      <c r="AK24" s="15" t="s">
        <v>36</v>
      </c>
      <c r="AL24" s="15" t="s">
        <v>18</v>
      </c>
    </row>
    <row r="25" spans="1:38" s="78" customFormat="1" x14ac:dyDescent="0.25">
      <c r="A25" s="76">
        <v>24</v>
      </c>
      <c r="B25" s="76"/>
      <c r="C25" s="15" t="s">
        <v>186</v>
      </c>
      <c r="D25" s="44" t="s">
        <v>178</v>
      </c>
      <c r="E25" s="45" t="s">
        <v>187</v>
      </c>
      <c r="F25" s="45">
        <v>7</v>
      </c>
      <c r="G25" s="45">
        <v>1</v>
      </c>
      <c r="H25" s="45">
        <v>230701</v>
      </c>
      <c r="I25" s="45" t="s">
        <v>315</v>
      </c>
      <c r="J25" s="77">
        <f t="shared" si="0"/>
        <v>25</v>
      </c>
      <c r="K25" s="15" t="s">
        <v>67</v>
      </c>
      <c r="L25" s="15" t="s">
        <v>242</v>
      </c>
      <c r="M25" s="15">
        <v>1</v>
      </c>
      <c r="N25" s="15">
        <v>1</v>
      </c>
      <c r="O25" s="15" t="s">
        <v>67</v>
      </c>
      <c r="P25" s="15" t="s">
        <v>319</v>
      </c>
      <c r="Q25" s="15">
        <v>1</v>
      </c>
      <c r="R25" s="15">
        <v>1</v>
      </c>
      <c r="S25" s="15">
        <f t="shared" si="1"/>
        <v>3</v>
      </c>
      <c r="T25" s="15">
        <f t="shared" si="2"/>
        <v>3</v>
      </c>
      <c r="U25" s="15">
        <f t="shared" si="3"/>
        <v>6</v>
      </c>
      <c r="V25" s="15">
        <f>ROUNDUP('Hiệu xuất HPV G'!$T$34,2)</f>
        <v>11.8</v>
      </c>
      <c r="W25" s="15">
        <f>ROUNDUP('Hiệu xuất HPV G'!$T$36,2)</f>
        <v>0.78</v>
      </c>
      <c r="X25" s="15">
        <f>VLOOKUP(C25,'Hiệu xuất HPV G'!B:AP,19,0)</f>
        <v>12</v>
      </c>
      <c r="Y25" s="15">
        <f>VLOOKUP(C25,'Hiệu xuất HPV G'!B:AP,28,0)</f>
        <v>0.26</v>
      </c>
      <c r="Z25" s="15" t="s">
        <v>182</v>
      </c>
      <c r="AA25" s="15" t="s">
        <v>286</v>
      </c>
      <c r="AB25" s="15" t="s">
        <v>183</v>
      </c>
      <c r="AC25" s="15" t="s">
        <v>184</v>
      </c>
      <c r="AD25" s="15" t="s">
        <v>179</v>
      </c>
      <c r="AE25" s="15" t="s">
        <v>180</v>
      </c>
      <c r="AF25" s="46" t="s">
        <v>41</v>
      </c>
      <c r="AG25" s="15" t="s">
        <v>240</v>
      </c>
      <c r="AH25" s="15" t="s">
        <v>233</v>
      </c>
      <c r="AI25" s="15" t="s">
        <v>233</v>
      </c>
      <c r="AJ25" s="15" t="s">
        <v>185</v>
      </c>
      <c r="AK25" s="15" t="s">
        <v>181</v>
      </c>
      <c r="AL25" s="15" t="s">
        <v>17</v>
      </c>
    </row>
    <row r="26" spans="1:38" s="81" customFormat="1" x14ac:dyDescent="0.25">
      <c r="A26" s="79">
        <v>25</v>
      </c>
      <c r="B26" s="79" t="s">
        <v>42</v>
      </c>
      <c r="C26" s="16" t="s">
        <v>157</v>
      </c>
      <c r="D26" s="16" t="s">
        <v>52</v>
      </c>
      <c r="E26" s="16" t="s">
        <v>53</v>
      </c>
      <c r="F26" s="16">
        <v>7</v>
      </c>
      <c r="G26" s="16">
        <v>1</v>
      </c>
      <c r="H26" s="16">
        <v>230701</v>
      </c>
      <c r="I26" s="16" t="s">
        <v>315</v>
      </c>
      <c r="J26" s="47">
        <f t="shared" si="0"/>
        <v>25</v>
      </c>
      <c r="K26" s="16" t="s">
        <v>67</v>
      </c>
      <c r="L26" s="16" t="s">
        <v>227</v>
      </c>
      <c r="M26" s="16">
        <v>1</v>
      </c>
      <c r="N26" s="16">
        <v>1</v>
      </c>
      <c r="O26" s="16" t="s">
        <v>67</v>
      </c>
      <c r="P26" s="16" t="s">
        <v>319</v>
      </c>
      <c r="Q26" s="16">
        <v>1</v>
      </c>
      <c r="R26" s="16">
        <v>1</v>
      </c>
      <c r="S26" s="16">
        <f t="shared" si="1"/>
        <v>3</v>
      </c>
      <c r="T26" s="16">
        <f t="shared" si="2"/>
        <v>3</v>
      </c>
      <c r="U26" s="16">
        <f t="shared" si="3"/>
        <v>6</v>
      </c>
      <c r="V26" s="16">
        <f>ROUNDUP('Hiệu xuất HPV G'!$T$34,2)</f>
        <v>11.8</v>
      </c>
      <c r="W26" s="16">
        <f>ROUNDUP('Hiệu xuất HPV G'!$T$36,2)</f>
        <v>0.78</v>
      </c>
      <c r="X26" s="16">
        <f>VLOOKUP(C26,'Hiệu xuất HPV G'!B:AP,19,0)</f>
        <v>12</v>
      </c>
      <c r="Y26" s="16">
        <f>VLOOKUP(C26,'Hiệu xuất HPV G'!B:AP,28,0)</f>
        <v>0.26</v>
      </c>
      <c r="Z26" s="80" t="s">
        <v>95</v>
      </c>
      <c r="AA26" s="16" t="s">
        <v>228</v>
      </c>
      <c r="AB26" s="16" t="s">
        <v>96</v>
      </c>
      <c r="AC26" s="16" t="s">
        <v>158</v>
      </c>
      <c r="AD26" s="16" t="s">
        <v>45</v>
      </c>
      <c r="AE26" s="16" t="s">
        <v>54</v>
      </c>
      <c r="AF26" s="47" t="s">
        <v>55</v>
      </c>
      <c r="AG26" s="16" t="s">
        <v>229</v>
      </c>
      <c r="AH26" s="16" t="s">
        <v>230</v>
      </c>
      <c r="AI26" s="16" t="s">
        <v>231</v>
      </c>
      <c r="AJ26" s="16" t="s">
        <v>159</v>
      </c>
      <c r="AK26" s="16" t="s">
        <v>17</v>
      </c>
      <c r="AL26" s="16" t="s">
        <v>17</v>
      </c>
    </row>
    <row r="27" spans="1:38" x14ac:dyDescent="0.25">
      <c r="A27" s="98">
        <v>26</v>
      </c>
      <c r="B27" s="98"/>
      <c r="C27" s="2" t="s">
        <v>176</v>
      </c>
      <c r="D27" s="48" t="s">
        <v>163</v>
      </c>
      <c r="E27" s="48" t="s">
        <v>164</v>
      </c>
      <c r="F27" s="48">
        <v>7</v>
      </c>
      <c r="G27" s="48">
        <v>1</v>
      </c>
      <c r="H27" s="48">
        <v>230701</v>
      </c>
      <c r="I27" s="48" t="s">
        <v>315</v>
      </c>
      <c r="J27" s="82">
        <f t="shared" si="0"/>
        <v>25</v>
      </c>
      <c r="K27" s="83"/>
      <c r="L27" s="83"/>
      <c r="M27" s="2"/>
      <c r="N27" s="2"/>
      <c r="O27" s="2" t="s">
        <v>67</v>
      </c>
      <c r="P27" s="2" t="s">
        <v>319</v>
      </c>
      <c r="Q27" s="2">
        <v>1</v>
      </c>
      <c r="R27" s="2">
        <v>1</v>
      </c>
      <c r="S27" s="2">
        <f t="shared" si="1"/>
        <v>0</v>
      </c>
      <c r="T27" s="2">
        <f t="shared" si="2"/>
        <v>0</v>
      </c>
      <c r="U27" s="2">
        <f t="shared" si="3"/>
        <v>0</v>
      </c>
      <c r="V27" s="2">
        <f>ROUNDUP('Hiệu xuất HPV G'!$T$34,2)</f>
        <v>11.8</v>
      </c>
      <c r="W27" s="2">
        <f>ROUNDUP('Hiệu xuất HPV G'!$T$36,2)</f>
        <v>0.78</v>
      </c>
      <c r="X27" s="2" t="str">
        <f>VLOOKUP(C27,'Hiệu xuất HPV G'!B:AP,19,0)</f>
        <v>N/A</v>
      </c>
      <c r="Y27" s="2" t="str">
        <f>VLOOKUP(C27,'Hiệu xuất HPV G'!B:AP,28,0)</f>
        <v>N/A</v>
      </c>
      <c r="Z27" s="48" t="s">
        <v>165</v>
      </c>
      <c r="AA27" s="48" t="s">
        <v>191</v>
      </c>
      <c r="AB27" s="48" t="s">
        <v>166</v>
      </c>
      <c r="AC27" s="48" t="s">
        <v>165</v>
      </c>
      <c r="AD27" s="48" t="s">
        <v>45</v>
      </c>
      <c r="AE27" s="48" t="s">
        <v>166</v>
      </c>
      <c r="AF27" s="49" t="s">
        <v>170</v>
      </c>
      <c r="AG27" s="48" t="s">
        <v>209</v>
      </c>
      <c r="AH27" s="48" t="s">
        <v>211</v>
      </c>
      <c r="AI27" s="48" t="s">
        <v>200</v>
      </c>
      <c r="AJ27" s="48" t="s">
        <v>167</v>
      </c>
      <c r="AK27" s="48" t="s">
        <v>167</v>
      </c>
      <c r="AL27" s="48" t="s">
        <v>17</v>
      </c>
    </row>
    <row r="28" spans="1:38" x14ac:dyDescent="0.25">
      <c r="A28" s="101">
        <v>27</v>
      </c>
      <c r="B28" s="101" t="s">
        <v>18</v>
      </c>
      <c r="C28" s="84" t="s">
        <v>236</v>
      </c>
      <c r="D28" s="85" t="s">
        <v>135</v>
      </c>
      <c r="E28" s="85" t="s">
        <v>136</v>
      </c>
      <c r="F28" s="85">
        <v>7</v>
      </c>
      <c r="G28" s="85">
        <v>1</v>
      </c>
      <c r="H28" s="85">
        <v>230701</v>
      </c>
      <c r="I28" s="85" t="s">
        <v>315</v>
      </c>
      <c r="J28" s="86">
        <f t="shared" si="0"/>
        <v>25</v>
      </c>
      <c r="K28" s="87" t="s">
        <v>67</v>
      </c>
      <c r="L28" s="87" t="s">
        <v>234</v>
      </c>
      <c r="M28" s="84">
        <v>1</v>
      </c>
      <c r="N28" s="84">
        <v>1</v>
      </c>
      <c r="O28" s="84" t="s">
        <v>67</v>
      </c>
      <c r="P28" s="84" t="s">
        <v>319</v>
      </c>
      <c r="Q28" s="84">
        <v>1</v>
      </c>
      <c r="R28" s="84">
        <v>1</v>
      </c>
      <c r="S28" s="84">
        <f t="shared" si="1"/>
        <v>3</v>
      </c>
      <c r="T28" s="84">
        <f t="shared" si="2"/>
        <v>3</v>
      </c>
      <c r="U28" s="84">
        <f t="shared" si="3"/>
        <v>6</v>
      </c>
      <c r="V28" s="84">
        <f>ROUNDUP('Hiệu xuất HPV G'!$T$34,2)</f>
        <v>11.8</v>
      </c>
      <c r="W28" s="84">
        <f>ROUNDUP('Hiệu xuất HPV G'!$T$36,2)</f>
        <v>0.78</v>
      </c>
      <c r="X28" s="84" t="str">
        <f>VLOOKUP(C28,'Hiệu xuất HPV G'!B:AP,19,0)</f>
        <v>N/A</v>
      </c>
      <c r="Y28" s="84" t="str">
        <f>VLOOKUP(C28,'Hiệu xuất HPV G'!B:AP,28,0)</f>
        <v>N/A</v>
      </c>
      <c r="Z28" s="85"/>
      <c r="AA28" s="85"/>
      <c r="AB28" s="85" t="s">
        <v>170</v>
      </c>
      <c r="AC28" s="85"/>
      <c r="AD28" s="85"/>
      <c r="AE28" s="85" t="s">
        <v>170</v>
      </c>
      <c r="AF28" s="88" t="s">
        <v>170</v>
      </c>
      <c r="AG28" s="85"/>
      <c r="AH28" s="85"/>
      <c r="AI28" s="85" t="s">
        <v>235</v>
      </c>
      <c r="AJ28" s="85"/>
      <c r="AK28" s="85"/>
      <c r="AL28" s="85"/>
    </row>
    <row r="29" spans="1:38" s="96" customFormat="1" x14ac:dyDescent="0.25">
      <c r="A29" s="102">
        <v>28</v>
      </c>
      <c r="B29" s="102"/>
      <c r="C29" s="90" t="s">
        <v>301</v>
      </c>
      <c r="D29" s="90" t="s">
        <v>97</v>
      </c>
      <c r="E29" s="90" t="s">
        <v>98</v>
      </c>
      <c r="F29" s="90">
        <v>7</v>
      </c>
      <c r="G29" s="90">
        <v>1</v>
      </c>
      <c r="H29" s="90">
        <v>230701</v>
      </c>
      <c r="I29" s="90" t="s">
        <v>315</v>
      </c>
      <c r="J29" s="91">
        <f t="shared" si="0"/>
        <v>25</v>
      </c>
      <c r="K29" s="92" t="s">
        <v>67</v>
      </c>
      <c r="L29" s="92" t="s">
        <v>67</v>
      </c>
      <c r="M29" s="89">
        <v>1</v>
      </c>
      <c r="N29" s="90" t="s">
        <v>66</v>
      </c>
      <c r="O29" s="89" t="s">
        <v>67</v>
      </c>
      <c r="P29" s="89" t="s">
        <v>319</v>
      </c>
      <c r="Q29" s="89">
        <v>1</v>
      </c>
      <c r="R29" s="89">
        <v>1</v>
      </c>
      <c r="S29" s="89">
        <f t="shared" ref="S29:S30" si="9">IF(M29=Q29,3,0)</f>
        <v>3</v>
      </c>
      <c r="T29" s="89">
        <f t="shared" ref="T29:T30" si="10">IF(N29=R29,3,0)</f>
        <v>0</v>
      </c>
      <c r="U29" s="89">
        <f t="shared" ref="U29:U30" si="11">SUM(S29:T29)</f>
        <v>3</v>
      </c>
      <c r="V29" s="89">
        <f>ROUNDUP('Hiệu xuất HPV G'!$T$34,2)</f>
        <v>11.8</v>
      </c>
      <c r="W29" s="89">
        <f>ROUNDUP('Hiệu xuất HPV G'!$T$36,2)</f>
        <v>0.78</v>
      </c>
      <c r="X29" s="89" t="str">
        <f>VLOOKUP(C29,'Hiệu xuất HPV G'!B:AP,19,0)</f>
        <v>N/A</v>
      </c>
      <c r="Y29" s="89" t="str">
        <f>VLOOKUP(C29,'Hiệu xuất HPV G'!B:AP,28,0)</f>
        <v>N/A</v>
      </c>
      <c r="Z29" s="90" t="s">
        <v>168</v>
      </c>
      <c r="AA29" s="90" t="s">
        <v>160</v>
      </c>
      <c r="AB29" s="90" t="s">
        <v>161</v>
      </c>
      <c r="AC29" s="90" t="s">
        <v>99</v>
      </c>
      <c r="AD29" s="90" t="s">
        <v>45</v>
      </c>
      <c r="AE29" s="90" t="s">
        <v>100</v>
      </c>
      <c r="AF29" s="99" t="s">
        <v>318</v>
      </c>
      <c r="AG29" s="93" t="s">
        <v>229</v>
      </c>
      <c r="AH29" s="93" t="s">
        <v>255</v>
      </c>
      <c r="AI29" s="93" t="s">
        <v>231</v>
      </c>
      <c r="AJ29" s="94" t="s">
        <v>21</v>
      </c>
      <c r="AK29" s="94"/>
      <c r="AL29" s="95" t="s">
        <v>216</v>
      </c>
    </row>
    <row r="30" spans="1:38" s="96" customFormat="1" x14ac:dyDescent="0.25">
      <c r="A30" s="102">
        <v>29</v>
      </c>
      <c r="B30" s="102"/>
      <c r="C30" s="90" t="s">
        <v>302</v>
      </c>
      <c r="D30" s="90" t="s">
        <v>97</v>
      </c>
      <c r="E30" s="90" t="s">
        <v>98</v>
      </c>
      <c r="F30" s="90">
        <v>7</v>
      </c>
      <c r="G30" s="90">
        <v>1</v>
      </c>
      <c r="H30" s="90">
        <v>230701</v>
      </c>
      <c r="I30" s="90" t="s">
        <v>315</v>
      </c>
      <c r="J30" s="91">
        <f t="shared" si="0"/>
        <v>25</v>
      </c>
      <c r="K30" s="92" t="s">
        <v>67</v>
      </c>
      <c r="L30" s="92" t="s">
        <v>67</v>
      </c>
      <c r="M30" s="89">
        <v>1</v>
      </c>
      <c r="N30" s="90" t="s">
        <v>66</v>
      </c>
      <c r="O30" s="89" t="s">
        <v>67</v>
      </c>
      <c r="P30" s="89" t="s">
        <v>319</v>
      </c>
      <c r="Q30" s="89">
        <v>1</v>
      </c>
      <c r="R30" s="89">
        <v>1</v>
      </c>
      <c r="S30" s="89">
        <f t="shared" si="9"/>
        <v>3</v>
      </c>
      <c r="T30" s="89">
        <f t="shared" si="10"/>
        <v>0</v>
      </c>
      <c r="U30" s="89">
        <f t="shared" si="11"/>
        <v>3</v>
      </c>
      <c r="V30" s="89">
        <f>ROUNDUP('Hiệu xuất HPV G'!$T$34,2)</f>
        <v>11.8</v>
      </c>
      <c r="W30" s="89">
        <f>ROUNDUP('Hiệu xuất HPV G'!$T$36,2)</f>
        <v>0.78</v>
      </c>
      <c r="X30" s="89" t="str">
        <f>VLOOKUP(C30,'Hiệu xuất HPV G'!B:AP,19,0)</f>
        <v>N/A</v>
      </c>
      <c r="Y30" s="89" t="str">
        <f>VLOOKUP(C30,'Hiệu xuất HPV G'!B:AP,28,0)</f>
        <v>N/A</v>
      </c>
      <c r="Z30" s="90" t="s">
        <v>168</v>
      </c>
      <c r="AA30" s="90" t="s">
        <v>160</v>
      </c>
      <c r="AB30" s="90" t="s">
        <v>161</v>
      </c>
      <c r="AC30" s="90" t="s">
        <v>99</v>
      </c>
      <c r="AD30" s="90" t="s">
        <v>45</v>
      </c>
      <c r="AE30" s="90" t="s">
        <v>169</v>
      </c>
      <c r="AF30" s="99" t="s">
        <v>318</v>
      </c>
      <c r="AG30" s="93" t="s">
        <v>229</v>
      </c>
      <c r="AH30" s="93" t="s">
        <v>255</v>
      </c>
      <c r="AI30" s="93" t="s">
        <v>231</v>
      </c>
      <c r="AJ30" s="94" t="s">
        <v>21</v>
      </c>
      <c r="AK30" s="94"/>
      <c r="AL30" s="95" t="s">
        <v>217</v>
      </c>
    </row>
    <row r="32" spans="1:38" x14ac:dyDescent="0.25">
      <c r="J32" s="1"/>
    </row>
    <row r="33" spans="3:3" x14ac:dyDescent="0.25">
      <c r="C33" s="4" t="s">
        <v>292</v>
      </c>
    </row>
  </sheetData>
  <phoneticPr fontId="15" type="noConversion"/>
  <dataValidations count="1">
    <dataValidation type="list" allowBlank="1" showInputMessage="1" showErrorMessage="1" sqref="C33" xr:uid="{00000000-0002-0000-1700-000000000000}">
      <formula1>$C$2:$C$30</formula1>
    </dataValidation>
  </dataValidations>
  <hyperlinks>
    <hyperlink ref="Z26" r:id="rId1" xr:uid="{00000000-0004-0000-1700-000000000000}"/>
  </hyperlinks>
  <pageMargins left="0.7" right="0.7" top="0.75" bottom="0.75" header="0.3" footer="0.3"/>
  <pageSetup paperSize="9" orientation="portrait"/>
  <ignoredErrors>
    <ignoredError sqref="U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P108"/>
  <sheetViews>
    <sheetView zoomScaleNormal="100" workbookViewId="0">
      <pane xSplit="3" ySplit="3" topLeftCell="D28" activePane="bottomRight" state="frozen"/>
      <selection activeCell="G42" sqref="G42"/>
      <selection pane="topRight" activeCell="G42" sqref="G42"/>
      <selection pane="bottomLeft" activeCell="G42" sqref="G42"/>
      <selection pane="bottomRight" activeCell="G42" sqref="G42"/>
    </sheetView>
  </sheetViews>
  <sheetFormatPr defaultColWidth="11.5" defaultRowHeight="15.75" x14ac:dyDescent="0.25"/>
  <cols>
    <col min="1" max="1" width="4.75" style="3" customWidth="1"/>
    <col min="2" max="2" width="10.125" style="3" customWidth="1"/>
    <col min="3" max="3" width="11.125" style="3" customWidth="1"/>
    <col min="4" max="4" width="36.875" style="3" customWidth="1"/>
    <col min="5" max="5" width="18.25" style="3" bestFit="1" customWidth="1"/>
    <col min="6" max="7" width="9.75" style="3" bestFit="1" customWidth="1"/>
    <col min="8" max="14" width="1.875" style="3" bestFit="1" customWidth="1"/>
    <col min="15" max="15" width="4.875" style="3" bestFit="1" customWidth="1"/>
    <col min="16" max="18" width="11.375" style="3" bestFit="1" customWidth="1"/>
    <col min="19" max="19" width="4.25" style="3" bestFit="1" customWidth="1"/>
    <col min="20" max="20" width="11.375" style="3" bestFit="1" customWidth="1"/>
    <col min="21" max="24" width="7.375" style="3" bestFit="1" customWidth="1"/>
    <col min="25" max="27" width="5.125" style="3" bestFit="1" customWidth="1"/>
    <col min="28" max="28" width="4.25" style="3" bestFit="1" customWidth="1"/>
    <col min="29" max="29" width="5.125" style="3" bestFit="1" customWidth="1"/>
    <col min="30" max="33" width="4.25" style="3" bestFit="1" customWidth="1"/>
    <col min="34" max="42" width="5.25" style="3" bestFit="1" customWidth="1"/>
    <col min="43" max="16384" width="11.5" style="3"/>
  </cols>
  <sheetData>
    <row r="2" spans="1:42" x14ac:dyDescent="0.25">
      <c r="F2" s="105">
        <v>2021</v>
      </c>
      <c r="G2" s="141">
        <v>2022</v>
      </c>
      <c r="H2" s="142"/>
      <c r="I2" s="142"/>
      <c r="J2" s="143"/>
      <c r="K2" s="141">
        <v>2023</v>
      </c>
      <c r="L2" s="142"/>
      <c r="M2" s="142"/>
      <c r="N2" s="143"/>
      <c r="O2" s="110">
        <v>2024</v>
      </c>
      <c r="P2" s="144" t="s">
        <v>59</v>
      </c>
      <c r="Q2" s="145"/>
      <c r="R2" s="145"/>
      <c r="S2" s="145"/>
      <c r="T2" s="145"/>
      <c r="U2" s="145"/>
      <c r="V2" s="145"/>
      <c r="W2" s="145"/>
      <c r="X2" s="146"/>
      <c r="Y2" s="149" t="s">
        <v>60</v>
      </c>
      <c r="Z2" s="150"/>
      <c r="AA2" s="150"/>
      <c r="AB2" s="150"/>
      <c r="AC2" s="150"/>
      <c r="AD2" s="150"/>
      <c r="AE2" s="150"/>
      <c r="AF2" s="150"/>
      <c r="AG2" s="151"/>
      <c r="AH2" s="147" t="s">
        <v>60</v>
      </c>
      <c r="AI2" s="148"/>
      <c r="AJ2" s="148"/>
      <c r="AK2" s="148"/>
      <c r="AL2" s="148"/>
      <c r="AM2" s="148"/>
      <c r="AN2" s="148"/>
      <c r="AO2" s="148"/>
      <c r="AP2" s="148"/>
    </row>
    <row r="3" spans="1:42" x14ac:dyDescent="0.25">
      <c r="A3" s="17" t="s">
        <v>0</v>
      </c>
      <c r="B3" s="17" t="s">
        <v>2</v>
      </c>
      <c r="C3" s="17" t="s">
        <v>61</v>
      </c>
      <c r="D3" s="18" t="s">
        <v>62</v>
      </c>
      <c r="E3" s="19" t="s">
        <v>65</v>
      </c>
      <c r="F3" s="111">
        <v>4</v>
      </c>
      <c r="G3" s="111">
        <v>1</v>
      </c>
      <c r="H3" s="111">
        <v>2</v>
      </c>
      <c r="I3" s="111">
        <v>3</v>
      </c>
      <c r="J3" s="111">
        <v>4</v>
      </c>
      <c r="K3" s="111">
        <v>1</v>
      </c>
      <c r="L3" s="111">
        <v>2</v>
      </c>
      <c r="M3" s="111">
        <v>3</v>
      </c>
      <c r="N3" s="111">
        <v>4</v>
      </c>
      <c r="O3" s="111">
        <v>1</v>
      </c>
      <c r="P3" s="112">
        <v>1</v>
      </c>
      <c r="Q3" s="112">
        <v>2</v>
      </c>
      <c r="R3" s="112">
        <v>3</v>
      </c>
      <c r="S3" s="112">
        <v>4</v>
      </c>
      <c r="T3" s="112">
        <v>5</v>
      </c>
      <c r="U3" s="112">
        <v>6</v>
      </c>
      <c r="V3" s="112">
        <v>7</v>
      </c>
      <c r="W3" s="112">
        <v>8</v>
      </c>
      <c r="X3" s="112">
        <v>9</v>
      </c>
      <c r="Y3" s="113">
        <v>1</v>
      </c>
      <c r="Z3" s="113">
        <v>2</v>
      </c>
      <c r="AA3" s="113">
        <v>3</v>
      </c>
      <c r="AB3" s="113">
        <v>4</v>
      </c>
      <c r="AC3" s="113">
        <v>5</v>
      </c>
      <c r="AD3" s="113">
        <v>6</v>
      </c>
      <c r="AE3" s="113">
        <v>7</v>
      </c>
      <c r="AF3" s="113">
        <v>8</v>
      </c>
      <c r="AG3" s="113">
        <v>9</v>
      </c>
      <c r="AH3" s="114">
        <v>1</v>
      </c>
      <c r="AI3" s="114">
        <v>2</v>
      </c>
      <c r="AJ3" s="114">
        <v>3</v>
      </c>
      <c r="AK3" s="114">
        <v>4</v>
      </c>
      <c r="AL3" s="114">
        <v>5</v>
      </c>
      <c r="AM3" s="114">
        <v>6</v>
      </c>
      <c r="AN3" s="114">
        <v>7</v>
      </c>
      <c r="AO3" s="114">
        <v>8</v>
      </c>
      <c r="AP3" s="114">
        <v>9</v>
      </c>
    </row>
    <row r="4" spans="1:42" x14ac:dyDescent="0.25">
      <c r="A4" s="107">
        <v>1</v>
      </c>
      <c r="B4" s="8" t="s">
        <v>106</v>
      </c>
      <c r="C4" s="20" t="s">
        <v>76</v>
      </c>
      <c r="D4" s="21" t="s">
        <v>77</v>
      </c>
      <c r="E4" s="22" t="s">
        <v>16</v>
      </c>
      <c r="F4" s="115">
        <v>6</v>
      </c>
      <c r="G4" s="115">
        <v>6</v>
      </c>
      <c r="H4" s="107">
        <v>6</v>
      </c>
      <c r="I4" s="107">
        <v>6</v>
      </c>
      <c r="J4" s="107">
        <v>6</v>
      </c>
      <c r="K4" s="107">
        <v>6</v>
      </c>
      <c r="L4" s="107"/>
      <c r="M4" s="107"/>
      <c r="N4" s="107"/>
      <c r="O4" s="107"/>
      <c r="P4" s="107">
        <f t="shared" ref="P4:X4" si="0">IF(COUNTA(F4:G4)=2,SUM(F4:G4),"N/A")</f>
        <v>12</v>
      </c>
      <c r="Q4" s="107">
        <f t="shared" si="0"/>
        <v>12</v>
      </c>
      <c r="R4" s="107">
        <f t="shared" si="0"/>
        <v>12</v>
      </c>
      <c r="S4" s="107">
        <f t="shared" si="0"/>
        <v>12</v>
      </c>
      <c r="T4" s="107">
        <f t="shared" si="0"/>
        <v>12</v>
      </c>
      <c r="U4" s="107" t="str">
        <f t="shared" si="0"/>
        <v>N/A</v>
      </c>
      <c r="V4" s="107" t="str">
        <f t="shared" si="0"/>
        <v>N/A</v>
      </c>
      <c r="W4" s="107" t="str">
        <f t="shared" si="0"/>
        <v>N/A</v>
      </c>
      <c r="X4" s="107" t="str">
        <f t="shared" si="0"/>
        <v>N/A</v>
      </c>
      <c r="Y4" s="107">
        <f>IF(P4&lt;&gt;"N/A",IF(P$36&lt;&gt;0,ROUNDUP((P4-P$34)/P$36,2),0),P4)</f>
        <v>0.45</v>
      </c>
      <c r="Z4" s="107">
        <f t="shared" ref="Z4:AG4" si="1">IF(Q4&lt;&gt;"N/A",IF(Q$36&lt;&gt;0,ROUNDUP((Q4-Q$34)/Q$36,2),0),Q4)</f>
        <v>0.42</v>
      </c>
      <c r="AA4" s="107">
        <f t="shared" si="1"/>
        <v>0.25</v>
      </c>
      <c r="AB4" s="107">
        <f t="shared" si="1"/>
        <v>0</v>
      </c>
      <c r="AC4" s="107">
        <f t="shared" si="1"/>
        <v>0.26</v>
      </c>
      <c r="AD4" s="107" t="str">
        <f t="shared" si="1"/>
        <v>N/A</v>
      </c>
      <c r="AE4" s="107" t="str">
        <f t="shared" si="1"/>
        <v>N/A</v>
      </c>
      <c r="AF4" s="107" t="str">
        <f t="shared" si="1"/>
        <v>N/A</v>
      </c>
      <c r="AG4" s="107" t="str">
        <f t="shared" si="1"/>
        <v>N/A</v>
      </c>
      <c r="AH4" s="107">
        <f>IF(Y4="N/A",#N/A,Y4)</f>
        <v>0.45</v>
      </c>
      <c r="AI4" s="107">
        <f t="shared" ref="AI4:AP4" si="2">IF(Z4="N/A",#N/A,Z4)</f>
        <v>0.42</v>
      </c>
      <c r="AJ4" s="107">
        <f t="shared" si="2"/>
        <v>0.25</v>
      </c>
      <c r="AK4" s="107">
        <f t="shared" si="2"/>
        <v>0</v>
      </c>
      <c r="AL4" s="107">
        <f t="shared" si="2"/>
        <v>0.26</v>
      </c>
      <c r="AM4" s="107" t="e">
        <f t="shared" si="2"/>
        <v>#N/A</v>
      </c>
      <c r="AN4" s="107" t="e">
        <f t="shared" si="2"/>
        <v>#N/A</v>
      </c>
      <c r="AO4" s="107" t="e">
        <f t="shared" si="2"/>
        <v>#N/A</v>
      </c>
      <c r="AP4" s="107" t="e">
        <f t="shared" si="2"/>
        <v>#N/A</v>
      </c>
    </row>
    <row r="5" spans="1:42" x14ac:dyDescent="0.25">
      <c r="A5" s="107">
        <v>2</v>
      </c>
      <c r="B5" s="8" t="s">
        <v>108</v>
      </c>
      <c r="C5" s="20" t="s">
        <v>19</v>
      </c>
      <c r="D5" s="21" t="s">
        <v>20</v>
      </c>
      <c r="E5" s="22" t="s">
        <v>16</v>
      </c>
      <c r="F5" s="115">
        <v>6</v>
      </c>
      <c r="G5" s="115">
        <v>6</v>
      </c>
      <c r="H5" s="107">
        <v>6</v>
      </c>
      <c r="I5" s="107">
        <v>6</v>
      </c>
      <c r="J5" s="107">
        <v>6</v>
      </c>
      <c r="K5" s="107">
        <v>6</v>
      </c>
      <c r="L5" s="107"/>
      <c r="M5" s="107"/>
      <c r="N5" s="107"/>
      <c r="O5" s="107"/>
      <c r="P5" s="107">
        <f t="shared" ref="P5:P32" si="3">IF(COUNTA(F5:G5)=2,SUM(F5:G5),"N/A")</f>
        <v>12</v>
      </c>
      <c r="Q5" s="107">
        <f t="shared" ref="Q5:Q32" si="4">IF(COUNTA(G5:H5)=2,SUM(G5:H5),"N/A")</f>
        <v>12</v>
      </c>
      <c r="R5" s="107">
        <f t="shared" ref="R5:R32" si="5">IF(COUNTA(H5:I5)=2,SUM(H5:I5),"N/A")</f>
        <v>12</v>
      </c>
      <c r="S5" s="107">
        <f t="shared" ref="S5:S32" si="6">IF(COUNTA(I5:J5)=2,SUM(I5:J5),"N/A")</f>
        <v>12</v>
      </c>
      <c r="T5" s="107">
        <f t="shared" ref="T5:T32" si="7">IF(COUNTA(J5:K5)=2,SUM(J5:K5),"N/A")</f>
        <v>12</v>
      </c>
      <c r="U5" s="107" t="str">
        <f t="shared" ref="U5:U32" si="8">IF(COUNTA(K5:L5)=2,SUM(K5:L5),"N/A")</f>
        <v>N/A</v>
      </c>
      <c r="V5" s="107" t="str">
        <f t="shared" ref="V5:V32" si="9">IF(COUNTA(L5:M5)=2,SUM(L5:M5),"N/A")</f>
        <v>N/A</v>
      </c>
      <c r="W5" s="107" t="str">
        <f t="shared" ref="W5:W32" si="10">IF(COUNTA(M5:N5)=2,SUM(M5:N5),"N/A")</f>
        <v>N/A</v>
      </c>
      <c r="X5" s="107" t="str">
        <f t="shared" ref="X5:X32" si="11">IF(COUNTA(N5:O5)=2,SUM(N5:O5),"N/A")</f>
        <v>N/A</v>
      </c>
      <c r="Y5" s="107">
        <f>IF(P5&lt;&gt;"N/A",IF(P$36&lt;&gt;0,ROUNDUP((P5-P$34)/P$36,2),0),P5)</f>
        <v>0.45</v>
      </c>
      <c r="Z5" s="107">
        <f t="shared" ref="Z5" si="12">IF(Q5&lt;&gt;"N/A",IF(Q$36&lt;&gt;0,ROUNDUP((Q5-Q$34)/Q$36,2),0),Q5)</f>
        <v>0.42</v>
      </c>
      <c r="AA5" s="107">
        <f t="shared" ref="AA5" si="13">IF(R5&lt;&gt;"N/A",IF(R$36&lt;&gt;0,ROUNDUP((R5-R$34)/R$36,2),0),R5)</f>
        <v>0.25</v>
      </c>
      <c r="AB5" s="107">
        <f t="shared" ref="AB5" si="14">IF(S5&lt;&gt;"N/A",IF(S$36&lt;&gt;0,ROUNDUP((S5-S$34)/S$36,2),0),S5)</f>
        <v>0</v>
      </c>
      <c r="AC5" s="107">
        <f t="shared" ref="AC5" si="15">IF(T5&lt;&gt;"N/A",IF(T$36&lt;&gt;0,ROUNDUP((T5-T$34)/T$36,2),0),T5)</f>
        <v>0.26</v>
      </c>
      <c r="AD5" s="107" t="str">
        <f t="shared" ref="AD5" si="16">IF(U5&lt;&gt;"N/A",IF(U$36&lt;&gt;0,ROUNDUP((U5-U$34)/U$36,2),0),U5)</f>
        <v>N/A</v>
      </c>
      <c r="AE5" s="107" t="str">
        <f t="shared" ref="AE5" si="17">IF(V5&lt;&gt;"N/A",IF(V$36&lt;&gt;0,ROUNDUP((V5-V$34)/V$36,2),0),V5)</f>
        <v>N/A</v>
      </c>
      <c r="AF5" s="107" t="str">
        <f t="shared" ref="AF5" si="18">IF(W5&lt;&gt;"N/A",IF(W$36&lt;&gt;0,ROUNDUP((W5-W$34)/W$36,2),0),W5)</f>
        <v>N/A</v>
      </c>
      <c r="AG5" s="107" t="str">
        <f t="shared" ref="AG5" si="19">IF(X5&lt;&gt;"N/A",IF(X$36&lt;&gt;0,ROUNDUP((X5-X$34)/X$36,2),0),X5)</f>
        <v>N/A</v>
      </c>
      <c r="AH5" s="107">
        <f t="shared" ref="AH5:AH32" si="20">IF(Y5="N/A",#N/A,Y5)</f>
        <v>0.45</v>
      </c>
      <c r="AI5" s="107">
        <f t="shared" ref="AI5:AI32" si="21">IF(Z5="N/A",#N/A,Z5)</f>
        <v>0.42</v>
      </c>
      <c r="AJ5" s="107">
        <f t="shared" ref="AJ5:AJ32" si="22">IF(AA5="N/A",#N/A,AA5)</f>
        <v>0.25</v>
      </c>
      <c r="AK5" s="107">
        <f t="shared" ref="AK5:AK32" si="23">IF(AB5="N/A",#N/A,AB5)</f>
        <v>0</v>
      </c>
      <c r="AL5" s="107">
        <f t="shared" ref="AL5:AL32" si="24">IF(AC5="N/A",#N/A,AC5)</f>
        <v>0.26</v>
      </c>
      <c r="AM5" s="107" t="e">
        <f t="shared" ref="AM5:AM32" si="25">IF(AD5="N/A",#N/A,AD5)</f>
        <v>#N/A</v>
      </c>
      <c r="AN5" s="107" t="e">
        <f t="shared" ref="AN5:AN32" si="26">IF(AE5="N/A",#N/A,AE5)</f>
        <v>#N/A</v>
      </c>
      <c r="AO5" s="107" t="e">
        <f t="shared" ref="AO5:AO32" si="27">IF(AF5="N/A",#N/A,AF5)</f>
        <v>#N/A</v>
      </c>
      <c r="AP5" s="107" t="e">
        <f t="shared" ref="AP5:AP32" si="28">IF(AG5="N/A",#N/A,AG5)</f>
        <v>#N/A</v>
      </c>
    </row>
    <row r="6" spans="1:42" x14ac:dyDescent="0.25">
      <c r="A6" s="107">
        <v>3</v>
      </c>
      <c r="B6" s="8" t="s">
        <v>114</v>
      </c>
      <c r="C6" s="20" t="s">
        <v>23</v>
      </c>
      <c r="D6" s="21" t="s">
        <v>58</v>
      </c>
      <c r="E6" s="22" t="s">
        <v>16</v>
      </c>
      <c r="F6" s="115">
        <v>6</v>
      </c>
      <c r="G6" s="115">
        <v>6</v>
      </c>
      <c r="H6" s="107">
        <v>6</v>
      </c>
      <c r="I6" s="107">
        <v>6</v>
      </c>
      <c r="J6" s="107">
        <v>6</v>
      </c>
      <c r="K6" s="107">
        <v>6</v>
      </c>
      <c r="L6" s="107"/>
      <c r="M6" s="107"/>
      <c r="N6" s="107"/>
      <c r="O6" s="107"/>
      <c r="P6" s="107">
        <f t="shared" si="3"/>
        <v>12</v>
      </c>
      <c r="Q6" s="107">
        <f t="shared" si="4"/>
        <v>12</v>
      </c>
      <c r="R6" s="107">
        <f t="shared" si="5"/>
        <v>12</v>
      </c>
      <c r="S6" s="107">
        <f t="shared" si="6"/>
        <v>12</v>
      </c>
      <c r="T6" s="107">
        <f t="shared" si="7"/>
        <v>12</v>
      </c>
      <c r="U6" s="107" t="str">
        <f t="shared" si="8"/>
        <v>N/A</v>
      </c>
      <c r="V6" s="107" t="str">
        <f t="shared" si="9"/>
        <v>N/A</v>
      </c>
      <c r="W6" s="107" t="str">
        <f t="shared" si="10"/>
        <v>N/A</v>
      </c>
      <c r="X6" s="107" t="str">
        <f t="shared" si="11"/>
        <v>N/A</v>
      </c>
      <c r="Y6" s="107">
        <f t="shared" ref="Y6:Y11" si="29">IF(P6&lt;&gt;"N/A",IF(P$36&lt;&gt;0,ROUNDUP((P6-P$34)/P$36,2),0),P6)</f>
        <v>0.45</v>
      </c>
      <c r="Z6" s="107">
        <f t="shared" ref="Z6:Z11" si="30">IF(Q6&lt;&gt;"N/A",IF(Q$36&lt;&gt;0,ROUNDUP((Q6-Q$34)/Q$36,2),0),Q6)</f>
        <v>0.42</v>
      </c>
      <c r="AA6" s="107">
        <f t="shared" ref="AA6:AA11" si="31">IF(R6&lt;&gt;"N/A",IF(R$36&lt;&gt;0,ROUNDUP((R6-R$34)/R$36,2),0),R6)</f>
        <v>0.25</v>
      </c>
      <c r="AB6" s="107">
        <f t="shared" ref="AB6:AB11" si="32">IF(S6&lt;&gt;"N/A",IF(S$36&lt;&gt;0,ROUNDUP((S6-S$34)/S$36,2),0),S6)</f>
        <v>0</v>
      </c>
      <c r="AC6" s="107">
        <f t="shared" ref="AC6:AC11" si="33">IF(T6&lt;&gt;"N/A",IF(T$36&lt;&gt;0,ROUNDUP((T6-T$34)/T$36,2),0),T6)</f>
        <v>0.26</v>
      </c>
      <c r="AD6" s="107" t="str">
        <f t="shared" ref="AD6:AD11" si="34">IF(U6&lt;&gt;"N/A",IF(U$36&lt;&gt;0,ROUNDUP((U6-U$34)/U$36,2),0),U6)</f>
        <v>N/A</v>
      </c>
      <c r="AE6" s="107" t="str">
        <f t="shared" ref="AE6:AE11" si="35">IF(V6&lt;&gt;"N/A",IF(V$36&lt;&gt;0,ROUNDUP((V6-V$34)/V$36,2),0),V6)</f>
        <v>N/A</v>
      </c>
      <c r="AF6" s="107" t="str">
        <f t="shared" ref="AF6:AF11" si="36">IF(W6&lt;&gt;"N/A",IF(W$36&lt;&gt;0,ROUNDUP((W6-W$34)/W$36,2),0),W6)</f>
        <v>N/A</v>
      </c>
      <c r="AG6" s="107" t="str">
        <f t="shared" ref="AG6:AG11" si="37">IF(X6&lt;&gt;"N/A",IF(X$36&lt;&gt;0,ROUNDUP((X6-X$34)/X$36,2),0),X6)</f>
        <v>N/A</v>
      </c>
      <c r="AH6" s="107">
        <f t="shared" si="20"/>
        <v>0.45</v>
      </c>
      <c r="AI6" s="107">
        <f t="shared" si="21"/>
        <v>0.42</v>
      </c>
      <c r="AJ6" s="107">
        <f t="shared" si="22"/>
        <v>0.25</v>
      </c>
      <c r="AK6" s="107">
        <f t="shared" si="23"/>
        <v>0</v>
      </c>
      <c r="AL6" s="107">
        <f t="shared" si="24"/>
        <v>0.26</v>
      </c>
      <c r="AM6" s="107" t="e">
        <f t="shared" si="25"/>
        <v>#N/A</v>
      </c>
      <c r="AN6" s="107" t="e">
        <f t="shared" si="26"/>
        <v>#N/A</v>
      </c>
      <c r="AO6" s="107" t="e">
        <f t="shared" si="27"/>
        <v>#N/A</v>
      </c>
      <c r="AP6" s="107" t="e">
        <f t="shared" si="28"/>
        <v>#N/A</v>
      </c>
    </row>
    <row r="7" spans="1:42" x14ac:dyDescent="0.25">
      <c r="A7" s="107">
        <v>4</v>
      </c>
      <c r="B7" s="9" t="s">
        <v>152</v>
      </c>
      <c r="C7" s="23" t="s">
        <v>85</v>
      </c>
      <c r="D7" s="24" t="s">
        <v>86</v>
      </c>
      <c r="E7" s="25" t="s">
        <v>46</v>
      </c>
      <c r="F7" s="115">
        <v>6</v>
      </c>
      <c r="G7" s="115">
        <v>6</v>
      </c>
      <c r="H7" s="107">
        <v>6</v>
      </c>
      <c r="I7" s="107">
        <v>6</v>
      </c>
      <c r="J7" s="107">
        <v>6</v>
      </c>
      <c r="K7" s="107">
        <v>6</v>
      </c>
      <c r="L7" s="107"/>
      <c r="M7" s="107"/>
      <c r="N7" s="107"/>
      <c r="O7" s="107"/>
      <c r="P7" s="107">
        <f t="shared" si="3"/>
        <v>12</v>
      </c>
      <c r="Q7" s="107">
        <f t="shared" si="4"/>
        <v>12</v>
      </c>
      <c r="R7" s="107">
        <f t="shared" si="5"/>
        <v>12</v>
      </c>
      <c r="S7" s="107">
        <f t="shared" si="6"/>
        <v>12</v>
      </c>
      <c r="T7" s="107">
        <f t="shared" si="7"/>
        <v>12</v>
      </c>
      <c r="U7" s="107" t="str">
        <f t="shared" si="8"/>
        <v>N/A</v>
      </c>
      <c r="V7" s="107" t="str">
        <f t="shared" si="9"/>
        <v>N/A</v>
      </c>
      <c r="W7" s="107" t="str">
        <f t="shared" si="10"/>
        <v>N/A</v>
      </c>
      <c r="X7" s="107" t="str">
        <f t="shared" si="11"/>
        <v>N/A</v>
      </c>
      <c r="Y7" s="107">
        <f t="shared" si="29"/>
        <v>0.45</v>
      </c>
      <c r="Z7" s="107">
        <f t="shared" si="30"/>
        <v>0.42</v>
      </c>
      <c r="AA7" s="107">
        <f t="shared" si="31"/>
        <v>0.25</v>
      </c>
      <c r="AB7" s="107">
        <f t="shared" si="32"/>
        <v>0</v>
      </c>
      <c r="AC7" s="107">
        <f t="shared" si="33"/>
        <v>0.26</v>
      </c>
      <c r="AD7" s="107" t="str">
        <f t="shared" si="34"/>
        <v>N/A</v>
      </c>
      <c r="AE7" s="107" t="str">
        <f t="shared" si="35"/>
        <v>N/A</v>
      </c>
      <c r="AF7" s="107" t="str">
        <f t="shared" si="36"/>
        <v>N/A</v>
      </c>
      <c r="AG7" s="107" t="str">
        <f t="shared" si="37"/>
        <v>N/A</v>
      </c>
      <c r="AH7" s="107">
        <f t="shared" si="20"/>
        <v>0.45</v>
      </c>
      <c r="AI7" s="107">
        <f t="shared" si="21"/>
        <v>0.42</v>
      </c>
      <c r="AJ7" s="107">
        <f t="shared" si="22"/>
        <v>0.25</v>
      </c>
      <c r="AK7" s="107">
        <f t="shared" si="23"/>
        <v>0</v>
      </c>
      <c r="AL7" s="107">
        <f t="shared" si="24"/>
        <v>0.26</v>
      </c>
      <c r="AM7" s="107" t="e">
        <f t="shared" si="25"/>
        <v>#N/A</v>
      </c>
      <c r="AN7" s="107" t="e">
        <f t="shared" si="26"/>
        <v>#N/A</v>
      </c>
      <c r="AO7" s="107" t="e">
        <f t="shared" si="27"/>
        <v>#N/A</v>
      </c>
      <c r="AP7" s="107" t="e">
        <f t="shared" si="28"/>
        <v>#N/A</v>
      </c>
    </row>
    <row r="8" spans="1:42" x14ac:dyDescent="0.25">
      <c r="A8" s="107">
        <v>5</v>
      </c>
      <c r="B8" s="9" t="s">
        <v>303</v>
      </c>
      <c r="C8" s="23" t="s">
        <v>28</v>
      </c>
      <c r="D8" s="24" t="s">
        <v>29</v>
      </c>
      <c r="E8" s="25" t="s">
        <v>46</v>
      </c>
      <c r="F8" s="115"/>
      <c r="G8" s="115"/>
      <c r="H8" s="107"/>
      <c r="I8" s="107"/>
      <c r="J8" s="107"/>
      <c r="K8" s="107">
        <v>6</v>
      </c>
      <c r="L8" s="107"/>
      <c r="M8" s="107"/>
      <c r="N8" s="107"/>
      <c r="O8" s="107"/>
      <c r="P8" s="107" t="str">
        <f t="shared" si="3"/>
        <v>N/A</v>
      </c>
      <c r="Q8" s="107" t="str">
        <f t="shared" si="4"/>
        <v>N/A</v>
      </c>
      <c r="R8" s="107" t="str">
        <f t="shared" si="5"/>
        <v>N/A</v>
      </c>
      <c r="S8" s="107" t="str">
        <f t="shared" si="6"/>
        <v>N/A</v>
      </c>
      <c r="T8" s="107" t="str">
        <f t="shared" si="7"/>
        <v>N/A</v>
      </c>
      <c r="U8" s="107" t="str">
        <f t="shared" si="8"/>
        <v>N/A</v>
      </c>
      <c r="V8" s="107" t="str">
        <f t="shared" si="9"/>
        <v>N/A</v>
      </c>
      <c r="W8" s="107" t="str">
        <f t="shared" si="10"/>
        <v>N/A</v>
      </c>
      <c r="X8" s="107" t="str">
        <f t="shared" si="11"/>
        <v>N/A</v>
      </c>
      <c r="Y8" s="107" t="str">
        <f t="shared" si="29"/>
        <v>N/A</v>
      </c>
      <c r="Z8" s="107" t="str">
        <f t="shared" si="30"/>
        <v>N/A</v>
      </c>
      <c r="AA8" s="107" t="str">
        <f t="shared" si="31"/>
        <v>N/A</v>
      </c>
      <c r="AB8" s="107" t="str">
        <f t="shared" si="32"/>
        <v>N/A</v>
      </c>
      <c r="AC8" s="107" t="str">
        <f t="shared" si="33"/>
        <v>N/A</v>
      </c>
      <c r="AD8" s="107" t="str">
        <f t="shared" si="34"/>
        <v>N/A</v>
      </c>
      <c r="AE8" s="107" t="str">
        <f t="shared" si="35"/>
        <v>N/A</v>
      </c>
      <c r="AF8" s="107" t="str">
        <f t="shared" si="36"/>
        <v>N/A</v>
      </c>
      <c r="AG8" s="107" t="str">
        <f t="shared" si="37"/>
        <v>N/A</v>
      </c>
      <c r="AH8" s="107" t="e">
        <f t="shared" si="20"/>
        <v>#N/A</v>
      </c>
      <c r="AI8" s="107" t="e">
        <f t="shared" si="21"/>
        <v>#N/A</v>
      </c>
      <c r="AJ8" s="107" t="e">
        <f t="shared" si="22"/>
        <v>#N/A</v>
      </c>
      <c r="AK8" s="107" t="e">
        <f t="shared" si="23"/>
        <v>#N/A</v>
      </c>
      <c r="AL8" s="107" t="e">
        <f t="shared" si="24"/>
        <v>#N/A</v>
      </c>
      <c r="AM8" s="107" t="e">
        <f t="shared" si="25"/>
        <v>#N/A</v>
      </c>
      <c r="AN8" s="107" t="e">
        <f t="shared" si="26"/>
        <v>#N/A</v>
      </c>
      <c r="AO8" s="107" t="e">
        <f t="shared" si="27"/>
        <v>#N/A</v>
      </c>
      <c r="AP8" s="107" t="e">
        <f t="shared" si="28"/>
        <v>#N/A</v>
      </c>
    </row>
    <row r="9" spans="1:42" x14ac:dyDescent="0.25">
      <c r="A9" s="107">
        <v>6</v>
      </c>
      <c r="B9" s="10" t="s">
        <v>156</v>
      </c>
      <c r="C9" s="26" t="s">
        <v>88</v>
      </c>
      <c r="D9" s="27" t="s">
        <v>89</v>
      </c>
      <c r="E9" s="28" t="s">
        <v>262</v>
      </c>
      <c r="F9" s="115">
        <v>6</v>
      </c>
      <c r="G9" s="115">
        <v>6</v>
      </c>
      <c r="H9" s="107">
        <v>6</v>
      </c>
      <c r="I9" s="107">
        <v>6</v>
      </c>
      <c r="J9" s="107">
        <v>6</v>
      </c>
      <c r="K9" s="107">
        <v>6</v>
      </c>
      <c r="L9" s="107"/>
      <c r="M9" s="107"/>
      <c r="N9" s="107"/>
      <c r="O9" s="107"/>
      <c r="P9" s="107">
        <f t="shared" si="3"/>
        <v>12</v>
      </c>
      <c r="Q9" s="107">
        <f t="shared" si="4"/>
        <v>12</v>
      </c>
      <c r="R9" s="107">
        <f t="shared" si="5"/>
        <v>12</v>
      </c>
      <c r="S9" s="107">
        <f t="shared" si="6"/>
        <v>12</v>
      </c>
      <c r="T9" s="107">
        <f t="shared" si="7"/>
        <v>12</v>
      </c>
      <c r="U9" s="107" t="str">
        <f t="shared" si="8"/>
        <v>N/A</v>
      </c>
      <c r="V9" s="107" t="str">
        <f t="shared" si="9"/>
        <v>N/A</v>
      </c>
      <c r="W9" s="107" t="str">
        <f t="shared" si="10"/>
        <v>N/A</v>
      </c>
      <c r="X9" s="107" t="str">
        <f t="shared" si="11"/>
        <v>N/A</v>
      </c>
      <c r="Y9" s="107">
        <f t="shared" si="29"/>
        <v>0.45</v>
      </c>
      <c r="Z9" s="107">
        <f t="shared" si="30"/>
        <v>0.42</v>
      </c>
      <c r="AA9" s="107">
        <f t="shared" si="31"/>
        <v>0.25</v>
      </c>
      <c r="AB9" s="107">
        <f t="shared" si="32"/>
        <v>0</v>
      </c>
      <c r="AC9" s="107">
        <f t="shared" si="33"/>
        <v>0.26</v>
      </c>
      <c r="AD9" s="107" t="str">
        <f t="shared" si="34"/>
        <v>N/A</v>
      </c>
      <c r="AE9" s="107" t="str">
        <f t="shared" si="35"/>
        <v>N/A</v>
      </c>
      <c r="AF9" s="107" t="str">
        <f t="shared" si="36"/>
        <v>N/A</v>
      </c>
      <c r="AG9" s="107" t="str">
        <f t="shared" si="37"/>
        <v>N/A</v>
      </c>
      <c r="AH9" s="107">
        <f t="shared" si="20"/>
        <v>0.45</v>
      </c>
      <c r="AI9" s="107">
        <f t="shared" si="21"/>
        <v>0.42</v>
      </c>
      <c r="AJ9" s="107">
        <f t="shared" si="22"/>
        <v>0.25</v>
      </c>
      <c r="AK9" s="107">
        <f t="shared" si="23"/>
        <v>0</v>
      </c>
      <c r="AL9" s="107">
        <f t="shared" si="24"/>
        <v>0.26</v>
      </c>
      <c r="AM9" s="107" t="e">
        <f t="shared" si="25"/>
        <v>#N/A</v>
      </c>
      <c r="AN9" s="107" t="e">
        <f t="shared" si="26"/>
        <v>#N/A</v>
      </c>
      <c r="AO9" s="107" t="e">
        <f t="shared" si="27"/>
        <v>#N/A</v>
      </c>
      <c r="AP9" s="107" t="e">
        <f t="shared" si="28"/>
        <v>#N/A</v>
      </c>
    </row>
    <row r="10" spans="1:42" x14ac:dyDescent="0.25">
      <c r="A10" s="107">
        <v>7</v>
      </c>
      <c r="B10" s="10" t="s">
        <v>300</v>
      </c>
      <c r="C10" s="26" t="s">
        <v>214</v>
      </c>
      <c r="D10" s="27" t="s">
        <v>215</v>
      </c>
      <c r="E10" s="28" t="s">
        <v>262</v>
      </c>
      <c r="F10" s="115"/>
      <c r="G10" s="115"/>
      <c r="H10" s="107"/>
      <c r="I10" s="107"/>
      <c r="J10" s="107"/>
      <c r="K10" s="107">
        <v>6</v>
      </c>
      <c r="L10" s="107"/>
      <c r="M10" s="107"/>
      <c r="N10" s="107"/>
      <c r="O10" s="107"/>
      <c r="P10" s="107" t="str">
        <f t="shared" si="3"/>
        <v>N/A</v>
      </c>
      <c r="Q10" s="107" t="str">
        <f t="shared" si="4"/>
        <v>N/A</v>
      </c>
      <c r="R10" s="107" t="str">
        <f t="shared" si="5"/>
        <v>N/A</v>
      </c>
      <c r="S10" s="107" t="str">
        <f t="shared" si="6"/>
        <v>N/A</v>
      </c>
      <c r="T10" s="107" t="str">
        <f t="shared" si="7"/>
        <v>N/A</v>
      </c>
      <c r="U10" s="107" t="str">
        <f t="shared" si="8"/>
        <v>N/A</v>
      </c>
      <c r="V10" s="107" t="str">
        <f t="shared" si="9"/>
        <v>N/A</v>
      </c>
      <c r="W10" s="107" t="str">
        <f t="shared" si="10"/>
        <v>N/A</v>
      </c>
      <c r="X10" s="107" t="str">
        <f t="shared" si="11"/>
        <v>N/A</v>
      </c>
      <c r="Y10" s="107" t="str">
        <f t="shared" si="29"/>
        <v>N/A</v>
      </c>
      <c r="Z10" s="107" t="str">
        <f t="shared" si="30"/>
        <v>N/A</v>
      </c>
      <c r="AA10" s="107" t="str">
        <f t="shared" si="31"/>
        <v>N/A</v>
      </c>
      <c r="AB10" s="107" t="str">
        <f t="shared" si="32"/>
        <v>N/A</v>
      </c>
      <c r="AC10" s="107" t="str">
        <f t="shared" si="33"/>
        <v>N/A</v>
      </c>
      <c r="AD10" s="107" t="str">
        <f t="shared" si="34"/>
        <v>N/A</v>
      </c>
      <c r="AE10" s="107" t="str">
        <f t="shared" si="35"/>
        <v>N/A</v>
      </c>
      <c r="AF10" s="107" t="str">
        <f t="shared" si="36"/>
        <v>N/A</v>
      </c>
      <c r="AG10" s="107" t="str">
        <f t="shared" si="37"/>
        <v>N/A</v>
      </c>
      <c r="AH10" s="107" t="e">
        <f t="shared" si="20"/>
        <v>#N/A</v>
      </c>
      <c r="AI10" s="107" t="e">
        <f t="shared" si="21"/>
        <v>#N/A</v>
      </c>
      <c r="AJ10" s="107" t="e">
        <f t="shared" si="22"/>
        <v>#N/A</v>
      </c>
      <c r="AK10" s="107" t="e">
        <f t="shared" si="23"/>
        <v>#N/A</v>
      </c>
      <c r="AL10" s="107" t="e">
        <f t="shared" si="24"/>
        <v>#N/A</v>
      </c>
      <c r="AM10" s="107" t="e">
        <f t="shared" si="25"/>
        <v>#N/A</v>
      </c>
      <c r="AN10" s="107" t="e">
        <f t="shared" si="26"/>
        <v>#N/A</v>
      </c>
      <c r="AO10" s="107" t="e">
        <f t="shared" si="27"/>
        <v>#N/A</v>
      </c>
      <c r="AP10" s="107" t="e">
        <f t="shared" si="28"/>
        <v>#N/A</v>
      </c>
    </row>
    <row r="11" spans="1:42" x14ac:dyDescent="0.25">
      <c r="A11" s="107">
        <v>8</v>
      </c>
      <c r="B11" s="7" t="s">
        <v>115</v>
      </c>
      <c r="C11" s="29" t="s">
        <v>116</v>
      </c>
      <c r="D11" s="30" t="s">
        <v>117</v>
      </c>
      <c r="E11" s="31" t="s">
        <v>188</v>
      </c>
      <c r="F11" s="115">
        <v>6</v>
      </c>
      <c r="G11" s="115">
        <v>6</v>
      </c>
      <c r="H11" s="107">
        <v>6</v>
      </c>
      <c r="I11" s="107">
        <v>6</v>
      </c>
      <c r="J11" s="107">
        <v>6</v>
      </c>
      <c r="K11" s="107">
        <v>6</v>
      </c>
      <c r="L11" s="107"/>
      <c r="M11" s="107"/>
      <c r="N11" s="107"/>
      <c r="O11" s="107"/>
      <c r="P11" s="107">
        <f t="shared" si="3"/>
        <v>12</v>
      </c>
      <c r="Q11" s="107">
        <f t="shared" si="4"/>
        <v>12</v>
      </c>
      <c r="R11" s="107">
        <f t="shared" si="5"/>
        <v>12</v>
      </c>
      <c r="S11" s="107">
        <f t="shared" si="6"/>
        <v>12</v>
      </c>
      <c r="T11" s="107">
        <f t="shared" si="7"/>
        <v>12</v>
      </c>
      <c r="U11" s="107" t="str">
        <f t="shared" si="8"/>
        <v>N/A</v>
      </c>
      <c r="V11" s="107" t="str">
        <f t="shared" si="9"/>
        <v>N/A</v>
      </c>
      <c r="W11" s="107" t="str">
        <f t="shared" si="10"/>
        <v>N/A</v>
      </c>
      <c r="X11" s="107" t="str">
        <f t="shared" si="11"/>
        <v>N/A</v>
      </c>
      <c r="Y11" s="107">
        <f t="shared" si="29"/>
        <v>0.45</v>
      </c>
      <c r="Z11" s="107">
        <f t="shared" si="30"/>
        <v>0.42</v>
      </c>
      <c r="AA11" s="107">
        <f t="shared" si="31"/>
        <v>0.25</v>
      </c>
      <c r="AB11" s="107">
        <f t="shared" si="32"/>
        <v>0</v>
      </c>
      <c r="AC11" s="107">
        <f t="shared" si="33"/>
        <v>0.26</v>
      </c>
      <c r="AD11" s="107" t="str">
        <f t="shared" si="34"/>
        <v>N/A</v>
      </c>
      <c r="AE11" s="107" t="str">
        <f t="shared" si="35"/>
        <v>N/A</v>
      </c>
      <c r="AF11" s="107" t="str">
        <f t="shared" si="36"/>
        <v>N/A</v>
      </c>
      <c r="AG11" s="107" t="str">
        <f t="shared" si="37"/>
        <v>N/A</v>
      </c>
      <c r="AH11" s="107">
        <f t="shared" si="20"/>
        <v>0.45</v>
      </c>
      <c r="AI11" s="107">
        <f t="shared" si="21"/>
        <v>0.42</v>
      </c>
      <c r="AJ11" s="107">
        <f t="shared" si="22"/>
        <v>0.25</v>
      </c>
      <c r="AK11" s="107">
        <f t="shared" si="23"/>
        <v>0</v>
      </c>
      <c r="AL11" s="107">
        <f t="shared" si="24"/>
        <v>0.26</v>
      </c>
      <c r="AM11" s="107" t="e">
        <f t="shared" si="25"/>
        <v>#N/A</v>
      </c>
      <c r="AN11" s="107" t="e">
        <f t="shared" si="26"/>
        <v>#N/A</v>
      </c>
      <c r="AO11" s="107" t="e">
        <f t="shared" si="27"/>
        <v>#N/A</v>
      </c>
      <c r="AP11" s="107" t="e">
        <f t="shared" si="28"/>
        <v>#N/A</v>
      </c>
    </row>
    <row r="12" spans="1:42" x14ac:dyDescent="0.25">
      <c r="A12" s="107">
        <v>9</v>
      </c>
      <c r="B12" s="11" t="s">
        <v>122</v>
      </c>
      <c r="C12" s="32" t="s">
        <v>33</v>
      </c>
      <c r="D12" s="33" t="s">
        <v>34</v>
      </c>
      <c r="E12" s="34" t="s">
        <v>41</v>
      </c>
      <c r="F12" s="115">
        <v>3</v>
      </c>
      <c r="G12" s="115">
        <v>6</v>
      </c>
      <c r="H12" s="107">
        <v>6</v>
      </c>
      <c r="I12" s="107">
        <v>6</v>
      </c>
      <c r="J12" s="107">
        <v>6</v>
      </c>
      <c r="K12" s="107">
        <v>3</v>
      </c>
      <c r="L12" s="107"/>
      <c r="M12" s="107"/>
      <c r="N12" s="107"/>
      <c r="O12" s="107"/>
      <c r="P12" s="107">
        <f t="shared" si="3"/>
        <v>9</v>
      </c>
      <c r="Q12" s="107">
        <f t="shared" si="4"/>
        <v>12</v>
      </c>
      <c r="R12" s="107">
        <f t="shared" si="5"/>
        <v>12</v>
      </c>
      <c r="S12" s="107">
        <f t="shared" si="6"/>
        <v>12</v>
      </c>
      <c r="T12" s="107">
        <f t="shared" si="7"/>
        <v>9</v>
      </c>
      <c r="U12" s="107" t="str">
        <f t="shared" si="8"/>
        <v>N/A</v>
      </c>
      <c r="V12" s="107" t="str">
        <f t="shared" si="9"/>
        <v>N/A</v>
      </c>
      <c r="W12" s="107" t="str">
        <f t="shared" si="10"/>
        <v>N/A</v>
      </c>
      <c r="X12" s="107" t="str">
        <f t="shared" si="11"/>
        <v>N/A</v>
      </c>
      <c r="Y12" s="107">
        <f t="shared" ref="Y12:Y32" si="38">IF(P12&lt;&gt;"N/A",IF(P$36&lt;&gt;0,ROUNDUP((P12-P$34)/P$36,2),0),P12)</f>
        <v>-0.83</v>
      </c>
      <c r="Z12" s="107">
        <f t="shared" ref="Z12:Z32" si="39">IF(Q12&lt;&gt;"N/A",IF(Q$36&lt;&gt;0,ROUNDUP((Q12-Q$34)/Q$36,2),0),Q12)</f>
        <v>0.42</v>
      </c>
      <c r="AA12" s="107">
        <f t="shared" ref="AA12:AA32" si="40">IF(R12&lt;&gt;"N/A",IF(R$36&lt;&gt;0,ROUNDUP((R12-R$34)/R$36,2),0),R12)</f>
        <v>0.25</v>
      </c>
      <c r="AB12" s="107">
        <f t="shared" ref="AB12:AB32" si="41">IF(S12&lt;&gt;"N/A",IF(S$36&lt;&gt;0,ROUNDUP((S12-S$34)/S$36,2),0),S12)</f>
        <v>0</v>
      </c>
      <c r="AC12" s="107">
        <f t="shared" ref="AC12:AC32" si="42">IF(T12&lt;&gt;"N/A",IF(T$36&lt;&gt;0,ROUNDUP((T12-T$34)/T$36,2),0),T12)</f>
        <v>-3.6199999999999997</v>
      </c>
      <c r="AD12" s="107" t="str">
        <f t="shared" ref="AD12:AD32" si="43">IF(U12&lt;&gt;"N/A",IF(U$36&lt;&gt;0,ROUNDUP((U12-U$34)/U$36,2),0),U12)</f>
        <v>N/A</v>
      </c>
      <c r="AE12" s="107" t="str">
        <f t="shared" ref="AE12:AE32" si="44">IF(V12&lt;&gt;"N/A",IF(V$36&lt;&gt;0,ROUNDUP((V12-V$34)/V$36,2),0),V12)</f>
        <v>N/A</v>
      </c>
      <c r="AF12" s="107" t="str">
        <f t="shared" ref="AF12:AF32" si="45">IF(W12&lt;&gt;"N/A",IF(W$36&lt;&gt;0,ROUNDUP((W12-W$34)/W$36,2),0),W12)</f>
        <v>N/A</v>
      </c>
      <c r="AG12" s="107" t="str">
        <f t="shared" ref="AG12:AG32" si="46">IF(X12&lt;&gt;"N/A",IF(X$36&lt;&gt;0,ROUNDUP((X12-X$34)/X$36,2),0),X12)</f>
        <v>N/A</v>
      </c>
      <c r="AH12" s="107">
        <f t="shared" si="20"/>
        <v>-0.83</v>
      </c>
      <c r="AI12" s="107">
        <f t="shared" si="21"/>
        <v>0.42</v>
      </c>
      <c r="AJ12" s="107">
        <f t="shared" si="22"/>
        <v>0.25</v>
      </c>
      <c r="AK12" s="107">
        <f t="shared" si="23"/>
        <v>0</v>
      </c>
      <c r="AL12" s="107">
        <f t="shared" si="24"/>
        <v>-3.6199999999999997</v>
      </c>
      <c r="AM12" s="107" t="e">
        <f t="shared" si="25"/>
        <v>#N/A</v>
      </c>
      <c r="AN12" s="107" t="e">
        <f t="shared" si="26"/>
        <v>#N/A</v>
      </c>
      <c r="AO12" s="107" t="e">
        <f t="shared" si="27"/>
        <v>#N/A</v>
      </c>
      <c r="AP12" s="107" t="e">
        <f t="shared" si="28"/>
        <v>#N/A</v>
      </c>
    </row>
    <row r="13" spans="1:42" x14ac:dyDescent="0.25">
      <c r="A13" s="107">
        <v>10</v>
      </c>
      <c r="B13" s="12" t="s">
        <v>124</v>
      </c>
      <c r="C13" s="35" t="s">
        <v>56</v>
      </c>
      <c r="D13" s="36" t="s">
        <v>78</v>
      </c>
      <c r="E13" s="37" t="s">
        <v>47</v>
      </c>
      <c r="F13" s="115">
        <v>6</v>
      </c>
      <c r="G13" s="115">
        <v>6</v>
      </c>
      <c r="H13" s="107">
        <v>6</v>
      </c>
      <c r="I13" s="107">
        <v>6</v>
      </c>
      <c r="J13" s="107">
        <v>6</v>
      </c>
      <c r="K13" s="107">
        <v>6</v>
      </c>
      <c r="L13" s="107"/>
      <c r="M13" s="107"/>
      <c r="N13" s="107"/>
      <c r="O13" s="107"/>
      <c r="P13" s="107">
        <f t="shared" si="3"/>
        <v>12</v>
      </c>
      <c r="Q13" s="107">
        <f t="shared" si="4"/>
        <v>12</v>
      </c>
      <c r="R13" s="107">
        <f t="shared" si="5"/>
        <v>12</v>
      </c>
      <c r="S13" s="107">
        <f t="shared" si="6"/>
        <v>12</v>
      </c>
      <c r="T13" s="107">
        <f t="shared" si="7"/>
        <v>12</v>
      </c>
      <c r="U13" s="107" t="str">
        <f t="shared" si="8"/>
        <v>N/A</v>
      </c>
      <c r="V13" s="107" t="str">
        <f t="shared" si="9"/>
        <v>N/A</v>
      </c>
      <c r="W13" s="107" t="str">
        <f t="shared" si="10"/>
        <v>N/A</v>
      </c>
      <c r="X13" s="107" t="str">
        <f t="shared" si="11"/>
        <v>N/A</v>
      </c>
      <c r="Y13" s="107">
        <f t="shared" si="38"/>
        <v>0.45</v>
      </c>
      <c r="Z13" s="107">
        <f t="shared" si="39"/>
        <v>0.42</v>
      </c>
      <c r="AA13" s="107">
        <f t="shared" si="40"/>
        <v>0.25</v>
      </c>
      <c r="AB13" s="107">
        <f t="shared" si="41"/>
        <v>0</v>
      </c>
      <c r="AC13" s="107">
        <f t="shared" si="42"/>
        <v>0.26</v>
      </c>
      <c r="AD13" s="107" t="str">
        <f t="shared" si="43"/>
        <v>N/A</v>
      </c>
      <c r="AE13" s="107" t="str">
        <f t="shared" si="44"/>
        <v>N/A</v>
      </c>
      <c r="AF13" s="107" t="str">
        <f t="shared" si="45"/>
        <v>N/A</v>
      </c>
      <c r="AG13" s="107" t="str">
        <f t="shared" si="46"/>
        <v>N/A</v>
      </c>
      <c r="AH13" s="107">
        <f t="shared" si="20"/>
        <v>0.45</v>
      </c>
      <c r="AI13" s="107">
        <f t="shared" si="21"/>
        <v>0.42</v>
      </c>
      <c r="AJ13" s="107">
        <f t="shared" si="22"/>
        <v>0.25</v>
      </c>
      <c r="AK13" s="107">
        <f t="shared" si="23"/>
        <v>0</v>
      </c>
      <c r="AL13" s="107">
        <f t="shared" si="24"/>
        <v>0.26</v>
      </c>
      <c r="AM13" s="107" t="e">
        <f t="shared" si="25"/>
        <v>#N/A</v>
      </c>
      <c r="AN13" s="107" t="e">
        <f t="shared" si="26"/>
        <v>#N/A</v>
      </c>
      <c r="AO13" s="107" t="e">
        <f t="shared" si="27"/>
        <v>#N/A</v>
      </c>
      <c r="AP13" s="107" t="e">
        <f t="shared" si="28"/>
        <v>#N/A</v>
      </c>
    </row>
    <row r="14" spans="1:42" x14ac:dyDescent="0.25">
      <c r="A14" s="107">
        <v>11</v>
      </c>
      <c r="B14" s="12" t="s">
        <v>128</v>
      </c>
      <c r="C14" s="35" t="s">
        <v>83</v>
      </c>
      <c r="D14" s="36" t="s">
        <v>84</v>
      </c>
      <c r="E14" s="37" t="s">
        <v>47</v>
      </c>
      <c r="F14" s="115">
        <v>6</v>
      </c>
      <c r="G14" s="115">
        <v>6</v>
      </c>
      <c r="H14" s="107">
        <v>6</v>
      </c>
      <c r="I14" s="107">
        <v>6</v>
      </c>
      <c r="J14" s="107">
        <v>6</v>
      </c>
      <c r="K14" s="107">
        <v>6</v>
      </c>
      <c r="L14" s="107"/>
      <c r="M14" s="107"/>
      <c r="N14" s="107"/>
      <c r="O14" s="107"/>
      <c r="P14" s="107">
        <f t="shared" si="3"/>
        <v>12</v>
      </c>
      <c r="Q14" s="107">
        <f t="shared" si="4"/>
        <v>12</v>
      </c>
      <c r="R14" s="107">
        <f t="shared" si="5"/>
        <v>12</v>
      </c>
      <c r="S14" s="107">
        <f t="shared" si="6"/>
        <v>12</v>
      </c>
      <c r="T14" s="107">
        <f t="shared" si="7"/>
        <v>12</v>
      </c>
      <c r="U14" s="107" t="str">
        <f t="shared" si="8"/>
        <v>N/A</v>
      </c>
      <c r="V14" s="107" t="str">
        <f t="shared" si="9"/>
        <v>N/A</v>
      </c>
      <c r="W14" s="107" t="str">
        <f t="shared" si="10"/>
        <v>N/A</v>
      </c>
      <c r="X14" s="107" t="str">
        <f t="shared" si="11"/>
        <v>N/A</v>
      </c>
      <c r="Y14" s="107">
        <f t="shared" si="38"/>
        <v>0.45</v>
      </c>
      <c r="Z14" s="107">
        <f t="shared" si="39"/>
        <v>0.42</v>
      </c>
      <c r="AA14" s="107">
        <f t="shared" si="40"/>
        <v>0.25</v>
      </c>
      <c r="AB14" s="107">
        <f t="shared" si="41"/>
        <v>0</v>
      </c>
      <c r="AC14" s="107">
        <f t="shared" si="42"/>
        <v>0.26</v>
      </c>
      <c r="AD14" s="107" t="str">
        <f t="shared" si="43"/>
        <v>N/A</v>
      </c>
      <c r="AE14" s="107" t="str">
        <f t="shared" si="44"/>
        <v>N/A</v>
      </c>
      <c r="AF14" s="107" t="str">
        <f t="shared" si="45"/>
        <v>N/A</v>
      </c>
      <c r="AG14" s="107" t="str">
        <f t="shared" si="46"/>
        <v>N/A</v>
      </c>
      <c r="AH14" s="107">
        <f t="shared" si="20"/>
        <v>0.45</v>
      </c>
      <c r="AI14" s="107">
        <f t="shared" si="21"/>
        <v>0.42</v>
      </c>
      <c r="AJ14" s="107">
        <f t="shared" si="22"/>
        <v>0.25</v>
      </c>
      <c r="AK14" s="107">
        <f t="shared" si="23"/>
        <v>0</v>
      </c>
      <c r="AL14" s="107">
        <f t="shared" si="24"/>
        <v>0.26</v>
      </c>
      <c r="AM14" s="107" t="e">
        <f t="shared" si="25"/>
        <v>#N/A</v>
      </c>
      <c r="AN14" s="107" t="e">
        <f t="shared" si="26"/>
        <v>#N/A</v>
      </c>
      <c r="AO14" s="107" t="e">
        <f t="shared" si="27"/>
        <v>#N/A</v>
      </c>
      <c r="AP14" s="107" t="e">
        <f t="shared" si="28"/>
        <v>#N/A</v>
      </c>
    </row>
    <row r="15" spans="1:42" x14ac:dyDescent="0.25">
      <c r="A15" s="107">
        <v>12</v>
      </c>
      <c r="B15" s="12" t="s">
        <v>130</v>
      </c>
      <c r="C15" s="12" t="s">
        <v>79</v>
      </c>
      <c r="D15" s="12" t="s">
        <v>80</v>
      </c>
      <c r="E15" s="37" t="s">
        <v>47</v>
      </c>
      <c r="F15" s="115">
        <v>6</v>
      </c>
      <c r="G15" s="115">
        <v>6</v>
      </c>
      <c r="H15" s="107">
        <v>6</v>
      </c>
      <c r="I15" s="107">
        <v>6</v>
      </c>
      <c r="J15" s="107">
        <v>6</v>
      </c>
      <c r="K15" s="107">
        <v>6</v>
      </c>
      <c r="L15" s="107"/>
      <c r="M15" s="107"/>
      <c r="N15" s="107"/>
      <c r="O15" s="107"/>
      <c r="P15" s="107">
        <f t="shared" si="3"/>
        <v>12</v>
      </c>
      <c r="Q15" s="107">
        <f t="shared" si="4"/>
        <v>12</v>
      </c>
      <c r="R15" s="107">
        <f t="shared" si="5"/>
        <v>12</v>
      </c>
      <c r="S15" s="107">
        <f t="shared" si="6"/>
        <v>12</v>
      </c>
      <c r="T15" s="107">
        <f t="shared" si="7"/>
        <v>12</v>
      </c>
      <c r="U15" s="107" t="str">
        <f t="shared" si="8"/>
        <v>N/A</v>
      </c>
      <c r="V15" s="107" t="str">
        <f t="shared" si="9"/>
        <v>N/A</v>
      </c>
      <c r="W15" s="107" t="str">
        <f t="shared" si="10"/>
        <v>N/A</v>
      </c>
      <c r="X15" s="107" t="str">
        <f t="shared" si="11"/>
        <v>N/A</v>
      </c>
      <c r="Y15" s="107">
        <f t="shared" si="38"/>
        <v>0.45</v>
      </c>
      <c r="Z15" s="107">
        <f t="shared" si="39"/>
        <v>0.42</v>
      </c>
      <c r="AA15" s="107">
        <f t="shared" si="40"/>
        <v>0.25</v>
      </c>
      <c r="AB15" s="107">
        <f t="shared" si="41"/>
        <v>0</v>
      </c>
      <c r="AC15" s="107">
        <f t="shared" si="42"/>
        <v>0.26</v>
      </c>
      <c r="AD15" s="107" t="str">
        <f t="shared" si="43"/>
        <v>N/A</v>
      </c>
      <c r="AE15" s="107" t="str">
        <f t="shared" si="44"/>
        <v>N/A</v>
      </c>
      <c r="AF15" s="107" t="str">
        <f t="shared" si="45"/>
        <v>N/A</v>
      </c>
      <c r="AG15" s="107" t="str">
        <f t="shared" si="46"/>
        <v>N/A</v>
      </c>
      <c r="AH15" s="107">
        <f t="shared" si="20"/>
        <v>0.45</v>
      </c>
      <c r="AI15" s="107">
        <f t="shared" si="21"/>
        <v>0.42</v>
      </c>
      <c r="AJ15" s="107">
        <f t="shared" si="22"/>
        <v>0.25</v>
      </c>
      <c r="AK15" s="107">
        <f t="shared" si="23"/>
        <v>0</v>
      </c>
      <c r="AL15" s="107">
        <f t="shared" si="24"/>
        <v>0.26</v>
      </c>
      <c r="AM15" s="107" t="e">
        <f t="shared" si="25"/>
        <v>#N/A</v>
      </c>
      <c r="AN15" s="107" t="e">
        <f t="shared" si="26"/>
        <v>#N/A</v>
      </c>
      <c r="AO15" s="107" t="e">
        <f t="shared" si="27"/>
        <v>#N/A</v>
      </c>
      <c r="AP15" s="107" t="e">
        <f t="shared" si="28"/>
        <v>#N/A</v>
      </c>
    </row>
    <row r="16" spans="1:42" x14ac:dyDescent="0.25">
      <c r="A16" s="107">
        <v>13</v>
      </c>
      <c r="B16" s="12" t="s">
        <v>292</v>
      </c>
      <c r="C16" s="12" t="s">
        <v>249</v>
      </c>
      <c r="D16" s="12" t="s">
        <v>291</v>
      </c>
      <c r="E16" s="37" t="s">
        <v>47</v>
      </c>
      <c r="F16" s="115"/>
      <c r="G16" s="115"/>
      <c r="H16" s="107"/>
      <c r="I16" s="107"/>
      <c r="J16" s="107"/>
      <c r="K16" s="107">
        <v>6</v>
      </c>
      <c r="L16" s="107"/>
      <c r="M16" s="107"/>
      <c r="N16" s="107"/>
      <c r="O16" s="107"/>
      <c r="P16" s="107" t="str">
        <f t="shared" si="3"/>
        <v>N/A</v>
      </c>
      <c r="Q16" s="107" t="str">
        <f t="shared" si="4"/>
        <v>N/A</v>
      </c>
      <c r="R16" s="107" t="str">
        <f t="shared" si="5"/>
        <v>N/A</v>
      </c>
      <c r="S16" s="107" t="str">
        <f t="shared" si="6"/>
        <v>N/A</v>
      </c>
      <c r="T16" s="107" t="str">
        <f t="shared" si="7"/>
        <v>N/A</v>
      </c>
      <c r="U16" s="107" t="str">
        <f t="shared" si="8"/>
        <v>N/A</v>
      </c>
      <c r="V16" s="107" t="str">
        <f t="shared" si="9"/>
        <v>N/A</v>
      </c>
      <c r="W16" s="107" t="str">
        <f t="shared" si="10"/>
        <v>N/A</v>
      </c>
      <c r="X16" s="107" t="str">
        <f t="shared" si="11"/>
        <v>N/A</v>
      </c>
      <c r="Y16" s="107" t="str">
        <f t="shared" si="38"/>
        <v>N/A</v>
      </c>
      <c r="Z16" s="107" t="str">
        <f t="shared" si="39"/>
        <v>N/A</v>
      </c>
      <c r="AA16" s="107" t="str">
        <f t="shared" si="40"/>
        <v>N/A</v>
      </c>
      <c r="AB16" s="107" t="str">
        <f t="shared" si="41"/>
        <v>N/A</v>
      </c>
      <c r="AC16" s="107" t="str">
        <f t="shared" si="42"/>
        <v>N/A</v>
      </c>
      <c r="AD16" s="107" t="str">
        <f t="shared" si="43"/>
        <v>N/A</v>
      </c>
      <c r="AE16" s="107" t="str">
        <f t="shared" si="44"/>
        <v>N/A</v>
      </c>
      <c r="AF16" s="107" t="str">
        <f t="shared" si="45"/>
        <v>N/A</v>
      </c>
      <c r="AG16" s="107" t="str">
        <f t="shared" si="46"/>
        <v>N/A</v>
      </c>
      <c r="AH16" s="107" t="e">
        <f t="shared" si="20"/>
        <v>#N/A</v>
      </c>
      <c r="AI16" s="107" t="e">
        <f t="shared" si="21"/>
        <v>#N/A</v>
      </c>
      <c r="AJ16" s="107" t="e">
        <f t="shared" si="22"/>
        <v>#N/A</v>
      </c>
      <c r="AK16" s="107" t="e">
        <f t="shared" si="23"/>
        <v>#N/A</v>
      </c>
      <c r="AL16" s="107" t="e">
        <f t="shared" si="24"/>
        <v>#N/A</v>
      </c>
      <c r="AM16" s="107" t="e">
        <f t="shared" si="25"/>
        <v>#N/A</v>
      </c>
      <c r="AN16" s="107" t="e">
        <f t="shared" si="26"/>
        <v>#N/A</v>
      </c>
      <c r="AO16" s="107" t="e">
        <f t="shared" si="27"/>
        <v>#N/A</v>
      </c>
      <c r="AP16" s="107" t="e">
        <f t="shared" si="28"/>
        <v>#N/A</v>
      </c>
    </row>
    <row r="17" spans="1:42" x14ac:dyDescent="0.25">
      <c r="A17" s="107">
        <v>14</v>
      </c>
      <c r="B17" s="12" t="s">
        <v>294</v>
      </c>
      <c r="C17" s="12" t="s">
        <v>265</v>
      </c>
      <c r="D17" s="12" t="s">
        <v>293</v>
      </c>
      <c r="E17" s="37" t="s">
        <v>47</v>
      </c>
      <c r="F17" s="115"/>
      <c r="G17" s="115"/>
      <c r="H17" s="107"/>
      <c r="I17" s="107"/>
      <c r="J17" s="107"/>
      <c r="K17" s="107">
        <v>6</v>
      </c>
      <c r="L17" s="107"/>
      <c r="M17" s="107"/>
      <c r="N17" s="107"/>
      <c r="O17" s="107"/>
      <c r="P17" s="107" t="str">
        <f t="shared" si="3"/>
        <v>N/A</v>
      </c>
      <c r="Q17" s="107" t="str">
        <f t="shared" si="4"/>
        <v>N/A</v>
      </c>
      <c r="R17" s="107" t="str">
        <f t="shared" si="5"/>
        <v>N/A</v>
      </c>
      <c r="S17" s="107" t="str">
        <f t="shared" si="6"/>
        <v>N/A</v>
      </c>
      <c r="T17" s="107" t="str">
        <f t="shared" si="7"/>
        <v>N/A</v>
      </c>
      <c r="U17" s="107" t="str">
        <f t="shared" si="8"/>
        <v>N/A</v>
      </c>
      <c r="V17" s="107" t="str">
        <f t="shared" si="9"/>
        <v>N/A</v>
      </c>
      <c r="W17" s="107" t="str">
        <f t="shared" si="10"/>
        <v>N/A</v>
      </c>
      <c r="X17" s="107" t="str">
        <f t="shared" si="11"/>
        <v>N/A</v>
      </c>
      <c r="Y17" s="107" t="str">
        <f t="shared" si="38"/>
        <v>N/A</v>
      </c>
      <c r="Z17" s="107" t="str">
        <f t="shared" si="39"/>
        <v>N/A</v>
      </c>
      <c r="AA17" s="107" t="str">
        <f t="shared" si="40"/>
        <v>N/A</v>
      </c>
      <c r="AB17" s="107" t="str">
        <f t="shared" si="41"/>
        <v>N/A</v>
      </c>
      <c r="AC17" s="107" t="str">
        <f t="shared" si="42"/>
        <v>N/A</v>
      </c>
      <c r="AD17" s="107" t="str">
        <f t="shared" si="43"/>
        <v>N/A</v>
      </c>
      <c r="AE17" s="107" t="str">
        <f t="shared" si="44"/>
        <v>N/A</v>
      </c>
      <c r="AF17" s="107" t="str">
        <f t="shared" si="45"/>
        <v>N/A</v>
      </c>
      <c r="AG17" s="107" t="str">
        <f t="shared" si="46"/>
        <v>N/A</v>
      </c>
      <c r="AH17" s="107" t="e">
        <f t="shared" si="20"/>
        <v>#N/A</v>
      </c>
      <c r="AI17" s="107" t="e">
        <f t="shared" si="21"/>
        <v>#N/A</v>
      </c>
      <c r="AJ17" s="107" t="e">
        <f t="shared" si="22"/>
        <v>#N/A</v>
      </c>
      <c r="AK17" s="107" t="e">
        <f t="shared" si="23"/>
        <v>#N/A</v>
      </c>
      <c r="AL17" s="107" t="e">
        <f t="shared" si="24"/>
        <v>#N/A</v>
      </c>
      <c r="AM17" s="107" t="e">
        <f t="shared" si="25"/>
        <v>#N/A</v>
      </c>
      <c r="AN17" s="107" t="e">
        <f t="shared" si="26"/>
        <v>#N/A</v>
      </c>
      <c r="AO17" s="107" t="e">
        <f t="shared" si="27"/>
        <v>#N/A</v>
      </c>
      <c r="AP17" s="107" t="e">
        <f t="shared" si="28"/>
        <v>#N/A</v>
      </c>
    </row>
    <row r="18" spans="1:42" x14ac:dyDescent="0.25">
      <c r="A18" s="107">
        <v>15</v>
      </c>
      <c r="B18" s="12" t="s">
        <v>296</v>
      </c>
      <c r="C18" s="12" t="s">
        <v>284</v>
      </c>
      <c r="D18" s="12" t="s">
        <v>295</v>
      </c>
      <c r="E18" s="37" t="s">
        <v>47</v>
      </c>
      <c r="F18" s="115"/>
      <c r="G18" s="115"/>
      <c r="H18" s="107"/>
      <c r="I18" s="107"/>
      <c r="J18" s="107"/>
      <c r="K18" s="107">
        <v>6</v>
      </c>
      <c r="L18" s="107"/>
      <c r="M18" s="107"/>
      <c r="N18" s="107"/>
      <c r="O18" s="107"/>
      <c r="P18" s="107" t="str">
        <f t="shared" si="3"/>
        <v>N/A</v>
      </c>
      <c r="Q18" s="107" t="str">
        <f t="shared" si="4"/>
        <v>N/A</v>
      </c>
      <c r="R18" s="107" t="str">
        <f t="shared" si="5"/>
        <v>N/A</v>
      </c>
      <c r="S18" s="107" t="str">
        <f t="shared" si="6"/>
        <v>N/A</v>
      </c>
      <c r="T18" s="107" t="str">
        <f t="shared" si="7"/>
        <v>N/A</v>
      </c>
      <c r="U18" s="107" t="str">
        <f t="shared" si="8"/>
        <v>N/A</v>
      </c>
      <c r="V18" s="107" t="str">
        <f t="shared" si="9"/>
        <v>N/A</v>
      </c>
      <c r="W18" s="107" t="str">
        <f t="shared" si="10"/>
        <v>N/A</v>
      </c>
      <c r="X18" s="107" t="str">
        <f t="shared" si="11"/>
        <v>N/A</v>
      </c>
      <c r="Y18" s="107" t="str">
        <f t="shared" si="38"/>
        <v>N/A</v>
      </c>
      <c r="Z18" s="107" t="str">
        <f t="shared" si="39"/>
        <v>N/A</v>
      </c>
      <c r="AA18" s="107" t="str">
        <f t="shared" si="40"/>
        <v>N/A</v>
      </c>
      <c r="AB18" s="107" t="str">
        <f t="shared" si="41"/>
        <v>N/A</v>
      </c>
      <c r="AC18" s="107" t="str">
        <f t="shared" si="42"/>
        <v>N/A</v>
      </c>
      <c r="AD18" s="107" t="str">
        <f t="shared" si="43"/>
        <v>N/A</v>
      </c>
      <c r="AE18" s="107" t="str">
        <f t="shared" si="44"/>
        <v>N/A</v>
      </c>
      <c r="AF18" s="107" t="str">
        <f t="shared" si="45"/>
        <v>N/A</v>
      </c>
      <c r="AG18" s="107" t="str">
        <f t="shared" si="46"/>
        <v>N/A</v>
      </c>
      <c r="AH18" s="107" t="e">
        <f t="shared" si="20"/>
        <v>#N/A</v>
      </c>
      <c r="AI18" s="107" t="e">
        <f t="shared" si="21"/>
        <v>#N/A</v>
      </c>
      <c r="AJ18" s="107" t="e">
        <f t="shared" si="22"/>
        <v>#N/A</v>
      </c>
      <c r="AK18" s="107" t="e">
        <f t="shared" si="23"/>
        <v>#N/A</v>
      </c>
      <c r="AL18" s="107" t="e">
        <f t="shared" si="24"/>
        <v>#N/A</v>
      </c>
      <c r="AM18" s="107" t="e">
        <f t="shared" si="25"/>
        <v>#N/A</v>
      </c>
      <c r="AN18" s="107" t="e">
        <f t="shared" si="26"/>
        <v>#N/A</v>
      </c>
      <c r="AO18" s="107" t="e">
        <f t="shared" si="27"/>
        <v>#N/A</v>
      </c>
      <c r="AP18" s="107" t="e">
        <f t="shared" si="28"/>
        <v>#N/A</v>
      </c>
    </row>
    <row r="19" spans="1:42" x14ac:dyDescent="0.25">
      <c r="A19" s="107">
        <v>16</v>
      </c>
      <c r="B19" s="13" t="s">
        <v>133</v>
      </c>
      <c r="C19" s="13" t="s">
        <v>90</v>
      </c>
      <c r="D19" s="13" t="s">
        <v>91</v>
      </c>
      <c r="E19" s="38" t="s">
        <v>94</v>
      </c>
      <c r="F19" s="115">
        <v>0</v>
      </c>
      <c r="G19" s="115">
        <v>3</v>
      </c>
      <c r="H19" s="107">
        <v>3</v>
      </c>
      <c r="I19" s="107">
        <v>6</v>
      </c>
      <c r="J19" s="107">
        <v>6</v>
      </c>
      <c r="K19" s="107"/>
      <c r="L19" s="107"/>
      <c r="M19" s="107"/>
      <c r="N19" s="107"/>
      <c r="O19" s="107"/>
      <c r="P19" s="107">
        <f t="shared" si="3"/>
        <v>3</v>
      </c>
      <c r="Q19" s="107">
        <f t="shared" si="4"/>
        <v>6</v>
      </c>
      <c r="R19" s="107">
        <f t="shared" si="5"/>
        <v>9</v>
      </c>
      <c r="S19" s="107">
        <f t="shared" si="6"/>
        <v>12</v>
      </c>
      <c r="T19" s="107" t="str">
        <f t="shared" si="7"/>
        <v>N/A</v>
      </c>
      <c r="U19" s="107" t="str">
        <f t="shared" si="8"/>
        <v>N/A</v>
      </c>
      <c r="V19" s="107" t="str">
        <f t="shared" si="9"/>
        <v>N/A</v>
      </c>
      <c r="W19" s="107" t="str">
        <f t="shared" si="10"/>
        <v>N/A</v>
      </c>
      <c r="X19" s="107" t="str">
        <f t="shared" si="11"/>
        <v>N/A</v>
      </c>
      <c r="Y19" s="107">
        <f t="shared" si="38"/>
        <v>-3.3699999999999997</v>
      </c>
      <c r="Z19" s="107">
        <f t="shared" si="39"/>
        <v>-3.1399999999999997</v>
      </c>
      <c r="AA19" s="107">
        <f t="shared" si="40"/>
        <v>-3.8899999999999997</v>
      </c>
      <c r="AB19" s="107">
        <f t="shared" si="41"/>
        <v>0</v>
      </c>
      <c r="AC19" s="107" t="str">
        <f t="shared" si="42"/>
        <v>N/A</v>
      </c>
      <c r="AD19" s="107" t="str">
        <f t="shared" si="43"/>
        <v>N/A</v>
      </c>
      <c r="AE19" s="107" t="str">
        <f t="shared" si="44"/>
        <v>N/A</v>
      </c>
      <c r="AF19" s="107" t="str">
        <f t="shared" si="45"/>
        <v>N/A</v>
      </c>
      <c r="AG19" s="107" t="str">
        <f t="shared" si="46"/>
        <v>N/A</v>
      </c>
      <c r="AH19" s="107">
        <f t="shared" si="20"/>
        <v>-3.3699999999999997</v>
      </c>
      <c r="AI19" s="107">
        <f t="shared" si="21"/>
        <v>-3.1399999999999997</v>
      </c>
      <c r="AJ19" s="107">
        <f t="shared" si="22"/>
        <v>-3.8899999999999997</v>
      </c>
      <c r="AK19" s="107">
        <f t="shared" si="23"/>
        <v>0</v>
      </c>
      <c r="AL19" s="107" t="e">
        <f t="shared" si="24"/>
        <v>#N/A</v>
      </c>
      <c r="AM19" s="107" t="e">
        <f t="shared" si="25"/>
        <v>#N/A</v>
      </c>
      <c r="AN19" s="107" t="e">
        <f t="shared" si="26"/>
        <v>#N/A</v>
      </c>
      <c r="AO19" s="107" t="e">
        <f t="shared" si="27"/>
        <v>#N/A</v>
      </c>
      <c r="AP19" s="107" t="e">
        <f t="shared" si="28"/>
        <v>#N/A</v>
      </c>
    </row>
    <row r="20" spans="1:42" x14ac:dyDescent="0.25">
      <c r="A20" s="107">
        <v>17</v>
      </c>
      <c r="B20" s="13" t="s">
        <v>134</v>
      </c>
      <c r="C20" s="39" t="s">
        <v>135</v>
      </c>
      <c r="D20" s="40" t="s">
        <v>136</v>
      </c>
      <c r="E20" s="38" t="s">
        <v>94</v>
      </c>
      <c r="F20" s="115">
        <v>6</v>
      </c>
      <c r="G20" s="115">
        <v>3</v>
      </c>
      <c r="H20" s="107">
        <v>6</v>
      </c>
      <c r="I20" s="107">
        <v>6</v>
      </c>
      <c r="J20" s="107">
        <v>6</v>
      </c>
      <c r="K20" s="107">
        <v>6</v>
      </c>
      <c r="L20" s="107"/>
      <c r="M20" s="107"/>
      <c r="N20" s="107"/>
      <c r="O20" s="107"/>
      <c r="P20" s="107">
        <f t="shared" si="3"/>
        <v>9</v>
      </c>
      <c r="Q20" s="107">
        <f t="shared" si="4"/>
        <v>9</v>
      </c>
      <c r="R20" s="107">
        <f t="shared" si="5"/>
        <v>12</v>
      </c>
      <c r="S20" s="107">
        <f t="shared" si="6"/>
        <v>12</v>
      </c>
      <c r="T20" s="107">
        <f t="shared" si="7"/>
        <v>12</v>
      </c>
      <c r="U20" s="107" t="str">
        <f t="shared" si="8"/>
        <v>N/A</v>
      </c>
      <c r="V20" s="107" t="str">
        <f t="shared" si="9"/>
        <v>N/A</v>
      </c>
      <c r="W20" s="107" t="str">
        <f t="shared" si="10"/>
        <v>N/A</v>
      </c>
      <c r="X20" s="107" t="str">
        <f t="shared" si="11"/>
        <v>N/A</v>
      </c>
      <c r="Y20" s="107">
        <f t="shared" si="38"/>
        <v>-0.83</v>
      </c>
      <c r="Z20" s="107">
        <f t="shared" si="39"/>
        <v>-1.36</v>
      </c>
      <c r="AA20" s="107">
        <f t="shared" si="40"/>
        <v>0.25</v>
      </c>
      <c r="AB20" s="107">
        <f t="shared" si="41"/>
        <v>0</v>
      </c>
      <c r="AC20" s="107">
        <f t="shared" si="42"/>
        <v>0.26</v>
      </c>
      <c r="AD20" s="107" t="str">
        <f t="shared" si="43"/>
        <v>N/A</v>
      </c>
      <c r="AE20" s="107" t="str">
        <f t="shared" si="44"/>
        <v>N/A</v>
      </c>
      <c r="AF20" s="107" t="str">
        <f t="shared" si="45"/>
        <v>N/A</v>
      </c>
      <c r="AG20" s="107" t="str">
        <f t="shared" si="46"/>
        <v>N/A</v>
      </c>
      <c r="AH20" s="107">
        <f t="shared" si="20"/>
        <v>-0.83</v>
      </c>
      <c r="AI20" s="107">
        <f t="shared" si="21"/>
        <v>-1.36</v>
      </c>
      <c r="AJ20" s="107">
        <f t="shared" si="22"/>
        <v>0.25</v>
      </c>
      <c r="AK20" s="107">
        <f t="shared" si="23"/>
        <v>0</v>
      </c>
      <c r="AL20" s="107">
        <f t="shared" si="24"/>
        <v>0.26</v>
      </c>
      <c r="AM20" s="107" t="e">
        <f t="shared" si="25"/>
        <v>#N/A</v>
      </c>
      <c r="AN20" s="107" t="e">
        <f t="shared" si="26"/>
        <v>#N/A</v>
      </c>
      <c r="AO20" s="107" t="e">
        <f t="shared" si="27"/>
        <v>#N/A</v>
      </c>
      <c r="AP20" s="107" t="e">
        <f t="shared" si="28"/>
        <v>#N/A</v>
      </c>
    </row>
    <row r="21" spans="1:42" x14ac:dyDescent="0.25">
      <c r="A21" s="107">
        <v>18</v>
      </c>
      <c r="B21" s="13" t="s">
        <v>297</v>
      </c>
      <c r="C21" s="39" t="s">
        <v>220</v>
      </c>
      <c r="D21" s="40" t="s">
        <v>221</v>
      </c>
      <c r="E21" s="38" t="s">
        <v>94</v>
      </c>
      <c r="F21" s="115"/>
      <c r="G21" s="115"/>
      <c r="H21" s="107"/>
      <c r="I21" s="107"/>
      <c r="J21" s="107"/>
      <c r="K21" s="107">
        <v>6</v>
      </c>
      <c r="L21" s="107"/>
      <c r="M21" s="107"/>
      <c r="N21" s="107"/>
      <c r="O21" s="107"/>
      <c r="P21" s="107" t="str">
        <f t="shared" si="3"/>
        <v>N/A</v>
      </c>
      <c r="Q21" s="107" t="str">
        <f t="shared" si="4"/>
        <v>N/A</v>
      </c>
      <c r="R21" s="107" t="str">
        <f t="shared" si="5"/>
        <v>N/A</v>
      </c>
      <c r="S21" s="107" t="str">
        <f t="shared" si="6"/>
        <v>N/A</v>
      </c>
      <c r="T21" s="107" t="str">
        <f t="shared" si="7"/>
        <v>N/A</v>
      </c>
      <c r="U21" s="107" t="str">
        <f t="shared" si="8"/>
        <v>N/A</v>
      </c>
      <c r="V21" s="107" t="str">
        <f t="shared" si="9"/>
        <v>N/A</v>
      </c>
      <c r="W21" s="107" t="str">
        <f t="shared" si="10"/>
        <v>N/A</v>
      </c>
      <c r="X21" s="107" t="str">
        <f t="shared" si="11"/>
        <v>N/A</v>
      </c>
      <c r="Y21" s="107" t="str">
        <f t="shared" si="38"/>
        <v>N/A</v>
      </c>
      <c r="Z21" s="107" t="str">
        <f t="shared" si="39"/>
        <v>N/A</v>
      </c>
      <c r="AA21" s="107" t="str">
        <f t="shared" si="40"/>
        <v>N/A</v>
      </c>
      <c r="AB21" s="107" t="str">
        <f t="shared" si="41"/>
        <v>N/A</v>
      </c>
      <c r="AC21" s="107" t="str">
        <f t="shared" si="42"/>
        <v>N/A</v>
      </c>
      <c r="AD21" s="107" t="str">
        <f t="shared" si="43"/>
        <v>N/A</v>
      </c>
      <c r="AE21" s="107" t="str">
        <f t="shared" si="44"/>
        <v>N/A</v>
      </c>
      <c r="AF21" s="107" t="str">
        <f t="shared" si="45"/>
        <v>N/A</v>
      </c>
      <c r="AG21" s="107" t="str">
        <f t="shared" si="46"/>
        <v>N/A</v>
      </c>
      <c r="AH21" s="107" t="e">
        <f t="shared" si="20"/>
        <v>#N/A</v>
      </c>
      <c r="AI21" s="107" t="e">
        <f t="shared" si="21"/>
        <v>#N/A</v>
      </c>
      <c r="AJ21" s="107" t="e">
        <f t="shared" si="22"/>
        <v>#N/A</v>
      </c>
      <c r="AK21" s="107" t="e">
        <f t="shared" si="23"/>
        <v>#N/A</v>
      </c>
      <c r="AL21" s="107" t="e">
        <f t="shared" si="24"/>
        <v>#N/A</v>
      </c>
      <c r="AM21" s="107" t="e">
        <f t="shared" si="25"/>
        <v>#N/A</v>
      </c>
      <c r="AN21" s="107" t="e">
        <f t="shared" si="26"/>
        <v>#N/A</v>
      </c>
      <c r="AO21" s="107" t="e">
        <f t="shared" si="27"/>
        <v>#N/A</v>
      </c>
      <c r="AP21" s="107" t="e">
        <f t="shared" si="28"/>
        <v>#N/A</v>
      </c>
    </row>
    <row r="22" spans="1:42" x14ac:dyDescent="0.25">
      <c r="A22" s="107">
        <v>19</v>
      </c>
      <c r="B22" s="14" t="s">
        <v>139</v>
      </c>
      <c r="C22" s="41" t="s">
        <v>140</v>
      </c>
      <c r="D22" s="42" t="s">
        <v>141</v>
      </c>
      <c r="E22" s="43" t="s">
        <v>37</v>
      </c>
      <c r="F22" s="115">
        <v>6</v>
      </c>
      <c r="G22" s="115">
        <v>6</v>
      </c>
      <c r="H22" s="107">
        <v>6</v>
      </c>
      <c r="I22" s="107"/>
      <c r="J22" s="107"/>
      <c r="K22" s="107">
        <v>0</v>
      </c>
      <c r="L22" s="107"/>
      <c r="M22" s="107"/>
      <c r="N22" s="107"/>
      <c r="O22" s="107"/>
      <c r="P22" s="107">
        <f t="shared" si="3"/>
        <v>12</v>
      </c>
      <c r="Q22" s="107">
        <f t="shared" si="4"/>
        <v>12</v>
      </c>
      <c r="R22" s="107" t="str">
        <f t="shared" si="5"/>
        <v>N/A</v>
      </c>
      <c r="S22" s="107" t="str">
        <f t="shared" si="6"/>
        <v>N/A</v>
      </c>
      <c r="T22" s="107" t="str">
        <f t="shared" si="7"/>
        <v>N/A</v>
      </c>
      <c r="U22" s="107" t="str">
        <f t="shared" si="8"/>
        <v>N/A</v>
      </c>
      <c r="V22" s="107" t="str">
        <f t="shared" si="9"/>
        <v>N/A</v>
      </c>
      <c r="W22" s="107" t="str">
        <f t="shared" si="10"/>
        <v>N/A</v>
      </c>
      <c r="X22" s="107" t="str">
        <f t="shared" si="11"/>
        <v>N/A</v>
      </c>
      <c r="Y22" s="107">
        <f t="shared" si="38"/>
        <v>0.45</v>
      </c>
      <c r="Z22" s="107">
        <f t="shared" si="39"/>
        <v>0.42</v>
      </c>
      <c r="AA22" s="107" t="str">
        <f t="shared" si="40"/>
        <v>N/A</v>
      </c>
      <c r="AB22" s="107" t="str">
        <f t="shared" si="41"/>
        <v>N/A</v>
      </c>
      <c r="AC22" s="107" t="str">
        <f t="shared" si="42"/>
        <v>N/A</v>
      </c>
      <c r="AD22" s="107" t="str">
        <f t="shared" si="43"/>
        <v>N/A</v>
      </c>
      <c r="AE22" s="107" t="str">
        <f t="shared" si="44"/>
        <v>N/A</v>
      </c>
      <c r="AF22" s="107" t="str">
        <f t="shared" si="45"/>
        <v>N/A</v>
      </c>
      <c r="AG22" s="107" t="str">
        <f t="shared" si="46"/>
        <v>N/A</v>
      </c>
      <c r="AH22" s="107">
        <f t="shared" si="20"/>
        <v>0.45</v>
      </c>
      <c r="AI22" s="107">
        <f t="shared" si="21"/>
        <v>0.42</v>
      </c>
      <c r="AJ22" s="107" t="e">
        <f t="shared" si="22"/>
        <v>#N/A</v>
      </c>
      <c r="AK22" s="107" t="e">
        <f t="shared" si="23"/>
        <v>#N/A</v>
      </c>
      <c r="AL22" s="107" t="e">
        <f t="shared" si="24"/>
        <v>#N/A</v>
      </c>
      <c r="AM22" s="107" t="e">
        <f t="shared" si="25"/>
        <v>#N/A</v>
      </c>
      <c r="AN22" s="107" t="e">
        <f t="shared" si="26"/>
        <v>#N/A</v>
      </c>
      <c r="AO22" s="107" t="e">
        <f t="shared" si="27"/>
        <v>#N/A</v>
      </c>
      <c r="AP22" s="107" t="e">
        <f t="shared" si="28"/>
        <v>#N/A</v>
      </c>
    </row>
    <row r="23" spans="1:42" x14ac:dyDescent="0.25">
      <c r="A23" s="107">
        <v>20</v>
      </c>
      <c r="B23" s="14" t="s">
        <v>145</v>
      </c>
      <c r="C23" s="41" t="s">
        <v>135</v>
      </c>
      <c r="D23" s="42" t="s">
        <v>136</v>
      </c>
      <c r="E23" s="43" t="s">
        <v>37</v>
      </c>
      <c r="F23" s="115">
        <v>6</v>
      </c>
      <c r="G23" s="115">
        <v>6</v>
      </c>
      <c r="H23" s="107">
        <v>6</v>
      </c>
      <c r="I23" s="107">
        <v>6</v>
      </c>
      <c r="J23" s="107">
        <v>6</v>
      </c>
      <c r="K23" s="107">
        <v>6</v>
      </c>
      <c r="L23" s="107"/>
      <c r="M23" s="107"/>
      <c r="N23" s="107"/>
      <c r="O23" s="107"/>
      <c r="P23" s="107">
        <f t="shared" si="3"/>
        <v>12</v>
      </c>
      <c r="Q23" s="107">
        <f t="shared" si="4"/>
        <v>12</v>
      </c>
      <c r="R23" s="107">
        <f t="shared" si="5"/>
        <v>12</v>
      </c>
      <c r="S23" s="107">
        <f t="shared" si="6"/>
        <v>12</v>
      </c>
      <c r="T23" s="107">
        <f t="shared" si="7"/>
        <v>12</v>
      </c>
      <c r="U23" s="107" t="str">
        <f t="shared" si="8"/>
        <v>N/A</v>
      </c>
      <c r="V23" s="107" t="str">
        <f t="shared" si="9"/>
        <v>N/A</v>
      </c>
      <c r="W23" s="107" t="str">
        <f t="shared" si="10"/>
        <v>N/A</v>
      </c>
      <c r="X23" s="107" t="str">
        <f t="shared" si="11"/>
        <v>N/A</v>
      </c>
      <c r="Y23" s="107">
        <f t="shared" si="38"/>
        <v>0.45</v>
      </c>
      <c r="Z23" s="107">
        <f t="shared" si="39"/>
        <v>0.42</v>
      </c>
      <c r="AA23" s="107">
        <f t="shared" si="40"/>
        <v>0.25</v>
      </c>
      <c r="AB23" s="107">
        <f t="shared" si="41"/>
        <v>0</v>
      </c>
      <c r="AC23" s="107">
        <f t="shared" si="42"/>
        <v>0.26</v>
      </c>
      <c r="AD23" s="107" t="str">
        <f t="shared" si="43"/>
        <v>N/A</v>
      </c>
      <c r="AE23" s="107" t="str">
        <f t="shared" si="44"/>
        <v>N/A</v>
      </c>
      <c r="AF23" s="107" t="str">
        <f t="shared" si="45"/>
        <v>N/A</v>
      </c>
      <c r="AG23" s="107" t="str">
        <f t="shared" si="46"/>
        <v>N/A</v>
      </c>
      <c r="AH23" s="107">
        <f t="shared" si="20"/>
        <v>0.45</v>
      </c>
      <c r="AI23" s="107">
        <f t="shared" si="21"/>
        <v>0.42</v>
      </c>
      <c r="AJ23" s="107">
        <f t="shared" si="22"/>
        <v>0.25</v>
      </c>
      <c r="AK23" s="107">
        <f t="shared" si="23"/>
        <v>0</v>
      </c>
      <c r="AL23" s="107">
        <f t="shared" si="24"/>
        <v>0.26</v>
      </c>
      <c r="AM23" s="107" t="e">
        <f t="shared" si="25"/>
        <v>#N/A</v>
      </c>
      <c r="AN23" s="107" t="e">
        <f t="shared" si="26"/>
        <v>#N/A</v>
      </c>
      <c r="AO23" s="107" t="e">
        <f t="shared" si="27"/>
        <v>#N/A</v>
      </c>
      <c r="AP23" s="107" t="e">
        <f t="shared" si="28"/>
        <v>#N/A</v>
      </c>
    </row>
    <row r="24" spans="1:42" x14ac:dyDescent="0.25">
      <c r="A24" s="107">
        <v>21</v>
      </c>
      <c r="B24" s="14" t="s">
        <v>299</v>
      </c>
      <c r="C24" s="41" t="s">
        <v>273</v>
      </c>
      <c r="D24" s="42" t="s">
        <v>298</v>
      </c>
      <c r="E24" s="43" t="s">
        <v>37</v>
      </c>
      <c r="F24" s="115"/>
      <c r="G24" s="115"/>
      <c r="H24" s="107"/>
      <c r="I24" s="107"/>
      <c r="J24" s="107"/>
      <c r="K24" s="107">
        <v>6</v>
      </c>
      <c r="L24" s="107"/>
      <c r="M24" s="107"/>
      <c r="N24" s="107"/>
      <c r="O24" s="107"/>
      <c r="P24" s="107" t="str">
        <f t="shared" si="3"/>
        <v>N/A</v>
      </c>
      <c r="Q24" s="107" t="str">
        <f t="shared" si="4"/>
        <v>N/A</v>
      </c>
      <c r="R24" s="107" t="str">
        <f t="shared" si="5"/>
        <v>N/A</v>
      </c>
      <c r="S24" s="107" t="str">
        <f t="shared" si="6"/>
        <v>N/A</v>
      </c>
      <c r="T24" s="107" t="str">
        <f t="shared" si="7"/>
        <v>N/A</v>
      </c>
      <c r="U24" s="107" t="str">
        <f t="shared" si="8"/>
        <v>N/A</v>
      </c>
      <c r="V24" s="107" t="str">
        <f t="shared" si="9"/>
        <v>N/A</v>
      </c>
      <c r="W24" s="107" t="str">
        <f t="shared" si="10"/>
        <v>N/A</v>
      </c>
      <c r="X24" s="107" t="str">
        <f t="shared" si="11"/>
        <v>N/A</v>
      </c>
      <c r="Y24" s="107" t="str">
        <f t="shared" si="38"/>
        <v>N/A</v>
      </c>
      <c r="Z24" s="107" t="str">
        <f t="shared" si="39"/>
        <v>N/A</v>
      </c>
      <c r="AA24" s="107" t="str">
        <f t="shared" si="40"/>
        <v>N/A</v>
      </c>
      <c r="AB24" s="107" t="str">
        <f t="shared" si="41"/>
        <v>N/A</v>
      </c>
      <c r="AC24" s="107" t="str">
        <f t="shared" si="42"/>
        <v>N/A</v>
      </c>
      <c r="AD24" s="107" t="str">
        <f t="shared" si="43"/>
        <v>N/A</v>
      </c>
      <c r="AE24" s="107" t="str">
        <f t="shared" si="44"/>
        <v>N/A</v>
      </c>
      <c r="AF24" s="107" t="str">
        <f t="shared" si="45"/>
        <v>N/A</v>
      </c>
      <c r="AG24" s="107" t="str">
        <f t="shared" si="46"/>
        <v>N/A</v>
      </c>
      <c r="AH24" s="107" t="e">
        <f t="shared" si="20"/>
        <v>#N/A</v>
      </c>
      <c r="AI24" s="107" t="e">
        <f t="shared" si="21"/>
        <v>#N/A</v>
      </c>
      <c r="AJ24" s="107" t="e">
        <f t="shared" si="22"/>
        <v>#N/A</v>
      </c>
      <c r="AK24" s="107" t="e">
        <f t="shared" si="23"/>
        <v>#N/A</v>
      </c>
      <c r="AL24" s="107" t="e">
        <f t="shared" si="24"/>
        <v>#N/A</v>
      </c>
      <c r="AM24" s="107" t="e">
        <f t="shared" si="25"/>
        <v>#N/A</v>
      </c>
      <c r="AN24" s="107" t="e">
        <f t="shared" si="26"/>
        <v>#N/A</v>
      </c>
      <c r="AO24" s="107" t="e">
        <f t="shared" si="27"/>
        <v>#N/A</v>
      </c>
      <c r="AP24" s="107" t="e">
        <f t="shared" si="28"/>
        <v>#N/A</v>
      </c>
    </row>
    <row r="25" spans="1:42" x14ac:dyDescent="0.25">
      <c r="A25" s="107">
        <v>22</v>
      </c>
      <c r="B25" s="14" t="s">
        <v>123</v>
      </c>
      <c r="C25" s="41" t="s">
        <v>31</v>
      </c>
      <c r="D25" s="42" t="s">
        <v>32</v>
      </c>
      <c r="E25" s="43" t="s">
        <v>37</v>
      </c>
      <c r="F25" s="115">
        <v>6</v>
      </c>
      <c r="G25" s="115">
        <v>6</v>
      </c>
      <c r="H25" s="107">
        <v>6</v>
      </c>
      <c r="I25" s="107"/>
      <c r="J25" s="107"/>
      <c r="K25" s="107"/>
      <c r="L25" s="107"/>
      <c r="M25" s="107"/>
      <c r="N25" s="107"/>
      <c r="O25" s="107"/>
      <c r="P25" s="107">
        <f t="shared" si="3"/>
        <v>12</v>
      </c>
      <c r="Q25" s="107">
        <f t="shared" si="4"/>
        <v>12</v>
      </c>
      <c r="R25" s="107" t="str">
        <f t="shared" si="5"/>
        <v>N/A</v>
      </c>
      <c r="S25" s="107" t="str">
        <f t="shared" si="6"/>
        <v>N/A</v>
      </c>
      <c r="T25" s="107" t="str">
        <f t="shared" si="7"/>
        <v>N/A</v>
      </c>
      <c r="U25" s="107" t="str">
        <f t="shared" si="8"/>
        <v>N/A</v>
      </c>
      <c r="V25" s="107" t="str">
        <f t="shared" si="9"/>
        <v>N/A</v>
      </c>
      <c r="W25" s="107" t="str">
        <f t="shared" si="10"/>
        <v>N/A</v>
      </c>
      <c r="X25" s="107" t="str">
        <f t="shared" si="11"/>
        <v>N/A</v>
      </c>
      <c r="Y25" s="107">
        <f t="shared" si="38"/>
        <v>0.45</v>
      </c>
      <c r="Z25" s="107">
        <f t="shared" si="39"/>
        <v>0.42</v>
      </c>
      <c r="AA25" s="107" t="str">
        <f t="shared" si="40"/>
        <v>N/A</v>
      </c>
      <c r="AB25" s="107" t="str">
        <f t="shared" si="41"/>
        <v>N/A</v>
      </c>
      <c r="AC25" s="107" t="str">
        <f t="shared" si="42"/>
        <v>N/A</v>
      </c>
      <c r="AD25" s="107" t="str">
        <f t="shared" si="43"/>
        <v>N/A</v>
      </c>
      <c r="AE25" s="107" t="str">
        <f t="shared" si="44"/>
        <v>N/A</v>
      </c>
      <c r="AF25" s="107" t="str">
        <f t="shared" si="45"/>
        <v>N/A</v>
      </c>
      <c r="AG25" s="107" t="str">
        <f t="shared" si="46"/>
        <v>N/A</v>
      </c>
      <c r="AH25" s="107">
        <f t="shared" si="20"/>
        <v>0.45</v>
      </c>
      <c r="AI25" s="107">
        <f t="shared" si="21"/>
        <v>0.42</v>
      </c>
      <c r="AJ25" s="107" t="e">
        <f t="shared" si="22"/>
        <v>#N/A</v>
      </c>
      <c r="AK25" s="107" t="e">
        <f t="shared" si="23"/>
        <v>#N/A</v>
      </c>
      <c r="AL25" s="107" t="e">
        <f t="shared" si="24"/>
        <v>#N/A</v>
      </c>
      <c r="AM25" s="107" t="e">
        <f t="shared" si="25"/>
        <v>#N/A</v>
      </c>
      <c r="AN25" s="107" t="e">
        <f t="shared" si="26"/>
        <v>#N/A</v>
      </c>
      <c r="AO25" s="107" t="e">
        <f t="shared" si="27"/>
        <v>#N/A</v>
      </c>
      <c r="AP25" s="107" t="e">
        <f t="shared" si="28"/>
        <v>#N/A</v>
      </c>
    </row>
    <row r="26" spans="1:42" x14ac:dyDescent="0.25">
      <c r="A26" s="107">
        <v>23</v>
      </c>
      <c r="B26" s="15" t="s">
        <v>147</v>
      </c>
      <c r="C26" s="44" t="s">
        <v>43</v>
      </c>
      <c r="D26" s="45" t="s">
        <v>148</v>
      </c>
      <c r="E26" s="46" t="s">
        <v>41</v>
      </c>
      <c r="F26" s="115">
        <v>6</v>
      </c>
      <c r="G26" s="116">
        <v>3</v>
      </c>
      <c r="H26" s="107">
        <v>6</v>
      </c>
      <c r="I26" s="107">
        <v>6</v>
      </c>
      <c r="J26" s="107">
        <v>6</v>
      </c>
      <c r="K26" s="107">
        <v>6</v>
      </c>
      <c r="L26" s="107"/>
      <c r="M26" s="107"/>
      <c r="N26" s="107"/>
      <c r="O26" s="107"/>
      <c r="P26" s="107">
        <f t="shared" si="3"/>
        <v>9</v>
      </c>
      <c r="Q26" s="107">
        <f t="shared" si="4"/>
        <v>9</v>
      </c>
      <c r="R26" s="107">
        <f t="shared" si="5"/>
        <v>12</v>
      </c>
      <c r="S26" s="107">
        <f t="shared" si="6"/>
        <v>12</v>
      </c>
      <c r="T26" s="107">
        <f t="shared" si="7"/>
        <v>12</v>
      </c>
      <c r="U26" s="107" t="str">
        <f t="shared" si="8"/>
        <v>N/A</v>
      </c>
      <c r="V26" s="107" t="str">
        <f t="shared" si="9"/>
        <v>N/A</v>
      </c>
      <c r="W26" s="107" t="str">
        <f t="shared" si="10"/>
        <v>N/A</v>
      </c>
      <c r="X26" s="107" t="str">
        <f t="shared" si="11"/>
        <v>N/A</v>
      </c>
      <c r="Y26" s="107">
        <f t="shared" si="38"/>
        <v>-0.83</v>
      </c>
      <c r="Z26" s="107">
        <f t="shared" si="39"/>
        <v>-1.36</v>
      </c>
      <c r="AA26" s="107">
        <f t="shared" si="40"/>
        <v>0.25</v>
      </c>
      <c r="AB26" s="107">
        <f t="shared" si="41"/>
        <v>0</v>
      </c>
      <c r="AC26" s="107">
        <f t="shared" si="42"/>
        <v>0.26</v>
      </c>
      <c r="AD26" s="107" t="str">
        <f t="shared" si="43"/>
        <v>N/A</v>
      </c>
      <c r="AE26" s="107" t="str">
        <f t="shared" si="44"/>
        <v>N/A</v>
      </c>
      <c r="AF26" s="107" t="str">
        <f t="shared" si="45"/>
        <v>N/A</v>
      </c>
      <c r="AG26" s="107" t="str">
        <f t="shared" si="46"/>
        <v>N/A</v>
      </c>
      <c r="AH26" s="107">
        <f t="shared" si="20"/>
        <v>-0.83</v>
      </c>
      <c r="AI26" s="107">
        <f t="shared" si="21"/>
        <v>-1.36</v>
      </c>
      <c r="AJ26" s="107">
        <f t="shared" si="22"/>
        <v>0.25</v>
      </c>
      <c r="AK26" s="107">
        <f t="shared" si="23"/>
        <v>0</v>
      </c>
      <c r="AL26" s="107">
        <f t="shared" si="24"/>
        <v>0.26</v>
      </c>
      <c r="AM26" s="107" t="e">
        <f t="shared" si="25"/>
        <v>#N/A</v>
      </c>
      <c r="AN26" s="107" t="e">
        <f t="shared" si="26"/>
        <v>#N/A</v>
      </c>
      <c r="AO26" s="107" t="e">
        <f t="shared" si="27"/>
        <v>#N/A</v>
      </c>
      <c r="AP26" s="107" t="e">
        <f t="shared" si="28"/>
        <v>#N/A</v>
      </c>
    </row>
    <row r="27" spans="1:42" x14ac:dyDescent="0.25">
      <c r="A27" s="107">
        <v>24</v>
      </c>
      <c r="B27" s="15" t="s">
        <v>186</v>
      </c>
      <c r="C27" s="44" t="s">
        <v>178</v>
      </c>
      <c r="D27" s="45" t="s">
        <v>187</v>
      </c>
      <c r="E27" s="46" t="s">
        <v>41</v>
      </c>
      <c r="F27" s="115"/>
      <c r="G27" s="115"/>
      <c r="H27" s="107">
        <v>6</v>
      </c>
      <c r="I27" s="107">
        <v>6</v>
      </c>
      <c r="J27" s="107">
        <v>6</v>
      </c>
      <c r="K27" s="107">
        <v>6</v>
      </c>
      <c r="L27" s="107"/>
      <c r="M27" s="107"/>
      <c r="N27" s="107"/>
      <c r="O27" s="107"/>
      <c r="P27" s="107" t="str">
        <f t="shared" si="3"/>
        <v>N/A</v>
      </c>
      <c r="Q27" s="107" t="str">
        <f t="shared" si="4"/>
        <v>N/A</v>
      </c>
      <c r="R27" s="107">
        <f t="shared" si="5"/>
        <v>12</v>
      </c>
      <c r="S27" s="107">
        <f t="shared" si="6"/>
        <v>12</v>
      </c>
      <c r="T27" s="107">
        <f t="shared" si="7"/>
        <v>12</v>
      </c>
      <c r="U27" s="107" t="str">
        <f t="shared" si="8"/>
        <v>N/A</v>
      </c>
      <c r="V27" s="107" t="str">
        <f t="shared" si="9"/>
        <v>N/A</v>
      </c>
      <c r="W27" s="107" t="str">
        <f t="shared" si="10"/>
        <v>N/A</v>
      </c>
      <c r="X27" s="107" t="str">
        <f t="shared" si="11"/>
        <v>N/A</v>
      </c>
      <c r="Y27" s="107" t="str">
        <f t="shared" si="38"/>
        <v>N/A</v>
      </c>
      <c r="Z27" s="107" t="str">
        <f t="shared" si="39"/>
        <v>N/A</v>
      </c>
      <c r="AA27" s="107">
        <f t="shared" si="40"/>
        <v>0.25</v>
      </c>
      <c r="AB27" s="107">
        <f t="shared" si="41"/>
        <v>0</v>
      </c>
      <c r="AC27" s="107">
        <f t="shared" si="42"/>
        <v>0.26</v>
      </c>
      <c r="AD27" s="107" t="str">
        <f t="shared" si="43"/>
        <v>N/A</v>
      </c>
      <c r="AE27" s="107" t="str">
        <f t="shared" si="44"/>
        <v>N/A</v>
      </c>
      <c r="AF27" s="107" t="str">
        <f t="shared" si="45"/>
        <v>N/A</v>
      </c>
      <c r="AG27" s="107" t="str">
        <f t="shared" si="46"/>
        <v>N/A</v>
      </c>
      <c r="AH27" s="107" t="e">
        <f t="shared" si="20"/>
        <v>#N/A</v>
      </c>
      <c r="AI27" s="107" t="e">
        <f t="shared" si="21"/>
        <v>#N/A</v>
      </c>
      <c r="AJ27" s="107">
        <f t="shared" si="22"/>
        <v>0.25</v>
      </c>
      <c r="AK27" s="107">
        <f t="shared" si="23"/>
        <v>0</v>
      </c>
      <c r="AL27" s="107">
        <f t="shared" si="24"/>
        <v>0.26</v>
      </c>
      <c r="AM27" s="107" t="e">
        <f t="shared" si="25"/>
        <v>#N/A</v>
      </c>
      <c r="AN27" s="107" t="e">
        <f t="shared" si="26"/>
        <v>#N/A</v>
      </c>
      <c r="AO27" s="107" t="e">
        <f t="shared" si="27"/>
        <v>#N/A</v>
      </c>
      <c r="AP27" s="107" t="e">
        <f t="shared" si="28"/>
        <v>#N/A</v>
      </c>
    </row>
    <row r="28" spans="1:42" x14ac:dyDescent="0.25">
      <c r="A28" s="107">
        <v>25</v>
      </c>
      <c r="B28" s="16" t="s">
        <v>157</v>
      </c>
      <c r="C28" s="16" t="s">
        <v>52</v>
      </c>
      <c r="D28" s="16" t="s">
        <v>53</v>
      </c>
      <c r="E28" s="47" t="s">
        <v>55</v>
      </c>
      <c r="F28" s="115">
        <v>6</v>
      </c>
      <c r="G28" s="115">
        <v>6</v>
      </c>
      <c r="H28" s="107">
        <v>6</v>
      </c>
      <c r="I28" s="107">
        <v>6</v>
      </c>
      <c r="J28" s="107">
        <v>6</v>
      </c>
      <c r="K28" s="107">
        <v>6</v>
      </c>
      <c r="L28" s="107"/>
      <c r="M28" s="107"/>
      <c r="N28" s="107"/>
      <c r="O28" s="107"/>
      <c r="P28" s="107">
        <f t="shared" si="3"/>
        <v>12</v>
      </c>
      <c r="Q28" s="107">
        <f t="shared" si="4"/>
        <v>12</v>
      </c>
      <c r="R28" s="107">
        <f t="shared" si="5"/>
        <v>12</v>
      </c>
      <c r="S28" s="107">
        <f t="shared" si="6"/>
        <v>12</v>
      </c>
      <c r="T28" s="107">
        <f t="shared" si="7"/>
        <v>12</v>
      </c>
      <c r="U28" s="107" t="str">
        <f t="shared" si="8"/>
        <v>N/A</v>
      </c>
      <c r="V28" s="107" t="str">
        <f t="shared" si="9"/>
        <v>N/A</v>
      </c>
      <c r="W28" s="107" t="str">
        <f t="shared" si="10"/>
        <v>N/A</v>
      </c>
      <c r="X28" s="107" t="str">
        <f t="shared" si="11"/>
        <v>N/A</v>
      </c>
      <c r="Y28" s="107">
        <f t="shared" si="38"/>
        <v>0.45</v>
      </c>
      <c r="Z28" s="107">
        <f t="shared" si="39"/>
        <v>0.42</v>
      </c>
      <c r="AA28" s="107">
        <f t="shared" si="40"/>
        <v>0.25</v>
      </c>
      <c r="AB28" s="107">
        <f t="shared" si="41"/>
        <v>0</v>
      </c>
      <c r="AC28" s="107">
        <f t="shared" si="42"/>
        <v>0.26</v>
      </c>
      <c r="AD28" s="107" t="str">
        <f t="shared" si="43"/>
        <v>N/A</v>
      </c>
      <c r="AE28" s="107" t="str">
        <f t="shared" si="44"/>
        <v>N/A</v>
      </c>
      <c r="AF28" s="107" t="str">
        <f t="shared" si="45"/>
        <v>N/A</v>
      </c>
      <c r="AG28" s="107" t="str">
        <f t="shared" si="46"/>
        <v>N/A</v>
      </c>
      <c r="AH28" s="107">
        <f t="shared" si="20"/>
        <v>0.45</v>
      </c>
      <c r="AI28" s="107">
        <f t="shared" si="21"/>
        <v>0.42</v>
      </c>
      <c r="AJ28" s="107">
        <f t="shared" si="22"/>
        <v>0.25</v>
      </c>
      <c r="AK28" s="107">
        <f t="shared" si="23"/>
        <v>0</v>
      </c>
      <c r="AL28" s="107">
        <f t="shared" si="24"/>
        <v>0.26</v>
      </c>
      <c r="AM28" s="107" t="e">
        <f t="shared" si="25"/>
        <v>#N/A</v>
      </c>
      <c r="AN28" s="107" t="e">
        <f t="shared" si="26"/>
        <v>#N/A</v>
      </c>
      <c r="AO28" s="107" t="e">
        <f t="shared" si="27"/>
        <v>#N/A</v>
      </c>
      <c r="AP28" s="107" t="e">
        <f t="shared" si="28"/>
        <v>#N/A</v>
      </c>
    </row>
    <row r="29" spans="1:42" x14ac:dyDescent="0.25">
      <c r="A29" s="107">
        <v>26</v>
      </c>
      <c r="B29" s="2" t="s">
        <v>176</v>
      </c>
      <c r="C29" s="48" t="s">
        <v>163</v>
      </c>
      <c r="D29" s="48" t="s">
        <v>164</v>
      </c>
      <c r="E29" s="49" t="s">
        <v>170</v>
      </c>
      <c r="F29" s="115"/>
      <c r="G29" s="115"/>
      <c r="H29" s="107">
        <v>6</v>
      </c>
      <c r="I29" s="107">
        <v>6</v>
      </c>
      <c r="J29" s="107">
        <v>6</v>
      </c>
      <c r="K29" s="107"/>
      <c r="L29" s="107"/>
      <c r="M29" s="107"/>
      <c r="N29" s="107"/>
      <c r="O29" s="107"/>
      <c r="P29" s="107" t="str">
        <f t="shared" si="3"/>
        <v>N/A</v>
      </c>
      <c r="Q29" s="107" t="str">
        <f t="shared" si="4"/>
        <v>N/A</v>
      </c>
      <c r="R29" s="107">
        <f t="shared" si="5"/>
        <v>12</v>
      </c>
      <c r="S29" s="107">
        <f t="shared" si="6"/>
        <v>12</v>
      </c>
      <c r="T29" s="107" t="str">
        <f t="shared" si="7"/>
        <v>N/A</v>
      </c>
      <c r="U29" s="107" t="str">
        <f t="shared" si="8"/>
        <v>N/A</v>
      </c>
      <c r="V29" s="107" t="str">
        <f t="shared" si="9"/>
        <v>N/A</v>
      </c>
      <c r="W29" s="107" t="str">
        <f t="shared" si="10"/>
        <v>N/A</v>
      </c>
      <c r="X29" s="107" t="str">
        <f t="shared" si="11"/>
        <v>N/A</v>
      </c>
      <c r="Y29" s="107" t="str">
        <f t="shared" si="38"/>
        <v>N/A</v>
      </c>
      <c r="Z29" s="107" t="str">
        <f t="shared" si="39"/>
        <v>N/A</v>
      </c>
      <c r="AA29" s="107">
        <f t="shared" si="40"/>
        <v>0.25</v>
      </c>
      <c r="AB29" s="107">
        <f t="shared" si="41"/>
        <v>0</v>
      </c>
      <c r="AC29" s="107" t="str">
        <f t="shared" si="42"/>
        <v>N/A</v>
      </c>
      <c r="AD29" s="107" t="str">
        <f t="shared" si="43"/>
        <v>N/A</v>
      </c>
      <c r="AE29" s="107" t="str">
        <f t="shared" si="44"/>
        <v>N/A</v>
      </c>
      <c r="AF29" s="107" t="str">
        <f t="shared" si="45"/>
        <v>N/A</v>
      </c>
      <c r="AG29" s="107" t="str">
        <f t="shared" si="46"/>
        <v>N/A</v>
      </c>
      <c r="AH29" s="107" t="e">
        <f t="shared" si="20"/>
        <v>#N/A</v>
      </c>
      <c r="AI29" s="107" t="e">
        <f t="shared" si="21"/>
        <v>#N/A</v>
      </c>
      <c r="AJ29" s="107">
        <f t="shared" si="22"/>
        <v>0.25</v>
      </c>
      <c r="AK29" s="107">
        <f t="shared" si="23"/>
        <v>0</v>
      </c>
      <c r="AL29" s="107" t="e">
        <f t="shared" si="24"/>
        <v>#N/A</v>
      </c>
      <c r="AM29" s="107" t="e">
        <f t="shared" si="25"/>
        <v>#N/A</v>
      </c>
      <c r="AN29" s="107" t="e">
        <f t="shared" si="26"/>
        <v>#N/A</v>
      </c>
      <c r="AO29" s="107" t="e">
        <f t="shared" si="27"/>
        <v>#N/A</v>
      </c>
      <c r="AP29" s="107" t="e">
        <f t="shared" si="28"/>
        <v>#N/A</v>
      </c>
    </row>
    <row r="30" spans="1:42" x14ac:dyDescent="0.25">
      <c r="A30" s="107">
        <v>27</v>
      </c>
      <c r="B30" s="2" t="s">
        <v>236</v>
      </c>
      <c r="C30" s="48" t="s">
        <v>135</v>
      </c>
      <c r="D30" s="48" t="s">
        <v>136</v>
      </c>
      <c r="E30" s="49" t="s">
        <v>170</v>
      </c>
      <c r="F30" s="115"/>
      <c r="G30" s="115"/>
      <c r="H30" s="107"/>
      <c r="I30" s="107"/>
      <c r="J30" s="107"/>
      <c r="K30" s="107">
        <v>6</v>
      </c>
      <c r="L30" s="107"/>
      <c r="M30" s="107"/>
      <c r="N30" s="107"/>
      <c r="O30" s="107"/>
      <c r="P30" s="107" t="str">
        <f t="shared" si="3"/>
        <v>N/A</v>
      </c>
      <c r="Q30" s="107" t="str">
        <f t="shared" si="4"/>
        <v>N/A</v>
      </c>
      <c r="R30" s="107" t="str">
        <f t="shared" si="5"/>
        <v>N/A</v>
      </c>
      <c r="S30" s="107" t="str">
        <f t="shared" si="6"/>
        <v>N/A</v>
      </c>
      <c r="T30" s="107" t="str">
        <f t="shared" si="7"/>
        <v>N/A</v>
      </c>
      <c r="U30" s="107" t="str">
        <f t="shared" si="8"/>
        <v>N/A</v>
      </c>
      <c r="V30" s="107" t="str">
        <f t="shared" si="9"/>
        <v>N/A</v>
      </c>
      <c r="W30" s="107" t="str">
        <f t="shared" si="10"/>
        <v>N/A</v>
      </c>
      <c r="X30" s="107" t="str">
        <f t="shared" si="11"/>
        <v>N/A</v>
      </c>
      <c r="Y30" s="107" t="str">
        <f t="shared" si="38"/>
        <v>N/A</v>
      </c>
      <c r="Z30" s="107" t="str">
        <f t="shared" si="39"/>
        <v>N/A</v>
      </c>
      <c r="AA30" s="107" t="str">
        <f t="shared" si="40"/>
        <v>N/A</v>
      </c>
      <c r="AB30" s="107" t="str">
        <f t="shared" si="41"/>
        <v>N/A</v>
      </c>
      <c r="AC30" s="107" t="str">
        <f t="shared" si="42"/>
        <v>N/A</v>
      </c>
      <c r="AD30" s="107" t="str">
        <f t="shared" si="43"/>
        <v>N/A</v>
      </c>
      <c r="AE30" s="107" t="str">
        <f t="shared" si="44"/>
        <v>N/A</v>
      </c>
      <c r="AF30" s="107" t="str">
        <f t="shared" si="45"/>
        <v>N/A</v>
      </c>
      <c r="AG30" s="107" t="str">
        <f t="shared" si="46"/>
        <v>N/A</v>
      </c>
      <c r="AH30" s="107" t="e">
        <f t="shared" si="20"/>
        <v>#N/A</v>
      </c>
      <c r="AI30" s="107" t="e">
        <f t="shared" si="21"/>
        <v>#N/A</v>
      </c>
      <c r="AJ30" s="107" t="e">
        <f t="shared" si="22"/>
        <v>#N/A</v>
      </c>
      <c r="AK30" s="107" t="e">
        <f t="shared" si="23"/>
        <v>#N/A</v>
      </c>
      <c r="AL30" s="107" t="e">
        <f t="shared" si="24"/>
        <v>#N/A</v>
      </c>
      <c r="AM30" s="107" t="e">
        <f t="shared" si="25"/>
        <v>#N/A</v>
      </c>
      <c r="AN30" s="107" t="e">
        <f t="shared" si="26"/>
        <v>#N/A</v>
      </c>
      <c r="AO30" s="107" t="e">
        <f t="shared" si="27"/>
        <v>#N/A</v>
      </c>
      <c r="AP30" s="107" t="e">
        <f t="shared" si="28"/>
        <v>#N/A</v>
      </c>
    </row>
    <row r="31" spans="1:42" x14ac:dyDescent="0.25">
      <c r="A31" s="107">
        <v>28</v>
      </c>
      <c r="B31" s="117" t="s">
        <v>301</v>
      </c>
      <c r="C31" s="117" t="s">
        <v>97</v>
      </c>
      <c r="D31" s="117" t="s">
        <v>98</v>
      </c>
      <c r="E31" s="118" t="s">
        <v>318</v>
      </c>
      <c r="F31" s="115"/>
      <c r="G31" s="115"/>
      <c r="H31" s="107"/>
      <c r="I31" s="107"/>
      <c r="J31" s="107"/>
      <c r="K31" s="107">
        <v>3</v>
      </c>
      <c r="L31" s="107"/>
      <c r="M31" s="107"/>
      <c r="N31" s="107"/>
      <c r="O31" s="107"/>
      <c r="P31" s="107" t="str">
        <f t="shared" si="3"/>
        <v>N/A</v>
      </c>
      <c r="Q31" s="107" t="str">
        <f t="shared" si="4"/>
        <v>N/A</v>
      </c>
      <c r="R31" s="107" t="str">
        <f t="shared" si="5"/>
        <v>N/A</v>
      </c>
      <c r="S31" s="107" t="str">
        <f t="shared" si="6"/>
        <v>N/A</v>
      </c>
      <c r="T31" s="107" t="str">
        <f t="shared" si="7"/>
        <v>N/A</v>
      </c>
      <c r="U31" s="107" t="str">
        <f t="shared" si="8"/>
        <v>N/A</v>
      </c>
      <c r="V31" s="107" t="str">
        <f t="shared" si="9"/>
        <v>N/A</v>
      </c>
      <c r="W31" s="107" t="str">
        <f t="shared" si="10"/>
        <v>N/A</v>
      </c>
      <c r="X31" s="107" t="str">
        <f t="shared" si="11"/>
        <v>N/A</v>
      </c>
      <c r="Y31" s="107" t="str">
        <f t="shared" si="38"/>
        <v>N/A</v>
      </c>
      <c r="Z31" s="107" t="str">
        <f t="shared" si="39"/>
        <v>N/A</v>
      </c>
      <c r="AA31" s="107" t="str">
        <f t="shared" si="40"/>
        <v>N/A</v>
      </c>
      <c r="AB31" s="107" t="str">
        <f t="shared" si="41"/>
        <v>N/A</v>
      </c>
      <c r="AC31" s="107" t="str">
        <f t="shared" si="42"/>
        <v>N/A</v>
      </c>
      <c r="AD31" s="107" t="str">
        <f t="shared" si="43"/>
        <v>N/A</v>
      </c>
      <c r="AE31" s="107" t="str">
        <f t="shared" si="44"/>
        <v>N/A</v>
      </c>
      <c r="AF31" s="107" t="str">
        <f t="shared" si="45"/>
        <v>N/A</v>
      </c>
      <c r="AG31" s="107" t="str">
        <f t="shared" si="46"/>
        <v>N/A</v>
      </c>
      <c r="AH31" s="107" t="e">
        <f t="shared" si="20"/>
        <v>#N/A</v>
      </c>
      <c r="AI31" s="107" t="e">
        <f t="shared" si="21"/>
        <v>#N/A</v>
      </c>
      <c r="AJ31" s="107" t="e">
        <f t="shared" si="22"/>
        <v>#N/A</v>
      </c>
      <c r="AK31" s="107" t="e">
        <f t="shared" si="23"/>
        <v>#N/A</v>
      </c>
      <c r="AL31" s="107" t="e">
        <f t="shared" si="24"/>
        <v>#N/A</v>
      </c>
      <c r="AM31" s="107" t="e">
        <f t="shared" si="25"/>
        <v>#N/A</v>
      </c>
      <c r="AN31" s="107" t="e">
        <f t="shared" si="26"/>
        <v>#N/A</v>
      </c>
      <c r="AO31" s="107" t="e">
        <f t="shared" si="27"/>
        <v>#N/A</v>
      </c>
      <c r="AP31" s="107" t="e">
        <f t="shared" si="28"/>
        <v>#N/A</v>
      </c>
    </row>
    <row r="32" spans="1:42" x14ac:dyDescent="0.25">
      <c r="A32" s="107">
        <v>29</v>
      </c>
      <c r="B32" s="117" t="s">
        <v>302</v>
      </c>
      <c r="C32" s="117" t="s">
        <v>97</v>
      </c>
      <c r="D32" s="117" t="s">
        <v>98</v>
      </c>
      <c r="E32" s="118" t="s">
        <v>318</v>
      </c>
      <c r="F32" s="115"/>
      <c r="G32" s="115"/>
      <c r="H32" s="107"/>
      <c r="I32" s="107"/>
      <c r="J32" s="107"/>
      <c r="K32" s="107">
        <v>3</v>
      </c>
      <c r="L32" s="107"/>
      <c r="M32" s="107"/>
      <c r="N32" s="107"/>
      <c r="O32" s="107"/>
      <c r="P32" s="107" t="str">
        <f t="shared" si="3"/>
        <v>N/A</v>
      </c>
      <c r="Q32" s="107" t="str">
        <f t="shared" si="4"/>
        <v>N/A</v>
      </c>
      <c r="R32" s="107" t="str">
        <f t="shared" si="5"/>
        <v>N/A</v>
      </c>
      <c r="S32" s="107" t="str">
        <f t="shared" si="6"/>
        <v>N/A</v>
      </c>
      <c r="T32" s="107" t="str">
        <f t="shared" si="7"/>
        <v>N/A</v>
      </c>
      <c r="U32" s="107" t="str">
        <f t="shared" si="8"/>
        <v>N/A</v>
      </c>
      <c r="V32" s="107" t="str">
        <f t="shared" si="9"/>
        <v>N/A</v>
      </c>
      <c r="W32" s="107" t="str">
        <f t="shared" si="10"/>
        <v>N/A</v>
      </c>
      <c r="X32" s="107" t="str">
        <f t="shared" si="11"/>
        <v>N/A</v>
      </c>
      <c r="Y32" s="107" t="str">
        <f t="shared" si="38"/>
        <v>N/A</v>
      </c>
      <c r="Z32" s="107" t="str">
        <f t="shared" si="39"/>
        <v>N/A</v>
      </c>
      <c r="AA32" s="107" t="str">
        <f t="shared" si="40"/>
        <v>N/A</v>
      </c>
      <c r="AB32" s="107" t="str">
        <f t="shared" si="41"/>
        <v>N/A</v>
      </c>
      <c r="AC32" s="107" t="str">
        <f t="shared" si="42"/>
        <v>N/A</v>
      </c>
      <c r="AD32" s="107" t="str">
        <f t="shared" si="43"/>
        <v>N/A</v>
      </c>
      <c r="AE32" s="107" t="str">
        <f t="shared" si="44"/>
        <v>N/A</v>
      </c>
      <c r="AF32" s="107" t="str">
        <f t="shared" si="45"/>
        <v>N/A</v>
      </c>
      <c r="AG32" s="107" t="str">
        <f t="shared" si="46"/>
        <v>N/A</v>
      </c>
      <c r="AH32" s="107" t="e">
        <f t="shared" si="20"/>
        <v>#N/A</v>
      </c>
      <c r="AI32" s="107" t="e">
        <f t="shared" si="21"/>
        <v>#N/A</v>
      </c>
      <c r="AJ32" s="107" t="e">
        <f t="shared" si="22"/>
        <v>#N/A</v>
      </c>
      <c r="AK32" s="107" t="e">
        <f t="shared" si="23"/>
        <v>#N/A</v>
      </c>
      <c r="AL32" s="107" t="e">
        <f t="shared" si="24"/>
        <v>#N/A</v>
      </c>
      <c r="AM32" s="107" t="e">
        <f t="shared" si="25"/>
        <v>#N/A</v>
      </c>
      <c r="AN32" s="107" t="e">
        <f t="shared" si="26"/>
        <v>#N/A</v>
      </c>
      <c r="AO32" s="107" t="e">
        <f t="shared" si="27"/>
        <v>#N/A</v>
      </c>
      <c r="AP32" s="107" t="e">
        <f t="shared" si="28"/>
        <v>#N/A</v>
      </c>
    </row>
    <row r="33" spans="3:24" s="121" customFormat="1" x14ac:dyDescent="0.25">
      <c r="C33" s="119"/>
      <c r="D33" s="119"/>
      <c r="E33" s="120"/>
    </row>
    <row r="34" spans="3:24" s="121" customFormat="1" x14ac:dyDescent="0.25">
      <c r="E34" s="121" t="s">
        <v>192</v>
      </c>
      <c r="P34" s="121">
        <f t="shared" ref="P34:X34" si="47">AVERAGE(P4:P29)</f>
        <v>10.941176470588236</v>
      </c>
      <c r="Q34" s="121">
        <f t="shared" si="47"/>
        <v>11.294117647058824</v>
      </c>
      <c r="R34" s="121">
        <f t="shared" si="47"/>
        <v>11.823529411764707</v>
      </c>
      <c r="S34" s="121">
        <f t="shared" si="47"/>
        <v>12</v>
      </c>
      <c r="T34" s="121">
        <f t="shared" si="47"/>
        <v>11.8</v>
      </c>
      <c r="U34" s="121" t="e">
        <f t="shared" si="47"/>
        <v>#DIV/0!</v>
      </c>
      <c r="V34" s="121" t="e">
        <f t="shared" si="47"/>
        <v>#DIV/0!</v>
      </c>
      <c r="W34" s="121" t="e">
        <f t="shared" si="47"/>
        <v>#DIV/0!</v>
      </c>
      <c r="X34" s="121" t="e">
        <f t="shared" si="47"/>
        <v>#DIV/0!</v>
      </c>
    </row>
    <row r="35" spans="3:24" s="121" customFormat="1" x14ac:dyDescent="0.25"/>
    <row r="36" spans="3:24" s="121" customFormat="1" x14ac:dyDescent="0.25">
      <c r="E36" s="121" t="s">
        <v>7</v>
      </c>
      <c r="P36" s="121">
        <f>STDEV(P4:P29)</f>
        <v>2.357715743980128</v>
      </c>
      <c r="Q36" s="121">
        <f>STDEV(Q4:Q29)</f>
        <v>1.6868871436151607</v>
      </c>
      <c r="R36" s="121">
        <f>STDEV(R4:R29)</f>
        <v>0.7276068751089988</v>
      </c>
      <c r="S36" s="121">
        <f t="shared" ref="S36:X36" si="48">STDEV(S4:S29)</f>
        <v>0</v>
      </c>
      <c r="T36" s="121">
        <f t="shared" si="48"/>
        <v>0.77459666924148318</v>
      </c>
      <c r="U36" s="121" t="e">
        <f t="shared" si="48"/>
        <v>#DIV/0!</v>
      </c>
      <c r="V36" s="121" t="e">
        <f t="shared" si="48"/>
        <v>#DIV/0!</v>
      </c>
      <c r="W36" s="121" t="e">
        <f t="shared" si="48"/>
        <v>#DIV/0!</v>
      </c>
      <c r="X36" s="121" t="e">
        <f t="shared" si="48"/>
        <v>#DIV/0!</v>
      </c>
    </row>
    <row r="38" spans="3:24" x14ac:dyDescent="0.25">
      <c r="F38" s="20" t="s">
        <v>76</v>
      </c>
      <c r="G38" s="20" t="s">
        <v>76</v>
      </c>
    </row>
    <row r="39" spans="3:24" x14ac:dyDescent="0.25">
      <c r="F39" s="20" t="s">
        <v>19</v>
      </c>
      <c r="G39" s="20" t="s">
        <v>19</v>
      </c>
    </row>
    <row r="40" spans="3:24" x14ac:dyDescent="0.25">
      <c r="F40" s="20" t="s">
        <v>23</v>
      </c>
      <c r="G40" s="20" t="s">
        <v>23</v>
      </c>
    </row>
    <row r="41" spans="3:24" x14ac:dyDescent="0.25">
      <c r="F41" s="23" t="s">
        <v>116</v>
      </c>
      <c r="G41" s="23" t="s">
        <v>85</v>
      </c>
    </row>
    <row r="42" spans="3:24" x14ac:dyDescent="0.25">
      <c r="F42" s="32" t="s">
        <v>33</v>
      </c>
      <c r="G42" s="23" t="s">
        <v>88</v>
      </c>
    </row>
    <row r="43" spans="3:24" x14ac:dyDescent="0.25">
      <c r="F43" s="32" t="s">
        <v>31</v>
      </c>
      <c r="G43" s="29" t="s">
        <v>116</v>
      </c>
    </row>
    <row r="44" spans="3:24" x14ac:dyDescent="0.25">
      <c r="F44" s="35" t="s">
        <v>56</v>
      </c>
      <c r="G44" s="32" t="s">
        <v>33</v>
      </c>
    </row>
    <row r="45" spans="3:24" x14ac:dyDescent="0.25">
      <c r="F45" s="35" t="s">
        <v>83</v>
      </c>
      <c r="G45" s="32" t="s">
        <v>31</v>
      </c>
    </row>
    <row r="46" spans="3:24" x14ac:dyDescent="0.25">
      <c r="F46" s="12" t="s">
        <v>79</v>
      </c>
      <c r="G46" s="35" t="s">
        <v>56</v>
      </c>
    </row>
    <row r="47" spans="3:24" x14ac:dyDescent="0.25">
      <c r="F47" s="122" t="s">
        <v>90</v>
      </c>
      <c r="G47" s="35" t="s">
        <v>83</v>
      </c>
    </row>
    <row r="48" spans="3:24" x14ac:dyDescent="0.25">
      <c r="F48" s="123" t="s">
        <v>135</v>
      </c>
      <c r="G48" s="12" t="s">
        <v>79</v>
      </c>
    </row>
    <row r="49" spans="1:7" x14ac:dyDescent="0.25">
      <c r="F49" s="41" t="s">
        <v>140</v>
      </c>
      <c r="G49" s="13" t="s">
        <v>90</v>
      </c>
    </row>
    <row r="50" spans="1:7" x14ac:dyDescent="0.25">
      <c r="F50" s="41" t="s">
        <v>135</v>
      </c>
      <c r="G50" s="39" t="s">
        <v>135</v>
      </c>
    </row>
    <row r="51" spans="1:7" x14ac:dyDescent="0.25">
      <c r="F51" s="124" t="s">
        <v>43</v>
      </c>
      <c r="G51" s="41" t="s">
        <v>140</v>
      </c>
    </row>
    <row r="52" spans="1:7" x14ac:dyDescent="0.25">
      <c r="F52" s="103" t="s">
        <v>85</v>
      </c>
      <c r="G52" s="41" t="s">
        <v>135</v>
      </c>
    </row>
    <row r="53" spans="1:7" x14ac:dyDescent="0.25">
      <c r="F53" s="103" t="s">
        <v>88</v>
      </c>
      <c r="G53" s="41" t="s">
        <v>31</v>
      </c>
    </row>
    <row r="54" spans="1:7" x14ac:dyDescent="0.25">
      <c r="F54" s="14" t="s">
        <v>52</v>
      </c>
      <c r="G54" s="44" t="s">
        <v>43</v>
      </c>
    </row>
    <row r="55" spans="1:7" x14ac:dyDescent="0.25">
      <c r="F55" s="106" t="s">
        <v>97</v>
      </c>
      <c r="G55" s="16" t="s">
        <v>52</v>
      </c>
    </row>
    <row r="56" spans="1:7" x14ac:dyDescent="0.25">
      <c r="G56" s="48" t="s">
        <v>163</v>
      </c>
    </row>
    <row r="59" spans="1:7" x14ac:dyDescent="0.25">
      <c r="A59" s="125" t="s">
        <v>203</v>
      </c>
      <c r="B59" s="125" t="s">
        <v>193</v>
      </c>
      <c r="C59" s="126" t="str">
        <f>VLOOKUP(C68,'mailing HPV G'!C:AF,30,0)</f>
        <v>Biorad</v>
      </c>
      <c r="D59" s="125" t="s">
        <v>199</v>
      </c>
    </row>
    <row r="60" spans="1:7" x14ac:dyDescent="0.25">
      <c r="C60" s="104"/>
      <c r="D60" s="127"/>
    </row>
    <row r="61" spans="1:7" x14ac:dyDescent="0.25">
      <c r="A61" s="128" t="str">
        <f>'mailing HPV G'!O2</f>
        <v>Âm tính</v>
      </c>
      <c r="B61" s="104">
        <v>25</v>
      </c>
      <c r="C61" s="6">
        <f>COUNTIFS('mailing HPV G'!$AF:$AF,$C$59,'mailing HPV G'!$K:$K,"="&amp;A61)</f>
        <v>6</v>
      </c>
      <c r="D61" s="127">
        <v>2</v>
      </c>
    </row>
    <row r="63" spans="1:7" x14ac:dyDescent="0.25">
      <c r="A63" s="129" t="s">
        <v>198</v>
      </c>
      <c r="B63" s="6">
        <v>0</v>
      </c>
      <c r="C63" s="6">
        <f>COUNTIFS('mailing HPV G'!$AF:$AF,$C$59,'mailing HPV G'!$K:$K,"="&amp;A63)</f>
        <v>0</v>
      </c>
      <c r="D63" s="127">
        <v>0</v>
      </c>
    </row>
    <row r="64" spans="1:7" x14ac:dyDescent="0.25">
      <c r="A64" s="130"/>
      <c r="B64" s="131"/>
      <c r="C64" s="6"/>
      <c r="D64" s="127"/>
    </row>
    <row r="65" spans="1:5" x14ac:dyDescent="0.25">
      <c r="A65" s="132"/>
      <c r="B65" s="133"/>
      <c r="C65" s="6"/>
      <c r="D65" s="127"/>
    </row>
    <row r="66" spans="1:5" x14ac:dyDescent="0.25">
      <c r="A66" s="134"/>
      <c r="B66" s="135"/>
      <c r="C66" s="6"/>
      <c r="D66" s="127"/>
    </row>
    <row r="67" spans="1:5" x14ac:dyDescent="0.25">
      <c r="C67" s="104"/>
      <c r="D67" s="104"/>
    </row>
    <row r="68" spans="1:5" x14ac:dyDescent="0.25">
      <c r="C68" s="3" t="str">
        <f>'mailing HPV G'!C33</f>
        <v>QPG029</v>
      </c>
      <c r="D68" s="3">
        <f>VLOOKUP(C68,'mailing HPV G'!C:K,5,0)</f>
        <v>1</v>
      </c>
    </row>
    <row r="69" spans="1:5" x14ac:dyDescent="0.25">
      <c r="E69" s="6">
        <f>COUNTIFS('mailing HPV G'!$AF:$AF,$C$59,'mailing HPV G'!$K:$K,"=A50")+COUNTIFS('mailing HPV G'!$AF:$AF,$C$59,'mailing HPV G'!$K:$K,"=A50")</f>
        <v>0</v>
      </c>
    </row>
    <row r="70" spans="1:5" x14ac:dyDescent="0.25">
      <c r="E70" s="6">
        <f>COUNTIFS('mailing HPV G'!$AF:$AF,$C$59,'mailing HPV G'!$K:$K,"=Type 16")+COUNTIFS('mailing HPV G'!$AF:$AF,$C$59,'mailing HPV G'!$K:$K,"=Type 16")</f>
        <v>0</v>
      </c>
    </row>
    <row r="71" spans="1:5" x14ac:dyDescent="0.25">
      <c r="A71" s="125" t="s">
        <v>201</v>
      </c>
      <c r="B71" s="125" t="s">
        <v>193</v>
      </c>
      <c r="C71" s="136" t="str">
        <f>VLOOKUP(C80,'mailing HPV G'!C:AF,30,0)</f>
        <v>Biorad</v>
      </c>
      <c r="D71" s="125" t="s">
        <v>199</v>
      </c>
    </row>
    <row r="73" spans="1:5" x14ac:dyDescent="0.25">
      <c r="A73" s="3" t="str">
        <f>'mailing HPV G'!P2</f>
        <v>12 type HR</v>
      </c>
      <c r="B73" s="104">
        <v>25</v>
      </c>
      <c r="C73" s="3">
        <f>COUNTIFS('mailing HPV G'!$AF:$AF,$C$71,'mailing HPV G'!$L:$L,"="&amp;A73)+COUNTIFS('mailing HPV G'!$AF:$AF,$C$71,'mailing HPV G'!$L:$L,"&lt;&gt;"&amp;A73)</f>
        <v>6</v>
      </c>
      <c r="D73" s="127">
        <v>2</v>
      </c>
    </row>
    <row r="74" spans="1:5" x14ac:dyDescent="0.25">
      <c r="B74" s="6"/>
      <c r="D74" s="127"/>
    </row>
    <row r="75" spans="1:5" x14ac:dyDescent="0.25">
      <c r="A75" s="1" t="s">
        <v>67</v>
      </c>
      <c r="B75" s="137">
        <v>0</v>
      </c>
      <c r="C75" s="3">
        <v>0</v>
      </c>
      <c r="D75" s="127">
        <v>0</v>
      </c>
    </row>
    <row r="76" spans="1:5" x14ac:dyDescent="0.25">
      <c r="B76" s="131"/>
      <c r="C76" s="131"/>
      <c r="D76" s="127"/>
    </row>
    <row r="77" spans="1:5" x14ac:dyDescent="0.25">
      <c r="B77" s="133"/>
      <c r="C77" s="133"/>
      <c r="D77" s="127"/>
    </row>
    <row r="78" spans="1:5" x14ac:dyDescent="0.25">
      <c r="A78" s="138"/>
      <c r="B78" s="125"/>
      <c r="C78" s="125"/>
      <c r="D78" s="125"/>
    </row>
    <row r="79" spans="1:5" x14ac:dyDescent="0.25">
      <c r="A79" s="104" t="s">
        <v>202</v>
      </c>
      <c r="B79" s="104"/>
      <c r="C79" s="104"/>
      <c r="D79" s="104"/>
    </row>
    <row r="80" spans="1:5" x14ac:dyDescent="0.25">
      <c r="C80" s="3" t="str">
        <f>'mailing HPV G'!C33</f>
        <v>QPG029</v>
      </c>
      <c r="D80" s="3">
        <f>VLOOKUP(C80,'mailing HPV G'!C:L,6,0)</f>
        <v>230701</v>
      </c>
    </row>
    <row r="83" spans="1:4" x14ac:dyDescent="0.25">
      <c r="A83" s="139" t="s">
        <v>57</v>
      </c>
      <c r="B83" s="139" t="s">
        <v>194</v>
      </c>
      <c r="C83" s="139" t="s">
        <v>195</v>
      </c>
      <c r="D83" s="139" t="s">
        <v>196</v>
      </c>
    </row>
    <row r="84" spans="1:4" x14ac:dyDescent="0.25">
      <c r="A84" s="108">
        <v>6</v>
      </c>
      <c r="B84" s="109">
        <v>24</v>
      </c>
      <c r="C84" s="109">
        <f>(Table118[[#This Row],[Số lượng đơn vị]]/25)*100</f>
        <v>96</v>
      </c>
      <c r="D84" s="109">
        <f>IF(Table118[[#This Row],[điểm]]=$D$94,1,0)</f>
        <v>1</v>
      </c>
    </row>
    <row r="85" spans="1:4" x14ac:dyDescent="0.25">
      <c r="A85" s="109">
        <v>3</v>
      </c>
      <c r="B85" s="109">
        <v>1</v>
      </c>
      <c r="C85" s="109">
        <f>C84+(Table118[[#This Row],[Số lượng đơn vị]]/25)*100</f>
        <v>100</v>
      </c>
      <c r="D85" s="109">
        <f>IF(Table118[[#This Row],[điểm]]=$D$94,1,0)</f>
        <v>0</v>
      </c>
    </row>
    <row r="86" spans="1:4" x14ac:dyDescent="0.25">
      <c r="A86" s="109">
        <v>5</v>
      </c>
      <c r="B86" s="109">
        <v>0</v>
      </c>
      <c r="C86" s="109">
        <f>C85+(Table118[[#This Row],[Số lượng đơn vị]]/18)*100</f>
        <v>100</v>
      </c>
      <c r="D86" s="109">
        <f>IF(Table118[[#This Row],[điểm]]=$D$94,1,0)</f>
        <v>0</v>
      </c>
    </row>
    <row r="87" spans="1:4" x14ac:dyDescent="0.25">
      <c r="A87" s="109">
        <v>4</v>
      </c>
      <c r="B87" s="109">
        <v>0</v>
      </c>
      <c r="C87" s="109">
        <f>C86+(Table118[[#This Row],[Số lượng đơn vị]]/18)*100</f>
        <v>100</v>
      </c>
      <c r="D87" s="109">
        <f>IF(Table118[[#This Row],[điểm]]=$D$94,1,0)</f>
        <v>0</v>
      </c>
    </row>
    <row r="88" spans="1:4" x14ac:dyDescent="0.25">
      <c r="A88" s="109">
        <v>2</v>
      </c>
      <c r="B88" s="109">
        <v>0</v>
      </c>
      <c r="C88" s="109">
        <f>C87+(Table118[[#This Row],[Số lượng đơn vị]]/18)*100</f>
        <v>100</v>
      </c>
      <c r="D88" s="109">
        <f>IF(Table118[[#This Row],[điểm]]=$D$94,1,0)</f>
        <v>0</v>
      </c>
    </row>
    <row r="89" spans="1:4" x14ac:dyDescent="0.25">
      <c r="A89" s="109">
        <v>1</v>
      </c>
      <c r="B89" s="109">
        <v>0</v>
      </c>
      <c r="C89" s="109">
        <f>C88+(Table118[[#This Row],[Số lượng đơn vị]]/18)*100</f>
        <v>100</v>
      </c>
      <c r="D89" s="109">
        <f>IF(Table118[[#This Row],[điểm]]=$D$94,1,0)</f>
        <v>0</v>
      </c>
    </row>
    <row r="90" spans="1:4" x14ac:dyDescent="0.25">
      <c r="A90" s="109">
        <v>0</v>
      </c>
      <c r="B90" s="109">
        <v>0</v>
      </c>
      <c r="C90" s="109">
        <f>C89+(Table118[[#This Row],[Số lượng đơn vị]]/18)*100</f>
        <v>100</v>
      </c>
      <c r="D90" s="109">
        <f>IF(Table118[[#This Row],[điểm]]=$D$94,1,0)</f>
        <v>0</v>
      </c>
    </row>
    <row r="91" spans="1:4" x14ac:dyDescent="0.25">
      <c r="A91" s="140"/>
      <c r="B91" s="140"/>
      <c r="C91" s="140"/>
    </row>
    <row r="92" spans="1:4" x14ac:dyDescent="0.25">
      <c r="A92" s="140"/>
      <c r="B92" s="140"/>
      <c r="C92" s="140"/>
      <c r="D92" s="140"/>
    </row>
    <row r="93" spans="1:4" x14ac:dyDescent="0.25">
      <c r="A93" s="140"/>
      <c r="B93" s="140"/>
      <c r="C93" s="140"/>
      <c r="D93" s="140"/>
    </row>
    <row r="94" spans="1:4" x14ac:dyDescent="0.25">
      <c r="C94" s="3" t="str">
        <f>'mailing HPV G'!C33</f>
        <v>QPG029</v>
      </c>
      <c r="D94" s="1">
        <f>VLOOKUP(C94,'mailing HPV G'!C:U,19,0)</f>
        <v>6</v>
      </c>
    </row>
    <row r="96" spans="1:4" x14ac:dyDescent="0.25">
      <c r="A96" s="3" t="s">
        <v>162</v>
      </c>
      <c r="B96" s="3" t="s">
        <v>197</v>
      </c>
    </row>
    <row r="97" spans="1:2" x14ac:dyDescent="0.25">
      <c r="A97" s="3">
        <v>1</v>
      </c>
      <c r="B97" s="3" t="e">
        <f>VLOOKUP($B$108,B:AP,33,0)</f>
        <v>#N/A</v>
      </c>
    </row>
    <row r="98" spans="1:2" x14ac:dyDescent="0.25">
      <c r="A98" s="3">
        <v>2</v>
      </c>
      <c r="B98" s="3" t="e">
        <f>VLOOKUP($B$108,B:AP,34,0)</f>
        <v>#N/A</v>
      </c>
    </row>
    <row r="99" spans="1:2" x14ac:dyDescent="0.25">
      <c r="A99" s="3">
        <v>3</v>
      </c>
      <c r="B99" s="3" t="e">
        <f>VLOOKUP($B$108,B:AP,35,0)</f>
        <v>#N/A</v>
      </c>
    </row>
    <row r="100" spans="1:2" x14ac:dyDescent="0.25">
      <c r="A100" s="3">
        <v>4</v>
      </c>
      <c r="B100" s="3" t="e">
        <f>VLOOKUP($B$108,B:AP,36,0)</f>
        <v>#N/A</v>
      </c>
    </row>
    <row r="101" spans="1:2" x14ac:dyDescent="0.25">
      <c r="A101" s="3">
        <v>5</v>
      </c>
      <c r="B101" s="3" t="e">
        <f>VLOOKUP($B$108,B:AP,37,0)</f>
        <v>#N/A</v>
      </c>
    </row>
    <row r="102" spans="1:2" x14ac:dyDescent="0.25">
      <c r="A102" s="3">
        <v>6</v>
      </c>
      <c r="B102" s="3" t="e">
        <f>VLOOKUP($B$108,B:AP,38,0)</f>
        <v>#N/A</v>
      </c>
    </row>
    <row r="103" spans="1:2" x14ac:dyDescent="0.25">
      <c r="A103" s="3">
        <v>7</v>
      </c>
      <c r="B103" s="3" t="e">
        <f>VLOOKUP($B$108,B:AP,39,0)</f>
        <v>#N/A</v>
      </c>
    </row>
    <row r="104" spans="1:2" x14ac:dyDescent="0.25">
      <c r="A104" s="3">
        <v>8</v>
      </c>
      <c r="B104" s="3" t="e">
        <f>VLOOKUP($B$108,B:AP,40,0)</f>
        <v>#N/A</v>
      </c>
    </row>
    <row r="105" spans="1:2" x14ac:dyDescent="0.25">
      <c r="A105" s="3">
        <v>9</v>
      </c>
      <c r="B105" s="3" t="e">
        <f>VLOOKUP($B$108,B:AP,41,0)</f>
        <v>#N/A</v>
      </c>
    </row>
    <row r="108" spans="1:2" x14ac:dyDescent="0.25">
      <c r="B108" s="3" t="str">
        <f>'mailing HPV G'!C33</f>
        <v>QPG029</v>
      </c>
    </row>
  </sheetData>
  <mergeCells count="5">
    <mergeCell ref="G2:J2"/>
    <mergeCell ref="K2:N2"/>
    <mergeCell ref="P2:X2"/>
    <mergeCell ref="Y2:AG2"/>
    <mergeCell ref="AH2:AP2"/>
  </mergeCells>
  <conditionalFormatting sqref="F38:G56">
    <cfRule type="duplicateValues" dxfId="0" priority="1"/>
  </conditionalFormatting>
  <pageMargins left="0.7" right="0.7" top="0.75" bottom="0.75" header="0.3" footer="0.3"/>
  <ignoredErrors>
    <ignoredError sqref="P4:X32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mailing HPV G</vt:lpstr>
      <vt:lpstr>Hiệu xuất HPV 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2023-12-27T08:58:47Z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