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e Thanh Tung\Desktop\Report gửi web\HBV Định lượng\"/>
    </mc:Choice>
  </mc:AlternateContent>
  <xr:revisionPtr revIDLastSave="0" documentId="13_ncr:1_{10FBDBC3-A5A5-4EE6-B239-8537AB2161AC}" xr6:coauthVersionLast="47" xr6:coauthVersionMax="47" xr10:uidLastSave="{00000000-0000-0000-0000-000000000000}"/>
  <bookViews>
    <workbookView xWindow="-120" yWindow="-120" windowWidth="20730" windowHeight="11160" firstSheet="7" activeTab="8" xr2:uid="{00000000-000D-0000-FFFF-FFFF00000000}"/>
  </bookViews>
  <sheets>
    <sheet name="NHÓM QBL01" sheetId="32" r:id="rId1"/>
    <sheet name="QBL01" sheetId="31" r:id="rId2"/>
    <sheet name="NHÓM QBL 02" sheetId="43" r:id="rId3"/>
    <sheet name="QBL 02" sheetId="42" r:id="rId4"/>
    <sheet name="NHÓM QBL 03" sheetId="45" r:id="rId5"/>
    <sheet name="QBL 03" sheetId="44" r:id="rId6"/>
    <sheet name="BĐ 1+2-IU" sheetId="21" r:id="rId7"/>
    <sheet name="CHÊNH" sheetId="48" r:id="rId8"/>
    <sheet name="HIEU XUAT" sheetId="22" r:id="rId9"/>
    <sheet name="HBV ĐL HC" sheetId="41" r:id="rId10"/>
  </sheets>
  <definedNames>
    <definedName name="_xlnm._FilterDatabase" localSheetId="6" hidden="1">'BĐ 1+2-IU'!$A$1:$BA$1</definedName>
    <definedName name="_xlnm._FilterDatabase" localSheetId="9" hidden="1">'HBV ĐL HC'!$A$1:$CH$44</definedName>
    <definedName name="_xlcn.WorksheetConnection_Sheet1Q5Q34" hidden="1">#REF!</definedName>
  </definedNames>
  <calcPr calcId="191029"/>
  <pivotCaches>
    <pivotCache cacheId="16" r:id="rId11"/>
    <pivotCache cacheId="17" r:id="rId12"/>
    <pivotCache cacheId="19" r:id="rId13"/>
    <pivotCache cacheId="23" r:id="rId14"/>
    <pivotCache cacheId="24" r:id="rId15"/>
    <pivotCache cacheId="25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5" i="41" l="1"/>
  <c r="AH26" i="41"/>
  <c r="AH27" i="41"/>
  <c r="AH28" i="41"/>
  <c r="AI19" i="41"/>
  <c r="W59" i="21"/>
  <c r="N46" i="41"/>
  <c r="M2" i="41" s="1"/>
  <c r="AK2" i="41"/>
  <c r="AO44" i="41"/>
  <c r="AN44" i="41"/>
  <c r="AO43" i="41"/>
  <c r="AN43" i="41"/>
  <c r="AO42" i="41"/>
  <c r="AN42" i="41"/>
  <c r="AO41" i="41"/>
  <c r="AN41" i="41"/>
  <c r="AO40" i="41"/>
  <c r="AN40" i="41"/>
  <c r="AO35" i="41"/>
  <c r="AN35" i="41"/>
  <c r="AO34" i="41"/>
  <c r="AN34" i="41"/>
  <c r="AO18" i="41"/>
  <c r="AN18" i="41"/>
  <c r="AO15" i="41"/>
  <c r="AN15" i="41"/>
  <c r="AO11" i="41"/>
  <c r="AN11" i="41"/>
  <c r="AO2" i="41"/>
  <c r="AN2" i="41"/>
  <c r="AL44" i="41"/>
  <c r="AL43" i="41"/>
  <c r="AL42" i="41"/>
  <c r="AL41" i="41"/>
  <c r="AL40" i="41"/>
  <c r="AL35" i="41"/>
  <c r="AL34" i="41"/>
  <c r="AL18" i="41"/>
  <c r="AL15" i="41"/>
  <c r="AL11" i="41"/>
  <c r="AL2" i="41"/>
  <c r="AK44" i="41"/>
  <c r="AK43" i="41"/>
  <c r="AK42" i="41"/>
  <c r="AK41" i="41"/>
  <c r="AK40" i="41"/>
  <c r="AK35" i="41"/>
  <c r="AK34" i="41"/>
  <c r="AK18" i="41"/>
  <c r="AK15" i="41"/>
  <c r="AK11" i="41"/>
  <c r="AI14" i="21"/>
  <c r="AJ3" i="21" s="1"/>
  <c r="AI9" i="21"/>
  <c r="AH9" i="21"/>
  <c r="AH8" i="21"/>
  <c r="AI7" i="21"/>
  <c r="AH7" i="21"/>
  <c r="AH6" i="21"/>
  <c r="AI5" i="21"/>
  <c r="AH5" i="21"/>
  <c r="AI4" i="21"/>
  <c r="AH4" i="21"/>
  <c r="V27" i="21"/>
  <c r="W27" i="21"/>
  <c r="V28" i="21"/>
  <c r="W28" i="21"/>
  <c r="V29" i="21"/>
  <c r="W29" i="21"/>
  <c r="V30" i="21"/>
  <c r="W30" i="21"/>
  <c r="V31" i="21"/>
  <c r="W31" i="21"/>
  <c r="W26" i="21"/>
  <c r="V26" i="21"/>
  <c r="T35" i="21"/>
  <c r="T36" i="21" s="1"/>
  <c r="T37" i="21" s="1"/>
  <c r="T38" i="21" s="1"/>
  <c r="T39" i="21" s="1"/>
  <c r="T40" i="21" s="1"/>
  <c r="T41" i="21" s="1"/>
  <c r="T34" i="21"/>
  <c r="W5" i="21"/>
  <c r="W6" i="21"/>
  <c r="W7" i="21"/>
  <c r="W8" i="21"/>
  <c r="W9" i="21"/>
  <c r="V5" i="21"/>
  <c r="V6" i="21"/>
  <c r="AI8" i="21" s="1"/>
  <c r="V7" i="21"/>
  <c r="V8" i="21"/>
  <c r="V9" i="21"/>
  <c r="C93" i="21"/>
  <c r="D93" i="21"/>
  <c r="C94" i="21"/>
  <c r="D94" i="21"/>
  <c r="C95" i="21"/>
  <c r="D95" i="21"/>
  <c r="C96" i="21"/>
  <c r="D96" i="21"/>
  <c r="C97" i="21"/>
  <c r="D97" i="21"/>
  <c r="C98" i="21"/>
  <c r="D98" i="21"/>
  <c r="C99" i="21"/>
  <c r="D99" i="21"/>
  <c r="C100" i="21"/>
  <c r="D100" i="21"/>
  <c r="C101" i="21"/>
  <c r="D101" i="21"/>
  <c r="C102" i="21"/>
  <c r="D102" i="21"/>
  <c r="C103" i="21"/>
  <c r="D103" i="21"/>
  <c r="C104" i="21"/>
  <c r="D104" i="21"/>
  <c r="C105" i="21"/>
  <c r="D105" i="21"/>
  <c r="C106" i="21"/>
  <c r="D106" i="21"/>
  <c r="C107" i="21"/>
  <c r="D107" i="21"/>
  <c r="C108" i="21"/>
  <c r="D108" i="21"/>
  <c r="C109" i="21"/>
  <c r="D109" i="21"/>
  <c r="C110" i="21"/>
  <c r="D110" i="21"/>
  <c r="C111" i="21"/>
  <c r="D111" i="21"/>
  <c r="C112" i="21"/>
  <c r="D112" i="21"/>
  <c r="C113" i="21"/>
  <c r="D113" i="21"/>
  <c r="C114" i="21"/>
  <c r="D114" i="21"/>
  <c r="C115" i="21"/>
  <c r="D115" i="21"/>
  <c r="C116" i="21"/>
  <c r="D116" i="21"/>
  <c r="C117" i="21"/>
  <c r="D117" i="21"/>
  <c r="C118" i="21"/>
  <c r="D118" i="21"/>
  <c r="C119" i="21"/>
  <c r="D119" i="21"/>
  <c r="C120" i="21"/>
  <c r="D120" i="21"/>
  <c r="C121" i="21"/>
  <c r="D121" i="21"/>
  <c r="C122" i="21"/>
  <c r="D122" i="21"/>
  <c r="C123" i="21"/>
  <c r="D123" i="21"/>
  <c r="C124" i="21"/>
  <c r="D124" i="21"/>
  <c r="C125" i="21"/>
  <c r="D125" i="21"/>
  <c r="C126" i="21"/>
  <c r="D126" i="21"/>
  <c r="C127" i="21"/>
  <c r="D127" i="21"/>
  <c r="C128" i="21"/>
  <c r="D128" i="21"/>
  <c r="C129" i="21"/>
  <c r="D129" i="21"/>
  <c r="C130" i="21"/>
  <c r="D130" i="21"/>
  <c r="C131" i="21"/>
  <c r="D131" i="21"/>
  <c r="C132" i="21"/>
  <c r="D132" i="21"/>
  <c r="C133" i="21"/>
  <c r="D133" i="21"/>
  <c r="C134" i="21"/>
  <c r="D134" i="21"/>
  <c r="AU38" i="41"/>
  <c r="AT38" i="41"/>
  <c r="AU18" i="41"/>
  <c r="AT18" i="41"/>
  <c r="AF44" i="41"/>
  <c r="AF43" i="41"/>
  <c r="AF42" i="41"/>
  <c r="AF41" i="41"/>
  <c r="AF40" i="41"/>
  <c r="AF35" i="41"/>
  <c r="AF34" i="41"/>
  <c r="AF18" i="41"/>
  <c r="AF15" i="41"/>
  <c r="AF11" i="41"/>
  <c r="AF2" i="41"/>
  <c r="E5" i="43"/>
  <c r="E14" i="43"/>
  <c r="S4" i="41"/>
  <c r="C49" i="21" s="1"/>
  <c r="S5" i="41"/>
  <c r="C50" i="21" s="1"/>
  <c r="S6" i="41"/>
  <c r="C51" i="21" s="1"/>
  <c r="S7" i="41"/>
  <c r="D52" i="21" s="1"/>
  <c r="S8" i="41"/>
  <c r="D53" i="21" s="1"/>
  <c r="S9" i="41"/>
  <c r="C54" i="21" s="1"/>
  <c r="S10" i="41"/>
  <c r="C55" i="21" s="1"/>
  <c r="S11" i="41"/>
  <c r="E14" i="42" s="1"/>
  <c r="G18" i="31"/>
  <c r="H18" i="31"/>
  <c r="I18" i="31"/>
  <c r="J18" i="31"/>
  <c r="G21" i="31"/>
  <c r="H21" i="31"/>
  <c r="I21" i="31"/>
  <c r="J21" i="31"/>
  <c r="G37" i="31"/>
  <c r="H37" i="31"/>
  <c r="I37" i="31"/>
  <c r="J37" i="31"/>
  <c r="G43" i="31"/>
  <c r="H43" i="31"/>
  <c r="I43" i="31"/>
  <c r="J43" i="31"/>
  <c r="G44" i="31"/>
  <c r="H44" i="31"/>
  <c r="I44" i="31"/>
  <c r="J44" i="31"/>
  <c r="G45" i="31"/>
  <c r="H45" i="31"/>
  <c r="I45" i="31"/>
  <c r="J45" i="31"/>
  <c r="F46" i="31"/>
  <c r="G46" i="31"/>
  <c r="H46" i="31"/>
  <c r="I46" i="31"/>
  <c r="J46" i="31"/>
  <c r="G47" i="31"/>
  <c r="H47" i="31"/>
  <c r="I47" i="31"/>
  <c r="J47" i="31"/>
  <c r="G14" i="42"/>
  <c r="H14" i="42"/>
  <c r="I14" i="42"/>
  <c r="J14" i="42"/>
  <c r="G18" i="42"/>
  <c r="H18" i="42"/>
  <c r="I18" i="42"/>
  <c r="J18" i="42"/>
  <c r="G21" i="42"/>
  <c r="H21" i="42"/>
  <c r="I21" i="42"/>
  <c r="J21" i="42"/>
  <c r="G37" i="42"/>
  <c r="H37" i="42"/>
  <c r="I37" i="42"/>
  <c r="J37" i="42"/>
  <c r="G38" i="42"/>
  <c r="H38" i="42"/>
  <c r="I38" i="42"/>
  <c r="J38" i="42"/>
  <c r="G43" i="42"/>
  <c r="H43" i="42"/>
  <c r="I43" i="42"/>
  <c r="J43" i="42"/>
  <c r="G44" i="42"/>
  <c r="H44" i="42"/>
  <c r="I44" i="42"/>
  <c r="J44" i="42"/>
  <c r="G45" i="42"/>
  <c r="H45" i="42"/>
  <c r="I45" i="42"/>
  <c r="J45" i="42"/>
  <c r="G46" i="42"/>
  <c r="H46" i="42"/>
  <c r="I46" i="42"/>
  <c r="J46" i="42"/>
  <c r="G47" i="42"/>
  <c r="H47" i="42"/>
  <c r="I47" i="42"/>
  <c r="J47" i="42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F18" i="44"/>
  <c r="G18" i="44"/>
  <c r="H18" i="44"/>
  <c r="I18" i="44"/>
  <c r="J18" i="44"/>
  <c r="E19" i="44"/>
  <c r="E20" i="44"/>
  <c r="E21" i="44"/>
  <c r="F21" i="44"/>
  <c r="G21" i="44"/>
  <c r="H21" i="44"/>
  <c r="I21" i="44"/>
  <c r="J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F37" i="44"/>
  <c r="G37" i="44"/>
  <c r="H37" i="44"/>
  <c r="I37" i="44"/>
  <c r="J37" i="44"/>
  <c r="E38" i="44"/>
  <c r="E39" i="44"/>
  <c r="E40" i="44"/>
  <c r="E41" i="44"/>
  <c r="E42" i="44"/>
  <c r="E43" i="44"/>
  <c r="F43" i="44"/>
  <c r="G43" i="44"/>
  <c r="H43" i="44"/>
  <c r="I43" i="44"/>
  <c r="J43" i="44"/>
  <c r="E44" i="44"/>
  <c r="F44" i="44"/>
  <c r="G44" i="44"/>
  <c r="H44" i="44"/>
  <c r="I44" i="44"/>
  <c r="J44" i="44"/>
  <c r="E45" i="44"/>
  <c r="F45" i="44"/>
  <c r="G45" i="44"/>
  <c r="H45" i="44"/>
  <c r="I45" i="44"/>
  <c r="J45" i="44"/>
  <c r="E46" i="44"/>
  <c r="F46" i="44"/>
  <c r="G46" i="44"/>
  <c r="H46" i="44"/>
  <c r="I46" i="44"/>
  <c r="J46" i="44"/>
  <c r="E47" i="44"/>
  <c r="F47" i="44"/>
  <c r="G47" i="44"/>
  <c r="H47" i="44"/>
  <c r="I47" i="44"/>
  <c r="J47" i="44"/>
  <c r="E5" i="21"/>
  <c r="E21" i="21"/>
  <c r="E40" i="21"/>
  <c r="P38" i="22"/>
  <c r="Q38" i="22"/>
  <c r="R38" i="22"/>
  <c r="S38" i="22"/>
  <c r="AB38" i="22" s="1"/>
  <c r="T38" i="22"/>
  <c r="U38" i="22"/>
  <c r="V38" i="22"/>
  <c r="AE38" i="22" s="1"/>
  <c r="W38" i="22"/>
  <c r="X38" i="22"/>
  <c r="AT36" i="41" s="1"/>
  <c r="Y38" i="22"/>
  <c r="Z38" i="22"/>
  <c r="AA38" i="22"/>
  <c r="AC38" i="22"/>
  <c r="AD38" i="22"/>
  <c r="E36" i="21"/>
  <c r="S36" i="41"/>
  <c r="C81" i="21" s="1"/>
  <c r="R36" i="41"/>
  <c r="C36" i="21" s="1"/>
  <c r="C36" i="41"/>
  <c r="S3" i="41"/>
  <c r="E6" i="42" s="1"/>
  <c r="R3" i="41"/>
  <c r="E6" i="31" s="1"/>
  <c r="S44" i="41"/>
  <c r="C89" i="21" s="1"/>
  <c r="R44" i="41"/>
  <c r="E47" i="31" s="1"/>
  <c r="S43" i="41"/>
  <c r="C88" i="21" s="1"/>
  <c r="R43" i="41"/>
  <c r="D43" i="21" s="1"/>
  <c r="S42" i="41"/>
  <c r="E45" i="42" s="1"/>
  <c r="R42" i="41"/>
  <c r="E45" i="31" s="1"/>
  <c r="S41" i="41"/>
  <c r="E44" i="42" s="1"/>
  <c r="R41" i="41"/>
  <c r="D41" i="21" s="1"/>
  <c r="S40" i="41"/>
  <c r="E43" i="42" s="1"/>
  <c r="R40" i="41"/>
  <c r="E43" i="31" s="1"/>
  <c r="S39" i="41"/>
  <c r="C84" i="21" s="1"/>
  <c r="R39" i="41"/>
  <c r="E42" i="31" s="1"/>
  <c r="S38" i="41"/>
  <c r="C83" i="21" s="1"/>
  <c r="R38" i="41"/>
  <c r="C38" i="21" s="1"/>
  <c r="S37" i="41"/>
  <c r="E40" i="42" s="1"/>
  <c r="R37" i="41"/>
  <c r="E40" i="31" s="1"/>
  <c r="S35" i="41"/>
  <c r="E38" i="42" s="1"/>
  <c r="R35" i="41"/>
  <c r="E38" i="31" s="1"/>
  <c r="S34" i="41"/>
  <c r="E37" i="42" s="1"/>
  <c r="R34" i="41"/>
  <c r="C34" i="21" s="1"/>
  <c r="S33" i="41"/>
  <c r="D78" i="21" s="1"/>
  <c r="R33" i="41"/>
  <c r="E36" i="31" s="1"/>
  <c r="S32" i="41"/>
  <c r="D77" i="21" s="1"/>
  <c r="R32" i="41"/>
  <c r="E35" i="31" s="1"/>
  <c r="S31" i="41"/>
  <c r="E34" i="42" s="1"/>
  <c r="R31" i="41"/>
  <c r="C31" i="21" s="1"/>
  <c r="S30" i="41"/>
  <c r="E33" i="42" s="1"/>
  <c r="R30" i="41"/>
  <c r="C30" i="21" s="1"/>
  <c r="S29" i="41"/>
  <c r="C74" i="21" s="1"/>
  <c r="R29" i="41"/>
  <c r="E32" i="31" s="1"/>
  <c r="S28" i="41"/>
  <c r="C73" i="21" s="1"/>
  <c r="R28" i="41"/>
  <c r="E31" i="31" s="1"/>
  <c r="S27" i="41"/>
  <c r="E30" i="42" s="1"/>
  <c r="R27" i="41"/>
  <c r="C27" i="21" s="1"/>
  <c r="S26" i="41"/>
  <c r="E29" i="42" s="1"/>
  <c r="R26" i="41"/>
  <c r="D65" i="32" s="1"/>
  <c r="S25" i="41"/>
  <c r="C70" i="21" s="1"/>
  <c r="R25" i="41"/>
  <c r="E28" i="31" s="1"/>
  <c r="S24" i="41"/>
  <c r="C69" i="21" s="1"/>
  <c r="R24" i="41"/>
  <c r="E27" i="31" s="1"/>
  <c r="S23" i="41"/>
  <c r="E26" i="42" s="1"/>
  <c r="R23" i="41"/>
  <c r="C23" i="21" s="1"/>
  <c r="S22" i="41"/>
  <c r="E25" i="42" s="1"/>
  <c r="R22" i="41"/>
  <c r="C22" i="21" s="1"/>
  <c r="S21" i="41"/>
  <c r="C66" i="21" s="1"/>
  <c r="R21" i="41"/>
  <c r="D48" i="32" s="1"/>
  <c r="S20" i="41"/>
  <c r="C65" i="21" s="1"/>
  <c r="R20" i="41"/>
  <c r="D47" i="32" s="1"/>
  <c r="S19" i="41"/>
  <c r="E22" i="42" s="1"/>
  <c r="R19" i="41"/>
  <c r="C19" i="21" s="1"/>
  <c r="S18" i="41"/>
  <c r="E21" i="42" s="1"/>
  <c r="R18" i="41"/>
  <c r="E21" i="31" s="1"/>
  <c r="S17" i="41"/>
  <c r="C62" i="21" s="1"/>
  <c r="R17" i="41"/>
  <c r="E20" i="31" s="1"/>
  <c r="S16" i="41"/>
  <c r="C61" i="21" s="1"/>
  <c r="R16" i="41"/>
  <c r="D31" i="32" s="1"/>
  <c r="S15" i="41"/>
  <c r="E18" i="42" s="1"/>
  <c r="R15" i="41"/>
  <c r="C15" i="21" s="1"/>
  <c r="S14" i="41"/>
  <c r="D29" i="43" s="1"/>
  <c r="R14" i="41"/>
  <c r="E17" i="31" s="1"/>
  <c r="S13" i="41"/>
  <c r="C58" i="21" s="1"/>
  <c r="R13" i="41"/>
  <c r="E16" i="31" s="1"/>
  <c r="S12" i="41"/>
  <c r="D57" i="21" s="1"/>
  <c r="R12" i="41"/>
  <c r="D27" i="32" s="1"/>
  <c r="R11" i="41"/>
  <c r="E14" i="31" s="1"/>
  <c r="R10" i="41"/>
  <c r="E13" i="31" s="1"/>
  <c r="R9" i="41"/>
  <c r="E12" i="31" s="1"/>
  <c r="R8" i="41"/>
  <c r="C8" i="21" s="1"/>
  <c r="R7" i="41"/>
  <c r="E10" i="31" s="1"/>
  <c r="R6" i="41"/>
  <c r="C6" i="21" s="1"/>
  <c r="R5" i="41"/>
  <c r="D8" i="32" s="1"/>
  <c r="R4" i="41"/>
  <c r="D7" i="32" s="1"/>
  <c r="R2" i="41"/>
  <c r="E5" i="32" s="1"/>
  <c r="S2" i="41"/>
  <c r="D5" i="43" s="1"/>
  <c r="D65" i="45"/>
  <c r="D49" i="45"/>
  <c r="D47" i="45"/>
  <c r="E33" i="45"/>
  <c r="D6" i="45"/>
  <c r="D7" i="45"/>
  <c r="D8" i="45"/>
  <c r="D9" i="45"/>
  <c r="D10" i="45"/>
  <c r="D13" i="45"/>
  <c r="E44" i="21"/>
  <c r="E43" i="21"/>
  <c r="E42" i="21"/>
  <c r="E41" i="21"/>
  <c r="E39" i="21"/>
  <c r="E38" i="21"/>
  <c r="E37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4" i="21"/>
  <c r="E3" i="21"/>
  <c r="W4" i="21"/>
  <c r="V4" i="21"/>
  <c r="AI6" i="21" s="1"/>
  <c r="D14" i="45"/>
  <c r="F5" i="32"/>
  <c r="G5" i="32"/>
  <c r="H5" i="32"/>
  <c r="I5" i="32"/>
  <c r="D7" i="43"/>
  <c r="D8" i="43"/>
  <c r="D12" i="43"/>
  <c r="E30" i="45"/>
  <c r="D33" i="45"/>
  <c r="D64" i="45"/>
  <c r="D67" i="45"/>
  <c r="I33" i="45"/>
  <c r="H33" i="45"/>
  <c r="G33" i="45"/>
  <c r="F33" i="45"/>
  <c r="I30" i="45"/>
  <c r="H30" i="45"/>
  <c r="G30" i="45"/>
  <c r="F30" i="45"/>
  <c r="I5" i="45"/>
  <c r="H5" i="45"/>
  <c r="G5" i="45"/>
  <c r="F5" i="45"/>
  <c r="J5" i="44"/>
  <c r="I5" i="44"/>
  <c r="H5" i="44"/>
  <c r="G5" i="44"/>
  <c r="E5" i="42"/>
  <c r="E5" i="31"/>
  <c r="E33" i="43"/>
  <c r="F33" i="43"/>
  <c r="G33" i="43"/>
  <c r="H33" i="43"/>
  <c r="I33" i="43"/>
  <c r="F33" i="32"/>
  <c r="G33" i="32"/>
  <c r="H33" i="32"/>
  <c r="I33" i="32"/>
  <c r="AE44" i="41"/>
  <c r="AE43" i="41"/>
  <c r="AE42" i="41"/>
  <c r="AE41" i="41"/>
  <c r="AE40" i="41"/>
  <c r="AE34" i="41"/>
  <c r="AE18" i="41"/>
  <c r="AE2" i="41"/>
  <c r="D66" i="45"/>
  <c r="D50" i="45"/>
  <c r="D32" i="45"/>
  <c r="D31" i="45"/>
  <c r="D30" i="45"/>
  <c r="D29" i="45"/>
  <c r="D28" i="45"/>
  <c r="D28" i="32"/>
  <c r="D27" i="45"/>
  <c r="I5" i="43"/>
  <c r="H5" i="43"/>
  <c r="G5" i="43"/>
  <c r="F5" i="43"/>
  <c r="X30" i="22"/>
  <c r="AT28" i="41" s="1"/>
  <c r="W30" i="22"/>
  <c r="V30" i="22"/>
  <c r="AE30" i="22" s="1"/>
  <c r="U30" i="22"/>
  <c r="AD30" i="22" s="1"/>
  <c r="T30" i="22"/>
  <c r="AC30" i="22" s="1"/>
  <c r="S30" i="22"/>
  <c r="AB30" i="22" s="1"/>
  <c r="R30" i="22"/>
  <c r="AA30" i="22" s="1"/>
  <c r="Q30" i="22"/>
  <c r="Z30" i="22" s="1"/>
  <c r="P30" i="22"/>
  <c r="Y30" i="22" s="1"/>
  <c r="V89" i="21"/>
  <c r="W89" i="21"/>
  <c r="D46" i="43" l="1"/>
  <c r="D16" i="21"/>
  <c r="C39" i="21"/>
  <c r="D6" i="21"/>
  <c r="D64" i="43"/>
  <c r="D32" i="21"/>
  <c r="D24" i="21"/>
  <c r="E36" i="42"/>
  <c r="D83" i="21"/>
  <c r="D51" i="21"/>
  <c r="D50" i="43"/>
  <c r="E32" i="42"/>
  <c r="F44" i="31"/>
  <c r="F38" i="42"/>
  <c r="C37" i="21"/>
  <c r="D30" i="21"/>
  <c r="D22" i="21"/>
  <c r="D14" i="21"/>
  <c r="D89" i="21"/>
  <c r="D81" i="21"/>
  <c r="C56" i="21"/>
  <c r="D32" i="43"/>
  <c r="D30" i="43"/>
  <c r="D48" i="43"/>
  <c r="D9" i="43"/>
  <c r="E20" i="42"/>
  <c r="E9" i="31"/>
  <c r="F18" i="42"/>
  <c r="C43" i="21"/>
  <c r="D36" i="21"/>
  <c r="D28" i="21"/>
  <c r="D20" i="21"/>
  <c r="D12" i="21"/>
  <c r="D87" i="21"/>
  <c r="C80" i="21"/>
  <c r="D55" i="21"/>
  <c r="F43" i="42"/>
  <c r="C76" i="21"/>
  <c r="D28" i="43"/>
  <c r="D66" i="43"/>
  <c r="D13" i="43"/>
  <c r="E16" i="42"/>
  <c r="F47" i="42"/>
  <c r="F14" i="42"/>
  <c r="C41" i="21"/>
  <c r="D34" i="21"/>
  <c r="D26" i="21"/>
  <c r="D18" i="21"/>
  <c r="D8" i="21"/>
  <c r="D85" i="21"/>
  <c r="C78" i="21"/>
  <c r="C52" i="21"/>
  <c r="D42" i="21"/>
  <c r="D38" i="21"/>
  <c r="D79" i="21"/>
  <c r="D75" i="21"/>
  <c r="D73" i="21"/>
  <c r="D69" i="21"/>
  <c r="D65" i="21"/>
  <c r="D61" i="21"/>
  <c r="D59" i="21"/>
  <c r="D5" i="32"/>
  <c r="E47" i="42"/>
  <c r="E28" i="42"/>
  <c r="E12" i="42"/>
  <c r="F37" i="31"/>
  <c r="F5" i="31"/>
  <c r="F45" i="42"/>
  <c r="F37" i="42"/>
  <c r="C44" i="21"/>
  <c r="C42" i="21"/>
  <c r="C40" i="21"/>
  <c r="C32" i="21"/>
  <c r="C28" i="21"/>
  <c r="C26" i="21"/>
  <c r="C24" i="21"/>
  <c r="C20" i="21"/>
  <c r="C18" i="21"/>
  <c r="C16" i="21"/>
  <c r="C14" i="21"/>
  <c r="C12" i="21"/>
  <c r="C10" i="21"/>
  <c r="C87" i="21"/>
  <c r="C85" i="21"/>
  <c r="C79" i="21"/>
  <c r="C77" i="21"/>
  <c r="C75" i="21"/>
  <c r="C71" i="21"/>
  <c r="C67" i="21"/>
  <c r="C63" i="21"/>
  <c r="C59" i="21"/>
  <c r="C57" i="21"/>
  <c r="C53" i="21"/>
  <c r="F46" i="42"/>
  <c r="D44" i="21"/>
  <c r="D40" i="21"/>
  <c r="D10" i="21"/>
  <c r="D71" i="21"/>
  <c r="D67" i="21"/>
  <c r="D63" i="21"/>
  <c r="E24" i="42"/>
  <c r="E8" i="42"/>
  <c r="E19" i="31"/>
  <c r="F5" i="42"/>
  <c r="F44" i="42"/>
  <c r="F21" i="42"/>
  <c r="D46" i="32"/>
  <c r="D39" i="21"/>
  <c r="D37" i="21"/>
  <c r="D35" i="21"/>
  <c r="D33" i="21"/>
  <c r="D31" i="21"/>
  <c r="D29" i="21"/>
  <c r="D27" i="21"/>
  <c r="D25" i="21"/>
  <c r="D23" i="21"/>
  <c r="D21" i="21"/>
  <c r="D19" i="21"/>
  <c r="D17" i="21"/>
  <c r="D15" i="21"/>
  <c r="D13" i="21"/>
  <c r="D11" i="21"/>
  <c r="D9" i="21"/>
  <c r="D7" i="21"/>
  <c r="D5" i="21"/>
  <c r="D88" i="21"/>
  <c r="D86" i="21"/>
  <c r="D84" i="21"/>
  <c r="D82" i="21"/>
  <c r="D80" i="21"/>
  <c r="D76" i="21"/>
  <c r="D74" i="21"/>
  <c r="D72" i="21"/>
  <c r="D70" i="21"/>
  <c r="D68" i="21"/>
  <c r="D66" i="21"/>
  <c r="D64" i="21"/>
  <c r="D62" i="21"/>
  <c r="D60" i="21"/>
  <c r="D58" i="21"/>
  <c r="D56" i="21"/>
  <c r="D54" i="21"/>
  <c r="D50" i="21"/>
  <c r="C35" i="21"/>
  <c r="C33" i="21"/>
  <c r="C29" i="21"/>
  <c r="C25" i="21"/>
  <c r="C21" i="21"/>
  <c r="F20" i="21" s="1"/>
  <c r="C17" i="21"/>
  <c r="C13" i="21"/>
  <c r="C11" i="21"/>
  <c r="C9" i="21"/>
  <c r="C7" i="21"/>
  <c r="C5" i="21"/>
  <c r="C86" i="21"/>
  <c r="C82" i="21"/>
  <c r="C72" i="21"/>
  <c r="C68" i="21"/>
  <c r="C64" i="21"/>
  <c r="C60" i="21"/>
  <c r="D49" i="21"/>
  <c r="D48" i="21"/>
  <c r="C48" i="21"/>
  <c r="D4" i="21"/>
  <c r="C4" i="21"/>
  <c r="C3" i="21"/>
  <c r="D3" i="21"/>
  <c r="AQ2" i="41"/>
  <c r="D14" i="43"/>
  <c r="E10" i="42"/>
  <c r="D10" i="43"/>
  <c r="E34" i="31"/>
  <c r="E30" i="31"/>
  <c r="E26" i="31"/>
  <c r="E22" i="31"/>
  <c r="D12" i="32"/>
  <c r="E46" i="42"/>
  <c r="E41" i="42"/>
  <c r="E35" i="42"/>
  <c r="E31" i="42"/>
  <c r="E27" i="42"/>
  <c r="E23" i="42"/>
  <c r="E19" i="42"/>
  <c r="E15" i="42"/>
  <c r="E11" i="42"/>
  <c r="E7" i="42"/>
  <c r="E46" i="31"/>
  <c r="E44" i="31"/>
  <c r="E41" i="31"/>
  <c r="E37" i="31"/>
  <c r="E33" i="31"/>
  <c r="E29" i="31"/>
  <c r="E25" i="31"/>
  <c r="F21" i="31"/>
  <c r="F18" i="31"/>
  <c r="E15" i="31"/>
  <c r="E8" i="31"/>
  <c r="D30" i="32"/>
  <c r="F47" i="31"/>
  <c r="F45" i="31"/>
  <c r="F43" i="31"/>
  <c r="F38" i="31"/>
  <c r="E24" i="31"/>
  <c r="E18" i="31"/>
  <c r="F14" i="31"/>
  <c r="E11" i="31"/>
  <c r="E7" i="31"/>
  <c r="C47" i="21"/>
  <c r="D47" i="21"/>
  <c r="D50" i="32"/>
  <c r="E17" i="42"/>
  <c r="E13" i="42"/>
  <c r="E9" i="42"/>
  <c r="E23" i="31"/>
  <c r="E42" i="42"/>
  <c r="E39" i="42"/>
  <c r="E39" i="31"/>
  <c r="D33" i="43"/>
  <c r="D11" i="43"/>
  <c r="D6" i="43"/>
  <c r="D11" i="32"/>
  <c r="D67" i="43"/>
  <c r="D12" i="45"/>
  <c r="D27" i="43"/>
  <c r="D63" i="43"/>
  <c r="D31" i="43"/>
  <c r="D47" i="43"/>
  <c r="D65" i="43"/>
  <c r="D63" i="45"/>
  <c r="D73" i="45" s="1"/>
  <c r="D49" i="43"/>
  <c r="D11" i="45"/>
  <c r="D48" i="45"/>
  <c r="D46" i="45"/>
  <c r="AQ42" i="41"/>
  <c r="AQ44" i="41"/>
  <c r="D33" i="32"/>
  <c r="D29" i="32"/>
  <c r="D49" i="32"/>
  <c r="D63" i="32"/>
  <c r="D64" i="32"/>
  <c r="D14" i="32"/>
  <c r="D10" i="32"/>
  <c r="D6" i="32"/>
  <c r="D32" i="32"/>
  <c r="D67" i="32"/>
  <c r="E33" i="32"/>
  <c r="D13" i="32"/>
  <c r="D9" i="32"/>
  <c r="D66" i="32"/>
  <c r="AQ18" i="41"/>
  <c r="AQ34" i="41"/>
  <c r="AQ41" i="41"/>
  <c r="AQ15" i="41"/>
  <c r="AQ40" i="41"/>
  <c r="AQ43" i="41"/>
  <c r="D39" i="45"/>
  <c r="E32" i="45" s="1"/>
  <c r="D36" i="45"/>
  <c r="D37" i="45"/>
  <c r="D2" i="21"/>
  <c r="C2" i="21"/>
  <c r="F70" i="21" l="1"/>
  <c r="F57" i="21"/>
  <c r="D56" i="32"/>
  <c r="E46" i="32" s="1"/>
  <c r="F71" i="21"/>
  <c r="D56" i="43"/>
  <c r="E48" i="43" s="1"/>
  <c r="F58" i="21"/>
  <c r="F65" i="21"/>
  <c r="F66" i="21"/>
  <c r="D20" i="43"/>
  <c r="E10" i="43" s="1"/>
  <c r="D17" i="43"/>
  <c r="D18" i="43"/>
  <c r="D37" i="43"/>
  <c r="F49" i="21"/>
  <c r="F48" i="21"/>
  <c r="D70" i="43"/>
  <c r="D70" i="45"/>
  <c r="D71" i="45"/>
  <c r="D39" i="43"/>
  <c r="E29" i="43" s="1"/>
  <c r="D36" i="43"/>
  <c r="D73" i="43"/>
  <c r="E64" i="43" s="1"/>
  <c r="D71" i="43"/>
  <c r="D53" i="43"/>
  <c r="D54" i="43"/>
  <c r="D53" i="45"/>
  <c r="D20" i="32"/>
  <c r="E9" i="32" s="1"/>
  <c r="D54" i="45"/>
  <c r="D56" i="45"/>
  <c r="E46" i="45" s="1"/>
  <c r="F12" i="21"/>
  <c r="F3" i="21"/>
  <c r="F26" i="21"/>
  <c r="F25" i="21"/>
  <c r="E27" i="45"/>
  <c r="E31" i="45"/>
  <c r="E29" i="45"/>
  <c r="E28" i="45"/>
  <c r="E67" i="45"/>
  <c r="E65" i="45"/>
  <c r="E63" i="45"/>
  <c r="E64" i="45"/>
  <c r="E66" i="45"/>
  <c r="E30" i="43"/>
  <c r="D73" i="32"/>
  <c r="D71" i="32"/>
  <c r="D70" i="32"/>
  <c r="F21" i="21"/>
  <c r="F13" i="21"/>
  <c r="E46" i="43" l="1"/>
  <c r="E47" i="43"/>
  <c r="E50" i="43"/>
  <c r="E49" i="43"/>
  <c r="E6" i="43"/>
  <c r="E8" i="43"/>
  <c r="E12" i="43"/>
  <c r="E7" i="43"/>
  <c r="E13" i="43"/>
  <c r="E9" i="43"/>
  <c r="E11" i="43"/>
  <c r="E48" i="45"/>
  <c r="E32" i="43"/>
  <c r="E49" i="45"/>
  <c r="E47" i="45"/>
  <c r="E28" i="43"/>
  <c r="E27" i="43"/>
  <c r="E31" i="43"/>
  <c r="E50" i="45"/>
  <c r="E66" i="43"/>
  <c r="E6" i="32"/>
  <c r="E67" i="43"/>
  <c r="E14" i="32"/>
  <c r="E65" i="43"/>
  <c r="E63" i="43"/>
  <c r="E13" i="32"/>
  <c r="E12" i="32"/>
  <c r="E7" i="32"/>
  <c r="E11" i="32"/>
  <c r="E8" i="32"/>
  <c r="E10" i="32"/>
  <c r="E63" i="32"/>
  <c r="E67" i="32"/>
  <c r="E65" i="32"/>
  <c r="E66" i="32"/>
  <c r="E64" i="32"/>
  <c r="D40" i="45"/>
  <c r="D38" i="45" s="1"/>
  <c r="D74" i="45"/>
  <c r="D72" i="45" s="1"/>
  <c r="E61" i="45" s="1"/>
  <c r="E56" i="45"/>
  <c r="E57" i="45" s="1"/>
  <c r="E39" i="45"/>
  <c r="E40" i="45" s="1"/>
  <c r="E73" i="45"/>
  <c r="E74" i="45" s="1"/>
  <c r="D57" i="45"/>
  <c r="D55" i="45" s="1"/>
  <c r="E44" i="45" s="1"/>
  <c r="V80" i="21"/>
  <c r="V81" i="21"/>
  <c r="V82" i="21"/>
  <c r="V83" i="21"/>
  <c r="P4" i="22"/>
  <c r="E56" i="43" l="1"/>
  <c r="E57" i="43" s="1"/>
  <c r="D57" i="43"/>
  <c r="D55" i="43" s="1"/>
  <c r="E45" i="43" s="1"/>
  <c r="F49" i="45"/>
  <c r="F50" i="45"/>
  <c r="F47" i="45"/>
  <c r="F48" i="45"/>
  <c r="F46" i="45"/>
  <c r="D21" i="43"/>
  <c r="D19" i="43" s="1"/>
  <c r="E3" i="43" s="1"/>
  <c r="E20" i="43"/>
  <c r="E21" i="43" s="1"/>
  <c r="D74" i="43"/>
  <c r="D72" i="43" s="1"/>
  <c r="E61" i="43" s="1"/>
  <c r="F66" i="43" s="1"/>
  <c r="D40" i="43"/>
  <c r="D38" i="43" s="1"/>
  <c r="E26" i="43" s="1"/>
  <c r="E39" i="43"/>
  <c r="E40" i="43" s="1"/>
  <c r="E73" i="43"/>
  <c r="E74" i="43" s="1"/>
  <c r="E62" i="45"/>
  <c r="F65" i="45" s="1"/>
  <c r="E45" i="45"/>
  <c r="E25" i="45"/>
  <c r="E26" i="45"/>
  <c r="F67" i="45"/>
  <c r="E44" i="43" l="1"/>
  <c r="F48" i="43" s="1"/>
  <c r="F50" i="43"/>
  <c r="F49" i="43"/>
  <c r="E2" i="43"/>
  <c r="F12" i="43" s="1"/>
  <c r="E62" i="43"/>
  <c r="F63" i="43" s="1"/>
  <c r="E25" i="43"/>
  <c r="F31" i="43" s="1"/>
  <c r="F64" i="45"/>
  <c r="F66" i="45"/>
  <c r="F63" i="45"/>
  <c r="F73" i="45" s="1"/>
  <c r="F32" i="45"/>
  <c r="F28" i="45"/>
  <c r="F27" i="45"/>
  <c r="F29" i="45"/>
  <c r="F31" i="45"/>
  <c r="F30" i="43"/>
  <c r="J5" i="42"/>
  <c r="I5" i="42"/>
  <c r="H5" i="42"/>
  <c r="G5" i="42"/>
  <c r="J5" i="31"/>
  <c r="I5" i="31"/>
  <c r="H5" i="31"/>
  <c r="G5" i="31"/>
  <c r="F46" i="43" l="1"/>
  <c r="F47" i="43"/>
  <c r="F10" i="43"/>
  <c r="F11" i="43"/>
  <c r="M43" i="41"/>
  <c r="M36" i="41"/>
  <c r="F9" i="43"/>
  <c r="F6" i="43"/>
  <c r="F14" i="43"/>
  <c r="F13" i="43"/>
  <c r="F8" i="43"/>
  <c r="F28" i="43"/>
  <c r="F7" i="43"/>
  <c r="F65" i="43"/>
  <c r="F67" i="43"/>
  <c r="F64" i="43"/>
  <c r="F27" i="43"/>
  <c r="F29" i="43"/>
  <c r="F32" i="43"/>
  <c r="F71" i="45"/>
  <c r="F70" i="45"/>
  <c r="F74" i="45"/>
  <c r="F72" i="45" s="1"/>
  <c r="G61" i="45" s="1"/>
  <c r="F54" i="45"/>
  <c r="F56" i="45"/>
  <c r="F57" i="45"/>
  <c r="F55" i="45" s="1"/>
  <c r="F53" i="45"/>
  <c r="F37" i="45"/>
  <c r="F40" i="45"/>
  <c r="F38" i="45" s="1"/>
  <c r="F39" i="45"/>
  <c r="F36" i="45"/>
  <c r="M5" i="41"/>
  <c r="M13" i="41"/>
  <c r="M31" i="41"/>
  <c r="M6" i="41"/>
  <c r="M10" i="41"/>
  <c r="M14" i="41"/>
  <c r="M19" i="41"/>
  <c r="M23" i="41"/>
  <c r="M27" i="41"/>
  <c r="M32" i="41"/>
  <c r="M37" i="41"/>
  <c r="M41" i="41"/>
  <c r="M9" i="41"/>
  <c r="M17" i="41"/>
  <c r="M22" i="41"/>
  <c r="M26" i="41"/>
  <c r="M35" i="41"/>
  <c r="M40" i="41"/>
  <c r="M3" i="41"/>
  <c r="M7" i="41"/>
  <c r="M11" i="41"/>
  <c r="M15" i="41"/>
  <c r="M20" i="41"/>
  <c r="M24" i="41"/>
  <c r="M29" i="41"/>
  <c r="M33" i="41"/>
  <c r="M39" i="41"/>
  <c r="M42" i="41"/>
  <c r="M44" i="41"/>
  <c r="M4" i="41"/>
  <c r="M8" i="41"/>
  <c r="M12" i="41"/>
  <c r="M16" i="41"/>
  <c r="M21" i="41"/>
  <c r="M25" i="41"/>
  <c r="M30" i="41"/>
  <c r="M34" i="41"/>
  <c r="F54" i="43" l="1"/>
  <c r="F56" i="43"/>
  <c r="F57" i="43"/>
  <c r="F55" i="43" s="1"/>
  <c r="G44" i="43" s="1"/>
  <c r="F53" i="43"/>
  <c r="F18" i="43"/>
  <c r="F21" i="43"/>
  <c r="F19" i="43" s="1"/>
  <c r="F17" i="43"/>
  <c r="F39" i="43"/>
  <c r="F20" i="43"/>
  <c r="F40" i="43"/>
  <c r="F38" i="43" s="1"/>
  <c r="G45" i="43"/>
  <c r="F73" i="43"/>
  <c r="F70" i="43"/>
  <c r="F74" i="43"/>
  <c r="F72" i="43" s="1"/>
  <c r="F71" i="43"/>
  <c r="F36" i="43"/>
  <c r="F37" i="43"/>
  <c r="G62" i="45"/>
  <c r="G44" i="45"/>
  <c r="G48" i="45" s="1"/>
  <c r="G45" i="45"/>
  <c r="G26" i="45"/>
  <c r="G25" i="45"/>
  <c r="G64" i="45"/>
  <c r="G65" i="45"/>
  <c r="G63" i="45"/>
  <c r="G67" i="45"/>
  <c r="G66" i="45"/>
  <c r="AH32" i="21"/>
  <c r="AH31" i="21"/>
  <c r="AH30" i="21"/>
  <c r="AH29" i="21"/>
  <c r="AH28" i="21"/>
  <c r="AH27" i="21"/>
  <c r="AI32" i="21"/>
  <c r="AI31" i="21"/>
  <c r="AI30" i="21"/>
  <c r="AI29" i="21"/>
  <c r="AI28" i="21"/>
  <c r="AI27" i="21"/>
  <c r="AI26" i="21"/>
  <c r="AH26" i="21"/>
  <c r="T42" i="21"/>
  <c r="T43" i="21" s="1"/>
  <c r="X89" i="21" s="1"/>
  <c r="P21" i="22"/>
  <c r="Q21" i="22"/>
  <c r="R21" i="22"/>
  <c r="S21" i="22"/>
  <c r="T21" i="22"/>
  <c r="U21" i="22"/>
  <c r="V21" i="22"/>
  <c r="W21" i="22"/>
  <c r="X21" i="22"/>
  <c r="AT19" i="41" s="1"/>
  <c r="P22" i="22"/>
  <c r="Y22" i="22" s="1"/>
  <c r="Q22" i="22"/>
  <c r="R22" i="22"/>
  <c r="S22" i="22"/>
  <c r="T22" i="22"/>
  <c r="U22" i="22"/>
  <c r="V22" i="22"/>
  <c r="W22" i="22"/>
  <c r="X22" i="22"/>
  <c r="AT20" i="41" s="1"/>
  <c r="P23" i="22"/>
  <c r="Q23" i="22"/>
  <c r="R23" i="22"/>
  <c r="S23" i="22"/>
  <c r="T23" i="22"/>
  <c r="U23" i="22"/>
  <c r="V23" i="22"/>
  <c r="W23" i="22"/>
  <c r="X23" i="22"/>
  <c r="AT21" i="41" s="1"/>
  <c r="P24" i="22"/>
  <c r="Y24" i="22" s="1"/>
  <c r="Q24" i="22"/>
  <c r="Z24" i="22" s="1"/>
  <c r="R24" i="22"/>
  <c r="AA24" i="22" s="1"/>
  <c r="S24" i="22"/>
  <c r="AB24" i="22" s="1"/>
  <c r="T24" i="22"/>
  <c r="AC24" i="22" s="1"/>
  <c r="U24" i="22"/>
  <c r="AD24" i="22" s="1"/>
  <c r="V24" i="22"/>
  <c r="AE24" i="22" s="1"/>
  <c r="W24" i="22"/>
  <c r="X24" i="22"/>
  <c r="AT22" i="41" s="1"/>
  <c r="P25" i="22"/>
  <c r="Q25" i="22"/>
  <c r="R25" i="22"/>
  <c r="S25" i="22"/>
  <c r="T25" i="22"/>
  <c r="U25" i="22"/>
  <c r="V25" i="22"/>
  <c r="W25" i="22"/>
  <c r="X25" i="22"/>
  <c r="AT23" i="41" s="1"/>
  <c r="P26" i="22"/>
  <c r="Q26" i="22"/>
  <c r="R26" i="22"/>
  <c r="S26" i="22"/>
  <c r="T26" i="22"/>
  <c r="U26" i="22"/>
  <c r="V26" i="22"/>
  <c r="W26" i="22"/>
  <c r="X26" i="22"/>
  <c r="AT24" i="41" s="1"/>
  <c r="P27" i="22"/>
  <c r="Y27" i="22" s="1"/>
  <c r="Q27" i="22"/>
  <c r="Z27" i="22" s="1"/>
  <c r="R27" i="22"/>
  <c r="AA27" i="22" s="1"/>
  <c r="S27" i="22"/>
  <c r="AB27" i="22" s="1"/>
  <c r="T27" i="22"/>
  <c r="AC27" i="22" s="1"/>
  <c r="U27" i="22"/>
  <c r="AD27" i="22" s="1"/>
  <c r="V27" i="22"/>
  <c r="AE27" i="22" s="1"/>
  <c r="W27" i="22"/>
  <c r="X27" i="22"/>
  <c r="AT25" i="41" s="1"/>
  <c r="P28" i="22"/>
  <c r="Y28" i="22" s="1"/>
  <c r="Q28" i="22"/>
  <c r="R28" i="22"/>
  <c r="S28" i="22"/>
  <c r="T28" i="22"/>
  <c r="U28" i="22"/>
  <c r="V28" i="22"/>
  <c r="W28" i="22"/>
  <c r="X28" i="22"/>
  <c r="AT26" i="41" s="1"/>
  <c r="P29" i="22"/>
  <c r="Y29" i="22" s="1"/>
  <c r="Q29" i="22"/>
  <c r="Z29" i="22" s="1"/>
  <c r="R29" i="22"/>
  <c r="AA29" i="22" s="1"/>
  <c r="S29" i="22"/>
  <c r="AB29" i="22" s="1"/>
  <c r="T29" i="22"/>
  <c r="AC29" i="22" s="1"/>
  <c r="U29" i="22"/>
  <c r="V29" i="22"/>
  <c r="W29" i="22"/>
  <c r="X29" i="22"/>
  <c r="AT27" i="41" s="1"/>
  <c r="P31" i="22"/>
  <c r="Q31" i="22"/>
  <c r="R31" i="22"/>
  <c r="S31" i="22"/>
  <c r="T31" i="22"/>
  <c r="U31" i="22"/>
  <c r="V31" i="22"/>
  <c r="W31" i="22"/>
  <c r="X31" i="22"/>
  <c r="AT29" i="41" s="1"/>
  <c r="P32" i="22"/>
  <c r="Q32" i="22"/>
  <c r="R32" i="22"/>
  <c r="S32" i="22"/>
  <c r="T32" i="22"/>
  <c r="U32" i="22"/>
  <c r="V32" i="22"/>
  <c r="W32" i="22"/>
  <c r="X32" i="22"/>
  <c r="AT30" i="41" s="1"/>
  <c r="P33" i="22"/>
  <c r="Y33" i="22" s="1"/>
  <c r="Q33" i="22"/>
  <c r="Z33" i="22" s="1"/>
  <c r="R33" i="22"/>
  <c r="AA33" i="22" s="1"/>
  <c r="S33" i="22"/>
  <c r="AB33" i="22" s="1"/>
  <c r="T33" i="22"/>
  <c r="AC33" i="22" s="1"/>
  <c r="U33" i="22"/>
  <c r="AD33" i="22" s="1"/>
  <c r="V33" i="22"/>
  <c r="W33" i="22"/>
  <c r="X33" i="22"/>
  <c r="AT31" i="41" s="1"/>
  <c r="P34" i="22"/>
  <c r="Y34" i="22" s="1"/>
  <c r="Q34" i="22"/>
  <c r="R34" i="22"/>
  <c r="S34" i="22"/>
  <c r="T34" i="22"/>
  <c r="U34" i="22"/>
  <c r="V34" i="22"/>
  <c r="W34" i="22"/>
  <c r="X34" i="22"/>
  <c r="AT32" i="41" s="1"/>
  <c r="P35" i="22"/>
  <c r="Y35" i="22" s="1"/>
  <c r="Q35" i="22"/>
  <c r="Z35" i="22" s="1"/>
  <c r="R35" i="22"/>
  <c r="AA35" i="22" s="1"/>
  <c r="S35" i="22"/>
  <c r="AB35" i="22" s="1"/>
  <c r="T35" i="22"/>
  <c r="AC35" i="22" s="1"/>
  <c r="U35" i="22"/>
  <c r="AD35" i="22" s="1"/>
  <c r="V35" i="22"/>
  <c r="AE35" i="22" s="1"/>
  <c r="W35" i="22"/>
  <c r="X35" i="22"/>
  <c r="AT33" i="41" s="1"/>
  <c r="P36" i="22"/>
  <c r="Y36" i="22" s="1"/>
  <c r="Q36" i="22"/>
  <c r="Z36" i="22" s="1"/>
  <c r="R36" i="22"/>
  <c r="AA36" i="22" s="1"/>
  <c r="S36" i="22"/>
  <c r="AB36" i="22" s="1"/>
  <c r="T36" i="22"/>
  <c r="U36" i="22"/>
  <c r="V36" i="22"/>
  <c r="W36" i="22"/>
  <c r="X36" i="22"/>
  <c r="AT34" i="41" s="1"/>
  <c r="P37" i="22"/>
  <c r="Y37" i="22" s="1"/>
  <c r="Q37" i="22"/>
  <c r="Z37" i="22" s="1"/>
  <c r="R37" i="22"/>
  <c r="AA37" i="22" s="1"/>
  <c r="S37" i="22"/>
  <c r="AB37" i="22" s="1"/>
  <c r="T37" i="22"/>
  <c r="U37" i="22"/>
  <c r="V37" i="22"/>
  <c r="W37" i="22"/>
  <c r="X37" i="22"/>
  <c r="AT35" i="41" s="1"/>
  <c r="P39" i="22"/>
  <c r="Q39" i="22"/>
  <c r="R39" i="22"/>
  <c r="S39" i="22"/>
  <c r="T39" i="22"/>
  <c r="U39" i="22"/>
  <c r="V39" i="22"/>
  <c r="W39" i="22"/>
  <c r="X39" i="22"/>
  <c r="AT37" i="41" s="1"/>
  <c r="P41" i="22"/>
  <c r="Y41" i="22" s="1"/>
  <c r="Q41" i="22"/>
  <c r="Z41" i="22" s="1"/>
  <c r="R41" i="22"/>
  <c r="AA41" i="22" s="1"/>
  <c r="S41" i="22"/>
  <c r="AB41" i="22" s="1"/>
  <c r="T41" i="22"/>
  <c r="AC41" i="22" s="1"/>
  <c r="U41" i="22"/>
  <c r="AD41" i="22" s="1"/>
  <c r="V41" i="22"/>
  <c r="AE41" i="22" s="1"/>
  <c r="W41" i="22"/>
  <c r="X41" i="22"/>
  <c r="AT39" i="41" s="1"/>
  <c r="P42" i="22"/>
  <c r="Y42" i="22" s="1"/>
  <c r="Q42" i="22"/>
  <c r="Z42" i="22" s="1"/>
  <c r="R42" i="22"/>
  <c r="AA42" i="22" s="1"/>
  <c r="S42" i="22"/>
  <c r="AB42" i="22" s="1"/>
  <c r="T42" i="22"/>
  <c r="AC42" i="22" s="1"/>
  <c r="U42" i="22"/>
  <c r="AD42" i="22" s="1"/>
  <c r="V42" i="22"/>
  <c r="AE42" i="22" s="1"/>
  <c r="W42" i="22"/>
  <c r="AF42" i="22" s="1"/>
  <c r="X42" i="22"/>
  <c r="AT40" i="41" s="1"/>
  <c r="P43" i="22"/>
  <c r="Q43" i="22"/>
  <c r="R43" i="22"/>
  <c r="S43" i="22"/>
  <c r="T43" i="22"/>
  <c r="U43" i="22"/>
  <c r="V43" i="22"/>
  <c r="W43" i="22"/>
  <c r="X43" i="22"/>
  <c r="AT41" i="41" s="1"/>
  <c r="P44" i="22"/>
  <c r="Q44" i="22"/>
  <c r="R44" i="22"/>
  <c r="S44" i="22"/>
  <c r="T44" i="22"/>
  <c r="U44" i="22"/>
  <c r="V44" i="22"/>
  <c r="W44" i="22"/>
  <c r="X44" i="22"/>
  <c r="AT42" i="41" s="1"/>
  <c r="P45" i="22"/>
  <c r="Y45" i="22" s="1"/>
  <c r="Q45" i="22"/>
  <c r="Z45" i="22" s="1"/>
  <c r="R45" i="22"/>
  <c r="AA45" i="22" s="1"/>
  <c r="S45" i="22"/>
  <c r="AB45" i="22" s="1"/>
  <c r="T45" i="22"/>
  <c r="U45" i="22"/>
  <c r="V45" i="22"/>
  <c r="W45" i="22"/>
  <c r="X45" i="22"/>
  <c r="AT43" i="41" s="1"/>
  <c r="P46" i="22"/>
  <c r="Q46" i="22"/>
  <c r="R46" i="22"/>
  <c r="S46" i="22"/>
  <c r="T46" i="22"/>
  <c r="U46" i="22"/>
  <c r="V46" i="22"/>
  <c r="W46" i="22"/>
  <c r="X46" i="22"/>
  <c r="AT44" i="41" s="1"/>
  <c r="P16" i="22"/>
  <c r="Q16" i="22"/>
  <c r="R16" i="22"/>
  <c r="S16" i="22"/>
  <c r="T16" i="22"/>
  <c r="U16" i="22"/>
  <c r="V16" i="22"/>
  <c r="W16" i="22"/>
  <c r="X16" i="22"/>
  <c r="AT14" i="41" s="1"/>
  <c r="P17" i="22"/>
  <c r="Q17" i="22"/>
  <c r="R17" i="22"/>
  <c r="S17" i="22"/>
  <c r="T17" i="22"/>
  <c r="U17" i="22"/>
  <c r="V17" i="22"/>
  <c r="W17" i="22"/>
  <c r="X17" i="22"/>
  <c r="AT15" i="41" s="1"/>
  <c r="P18" i="22"/>
  <c r="Y18" i="22" s="1"/>
  <c r="Q18" i="22"/>
  <c r="R18" i="22"/>
  <c r="S18" i="22"/>
  <c r="T18" i="22"/>
  <c r="U18" i="22"/>
  <c r="V18" i="22"/>
  <c r="W18" i="22"/>
  <c r="X18" i="22"/>
  <c r="AT16" i="41" s="1"/>
  <c r="P19" i="22"/>
  <c r="Q19" i="22"/>
  <c r="R19" i="22"/>
  <c r="S19" i="22"/>
  <c r="T19" i="22"/>
  <c r="U19" i="22"/>
  <c r="V19" i="22"/>
  <c r="W19" i="22"/>
  <c r="X19" i="22"/>
  <c r="AT17" i="41" s="1"/>
  <c r="P13" i="22"/>
  <c r="Q13" i="22"/>
  <c r="R13" i="22"/>
  <c r="S13" i="22"/>
  <c r="T13" i="22"/>
  <c r="U13" i="22"/>
  <c r="V13" i="22"/>
  <c r="W13" i="22"/>
  <c r="X13" i="22"/>
  <c r="AT11" i="41" s="1"/>
  <c r="P14" i="22"/>
  <c r="Y14" i="22" s="1"/>
  <c r="Q14" i="22"/>
  <c r="Z14" i="22" s="1"/>
  <c r="R14" i="22"/>
  <c r="AA14" i="22" s="1"/>
  <c r="S14" i="22"/>
  <c r="AB14" i="22" s="1"/>
  <c r="T14" i="22"/>
  <c r="AC14" i="22" s="1"/>
  <c r="U14" i="22"/>
  <c r="AD14" i="22" s="1"/>
  <c r="V14" i="22"/>
  <c r="AE14" i="22" s="1"/>
  <c r="W14" i="22"/>
  <c r="X14" i="22"/>
  <c r="AT12" i="41" s="1"/>
  <c r="P15" i="22"/>
  <c r="Y15" i="22" s="1"/>
  <c r="Q15" i="22"/>
  <c r="Z15" i="22" s="1"/>
  <c r="R15" i="22"/>
  <c r="AA15" i="22" s="1"/>
  <c r="S15" i="22"/>
  <c r="AB15" i="22" s="1"/>
  <c r="T15" i="22"/>
  <c r="AC15" i="22" s="1"/>
  <c r="U15" i="22"/>
  <c r="AD15" i="22" s="1"/>
  <c r="V15" i="22"/>
  <c r="AE15" i="22" s="1"/>
  <c r="W15" i="22"/>
  <c r="X15" i="22"/>
  <c r="AT13" i="41" s="1"/>
  <c r="P5" i="22"/>
  <c r="Q5" i="22"/>
  <c r="R5" i="22"/>
  <c r="S5" i="22"/>
  <c r="T5" i="22"/>
  <c r="U5" i="22"/>
  <c r="V5" i="22"/>
  <c r="W5" i="22"/>
  <c r="X5" i="22"/>
  <c r="AT3" i="41" s="1"/>
  <c r="P6" i="22"/>
  <c r="Q6" i="22"/>
  <c r="R6" i="22"/>
  <c r="S6" i="22"/>
  <c r="T6" i="22"/>
  <c r="U6" i="22"/>
  <c r="V6" i="22"/>
  <c r="W6" i="22"/>
  <c r="X6" i="22"/>
  <c r="AT4" i="41" s="1"/>
  <c r="P7" i="22"/>
  <c r="Q7" i="22"/>
  <c r="R7" i="22"/>
  <c r="S7" i="22"/>
  <c r="T7" i="22"/>
  <c r="U7" i="22"/>
  <c r="V7" i="22"/>
  <c r="W7" i="22"/>
  <c r="X7" i="22"/>
  <c r="AT5" i="41" s="1"/>
  <c r="P8" i="22"/>
  <c r="Y8" i="22" s="1"/>
  <c r="Q8" i="22"/>
  <c r="Z8" i="22" s="1"/>
  <c r="R8" i="22"/>
  <c r="S8" i="22"/>
  <c r="T8" i="22"/>
  <c r="U8" i="22"/>
  <c r="V8" i="22"/>
  <c r="W8" i="22"/>
  <c r="X8" i="22"/>
  <c r="AT6" i="41" s="1"/>
  <c r="P9" i="22"/>
  <c r="Q9" i="22"/>
  <c r="R9" i="22"/>
  <c r="S9" i="22"/>
  <c r="T9" i="22"/>
  <c r="U9" i="22"/>
  <c r="V9" i="22"/>
  <c r="W9" i="22"/>
  <c r="X9" i="22"/>
  <c r="AT7" i="41" s="1"/>
  <c r="P10" i="22"/>
  <c r="Q10" i="22"/>
  <c r="R10" i="22"/>
  <c r="S10" i="22"/>
  <c r="T10" i="22"/>
  <c r="U10" i="22"/>
  <c r="V10" i="22"/>
  <c r="W10" i="22"/>
  <c r="X10" i="22"/>
  <c r="AT8" i="41" s="1"/>
  <c r="P11" i="22"/>
  <c r="Q11" i="22"/>
  <c r="R11" i="22"/>
  <c r="S11" i="22"/>
  <c r="T11" i="22"/>
  <c r="U11" i="22"/>
  <c r="V11" i="22"/>
  <c r="W11" i="22"/>
  <c r="X11" i="22"/>
  <c r="AT9" i="41" s="1"/>
  <c r="P12" i="22"/>
  <c r="Q12" i="22"/>
  <c r="R12" i="22"/>
  <c r="S12" i="22"/>
  <c r="T12" i="22"/>
  <c r="U12" i="22"/>
  <c r="V12" i="22"/>
  <c r="W12" i="22"/>
  <c r="X12" i="22"/>
  <c r="AT10" i="41" s="1"/>
  <c r="W80" i="21"/>
  <c r="W14" i="21"/>
  <c r="X3" i="21" s="1"/>
  <c r="X4" i="21" s="1"/>
  <c r="AL5" i="21" l="1"/>
  <c r="G2" i="43"/>
  <c r="G3" i="43"/>
  <c r="G11" i="43" s="1"/>
  <c r="G50" i="43"/>
  <c r="G26" i="43"/>
  <c r="G48" i="43"/>
  <c r="G25" i="43"/>
  <c r="G49" i="43"/>
  <c r="G47" i="43"/>
  <c r="G46" i="43"/>
  <c r="G62" i="43"/>
  <c r="G61" i="43"/>
  <c r="G50" i="45"/>
  <c r="G49" i="45"/>
  <c r="G46" i="45"/>
  <c r="G54" i="45" s="1"/>
  <c r="G47" i="45"/>
  <c r="G73" i="45"/>
  <c r="G70" i="45"/>
  <c r="G74" i="45"/>
  <c r="G72" i="45" s="1"/>
  <c r="G71" i="45"/>
  <c r="G29" i="45"/>
  <c r="G28" i="45"/>
  <c r="G31" i="45"/>
  <c r="G32" i="45"/>
  <c r="G27" i="45"/>
  <c r="G30" i="43"/>
  <c r="G6" i="43"/>
  <c r="G7" i="43"/>
  <c r="G14" i="43"/>
  <c r="G12" i="43"/>
  <c r="G13" i="43"/>
  <c r="G8" i="43"/>
  <c r="AG44" i="22"/>
  <c r="AU42" i="41" s="1"/>
  <c r="AG43" i="22"/>
  <c r="AU41" i="41" s="1"/>
  <c r="AG46" i="22"/>
  <c r="AU44" i="41" s="1"/>
  <c r="AG42" i="22"/>
  <c r="AU40" i="41" s="1"/>
  <c r="AG45" i="22"/>
  <c r="AU43" i="41" s="1"/>
  <c r="Z5" i="21"/>
  <c r="X6" i="21" l="1"/>
  <c r="X8" i="21"/>
  <c r="AJ6" i="21"/>
  <c r="X7" i="21"/>
  <c r="AJ7" i="21"/>
  <c r="X5" i="21"/>
  <c r="AJ8" i="21"/>
  <c r="AJ4" i="21"/>
  <c r="X9" i="21"/>
  <c r="AJ5" i="21"/>
  <c r="AJ9" i="21"/>
  <c r="G9" i="43"/>
  <c r="G29" i="43"/>
  <c r="G10" i="43"/>
  <c r="G20" i="43" s="1"/>
  <c r="AK9" i="21"/>
  <c r="AK8" i="21"/>
  <c r="AK7" i="21"/>
  <c r="AK6" i="21"/>
  <c r="AK5" i="21"/>
  <c r="AK4" i="21"/>
  <c r="G54" i="43"/>
  <c r="G57" i="43"/>
  <c r="G55" i="43" s="1"/>
  <c r="G56" i="43"/>
  <c r="H45" i="43" s="1"/>
  <c r="G31" i="43"/>
  <c r="G28" i="43"/>
  <c r="G27" i="43"/>
  <c r="G32" i="43"/>
  <c r="G53" i="43"/>
  <c r="G63" i="43"/>
  <c r="G66" i="43"/>
  <c r="G65" i="43"/>
  <c r="G67" i="43"/>
  <c r="G64" i="43"/>
  <c r="G53" i="45"/>
  <c r="G56" i="45"/>
  <c r="G57" i="45"/>
  <c r="G55" i="45" s="1"/>
  <c r="Y7" i="21"/>
  <c r="Y4" i="21"/>
  <c r="Y8" i="21"/>
  <c r="Y5" i="21"/>
  <c r="Y9" i="21"/>
  <c r="Y6" i="21"/>
  <c r="H62" i="45"/>
  <c r="H61" i="45"/>
  <c r="G40" i="45"/>
  <c r="G38" i="45" s="1"/>
  <c r="G37" i="45"/>
  <c r="G39" i="45"/>
  <c r="G36" i="45"/>
  <c r="G18" i="43" l="1"/>
  <c r="G21" i="43"/>
  <c r="G19" i="43" s="1"/>
  <c r="G17" i="43"/>
  <c r="G40" i="43"/>
  <c r="G38" i="43" s="1"/>
  <c r="H44" i="43"/>
  <c r="G36" i="43"/>
  <c r="G37" i="43"/>
  <c r="G39" i="43"/>
  <c r="H26" i="43" s="1"/>
  <c r="G71" i="43"/>
  <c r="G70" i="43"/>
  <c r="G73" i="43"/>
  <c r="G74" i="43"/>
  <c r="G72" i="43" s="1"/>
  <c r="H48" i="43"/>
  <c r="H44" i="45"/>
  <c r="H45" i="45"/>
  <c r="H64" i="45"/>
  <c r="H66" i="45"/>
  <c r="H67" i="45"/>
  <c r="H63" i="45"/>
  <c r="H65" i="45"/>
  <c r="H26" i="45"/>
  <c r="H25" i="45"/>
  <c r="H50" i="43"/>
  <c r="H49" i="43"/>
  <c r="H47" i="43"/>
  <c r="H25" i="43"/>
  <c r="H46" i="43"/>
  <c r="H3" i="43"/>
  <c r="H2" i="43"/>
  <c r="H62" i="43" l="1"/>
  <c r="H61" i="43"/>
  <c r="H47" i="45"/>
  <c r="H48" i="45"/>
  <c r="H31" i="43"/>
  <c r="H49" i="45"/>
  <c r="H46" i="45"/>
  <c r="H57" i="45" s="1"/>
  <c r="H55" i="45" s="1"/>
  <c r="H50" i="45"/>
  <c r="H27" i="45"/>
  <c r="H32" i="45"/>
  <c r="H31" i="45"/>
  <c r="H29" i="45"/>
  <c r="H28" i="45"/>
  <c r="H71" i="45"/>
  <c r="H74" i="45"/>
  <c r="H72" i="45" s="1"/>
  <c r="H73" i="45"/>
  <c r="H70" i="45"/>
  <c r="H30" i="43"/>
  <c r="H28" i="43"/>
  <c r="H29" i="43"/>
  <c r="H32" i="43"/>
  <c r="H8" i="43"/>
  <c r="H12" i="43"/>
  <c r="H11" i="43"/>
  <c r="H13" i="43"/>
  <c r="H7" i="43"/>
  <c r="H10" i="43"/>
  <c r="H14" i="43"/>
  <c r="H9" i="43"/>
  <c r="H6" i="43"/>
  <c r="H56" i="43"/>
  <c r="H53" i="43"/>
  <c r="H57" i="43"/>
  <c r="H55" i="43" s="1"/>
  <c r="H54" i="43"/>
  <c r="H27" i="43"/>
  <c r="H67" i="43" l="1"/>
  <c r="H66" i="43"/>
  <c r="H64" i="43"/>
  <c r="H65" i="43"/>
  <c r="H63" i="43"/>
  <c r="H53" i="45"/>
  <c r="H56" i="45"/>
  <c r="I44" i="45" s="1"/>
  <c r="I48" i="45" s="1"/>
  <c r="H54" i="45"/>
  <c r="I62" i="45"/>
  <c r="I61" i="45"/>
  <c r="H37" i="45"/>
  <c r="H39" i="45"/>
  <c r="H36" i="45"/>
  <c r="H40" i="45"/>
  <c r="H38" i="45" s="1"/>
  <c r="H37" i="43"/>
  <c r="H39" i="43"/>
  <c r="H36" i="43"/>
  <c r="H40" i="43"/>
  <c r="H38" i="43" s="1"/>
  <c r="I45" i="43"/>
  <c r="I44" i="43"/>
  <c r="H21" i="43"/>
  <c r="H19" i="43" s="1"/>
  <c r="H18" i="43"/>
  <c r="H17" i="43"/>
  <c r="H20" i="43"/>
  <c r="H73" i="43" l="1"/>
  <c r="H71" i="43"/>
  <c r="H74" i="43"/>
  <c r="H72" i="43" s="1"/>
  <c r="H70" i="43"/>
  <c r="I48" i="43"/>
  <c r="I45" i="45"/>
  <c r="I26" i="45"/>
  <c r="I25" i="45"/>
  <c r="I47" i="45"/>
  <c r="I49" i="45"/>
  <c r="I46" i="45"/>
  <c r="I50" i="45"/>
  <c r="I63" i="45"/>
  <c r="I67" i="45"/>
  <c r="I66" i="45"/>
  <c r="I65" i="45"/>
  <c r="I64" i="45"/>
  <c r="I47" i="43"/>
  <c r="I49" i="43"/>
  <c r="I50" i="43"/>
  <c r="I3" i="43"/>
  <c r="I2" i="43"/>
  <c r="I46" i="43"/>
  <c r="I26" i="43"/>
  <c r="I25" i="43"/>
  <c r="I62" i="43" l="1"/>
  <c r="I61" i="43"/>
  <c r="I31" i="43"/>
  <c r="I74" i="45"/>
  <c r="I72" i="45" s="1"/>
  <c r="I73" i="45"/>
  <c r="I71" i="45"/>
  <c r="I70" i="45"/>
  <c r="I29" i="45"/>
  <c r="I32" i="45"/>
  <c r="I28" i="45"/>
  <c r="I27" i="45"/>
  <c r="I31" i="45"/>
  <c r="I54" i="45"/>
  <c r="I57" i="45"/>
  <c r="I55" i="45" s="1"/>
  <c r="I56" i="45"/>
  <c r="I53" i="45"/>
  <c r="I32" i="43"/>
  <c r="I29" i="43"/>
  <c r="I28" i="43"/>
  <c r="I30" i="43"/>
  <c r="I14" i="43"/>
  <c r="I9" i="43"/>
  <c r="I11" i="43"/>
  <c r="I8" i="43"/>
  <c r="I13" i="43"/>
  <c r="I10" i="43"/>
  <c r="I6" i="43"/>
  <c r="I12" i="43"/>
  <c r="I7" i="43"/>
  <c r="I27" i="43"/>
  <c r="I57" i="43"/>
  <c r="I53" i="43"/>
  <c r="I54" i="43"/>
  <c r="I56" i="43"/>
  <c r="I55" i="43" l="1"/>
  <c r="AI23" i="41"/>
  <c r="AI20" i="41"/>
  <c r="AI21" i="41"/>
  <c r="AI22" i="41"/>
  <c r="AC20" i="41"/>
  <c r="AC22" i="41"/>
  <c r="AC21" i="41"/>
  <c r="AC23" i="41"/>
  <c r="AC19" i="41"/>
  <c r="AF19" i="41" s="1"/>
  <c r="AL19" i="41" s="1"/>
  <c r="AO19" i="41" s="1"/>
  <c r="I65" i="43"/>
  <c r="I64" i="43"/>
  <c r="I66" i="43"/>
  <c r="I67" i="43"/>
  <c r="I63" i="43"/>
  <c r="I39" i="45"/>
  <c r="I36" i="45"/>
  <c r="I40" i="45"/>
  <c r="I37" i="45"/>
  <c r="I39" i="43"/>
  <c r="I36" i="43"/>
  <c r="I40" i="43"/>
  <c r="I37" i="43"/>
  <c r="I18" i="43"/>
  <c r="I20" i="43"/>
  <c r="I17" i="43"/>
  <c r="I21" i="43"/>
  <c r="I38" i="43" l="1"/>
  <c r="AI16" i="41"/>
  <c r="AI12" i="41"/>
  <c r="AI13" i="41"/>
  <c r="AI15" i="41"/>
  <c r="AI18" i="41"/>
  <c r="AI14" i="41"/>
  <c r="AI17" i="41"/>
  <c r="I19" i="43"/>
  <c r="AI9" i="41"/>
  <c r="AI5" i="41"/>
  <c r="AI10" i="41"/>
  <c r="AI2" i="41"/>
  <c r="AI8" i="41"/>
  <c r="AI4" i="41"/>
  <c r="AI6" i="41"/>
  <c r="AI11" i="41"/>
  <c r="AI7" i="41"/>
  <c r="AI3" i="41"/>
  <c r="E113" i="21"/>
  <c r="AF23" i="41"/>
  <c r="AL23" i="41" s="1"/>
  <c r="AO23" i="41" s="1"/>
  <c r="E111" i="21"/>
  <c r="AF21" i="41"/>
  <c r="AL21" i="41" s="1"/>
  <c r="AO21" i="41" s="1"/>
  <c r="E112" i="21"/>
  <c r="AF22" i="41"/>
  <c r="AL22" i="41" s="1"/>
  <c r="AO22" i="41" s="1"/>
  <c r="E109" i="21"/>
  <c r="E110" i="21"/>
  <c r="AF20" i="41"/>
  <c r="AL20" i="41" s="1"/>
  <c r="AO20" i="41" s="1"/>
  <c r="AC18" i="41"/>
  <c r="E108" i="21" s="1"/>
  <c r="AC14" i="41"/>
  <c r="AC17" i="41"/>
  <c r="AC13" i="41"/>
  <c r="AC16" i="41"/>
  <c r="AC12" i="41"/>
  <c r="AC15" i="41"/>
  <c r="E105" i="21" s="1"/>
  <c r="AC9" i="41"/>
  <c r="AC5" i="41"/>
  <c r="AC10" i="41"/>
  <c r="AC8" i="41"/>
  <c r="AC4" i="41"/>
  <c r="AC6" i="41"/>
  <c r="AC11" i="41"/>
  <c r="E101" i="21" s="1"/>
  <c r="AC7" i="41"/>
  <c r="AC3" i="41"/>
  <c r="AC2" i="41"/>
  <c r="I70" i="43"/>
  <c r="I74" i="43"/>
  <c r="I73" i="43"/>
  <c r="I71" i="43"/>
  <c r="I38" i="45"/>
  <c r="I72" i="43" l="1"/>
  <c r="AI28" i="41"/>
  <c r="AI25" i="41"/>
  <c r="AI24" i="41"/>
  <c r="AI26" i="41"/>
  <c r="AI27" i="41"/>
  <c r="E107" i="21"/>
  <c r="AF17" i="41"/>
  <c r="AL17" i="41" s="1"/>
  <c r="AO17" i="41" s="1"/>
  <c r="E98" i="21"/>
  <c r="AF8" i="41"/>
  <c r="AL8" i="41" s="1"/>
  <c r="AO8" i="41" s="1"/>
  <c r="E100" i="21"/>
  <c r="AF10" i="41"/>
  <c r="AL10" i="41" s="1"/>
  <c r="AO10" i="41" s="1"/>
  <c r="E102" i="21"/>
  <c r="AF12" i="41"/>
  <c r="AL12" i="41" s="1"/>
  <c r="AO12" i="41" s="1"/>
  <c r="E104" i="21"/>
  <c r="AF14" i="41"/>
  <c r="AL14" i="41" s="1"/>
  <c r="AO14" i="41" s="1"/>
  <c r="E97" i="21"/>
  <c r="AF7" i="41"/>
  <c r="AL7" i="41" s="1"/>
  <c r="AO7" i="41" s="1"/>
  <c r="E96" i="21"/>
  <c r="AF6" i="41"/>
  <c r="AL6" i="41" s="1"/>
  <c r="AO6" i="41" s="1"/>
  <c r="E95" i="21"/>
  <c r="AF5" i="41"/>
  <c r="AL5" i="41" s="1"/>
  <c r="AO5" i="41" s="1"/>
  <c r="E106" i="21"/>
  <c r="AF16" i="41"/>
  <c r="AL16" i="41" s="1"/>
  <c r="AO16" i="41" s="1"/>
  <c r="E93" i="21"/>
  <c r="AF3" i="41"/>
  <c r="AL3" i="41" s="1"/>
  <c r="AO3" i="41" s="1"/>
  <c r="E94" i="21"/>
  <c r="AF4" i="41"/>
  <c r="AL4" i="41" s="1"/>
  <c r="AO4" i="41" s="1"/>
  <c r="E99" i="21"/>
  <c r="AF9" i="41"/>
  <c r="AL9" i="41" s="1"/>
  <c r="AO9" i="41" s="1"/>
  <c r="E103" i="21"/>
  <c r="AF13" i="41"/>
  <c r="AL13" i="41" s="1"/>
  <c r="AO13" i="41" s="1"/>
  <c r="AC28" i="41"/>
  <c r="AC25" i="41"/>
  <c r="AC24" i="41"/>
  <c r="AC26" i="41"/>
  <c r="AC27" i="41"/>
  <c r="E115" i="21" l="1"/>
  <c r="AF25" i="41"/>
  <c r="AL25" i="41" s="1"/>
  <c r="AO25" i="41" s="1"/>
  <c r="E117" i="21"/>
  <c r="AF27" i="41"/>
  <c r="AL27" i="41" s="1"/>
  <c r="AO27" i="41" s="1"/>
  <c r="E118" i="21"/>
  <c r="AF28" i="41"/>
  <c r="AL28" i="41" s="1"/>
  <c r="AO28" i="41" s="1"/>
  <c r="E116" i="21"/>
  <c r="AF26" i="41"/>
  <c r="AL26" i="41" s="1"/>
  <c r="AO26" i="41" s="1"/>
  <c r="E114" i="21"/>
  <c r="AF24" i="41"/>
  <c r="AL24" i="41" s="1"/>
  <c r="AO24" i="41" s="1"/>
  <c r="W131" i="21" l="1"/>
  <c r="W124" i="21" s="1"/>
  <c r="W117" i="21"/>
  <c r="W81" i="21"/>
  <c r="W82" i="21"/>
  <c r="W83" i="21"/>
  <c r="V84" i="21"/>
  <c r="W84" i="21"/>
  <c r="V85" i="21"/>
  <c r="W85" i="21"/>
  <c r="V86" i="21"/>
  <c r="W86" i="21"/>
  <c r="V87" i="21"/>
  <c r="W87" i="21"/>
  <c r="V88" i="21"/>
  <c r="W88" i="21"/>
  <c r="W93" i="21"/>
  <c r="X93" i="21" s="1"/>
  <c r="W35" i="21"/>
  <c r="Z27" i="21" s="1"/>
  <c r="W67" i="21"/>
  <c r="Z58" i="21" s="1"/>
  <c r="Y59" i="21" s="1"/>
  <c r="X25" i="21" l="1"/>
  <c r="X56" i="21"/>
  <c r="X59" i="21" s="1"/>
  <c r="W112" i="21"/>
  <c r="W108" i="21"/>
  <c r="W109" i="21"/>
  <c r="W111" i="21"/>
  <c r="W107" i="21"/>
  <c r="W114" i="21"/>
  <c r="W110" i="21"/>
  <c r="W106" i="21"/>
  <c r="W113" i="21"/>
  <c r="AL27" i="21"/>
  <c r="AJ25" i="21"/>
  <c r="W128" i="21"/>
  <c r="W121" i="21"/>
  <c r="W123" i="21"/>
  <c r="W127" i="21"/>
  <c r="W126" i="21"/>
  <c r="W122" i="21"/>
  <c r="W129" i="21"/>
  <c r="W125" i="21"/>
  <c r="X27" i="21" l="1"/>
  <c r="X31" i="21"/>
  <c r="X28" i="21"/>
  <c r="X26" i="21"/>
  <c r="X29" i="21"/>
  <c r="X30" i="21"/>
  <c r="Y27" i="21"/>
  <c r="Y31" i="21"/>
  <c r="Y28" i="21"/>
  <c r="Y26" i="21"/>
  <c r="Y30" i="21"/>
  <c r="Y29" i="21"/>
  <c r="X80" i="21"/>
  <c r="X81" i="21"/>
  <c r="X4" i="22"/>
  <c r="AT2" i="41" s="1"/>
  <c r="AG4" i="22" l="1"/>
  <c r="AU2" i="41" s="1"/>
  <c r="X48" i="22"/>
  <c r="X50" i="22"/>
  <c r="AG38" i="22" s="1"/>
  <c r="AU36" i="41" s="1"/>
  <c r="X82" i="21"/>
  <c r="AR2" i="41" l="1"/>
  <c r="AR44" i="41"/>
  <c r="AR43" i="41"/>
  <c r="AR42" i="41"/>
  <c r="AR41" i="41"/>
  <c r="AR40" i="41"/>
  <c r="AR39" i="41"/>
  <c r="AR38" i="41"/>
  <c r="AR37" i="41"/>
  <c r="AR36" i="41"/>
  <c r="AR35" i="41"/>
  <c r="AR34" i="41"/>
  <c r="AR33" i="41"/>
  <c r="AR32" i="41"/>
  <c r="AR31" i="41"/>
  <c r="AR30" i="41"/>
  <c r="AR29" i="41"/>
  <c r="AR28" i="41"/>
  <c r="AR27" i="41"/>
  <c r="AR26" i="41"/>
  <c r="AR25" i="41"/>
  <c r="AR24" i="41"/>
  <c r="AR23" i="41"/>
  <c r="AR22" i="41"/>
  <c r="AR21" i="41"/>
  <c r="AR20" i="41"/>
  <c r="AR19" i="41"/>
  <c r="AR18" i="41"/>
  <c r="AR17" i="41"/>
  <c r="AR16" i="41"/>
  <c r="AR15" i="41"/>
  <c r="AR14" i="41"/>
  <c r="AR13" i="41"/>
  <c r="AR12" i="41"/>
  <c r="AR11" i="41"/>
  <c r="AR10" i="41"/>
  <c r="AR9" i="41"/>
  <c r="AR8" i="41"/>
  <c r="AR7" i="41"/>
  <c r="AR6" i="41"/>
  <c r="AR5" i="41"/>
  <c r="AR4" i="41"/>
  <c r="AR3" i="41"/>
  <c r="AG19" i="22"/>
  <c r="AU17" i="41" s="1"/>
  <c r="AS2" i="41"/>
  <c r="AS44" i="41"/>
  <c r="AS43" i="41"/>
  <c r="AS42" i="41"/>
  <c r="AS41" i="41"/>
  <c r="AS40" i="41"/>
  <c r="AS39" i="41"/>
  <c r="AS38" i="41"/>
  <c r="AS37" i="41"/>
  <c r="AS36" i="41"/>
  <c r="AS35" i="41"/>
  <c r="AS34" i="41"/>
  <c r="AS33" i="41"/>
  <c r="AS32" i="41"/>
  <c r="AS31" i="41"/>
  <c r="AS30" i="41"/>
  <c r="AS29" i="41"/>
  <c r="AS28" i="41"/>
  <c r="AS27" i="41"/>
  <c r="AS26" i="41"/>
  <c r="AS25" i="41"/>
  <c r="AS24" i="41"/>
  <c r="AS23" i="41"/>
  <c r="AS22" i="41"/>
  <c r="AS21" i="41"/>
  <c r="AS20" i="41"/>
  <c r="AS19" i="41"/>
  <c r="AS18" i="41"/>
  <c r="AS17" i="41"/>
  <c r="AS16" i="41"/>
  <c r="AS15" i="41"/>
  <c r="AS14" i="41"/>
  <c r="AS13" i="41"/>
  <c r="AS12" i="41"/>
  <c r="AS11" i="41"/>
  <c r="AS10" i="41"/>
  <c r="AS9" i="41"/>
  <c r="AS8" i="41"/>
  <c r="AS7" i="41"/>
  <c r="AS6" i="41"/>
  <c r="AS5" i="41"/>
  <c r="AS4" i="41"/>
  <c r="AS3" i="41"/>
  <c r="AG30" i="22"/>
  <c r="AU28" i="41" s="1"/>
  <c r="AG35" i="22"/>
  <c r="AU33" i="41" s="1"/>
  <c r="AG5" i="22"/>
  <c r="AU3" i="41" s="1"/>
  <c r="AG37" i="22"/>
  <c r="AU35" i="41" s="1"/>
  <c r="AG15" i="22"/>
  <c r="AU13" i="41" s="1"/>
  <c r="AG14" i="22"/>
  <c r="AU12" i="41" s="1"/>
  <c r="AG10" i="22"/>
  <c r="AU8" i="41" s="1"/>
  <c r="AG28" i="22"/>
  <c r="AU26" i="41" s="1"/>
  <c r="AG32" i="22"/>
  <c r="AU30" i="41" s="1"/>
  <c r="AG24" i="22"/>
  <c r="AU22" i="41" s="1"/>
  <c r="AG27" i="22"/>
  <c r="AU25" i="41" s="1"/>
  <c r="AG41" i="22"/>
  <c r="AU39" i="41" s="1"/>
  <c r="AG13" i="22"/>
  <c r="AU11" i="41" s="1"/>
  <c r="AG8" i="22"/>
  <c r="AU6" i="41" s="1"/>
  <c r="AG18" i="22"/>
  <c r="AU16" i="41" s="1"/>
  <c r="AG12" i="22"/>
  <c r="AU10" i="41" s="1"/>
  <c r="AG33" i="22"/>
  <c r="AU31" i="41" s="1"/>
  <c r="AG11" i="22"/>
  <c r="AU9" i="41" s="1"/>
  <c r="AG17" i="22"/>
  <c r="AU15" i="41" s="1"/>
  <c r="AG31" i="22"/>
  <c r="AU29" i="41" s="1"/>
  <c r="AG16" i="22"/>
  <c r="AU14" i="41" s="1"/>
  <c r="AG39" i="22"/>
  <c r="AU37" i="41" s="1"/>
  <c r="AG29" i="22"/>
  <c r="AU27" i="41" s="1"/>
  <c r="AG7" i="22"/>
  <c r="AU5" i="41" s="1"/>
  <c r="AG26" i="22"/>
  <c r="AU24" i="41" s="1"/>
  <c r="AG22" i="22"/>
  <c r="AU20" i="41" s="1"/>
  <c r="AG6" i="22"/>
  <c r="AU4" i="41" s="1"/>
  <c r="AG34" i="22"/>
  <c r="AU32" i="41" s="1"/>
  <c r="AG25" i="22"/>
  <c r="AU23" i="41" s="1"/>
  <c r="AG21" i="22"/>
  <c r="AU19" i="41" s="1"/>
  <c r="AG9" i="22"/>
  <c r="AU7" i="41" s="1"/>
  <c r="AG36" i="22"/>
  <c r="AU34" i="41" s="1"/>
  <c r="AG23" i="22"/>
  <c r="AU21" i="41" s="1"/>
  <c r="X83" i="21"/>
  <c r="Y89" i="21" l="1"/>
  <c r="X84" i="21"/>
  <c r="X85" i="21" l="1"/>
  <c r="X86" i="21" l="1"/>
  <c r="X87" i="21" l="1"/>
  <c r="X88" i="21" l="1"/>
  <c r="W4" i="22" l="1"/>
  <c r="C17" i="41" l="1"/>
  <c r="E5" i="45" l="1"/>
  <c r="F5" i="44"/>
  <c r="E5" i="44"/>
  <c r="D5" i="45"/>
  <c r="D92" i="21"/>
  <c r="C92" i="21"/>
  <c r="AJ28" i="21"/>
  <c r="AJ32" i="21"/>
  <c r="AJ29" i="21"/>
  <c r="AJ30" i="21"/>
  <c r="AJ31" i="21"/>
  <c r="AJ27" i="21"/>
  <c r="AJ26" i="21"/>
  <c r="D53" i="32"/>
  <c r="E48" i="32"/>
  <c r="D54" i="32"/>
  <c r="C40" i="41"/>
  <c r="C41" i="41"/>
  <c r="D18" i="45" l="1"/>
  <c r="D20" i="45"/>
  <c r="D17" i="45"/>
  <c r="E50" i="44"/>
  <c r="E49" i="44"/>
  <c r="E52" i="44"/>
  <c r="F41" i="44" s="1"/>
  <c r="F116" i="21"/>
  <c r="F115" i="21"/>
  <c r="F110" i="21"/>
  <c r="F111" i="21"/>
  <c r="F94" i="21"/>
  <c r="F93" i="21"/>
  <c r="F103" i="21"/>
  <c r="F102" i="21"/>
  <c r="E50" i="32"/>
  <c r="E49" i="32"/>
  <c r="E47" i="32"/>
  <c r="E49" i="31"/>
  <c r="E52" i="31"/>
  <c r="E50" i="31"/>
  <c r="E52" i="42"/>
  <c r="F41" i="42" s="1"/>
  <c r="E49" i="42"/>
  <c r="E50" i="42"/>
  <c r="AK31" i="21"/>
  <c r="AK26" i="21"/>
  <c r="AK32" i="21"/>
  <c r="AK28" i="21"/>
  <c r="AK30" i="21"/>
  <c r="AK27" i="21"/>
  <c r="AK29" i="21"/>
  <c r="C2" i="41"/>
  <c r="C22" i="41"/>
  <c r="C31" i="41"/>
  <c r="C37" i="41"/>
  <c r="C35" i="41"/>
  <c r="C34" i="41"/>
  <c r="C32" i="41"/>
  <c r="C30" i="41"/>
  <c r="C8" i="41"/>
  <c r="C29" i="41"/>
  <c r="C21" i="41"/>
  <c r="C20" i="41"/>
  <c r="C19" i="41"/>
  <c r="C11" i="41"/>
  <c r="C16" i="41"/>
  <c r="C15" i="41"/>
  <c r="C14" i="41"/>
  <c r="C27" i="41"/>
  <c r="C44" i="41"/>
  <c r="C43" i="41"/>
  <c r="C26" i="41"/>
  <c r="C23" i="41"/>
  <c r="C42" i="41"/>
  <c r="C24" i="41"/>
  <c r="C10" i="41"/>
  <c r="C9" i="41"/>
  <c r="C7" i="41"/>
  <c r="C6" i="41"/>
  <c r="C5" i="41"/>
  <c r="C4" i="41"/>
  <c r="C3" i="41"/>
  <c r="F42" i="31" l="1"/>
  <c r="F41" i="31"/>
  <c r="F12" i="42"/>
  <c r="F16" i="42"/>
  <c r="F28" i="42"/>
  <c r="F32" i="42"/>
  <c r="F26" i="42"/>
  <c r="F22" i="42"/>
  <c r="F6" i="42"/>
  <c r="F29" i="42"/>
  <c r="F20" i="42"/>
  <c r="F40" i="42"/>
  <c r="F30" i="42"/>
  <c r="F25" i="42"/>
  <c r="F24" i="42"/>
  <c r="F36" i="42"/>
  <c r="F34" i="42"/>
  <c r="F33" i="42"/>
  <c r="F8" i="42"/>
  <c r="F42" i="42"/>
  <c r="F11" i="42"/>
  <c r="F39" i="42"/>
  <c r="F9" i="42"/>
  <c r="F13" i="42"/>
  <c r="F27" i="42"/>
  <c r="F15" i="42"/>
  <c r="F19" i="42"/>
  <c r="F7" i="42"/>
  <c r="F17" i="42"/>
  <c r="F35" i="42"/>
  <c r="F31" i="42"/>
  <c r="F10" i="42"/>
  <c r="F23" i="42"/>
  <c r="F39" i="31"/>
  <c r="F40" i="31"/>
  <c r="F24" i="31"/>
  <c r="F26" i="31"/>
  <c r="F28" i="31"/>
  <c r="F30" i="31"/>
  <c r="F32" i="31"/>
  <c r="F34" i="31"/>
  <c r="F36" i="31"/>
  <c r="F7" i="31"/>
  <c r="F9" i="31"/>
  <c r="F11" i="31"/>
  <c r="F13" i="31"/>
  <c r="F15" i="31"/>
  <c r="F17" i="31"/>
  <c r="F19" i="31"/>
  <c r="F23" i="31"/>
  <c r="F25" i="31"/>
  <c r="F27" i="31"/>
  <c r="F29" i="31"/>
  <c r="F31" i="31"/>
  <c r="F33" i="31"/>
  <c r="F35" i="31"/>
  <c r="F10" i="31"/>
  <c r="F12" i="31"/>
  <c r="F20" i="31"/>
  <c r="F8" i="31"/>
  <c r="F22" i="31"/>
  <c r="F6" i="31"/>
  <c r="F16" i="31"/>
  <c r="F9" i="44"/>
  <c r="F13" i="44"/>
  <c r="F19" i="44"/>
  <c r="F23" i="44"/>
  <c r="F27" i="44"/>
  <c r="F31" i="44"/>
  <c r="F7" i="44"/>
  <c r="F11" i="44"/>
  <c r="F15" i="44"/>
  <c r="F17" i="44"/>
  <c r="F25" i="44"/>
  <c r="F29" i="44"/>
  <c r="F33" i="44"/>
  <c r="F35" i="44"/>
  <c r="F39" i="44"/>
  <c r="F34" i="44"/>
  <c r="F42" i="44"/>
  <c r="F28" i="44"/>
  <c r="F6" i="44"/>
  <c r="F30" i="44"/>
  <c r="F16" i="44"/>
  <c r="F40" i="44"/>
  <c r="F38" i="44"/>
  <c r="F24" i="44"/>
  <c r="F22" i="44"/>
  <c r="F32" i="44"/>
  <c r="F20" i="44"/>
  <c r="F26" i="44"/>
  <c r="F12" i="44"/>
  <c r="F36" i="44"/>
  <c r="F14" i="44"/>
  <c r="F8" i="44"/>
  <c r="F10" i="44"/>
  <c r="E7" i="45"/>
  <c r="E12" i="45"/>
  <c r="E10" i="45"/>
  <c r="E13" i="45"/>
  <c r="E11" i="45"/>
  <c r="E9" i="45"/>
  <c r="E8" i="45"/>
  <c r="E6" i="45"/>
  <c r="E14" i="45"/>
  <c r="E53" i="42" l="1"/>
  <c r="E51" i="42" s="1"/>
  <c r="E53" i="44"/>
  <c r="E51" i="44" s="1"/>
  <c r="F52" i="44"/>
  <c r="F53" i="44" s="1"/>
  <c r="D21" i="45"/>
  <c r="D19" i="45" s="1"/>
  <c r="E20" i="45"/>
  <c r="E21" i="45" s="1"/>
  <c r="D37" i="32"/>
  <c r="D36" i="32"/>
  <c r="D39" i="32"/>
  <c r="E30" i="32" s="1"/>
  <c r="D18" i="32"/>
  <c r="D17" i="32"/>
  <c r="E2" i="45" l="1"/>
  <c r="E3" i="45"/>
  <c r="F3" i="44"/>
  <c r="F2" i="44"/>
  <c r="G41" i="44" s="1"/>
  <c r="E29" i="32"/>
  <c r="E27" i="32"/>
  <c r="E32" i="32"/>
  <c r="E28" i="32"/>
  <c r="E31" i="32"/>
  <c r="G16" i="44" l="1"/>
  <c r="G20" i="44"/>
  <c r="G22" i="44"/>
  <c r="G24" i="44"/>
  <c r="G26" i="44"/>
  <c r="G28" i="44"/>
  <c r="G38" i="44"/>
  <c r="G40" i="44"/>
  <c r="G6" i="44"/>
  <c r="G8" i="44"/>
  <c r="G10" i="44"/>
  <c r="G12" i="44"/>
  <c r="G14" i="44"/>
  <c r="G30" i="44"/>
  <c r="G32" i="44"/>
  <c r="G34" i="44"/>
  <c r="G36" i="44"/>
  <c r="G42" i="44"/>
  <c r="G39" i="44"/>
  <c r="G19" i="44"/>
  <c r="G31" i="44"/>
  <c r="G29" i="44"/>
  <c r="G7" i="44"/>
  <c r="G27" i="44"/>
  <c r="G23" i="44"/>
  <c r="G25" i="44"/>
  <c r="G9" i="44"/>
  <c r="G11" i="44"/>
  <c r="G17" i="44"/>
  <c r="G35" i="44"/>
  <c r="G15" i="44"/>
  <c r="G13" i="44"/>
  <c r="G33" i="44"/>
  <c r="F13" i="45"/>
  <c r="F14" i="45"/>
  <c r="F11" i="45"/>
  <c r="F6" i="45"/>
  <c r="F12" i="45"/>
  <c r="F9" i="45"/>
  <c r="F10" i="45"/>
  <c r="F8" i="45"/>
  <c r="F7" i="45"/>
  <c r="E20" i="32"/>
  <c r="E21" i="32" s="1"/>
  <c r="D21" i="32"/>
  <c r="F21" i="45" l="1"/>
  <c r="F19" i="45" s="1"/>
  <c r="F18" i="45"/>
  <c r="F20" i="45"/>
  <c r="F17" i="45"/>
  <c r="G52" i="44"/>
  <c r="G53" i="44"/>
  <c r="G51" i="44" s="1"/>
  <c r="G50" i="44"/>
  <c r="G49" i="44"/>
  <c r="H2" i="44" l="1"/>
  <c r="H41" i="44" s="1"/>
  <c r="H3" i="44"/>
  <c r="G3" i="45"/>
  <c r="G2" i="45"/>
  <c r="H13" i="44" l="1"/>
  <c r="H12" i="44"/>
  <c r="H11" i="44"/>
  <c r="H39" i="44"/>
  <c r="H22" i="44"/>
  <c r="H30" i="44"/>
  <c r="H35" i="44"/>
  <c r="H36" i="44"/>
  <c r="H16" i="44"/>
  <c r="H27" i="44"/>
  <c r="H40" i="44"/>
  <c r="H15" i="44"/>
  <c r="H32" i="44"/>
  <c r="H25" i="44"/>
  <c r="H8" i="44"/>
  <c r="H17" i="44"/>
  <c r="H14" i="44"/>
  <c r="H20" i="44"/>
  <c r="H31" i="44"/>
  <c r="H19" i="44"/>
  <c r="H24" i="44"/>
  <c r="H9" i="44"/>
  <c r="H10" i="44"/>
  <c r="H29" i="44"/>
  <c r="H28" i="44"/>
  <c r="H23" i="44"/>
  <c r="H6" i="44"/>
  <c r="H42" i="44"/>
  <c r="H26" i="44"/>
  <c r="H34" i="44"/>
  <c r="H33" i="44"/>
  <c r="H7" i="44"/>
  <c r="H38" i="44"/>
  <c r="G11" i="45"/>
  <c r="G13" i="45"/>
  <c r="G6" i="45"/>
  <c r="G9" i="45"/>
  <c r="G14" i="45"/>
  <c r="G8" i="45"/>
  <c r="G10" i="45"/>
  <c r="G7" i="45"/>
  <c r="G12" i="45"/>
  <c r="H49" i="44" l="1"/>
  <c r="H53" i="44"/>
  <c r="H51" i="44" s="1"/>
  <c r="H50" i="44"/>
  <c r="H52" i="44"/>
  <c r="G18" i="45"/>
  <c r="G20" i="45"/>
  <c r="G21" i="45"/>
  <c r="G19" i="45" s="1"/>
  <c r="G17" i="45"/>
  <c r="V4" i="22"/>
  <c r="I2" i="44" l="1"/>
  <c r="I41" i="44" s="1"/>
  <c r="H3" i="45"/>
  <c r="H2" i="45"/>
  <c r="I3" i="44"/>
  <c r="W50" i="22"/>
  <c r="W48" i="22"/>
  <c r="AF38" i="22" l="1"/>
  <c r="AF19" i="22"/>
  <c r="AF33" i="22"/>
  <c r="AF30" i="22"/>
  <c r="AF28" i="22"/>
  <c r="AF14" i="22"/>
  <c r="AF41" i="22"/>
  <c r="AF10" i="22"/>
  <c r="AF5" i="22"/>
  <c r="AF32" i="22"/>
  <c r="AF24" i="22"/>
  <c r="AF35" i="22"/>
  <c r="AF13" i="22"/>
  <c r="AF37" i="22"/>
  <c r="AF27" i="22"/>
  <c r="AF15" i="22"/>
  <c r="I23" i="44"/>
  <c r="I19" i="44"/>
  <c r="I39" i="44"/>
  <c r="I33" i="44"/>
  <c r="I8" i="44"/>
  <c r="I9" i="44"/>
  <c r="I30" i="44"/>
  <c r="I14" i="44"/>
  <c r="I13" i="44"/>
  <c r="I32" i="44"/>
  <c r="I28" i="44"/>
  <c r="I17" i="44"/>
  <c r="I38" i="44"/>
  <c r="I6" i="44"/>
  <c r="I52" i="44" s="1"/>
  <c r="I40" i="44"/>
  <c r="I20" i="44"/>
  <c r="I12" i="44"/>
  <c r="I42" i="44"/>
  <c r="I15" i="44"/>
  <c r="I24" i="44"/>
  <c r="I10" i="44"/>
  <c r="I35" i="44"/>
  <c r="I25" i="44"/>
  <c r="I34" i="44"/>
  <c r="I29" i="44"/>
  <c r="I36" i="44"/>
  <c r="I7" i="44"/>
  <c r="I31" i="44"/>
  <c r="I11" i="44"/>
  <c r="I27" i="44"/>
  <c r="I26" i="44"/>
  <c r="I22" i="44"/>
  <c r="I16" i="44"/>
  <c r="I49" i="44"/>
  <c r="H13" i="45"/>
  <c r="H6" i="45"/>
  <c r="H7" i="45"/>
  <c r="H12" i="45"/>
  <c r="H11" i="45"/>
  <c r="H14" i="45"/>
  <c r="H9" i="45"/>
  <c r="H8" i="45"/>
  <c r="H10" i="45"/>
  <c r="AF45" i="22"/>
  <c r="AF36" i="22"/>
  <c r="AF23" i="22"/>
  <c r="AF7" i="22"/>
  <c r="AF21" i="22"/>
  <c r="AF8" i="22"/>
  <c r="AF25" i="22"/>
  <c r="AF9" i="22"/>
  <c r="AF6" i="22"/>
  <c r="AF46" i="22"/>
  <c r="AF12" i="22"/>
  <c r="AF18" i="22"/>
  <c r="AF11" i="22"/>
  <c r="AF17" i="22"/>
  <c r="AF44" i="22"/>
  <c r="AF31" i="22"/>
  <c r="AF16" i="22"/>
  <c r="AF43" i="22"/>
  <c r="AF39" i="22"/>
  <c r="AF34" i="22"/>
  <c r="AF29" i="22"/>
  <c r="AF26" i="22"/>
  <c r="AF22" i="22"/>
  <c r="AF4" i="22"/>
  <c r="I53" i="44" l="1"/>
  <c r="I51" i="44" s="1"/>
  <c r="J3" i="44" s="1"/>
  <c r="I50" i="44"/>
  <c r="H18" i="45"/>
  <c r="H20" i="45"/>
  <c r="H21" i="45"/>
  <c r="H19" i="45" s="1"/>
  <c r="H17" i="45"/>
  <c r="F4" i="21"/>
  <c r="J2" i="44" l="1"/>
  <c r="J41" i="44" s="1"/>
  <c r="I3" i="45"/>
  <c r="I2" i="45"/>
  <c r="D40" i="32"/>
  <c r="D38" i="32" s="1"/>
  <c r="E39" i="32"/>
  <c r="E40" i="32" s="1"/>
  <c r="D19" i="32"/>
  <c r="J26" i="44" l="1"/>
  <c r="J24" i="44"/>
  <c r="J33" i="44"/>
  <c r="J28" i="44"/>
  <c r="J35" i="44"/>
  <c r="J9" i="44"/>
  <c r="J16" i="44"/>
  <c r="J12" i="44"/>
  <c r="J23" i="44"/>
  <c r="J22" i="44"/>
  <c r="J20" i="44"/>
  <c r="J25" i="44"/>
  <c r="J30" i="44"/>
  <c r="J42" i="44"/>
  <c r="J19" i="44"/>
  <c r="J11" i="44"/>
  <c r="J31" i="44"/>
  <c r="J17" i="44"/>
  <c r="J15" i="44"/>
  <c r="J39" i="44"/>
  <c r="J6" i="44"/>
  <c r="J50" i="44" s="1"/>
  <c r="J7" i="44"/>
  <c r="J29" i="44"/>
  <c r="J13" i="44"/>
  <c r="J8" i="44"/>
  <c r="J34" i="44"/>
  <c r="J14" i="44"/>
  <c r="J40" i="44"/>
  <c r="J27" i="44"/>
  <c r="J32" i="44"/>
  <c r="J36" i="44"/>
  <c r="J10" i="44"/>
  <c r="J38" i="44"/>
  <c r="I8" i="45"/>
  <c r="I10" i="45"/>
  <c r="I12" i="45"/>
  <c r="I7" i="45"/>
  <c r="I11" i="45"/>
  <c r="I9" i="45"/>
  <c r="I14" i="45"/>
  <c r="I13" i="45"/>
  <c r="I6" i="45"/>
  <c r="E53" i="31"/>
  <c r="F52" i="31"/>
  <c r="J49" i="44" l="1"/>
  <c r="J53" i="44"/>
  <c r="J52" i="44"/>
  <c r="I18" i="45"/>
  <c r="I21" i="45"/>
  <c r="I17" i="45"/>
  <c r="I20" i="45"/>
  <c r="J51" i="44" l="1"/>
  <c r="I19" i="45"/>
  <c r="F52" i="42"/>
  <c r="F53" i="42" s="1"/>
  <c r="F2" i="42" l="1"/>
  <c r="F3" i="42"/>
  <c r="G42" i="42" l="1"/>
  <c r="G41" i="42"/>
  <c r="G39" i="42"/>
  <c r="G40" i="42"/>
  <c r="G19" i="42"/>
  <c r="G7" i="42"/>
  <c r="G9" i="42"/>
  <c r="G11" i="42"/>
  <c r="G13" i="42"/>
  <c r="G15" i="42"/>
  <c r="G17" i="42"/>
  <c r="G23" i="42"/>
  <c r="G25" i="42"/>
  <c r="G27" i="42"/>
  <c r="G29" i="42"/>
  <c r="G31" i="42"/>
  <c r="G33" i="42"/>
  <c r="G35" i="42"/>
  <c r="G20" i="42"/>
  <c r="G8" i="42"/>
  <c r="G10" i="42"/>
  <c r="G28" i="42"/>
  <c r="G34" i="42"/>
  <c r="G16" i="42"/>
  <c r="G30" i="42"/>
  <c r="G26" i="42"/>
  <c r="G12" i="42"/>
  <c r="G22" i="42"/>
  <c r="G32" i="42"/>
  <c r="G36" i="42"/>
  <c r="G24" i="42"/>
  <c r="G6" i="42"/>
  <c r="G49" i="42" l="1"/>
  <c r="G52" i="42"/>
  <c r="G50" i="42"/>
  <c r="G53" i="42"/>
  <c r="G51" i="42" s="1"/>
  <c r="H3" i="42" l="1"/>
  <c r="H2" i="42"/>
  <c r="H42" i="42" l="1"/>
  <c r="H41" i="42"/>
  <c r="H39" i="42"/>
  <c r="H40" i="42"/>
  <c r="H16" i="42"/>
  <c r="H34" i="42"/>
  <c r="H9" i="42"/>
  <c r="H26" i="42"/>
  <c r="H15" i="42"/>
  <c r="H32" i="42"/>
  <c r="H25" i="42"/>
  <c r="H12" i="42"/>
  <c r="H36" i="42"/>
  <c r="H8" i="42"/>
  <c r="H20" i="42"/>
  <c r="H22" i="42"/>
  <c r="H28" i="42"/>
  <c r="H7" i="42"/>
  <c r="H30" i="42"/>
  <c r="H13" i="42"/>
  <c r="H19" i="42"/>
  <c r="H27" i="42"/>
  <c r="H24" i="42"/>
  <c r="H29" i="42"/>
  <c r="H23" i="42"/>
  <c r="H35" i="42"/>
  <c r="H31" i="42"/>
  <c r="H10" i="42"/>
  <c r="H17" i="42"/>
  <c r="H11" i="42"/>
  <c r="H33" i="42"/>
  <c r="H6" i="42"/>
  <c r="H49" i="42" l="1"/>
  <c r="H53" i="42"/>
  <c r="H51" i="42" s="1"/>
  <c r="H50" i="42"/>
  <c r="H52" i="42"/>
  <c r="I2" i="42" l="1"/>
  <c r="I3" i="42" l="1"/>
  <c r="I42" i="42" s="1"/>
  <c r="I34" i="42" l="1"/>
  <c r="I26" i="42"/>
  <c r="I25" i="42"/>
  <c r="I41" i="42"/>
  <c r="I33" i="42"/>
  <c r="I28" i="42"/>
  <c r="I35" i="42"/>
  <c r="I8" i="42"/>
  <c r="I29" i="42"/>
  <c r="I31" i="42"/>
  <c r="I27" i="42"/>
  <c r="I32" i="42"/>
  <c r="I13" i="42"/>
  <c r="I30" i="42"/>
  <c r="I11" i="42"/>
  <c r="I40" i="42"/>
  <c r="I6" i="42"/>
  <c r="I7" i="42"/>
  <c r="I16" i="42"/>
  <c r="I22" i="42"/>
  <c r="I10" i="42"/>
  <c r="I15" i="42"/>
  <c r="I36" i="42"/>
  <c r="I9" i="42"/>
  <c r="I39" i="42"/>
  <c r="I19" i="42"/>
  <c r="I20" i="42"/>
  <c r="I12" i="42"/>
  <c r="I23" i="42"/>
  <c r="I17" i="42"/>
  <c r="I24" i="42"/>
  <c r="I53" i="42" l="1"/>
  <c r="I51" i="42" s="1"/>
  <c r="I52" i="42"/>
  <c r="I49" i="42"/>
  <c r="I50" i="42"/>
  <c r="J2" i="42" l="1"/>
  <c r="J41" i="42" s="1"/>
  <c r="J3" i="42"/>
  <c r="J42" i="42"/>
  <c r="J29" i="42"/>
  <c r="J27" i="42" l="1"/>
  <c r="J28" i="42"/>
  <c r="J15" i="42"/>
  <c r="J17" i="42"/>
  <c r="J22" i="42"/>
  <c r="J11" i="42"/>
  <c r="J35" i="42"/>
  <c r="J23" i="42"/>
  <c r="J32" i="42"/>
  <c r="J19" i="42"/>
  <c r="J20" i="42"/>
  <c r="J26" i="42"/>
  <c r="J16" i="42"/>
  <c r="J6" i="42"/>
  <c r="J33" i="42"/>
  <c r="J10" i="42"/>
  <c r="J34" i="42"/>
  <c r="J24" i="42"/>
  <c r="J8" i="42"/>
  <c r="J9" i="42"/>
  <c r="J13" i="42"/>
  <c r="J7" i="42"/>
  <c r="J30" i="42"/>
  <c r="J25" i="42"/>
  <c r="J12" i="42"/>
  <c r="J40" i="42"/>
  <c r="J36" i="42"/>
  <c r="J39" i="42"/>
  <c r="J31" i="42"/>
  <c r="J50" i="42" l="1"/>
  <c r="J52" i="42"/>
  <c r="AC29" i="41" s="1"/>
  <c r="J49" i="42"/>
  <c r="J53" i="42"/>
  <c r="AI34" i="41" s="1"/>
  <c r="AC35" i="41"/>
  <c r="AC34" i="41"/>
  <c r="AC41" i="41"/>
  <c r="AC32" i="41"/>
  <c r="AF32" i="41" s="1"/>
  <c r="E92" i="21"/>
  <c r="E51" i="31"/>
  <c r="F53" i="31"/>
  <c r="AI35" i="41" l="1"/>
  <c r="AC33" i="41"/>
  <c r="AF33" i="41" s="1"/>
  <c r="AC42" i="41"/>
  <c r="AI36" i="41"/>
  <c r="AC40" i="41"/>
  <c r="AC43" i="41"/>
  <c r="AI29" i="41"/>
  <c r="AI44" i="41"/>
  <c r="AI37" i="41"/>
  <c r="AC44" i="41"/>
  <c r="AC36" i="41"/>
  <c r="AF36" i="41" s="1"/>
  <c r="AC38" i="41"/>
  <c r="AF38" i="41" s="1"/>
  <c r="AC39" i="41"/>
  <c r="AF39" i="41" s="1"/>
  <c r="AI32" i="41"/>
  <c r="AL32" i="41" s="1"/>
  <c r="AO32" i="41" s="1"/>
  <c r="AI39" i="41"/>
  <c r="AI41" i="41"/>
  <c r="J51" i="42"/>
  <c r="AC37" i="41"/>
  <c r="AF37" i="41" s="1"/>
  <c r="AC30" i="41"/>
  <c r="AF30" i="41" s="1"/>
  <c r="AC31" i="41"/>
  <c r="AF31" i="41" s="1"/>
  <c r="AI40" i="41"/>
  <c r="AI33" i="41"/>
  <c r="AI30" i="41"/>
  <c r="AI38" i="41"/>
  <c r="AI31" i="41"/>
  <c r="AI43" i="41"/>
  <c r="AI42" i="41"/>
  <c r="E119" i="21"/>
  <c r="AF29" i="41"/>
  <c r="AL29" i="41" s="1"/>
  <c r="AO29" i="41" s="1"/>
  <c r="E2" i="32"/>
  <c r="AL37" i="41" l="1"/>
  <c r="AO37" i="41" s="1"/>
  <c r="AL31" i="41"/>
  <c r="AO31" i="41" s="1"/>
  <c r="AL38" i="41"/>
  <c r="AO38" i="41" s="1"/>
  <c r="AL30" i="41"/>
  <c r="AO30" i="41" s="1"/>
  <c r="AL36" i="41"/>
  <c r="AO36" i="41" s="1"/>
  <c r="AL33" i="41"/>
  <c r="AO33" i="41" s="1"/>
  <c r="AL39" i="41"/>
  <c r="AO39" i="41" s="1"/>
  <c r="F8" i="32"/>
  <c r="E3" i="32"/>
  <c r="F7" i="32" s="1"/>
  <c r="F13" i="32" l="1"/>
  <c r="F10" i="32"/>
  <c r="F11" i="32"/>
  <c r="F14" i="32"/>
  <c r="F9" i="32"/>
  <c r="F6" i="32"/>
  <c r="F12" i="32"/>
  <c r="F18" i="32" l="1"/>
  <c r="F20" i="32"/>
  <c r="F17" i="32"/>
  <c r="F21" i="32"/>
  <c r="F19" i="32" s="1"/>
  <c r="G3" i="32" l="1"/>
  <c r="G2" i="32"/>
  <c r="G8" i="32" s="1"/>
  <c r="G10" i="32" l="1"/>
  <c r="G6" i="32"/>
  <c r="G13" i="32"/>
  <c r="G11" i="32"/>
  <c r="G9" i="32"/>
  <c r="G7" i="32"/>
  <c r="G12" i="32"/>
  <c r="G14" i="32"/>
  <c r="U4" i="22"/>
  <c r="T4" i="22"/>
  <c r="S4" i="22"/>
  <c r="R4" i="22"/>
  <c r="Q4" i="22"/>
  <c r="V48" i="22" l="1"/>
  <c r="P50" i="22"/>
  <c r="P48" i="22"/>
  <c r="T50" i="22"/>
  <c r="T48" i="22"/>
  <c r="Q50" i="22"/>
  <c r="Q48" i="22"/>
  <c r="U50" i="22"/>
  <c r="U48" i="22"/>
  <c r="R50" i="22"/>
  <c r="R48" i="22"/>
  <c r="V50" i="22"/>
  <c r="AE19" i="22" s="1"/>
  <c r="S50" i="22"/>
  <c r="S48" i="22"/>
  <c r="AE6" i="22" l="1"/>
  <c r="AE33" i="22"/>
  <c r="AC36" i="22"/>
  <c r="AC45" i="22"/>
  <c r="AC37" i="22"/>
  <c r="AA8" i="22"/>
  <c r="AD46" i="22"/>
  <c r="AD29" i="22"/>
  <c r="Z22" i="22"/>
  <c r="Z28" i="22"/>
  <c r="Z34" i="22"/>
  <c r="Z18" i="22"/>
  <c r="Z4" i="22"/>
  <c r="AA4" i="22"/>
  <c r="AA28" i="22"/>
  <c r="AA18" i="22"/>
  <c r="AA22" i="22"/>
  <c r="AA34" i="22"/>
  <c r="Y5" i="22"/>
  <c r="Y21" i="22"/>
  <c r="AE29" i="22"/>
  <c r="AE46" i="22"/>
  <c r="AB8" i="22"/>
  <c r="AD45" i="22"/>
  <c r="AD37" i="22"/>
  <c r="AD36" i="22"/>
  <c r="AB12" i="22"/>
  <c r="AB18" i="22"/>
  <c r="AB32" i="22"/>
  <c r="AB9" i="22"/>
  <c r="AB11" i="22"/>
  <c r="AB23" i="22"/>
  <c r="AB7" i="22"/>
  <c r="AB26" i="22"/>
  <c r="AB22" i="22"/>
  <c r="AB21" i="22"/>
  <c r="AB5" i="22"/>
  <c r="AB25" i="22"/>
  <c r="AB16" i="22"/>
  <c r="AB39" i="22"/>
  <c r="AB34" i="22"/>
  <c r="AB10" i="22"/>
  <c r="AB19" i="22"/>
  <c r="AB43" i="22"/>
  <c r="AB6" i="22"/>
  <c r="AB13" i="22"/>
  <c r="AB46" i="22"/>
  <c r="AB28" i="22"/>
  <c r="AB17" i="22"/>
  <c r="AB44" i="22"/>
  <c r="AB31" i="22"/>
  <c r="Y4" i="22"/>
  <c r="Y12" i="22"/>
  <c r="Y11" i="22"/>
  <c r="Y17" i="22"/>
  <c r="Y44" i="22"/>
  <c r="Y31" i="22"/>
  <c r="Y10" i="22"/>
  <c r="Y46" i="22"/>
  <c r="Y32" i="22"/>
  <c r="Y7" i="22"/>
  <c r="Y26" i="22"/>
  <c r="Y6" i="22"/>
  <c r="Y25" i="22"/>
  <c r="Y23" i="22"/>
  <c r="Y9" i="22"/>
  <c r="Y13" i="22"/>
  <c r="Y19" i="22"/>
  <c r="Y16" i="22"/>
  <c r="Y43" i="22"/>
  <c r="Y39" i="22"/>
  <c r="AB4" i="22"/>
  <c r="AD13" i="22"/>
  <c r="AD10" i="22"/>
  <c r="AD16" i="22"/>
  <c r="AD43" i="22"/>
  <c r="AD39" i="22"/>
  <c r="AD21" i="22"/>
  <c r="AD9" i="22"/>
  <c r="AD12" i="22"/>
  <c r="AD23" i="22"/>
  <c r="AD31" i="22"/>
  <c r="AD17" i="22"/>
  <c r="AD44" i="22"/>
  <c r="AD26" i="22"/>
  <c r="AD6" i="22"/>
  <c r="AD25" i="22"/>
  <c r="AD11" i="22"/>
  <c r="AD5" i="22"/>
  <c r="AD22" i="22"/>
  <c r="AD18" i="22"/>
  <c r="AD34" i="22"/>
  <c r="AD28" i="22"/>
  <c r="AD8" i="22"/>
  <c r="AD32" i="22"/>
  <c r="AD7" i="22"/>
  <c r="AD19" i="22"/>
  <c r="AC7" i="22"/>
  <c r="AC26" i="22"/>
  <c r="AC22" i="22"/>
  <c r="AC12" i="22"/>
  <c r="AC23" i="22"/>
  <c r="AC18" i="22"/>
  <c r="AC28" i="22"/>
  <c r="AC8" i="22"/>
  <c r="AC13" i="22"/>
  <c r="AC9" i="22"/>
  <c r="AC5" i="22"/>
  <c r="AC19" i="22"/>
  <c r="AC11" i="22"/>
  <c r="AC17" i="22"/>
  <c r="AC44" i="22"/>
  <c r="AC31" i="22"/>
  <c r="AC10" i="22"/>
  <c r="AC16" i="22"/>
  <c r="AC43" i="22"/>
  <c r="AC39" i="22"/>
  <c r="AC46" i="22"/>
  <c r="AC32" i="22"/>
  <c r="AC6" i="22"/>
  <c r="AC34" i="22"/>
  <c r="AC25" i="22"/>
  <c r="AC21" i="22"/>
  <c r="AE5" i="22"/>
  <c r="AE11" i="22"/>
  <c r="AE13" i="22"/>
  <c r="AE43" i="22"/>
  <c r="AE39" i="22"/>
  <c r="AE25" i="22"/>
  <c r="AE28" i="22"/>
  <c r="AE12" i="22"/>
  <c r="AE36" i="22"/>
  <c r="AE32" i="22"/>
  <c r="AE17" i="22"/>
  <c r="AE44" i="22"/>
  <c r="AE31" i="22"/>
  <c r="AE16" i="22"/>
  <c r="AE34" i="22"/>
  <c r="AE18" i="22"/>
  <c r="AE45" i="22"/>
  <c r="AE23" i="22"/>
  <c r="AE9" i="22"/>
  <c r="AE37" i="22"/>
  <c r="AE10" i="22"/>
  <c r="AE8" i="22"/>
  <c r="AE26" i="22"/>
  <c r="AE22" i="22"/>
  <c r="AE21" i="22"/>
  <c r="AE7" i="22"/>
  <c r="AE4" i="22"/>
  <c r="AA9" i="22"/>
  <c r="AA26" i="22"/>
  <c r="AA21" i="22"/>
  <c r="AA5" i="22"/>
  <c r="AA11" i="22"/>
  <c r="AA7" i="22"/>
  <c r="AA10" i="22"/>
  <c r="AA13" i="22"/>
  <c r="AA16" i="22"/>
  <c r="AA43" i="22"/>
  <c r="AA39" i="22"/>
  <c r="AA25" i="22"/>
  <c r="AA44" i="22"/>
  <c r="AA31" i="22"/>
  <c r="AA6" i="22"/>
  <c r="AA19" i="22"/>
  <c r="AA12" i="22"/>
  <c r="AA32" i="22"/>
  <c r="AA17" i="22"/>
  <c r="AA46" i="22"/>
  <c r="AA23" i="22"/>
  <c r="Z11" i="22"/>
  <c r="Z7" i="22"/>
  <c r="Z13" i="22"/>
  <c r="Z19" i="22"/>
  <c r="Z46" i="22"/>
  <c r="Z23" i="22"/>
  <c r="Z31" i="22"/>
  <c r="Z10" i="22"/>
  <c r="Z16" i="22"/>
  <c r="Z43" i="22"/>
  <c r="Z39" i="22"/>
  <c r="Z21" i="22"/>
  <c r="Z9" i="22"/>
  <c r="Z32" i="22"/>
  <c r="Z6" i="22"/>
  <c r="Z25" i="22"/>
  <c r="Z12" i="22"/>
  <c r="Z5" i="22"/>
  <c r="Z17" i="22"/>
  <c r="Z44" i="22"/>
  <c r="Z26" i="22"/>
  <c r="AC4" i="22"/>
  <c r="AD4" i="22"/>
  <c r="E2" i="21" l="1"/>
  <c r="F2" i="31" l="1"/>
  <c r="G41" i="31" s="1"/>
  <c r="F3" i="31"/>
  <c r="G7" i="31" l="1"/>
  <c r="G9" i="31"/>
  <c r="G11" i="31"/>
  <c r="G13" i="31"/>
  <c r="G15" i="31"/>
  <c r="G17" i="31"/>
  <c r="G19" i="31"/>
  <c r="G23" i="31"/>
  <c r="G25" i="31"/>
  <c r="G27" i="31"/>
  <c r="G29" i="31"/>
  <c r="G31" i="31"/>
  <c r="G33" i="31"/>
  <c r="G35" i="31"/>
  <c r="G39" i="31"/>
  <c r="G34" i="31"/>
  <c r="G26" i="31"/>
  <c r="G24" i="31"/>
  <c r="G40" i="31"/>
  <c r="G16" i="31"/>
  <c r="G6" i="31"/>
  <c r="G10" i="31"/>
  <c r="G14" i="31"/>
  <c r="G20" i="31"/>
  <c r="G36" i="31"/>
  <c r="G30" i="31"/>
  <c r="G38" i="31"/>
  <c r="G12" i="31"/>
  <c r="G32" i="31"/>
  <c r="G22" i="31"/>
  <c r="G28" i="31"/>
  <c r="G8" i="31"/>
  <c r="G42" i="31"/>
  <c r="G49" i="31" l="1"/>
  <c r="G53" i="31"/>
  <c r="G51" i="31" s="1"/>
  <c r="G50" i="31"/>
  <c r="G52" i="31"/>
  <c r="H3" i="31" l="1"/>
  <c r="H2" i="31"/>
  <c r="H6" i="31" s="1"/>
  <c r="H24" i="31"/>
  <c r="H22" i="31" l="1"/>
  <c r="H19" i="31"/>
  <c r="H13" i="31"/>
  <c r="H7" i="31"/>
  <c r="H34" i="31"/>
  <c r="H39" i="31"/>
  <c r="H29" i="31"/>
  <c r="H11" i="31"/>
  <c r="H16" i="31"/>
  <c r="H36" i="31"/>
  <c r="H33" i="31"/>
  <c r="H41" i="31"/>
  <c r="H28" i="31"/>
  <c r="H8" i="31"/>
  <c r="H35" i="31"/>
  <c r="H27" i="31"/>
  <c r="H17" i="31"/>
  <c r="H9" i="31"/>
  <c r="H38" i="31"/>
  <c r="H31" i="31"/>
  <c r="H23" i="31"/>
  <c r="H25" i="31"/>
  <c r="H12" i="31"/>
  <c r="H30" i="31"/>
  <c r="H20" i="31"/>
  <c r="H10" i="31"/>
  <c r="H42" i="31"/>
  <c r="H14" i="31"/>
  <c r="H26" i="31"/>
  <c r="H40" i="31"/>
  <c r="H32" i="31"/>
  <c r="H15" i="31"/>
  <c r="H52" i="31" l="1"/>
  <c r="H49" i="31"/>
  <c r="H50" i="31"/>
  <c r="H53" i="31"/>
  <c r="H51" i="31" s="1"/>
  <c r="I2" i="31" l="1"/>
  <c r="I33" i="31"/>
  <c r="I3" i="31"/>
  <c r="I41" i="31" s="1"/>
  <c r="I28" i="31" l="1"/>
  <c r="I30" i="31"/>
  <c r="I35" i="31"/>
  <c r="I31" i="31"/>
  <c r="I26" i="31"/>
  <c r="I36" i="31"/>
  <c r="I27" i="31"/>
  <c r="I15" i="31"/>
  <c r="I9" i="31"/>
  <c r="I14" i="31"/>
  <c r="I29" i="31"/>
  <c r="I24" i="31"/>
  <c r="I23" i="31"/>
  <c r="I16" i="31"/>
  <c r="I22" i="31"/>
  <c r="I20" i="31"/>
  <c r="I25" i="31"/>
  <c r="I32" i="31"/>
  <c r="I12" i="31"/>
  <c r="I13" i="31"/>
  <c r="I7" i="31"/>
  <c r="I11" i="31"/>
  <c r="I34" i="31"/>
  <c r="I19" i="31"/>
  <c r="I10" i="31"/>
  <c r="I42" i="31"/>
  <c r="I6" i="31"/>
  <c r="I38" i="31"/>
  <c r="I40" i="31"/>
  <c r="I8" i="31"/>
  <c r="I17" i="31"/>
  <c r="I39" i="31"/>
  <c r="I52" i="31" l="1"/>
  <c r="I53" i="31"/>
  <c r="I51" i="31" s="1"/>
  <c r="I50" i="31"/>
  <c r="I49" i="31"/>
  <c r="J3" i="31" l="1"/>
  <c r="J2" i="31"/>
  <c r="J41" i="31" s="1"/>
  <c r="AE35" i="41"/>
  <c r="AQ35" i="41" s="1"/>
  <c r="E25" i="32"/>
  <c r="E26" i="32"/>
  <c r="D57" i="32"/>
  <c r="D55" i="32" s="1"/>
  <c r="E56" i="32"/>
  <c r="E57" i="32" s="1"/>
  <c r="J12" i="31" l="1"/>
  <c r="J38" i="31"/>
  <c r="J11" i="31"/>
  <c r="J34" i="31"/>
  <c r="J15" i="31"/>
  <c r="J20" i="31"/>
  <c r="J19" i="31"/>
  <c r="J28" i="31"/>
  <c r="J24" i="31"/>
  <c r="J33" i="31"/>
  <c r="J42" i="31"/>
  <c r="J10" i="31"/>
  <c r="J14" i="31"/>
  <c r="J26" i="31"/>
  <c r="J39" i="31"/>
  <c r="J25" i="31"/>
  <c r="J40" i="31"/>
  <c r="J7" i="31"/>
  <c r="J13" i="31"/>
  <c r="J35" i="31"/>
  <c r="J16" i="31"/>
  <c r="J30" i="31"/>
  <c r="J23" i="31"/>
  <c r="J9" i="31"/>
  <c r="J36" i="31"/>
  <c r="J31" i="31"/>
  <c r="J27" i="31"/>
  <c r="J6" i="31"/>
  <c r="J17" i="31"/>
  <c r="J29" i="31"/>
  <c r="J8" i="31"/>
  <c r="J22" i="31"/>
  <c r="J32" i="31"/>
  <c r="F31" i="32"/>
  <c r="F29" i="32"/>
  <c r="F28" i="32"/>
  <c r="F32" i="32"/>
  <c r="F30" i="32"/>
  <c r="F27" i="32"/>
  <c r="E45" i="32"/>
  <c r="E44" i="32"/>
  <c r="F46" i="32" l="1"/>
  <c r="F47" i="32"/>
  <c r="F48" i="32"/>
  <c r="F49" i="32"/>
  <c r="F50" i="32"/>
  <c r="J49" i="31"/>
  <c r="J52" i="31"/>
  <c r="J53" i="31"/>
  <c r="J50" i="31"/>
  <c r="F40" i="32"/>
  <c r="F38" i="32" s="1"/>
  <c r="F37" i="32"/>
  <c r="F39" i="32"/>
  <c r="F36" i="32"/>
  <c r="E134" i="21" l="1"/>
  <c r="E130" i="21"/>
  <c r="E126" i="21"/>
  <c r="E122" i="21"/>
  <c r="E123" i="21"/>
  <c r="E133" i="21"/>
  <c r="E129" i="21"/>
  <c r="E125" i="21"/>
  <c r="E121" i="21"/>
  <c r="E132" i="21"/>
  <c r="E128" i="21"/>
  <c r="E124" i="21"/>
  <c r="E120" i="21"/>
  <c r="E131" i="21"/>
  <c r="E127" i="21"/>
  <c r="AH32" i="41"/>
  <c r="AH40" i="41"/>
  <c r="AH37" i="41"/>
  <c r="AH43" i="41"/>
  <c r="AH29" i="41"/>
  <c r="AH41" i="41"/>
  <c r="AH39" i="41"/>
  <c r="AH34" i="41"/>
  <c r="AH44" i="41"/>
  <c r="J51" i="31"/>
  <c r="AH38" i="41"/>
  <c r="AH36" i="41"/>
  <c r="AH31" i="41"/>
  <c r="AH42" i="41"/>
  <c r="AH33" i="41"/>
  <c r="AH30" i="41"/>
  <c r="AH35" i="41"/>
  <c r="AB39" i="41"/>
  <c r="AB38" i="41"/>
  <c r="AB31" i="41"/>
  <c r="AB42" i="41"/>
  <c r="E87" i="21" s="1"/>
  <c r="AB37" i="41"/>
  <c r="AB41" i="41"/>
  <c r="E86" i="21" s="1"/>
  <c r="AB32" i="41"/>
  <c r="AB35" i="41"/>
  <c r="E80" i="21" s="1"/>
  <c r="AB40" i="41"/>
  <c r="E85" i="21" s="1"/>
  <c r="AB36" i="41"/>
  <c r="AB43" i="41"/>
  <c r="E88" i="21" s="1"/>
  <c r="AB30" i="41"/>
  <c r="AB29" i="41"/>
  <c r="AB44" i="41"/>
  <c r="E89" i="21" s="1"/>
  <c r="AB33" i="41"/>
  <c r="AB34" i="41"/>
  <c r="E79" i="21" s="1"/>
  <c r="F53" i="32"/>
  <c r="F56" i="32"/>
  <c r="F54" i="32"/>
  <c r="F57" i="32"/>
  <c r="F55" i="32" s="1"/>
  <c r="G26" i="32"/>
  <c r="G25" i="32"/>
  <c r="E83" i="21" l="1"/>
  <c r="AE38" i="41"/>
  <c r="G31" i="32"/>
  <c r="E75" i="21"/>
  <c r="AE30" i="41"/>
  <c r="E74" i="21"/>
  <c r="AE29" i="41"/>
  <c r="AE32" i="41"/>
  <c r="AK32" i="41" s="1"/>
  <c r="AN32" i="41" s="1"/>
  <c r="E77" i="21"/>
  <c r="E78" i="21"/>
  <c r="AE33" i="41"/>
  <c r="E81" i="21"/>
  <c r="AE36" i="41"/>
  <c r="E76" i="21"/>
  <c r="AE31" i="41"/>
  <c r="E82" i="21"/>
  <c r="AE37" i="41"/>
  <c r="E84" i="21"/>
  <c r="AE39" i="41"/>
  <c r="AQ32" i="41"/>
  <c r="G30" i="32"/>
  <c r="G32" i="32"/>
  <c r="G28" i="32"/>
  <c r="G29" i="32"/>
  <c r="G44" i="32"/>
  <c r="G45" i="32"/>
  <c r="G27" i="32"/>
  <c r="AK37" i="41" l="1"/>
  <c r="AN37" i="41" s="1"/>
  <c r="AQ37" i="41" s="1"/>
  <c r="AK36" i="41"/>
  <c r="AN36" i="41" s="1"/>
  <c r="AQ36" i="41" s="1"/>
  <c r="AK30" i="41"/>
  <c r="AN30" i="41" s="1"/>
  <c r="AQ30" i="41" s="1"/>
  <c r="AK38" i="41"/>
  <c r="AN38" i="41" s="1"/>
  <c r="AQ38" i="41" s="1"/>
  <c r="AK39" i="41"/>
  <c r="AN39" i="41" s="1"/>
  <c r="AQ39" i="41" s="1"/>
  <c r="AK31" i="41"/>
  <c r="AN31" i="41" s="1"/>
  <c r="AQ31" i="41" s="1"/>
  <c r="AK33" i="41"/>
  <c r="AN33" i="41" s="1"/>
  <c r="AQ33" i="41" s="1"/>
  <c r="AK29" i="41"/>
  <c r="AN29" i="41" s="1"/>
  <c r="AQ29" i="41" s="1"/>
  <c r="G49" i="32"/>
  <c r="G46" i="32"/>
  <c r="G48" i="32"/>
  <c r="G47" i="32"/>
  <c r="G50" i="32"/>
  <c r="G39" i="32"/>
  <c r="G37" i="32"/>
  <c r="G36" i="32"/>
  <c r="G40" i="32"/>
  <c r="G38" i="32" s="1"/>
  <c r="G54" i="32" l="1"/>
  <c r="G57" i="32"/>
  <c r="G55" i="32" s="1"/>
  <c r="G53" i="32"/>
  <c r="G56" i="32"/>
  <c r="H26" i="32"/>
  <c r="H25" i="32"/>
  <c r="H31" i="32" s="1"/>
  <c r="H29" i="32" l="1"/>
  <c r="H28" i="32"/>
  <c r="H32" i="32"/>
  <c r="H30" i="32"/>
  <c r="H44" i="32"/>
  <c r="H45" i="32"/>
  <c r="H27" i="32"/>
  <c r="H47" i="32" l="1"/>
  <c r="H49" i="32"/>
  <c r="H48" i="32"/>
  <c r="H46" i="32"/>
  <c r="H50" i="32"/>
  <c r="H40" i="32"/>
  <c r="H37" i="32"/>
  <c r="H39" i="32"/>
  <c r="H36" i="32"/>
  <c r="H54" i="32" l="1"/>
  <c r="H57" i="32"/>
  <c r="H55" i="32" s="1"/>
  <c r="H53" i="32"/>
  <c r="H56" i="32"/>
  <c r="H38" i="32"/>
  <c r="I26" i="32" s="1"/>
  <c r="I25" i="32" l="1"/>
  <c r="I31" i="32" s="1"/>
  <c r="I44" i="32"/>
  <c r="I27" i="32"/>
  <c r="I30" i="32" l="1"/>
  <c r="I32" i="32"/>
  <c r="I28" i="32"/>
  <c r="I29" i="32"/>
  <c r="I45" i="32"/>
  <c r="I48" i="32" s="1"/>
  <c r="I47" i="32" l="1"/>
  <c r="I49" i="32"/>
  <c r="I50" i="32"/>
  <c r="I36" i="32"/>
  <c r="I39" i="32"/>
  <c r="I37" i="32"/>
  <c r="I40" i="32"/>
  <c r="I46" i="32"/>
  <c r="AB14" i="41" l="1"/>
  <c r="E59" i="21" s="1"/>
  <c r="AB18" i="41"/>
  <c r="E63" i="21" s="1"/>
  <c r="AB12" i="41"/>
  <c r="E57" i="21" s="1"/>
  <c r="AB16" i="41"/>
  <c r="E61" i="21" s="1"/>
  <c r="AB17" i="41"/>
  <c r="E62" i="21" s="1"/>
  <c r="AB15" i="41"/>
  <c r="E60" i="21" s="1"/>
  <c r="AB13" i="41"/>
  <c r="E58" i="21" s="1"/>
  <c r="AH17" i="41"/>
  <c r="AH15" i="41"/>
  <c r="AH13" i="41"/>
  <c r="AH18" i="41"/>
  <c r="AH16" i="41"/>
  <c r="AH14" i="41"/>
  <c r="I38" i="32"/>
  <c r="AH12" i="41"/>
  <c r="I57" i="32"/>
  <c r="I54" i="32"/>
  <c r="I56" i="32"/>
  <c r="I53" i="32"/>
  <c r="I55" i="32" l="1"/>
  <c r="AH23" i="41"/>
  <c r="AH20" i="41"/>
  <c r="AH19" i="41"/>
  <c r="AH21" i="41"/>
  <c r="AH22" i="41"/>
  <c r="AB19" i="41"/>
  <c r="AB21" i="41"/>
  <c r="AB23" i="41"/>
  <c r="AB20" i="41"/>
  <c r="AB22" i="41"/>
  <c r="AE16" i="41"/>
  <c r="AE14" i="41"/>
  <c r="AE13" i="41"/>
  <c r="AE15" i="41"/>
  <c r="AE17" i="41"/>
  <c r="AE12" i="41"/>
  <c r="AK13" i="41" l="1"/>
  <c r="AN13" i="41" s="1"/>
  <c r="AQ13" i="41" s="1"/>
  <c r="AK12" i="41"/>
  <c r="AN12" i="41" s="1"/>
  <c r="AQ12" i="41" s="1"/>
  <c r="AK14" i="41"/>
  <c r="AN14" i="41" s="1"/>
  <c r="AQ14" i="41" s="1"/>
  <c r="AK16" i="41"/>
  <c r="AN16" i="41" s="1"/>
  <c r="AQ16" i="41" s="1"/>
  <c r="AK17" i="41"/>
  <c r="AN17" i="41" s="1"/>
  <c r="AQ17" i="41" s="1"/>
  <c r="AE20" i="41"/>
  <c r="E65" i="21"/>
  <c r="AE23" i="41"/>
  <c r="E68" i="21"/>
  <c r="AE21" i="41"/>
  <c r="E66" i="21"/>
  <c r="AE22" i="41"/>
  <c r="E67" i="21"/>
  <c r="AE19" i="41"/>
  <c r="E64" i="21"/>
  <c r="AK19" i="41" l="1"/>
  <c r="AN19" i="41" s="1"/>
  <c r="AQ19" i="41" s="1"/>
  <c r="AK21" i="41"/>
  <c r="AN21" i="41" s="1"/>
  <c r="AQ21" i="41" s="1"/>
  <c r="AK20" i="41"/>
  <c r="AN20" i="41" s="1"/>
  <c r="AQ20" i="41" s="1"/>
  <c r="AK22" i="41"/>
  <c r="AN22" i="41" s="1"/>
  <c r="AQ22" i="41" s="1"/>
  <c r="AK23" i="41"/>
  <c r="AN23" i="41" s="1"/>
  <c r="AQ23" i="41" s="1"/>
  <c r="D74" i="32" l="1"/>
  <c r="D72" i="32" s="1"/>
  <c r="E73" i="32"/>
  <c r="E74" i="32" s="1"/>
  <c r="E62" i="32" l="1"/>
  <c r="E61" i="32"/>
  <c r="F64" i="32" l="1"/>
  <c r="F66" i="32"/>
  <c r="F65" i="32"/>
  <c r="F67" i="32"/>
  <c r="F63" i="32"/>
  <c r="F74" i="32" l="1"/>
  <c r="F72" i="32" s="1"/>
  <c r="F71" i="32"/>
  <c r="F70" i="32"/>
  <c r="F73" i="32"/>
  <c r="G62" i="32" l="1"/>
  <c r="G61" i="32"/>
  <c r="G65" i="32" l="1"/>
  <c r="G67" i="32"/>
  <c r="G66" i="32"/>
  <c r="G64" i="32"/>
  <c r="G63" i="32"/>
  <c r="G73" i="32" l="1"/>
  <c r="G74" i="32"/>
  <c r="G72" i="32" s="1"/>
  <c r="G71" i="32"/>
  <c r="G70" i="32"/>
  <c r="H61" i="32" l="1"/>
  <c r="H63" i="32"/>
  <c r="H62" i="32"/>
  <c r="H64" i="32" l="1"/>
  <c r="H66" i="32"/>
  <c r="H67" i="32"/>
  <c r="H65" i="32"/>
  <c r="H74" i="32" l="1"/>
  <c r="H72" i="32" s="1"/>
  <c r="H73" i="32"/>
  <c r="H70" i="32"/>
  <c r="H71" i="32"/>
  <c r="I61" i="32" l="1"/>
  <c r="I65" i="32" s="1"/>
  <c r="I62" i="32"/>
  <c r="I64" i="32" s="1"/>
  <c r="I67" i="32"/>
  <c r="I66" i="32" l="1"/>
  <c r="I63" i="32"/>
  <c r="I70" i="32" l="1"/>
  <c r="I74" i="32"/>
  <c r="I72" i="32" s="1"/>
  <c r="I73" i="32"/>
  <c r="I71" i="32"/>
  <c r="AB26" i="41" l="1"/>
  <c r="E71" i="21" s="1"/>
  <c r="AB24" i="41"/>
  <c r="E69" i="21" s="1"/>
  <c r="AB28" i="41"/>
  <c r="E73" i="21" s="1"/>
  <c r="AB27" i="41"/>
  <c r="AB25" i="41"/>
  <c r="E70" i="21" s="1"/>
  <c r="AH24" i="41"/>
  <c r="AE27" i="41" l="1"/>
  <c r="E72" i="21"/>
  <c r="AE24" i="41"/>
  <c r="AE28" i="41"/>
  <c r="AE25" i="41"/>
  <c r="AE26" i="41"/>
  <c r="AK26" i="41" s="1"/>
  <c r="AN26" i="41" s="1"/>
  <c r="AK28" i="41" l="1"/>
  <c r="AN28" i="41" s="1"/>
  <c r="AQ28" i="41" s="1"/>
  <c r="AK24" i="41"/>
  <c r="AN24" i="41" s="1"/>
  <c r="AQ24" i="41" s="1"/>
  <c r="AK25" i="41"/>
  <c r="AN25" i="41" s="1"/>
  <c r="AQ25" i="41" s="1"/>
  <c r="AK27" i="41"/>
  <c r="AN27" i="41" s="1"/>
  <c r="AQ27" i="41" s="1"/>
  <c r="Y81" i="21"/>
  <c r="AQ26" i="41"/>
  <c r="G21" i="32"/>
  <c r="G19" i="32" s="1"/>
  <c r="G18" i="32"/>
  <c r="G17" i="32"/>
  <c r="G20" i="32"/>
  <c r="Y85" i="21" l="1"/>
  <c r="Y86" i="21"/>
  <c r="Y82" i="21"/>
  <c r="Y87" i="21"/>
  <c r="Y88" i="21"/>
  <c r="Y83" i="21"/>
  <c r="Y80" i="21"/>
  <c r="Y84" i="21"/>
  <c r="H3" i="32"/>
  <c r="H2" i="32"/>
  <c r="H10" i="32" l="1"/>
  <c r="H13" i="32"/>
  <c r="H6" i="32"/>
  <c r="H8" i="32"/>
  <c r="H11" i="32"/>
  <c r="H9" i="32"/>
  <c r="H12" i="32"/>
  <c r="H7" i="32"/>
  <c r="H14" i="32"/>
  <c r="H20" i="32" l="1"/>
  <c r="H21" i="32"/>
  <c r="H19" i="32" s="1"/>
  <c r="H18" i="32"/>
  <c r="H17" i="32"/>
  <c r="I2" i="32" l="1"/>
  <c r="I3" i="32"/>
  <c r="I7" i="32" l="1"/>
  <c r="I9" i="32"/>
  <c r="I10" i="32"/>
  <c r="I8" i="32"/>
  <c r="I12" i="32"/>
  <c r="I14" i="32"/>
  <c r="I6" i="32"/>
  <c r="I11" i="32"/>
  <c r="I13" i="32"/>
  <c r="I18" i="32" l="1"/>
  <c r="I21" i="32"/>
  <c r="I20" i="32"/>
  <c r="I17" i="32"/>
  <c r="AB3" i="41" l="1"/>
  <c r="AB2" i="41"/>
  <c r="E47" i="21" s="1"/>
  <c r="AB6" i="41"/>
  <c r="E51" i="21" s="1"/>
  <c r="AB10" i="41"/>
  <c r="E55" i="21" s="1"/>
  <c r="AB8" i="41"/>
  <c r="E53" i="21" s="1"/>
  <c r="AB5" i="41"/>
  <c r="E50" i="21" s="1"/>
  <c r="E48" i="21"/>
  <c r="AB7" i="41"/>
  <c r="E52" i="21" s="1"/>
  <c r="AB11" i="41"/>
  <c r="E56" i="21" s="1"/>
  <c r="AB4" i="41"/>
  <c r="E49" i="21" s="1"/>
  <c r="AB9" i="41"/>
  <c r="E54" i="21" s="1"/>
  <c r="AH10" i="41"/>
  <c r="AH8" i="41"/>
  <c r="AH6" i="41"/>
  <c r="AH4" i="41"/>
  <c r="AH11" i="41"/>
  <c r="AH9" i="41"/>
  <c r="AH7" i="41"/>
  <c r="AH5" i="41"/>
  <c r="AH3" i="41"/>
  <c r="I19" i="32"/>
  <c r="AH2" i="41"/>
  <c r="AE10" i="41" l="1"/>
  <c r="AE9" i="41"/>
  <c r="AE4" i="41"/>
  <c r="AE6" i="41"/>
  <c r="AE8" i="41"/>
  <c r="AE7" i="41"/>
  <c r="AE3" i="41"/>
  <c r="AE5" i="41"/>
  <c r="AE11" i="41"/>
  <c r="AQ11" i="41" s="1"/>
  <c r="AK6" i="41" l="1"/>
  <c r="AN6" i="41" s="1"/>
  <c r="AQ6" i="41" s="1"/>
  <c r="AK4" i="41"/>
  <c r="AN4" i="41" s="1"/>
  <c r="AQ4" i="41" s="1"/>
  <c r="AK5" i="41"/>
  <c r="AN5" i="41" s="1"/>
  <c r="AQ5" i="41" s="1"/>
  <c r="AK3" i="41"/>
  <c r="AN3" i="41" s="1"/>
  <c r="AQ3" i="41" s="1"/>
  <c r="AK7" i="41"/>
  <c r="AN7" i="41" s="1"/>
  <c r="AQ7" i="41" s="1"/>
  <c r="AK9" i="41"/>
  <c r="AN9" i="41" s="1"/>
  <c r="AQ9" i="41" s="1"/>
  <c r="AK8" i="41"/>
  <c r="AN8" i="41" s="1"/>
  <c r="AQ8" i="41" s="1"/>
  <c r="AK10" i="41"/>
  <c r="AN10" i="41" s="1"/>
  <c r="AQ10" i="4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ksheetConnection_Sheet1!$Q$5:$Q$34" type="5" refreshedVersion="2" saveData="1">
    <dbPr connection="" command=""/>
  </connection>
</connections>
</file>

<file path=xl/sharedStrings.xml><?xml version="1.0" encoding="utf-8"?>
<sst xmlns="http://schemas.openxmlformats.org/spreadsheetml/2006/main" count="2448" uniqueCount="498">
  <si>
    <t>STT</t>
  </si>
  <si>
    <t>MÃ TỈNH</t>
  </si>
  <si>
    <t>HẠNG</t>
  </si>
  <si>
    <t>MÃ NK</t>
  </si>
  <si>
    <t>MÃ
ĐV</t>
  </si>
  <si>
    <t>TÊN
ĐV</t>
  </si>
  <si>
    <t xml:space="preserve">trả KQ </t>
  </si>
  <si>
    <t>QBL01
IU</t>
  </si>
  <si>
    <t>QBL02
IU</t>
  </si>
  <si>
    <t>QBL03
IU</t>
  </si>
  <si>
    <t>QBL01
IU
log</t>
  </si>
  <si>
    <t>QBL02
IU
log</t>
  </si>
  <si>
    <t>QBL03
IU
log</t>
  </si>
  <si>
    <t>hệ số quy đổi</t>
  </si>
  <si>
    <t>QBL01 
COPY</t>
  </si>
  <si>
    <t>QBL02 
COPY</t>
  </si>
  <si>
    <t>QBL03 
COPY</t>
  </si>
  <si>
    <t>QBL01 
COPY
LOG</t>
  </si>
  <si>
    <t>QBL02 
COPY
LOG</t>
  </si>
  <si>
    <t>QBL03 
COPY
LOG</t>
  </si>
  <si>
    <t>mean 1</t>
  </si>
  <si>
    <t>mean 2</t>
  </si>
  <si>
    <t>mean 3</t>
  </si>
  <si>
    <t>chênh 1</t>
  </si>
  <si>
    <t>chênh 2</t>
  </si>
  <si>
    <t>chênh 3</t>
  </si>
  <si>
    <t>điểm 1</t>
  </si>
  <si>
    <t>điểm 2</t>
  </si>
  <si>
    <t>điểm 3</t>
  </si>
  <si>
    <t>tổng</t>
  </si>
  <si>
    <t>tbinh</t>
  </si>
  <si>
    <t>sd</t>
  </si>
  <si>
    <t>tluy</t>
  </si>
  <si>
    <t>hxuat</t>
  </si>
  <si>
    <t>kit tc</t>
  </si>
  <si>
    <t>pp tc</t>
  </si>
  <si>
    <t>máy tc</t>
  </si>
  <si>
    <t>kit pcr</t>
  </si>
  <si>
    <t>pp pcr</t>
  </si>
  <si>
    <t>máy pcr</t>
  </si>
  <si>
    <t>nnm</t>
  </si>
  <si>
    <t>nptm</t>
  </si>
  <si>
    <t>ntkq</t>
  </si>
  <si>
    <t>ttknm</t>
  </si>
  <si>
    <t>ndnm</t>
  </si>
  <si>
    <t>ĐK BQ</t>
  </si>
  <si>
    <t>MEAN IU 1</t>
  </si>
  <si>
    <t>MEAN IU 2</t>
  </si>
  <si>
    <t>MEAN IU 3</t>
  </si>
  <si>
    <t>1</t>
  </si>
  <si>
    <t>QBL021</t>
  </si>
  <si>
    <t>DNG203</t>
  </si>
  <si>
    <t>BỆNH VIỆN UNG BƯỚU ĐÀ NẴNG</t>
  </si>
  <si>
    <t>Ribo virus</t>
  </si>
  <si>
    <t>IVD (Sacace-Ý)</t>
  </si>
  <si>
    <t>HBV Real -TM Quant Dx, IVD (Sacace-Ý)</t>
  </si>
  <si>
    <t>ABI 7500 Fast</t>
  </si>
  <si>
    <t>ABI</t>
  </si>
  <si>
    <t>2-8</t>
  </si>
  <si>
    <t>2</t>
  </si>
  <si>
    <t>QBL020</t>
  </si>
  <si>
    <t>DNG508</t>
  </si>
  <si>
    <t>BỆNH VIỆN ĐA KHOA QUỐC TẾ VINMEC ĐÀ NẴNG</t>
  </si>
  <si>
    <t>HBV Real-TM Quant DX</t>
  </si>
  <si>
    <t>Sacace- Ý.</t>
  </si>
  <si>
    <t>HBV Real-TM Quant DX, Sacace- Ý.</t>
  </si>
  <si>
    <t xml:space="preserve">7500 Fast Real Time PCR,Thermo,USA. </t>
  </si>
  <si>
    <t>Đạt</t>
  </si>
  <si>
    <t>4</t>
  </si>
  <si>
    <t>HCM</t>
  </si>
  <si>
    <t>QBL030</t>
  </si>
  <si>
    <t>HCM508</t>
  </si>
  <si>
    <t>BỆNH VIỆN ĐA KHOA QUỐC TẾ VINMEC CENTRAL PARK</t>
  </si>
  <si>
    <t xml:space="preserve"> SaMag</t>
  </si>
  <si>
    <t>SaMag12</t>
  </si>
  <si>
    <t>SaMag</t>
  </si>
  <si>
    <t>ABI7500Fast</t>
  </si>
  <si>
    <t>5</t>
  </si>
  <si>
    <t>TW</t>
  </si>
  <si>
    <t>HCM106M</t>
  </si>
  <si>
    <t>TRUNG TÂM ĐÀO TẠO VÀ CHẨN ĐOÁN Y SINH HỌC PHÂN TỬ</t>
  </si>
  <si>
    <t>Hạt từ</t>
  </si>
  <si>
    <t>Qiasymphony</t>
  </si>
  <si>
    <t>Agilent</t>
  </si>
  <si>
    <t>Nguyên vẹn</t>
  </si>
  <si>
    <t>HCM107</t>
  </si>
  <si>
    <t>BỆNH VIỆN ĐHYD TP.HCM</t>
  </si>
  <si>
    <t>QBL017</t>
  </si>
  <si>
    <t>KHA201V</t>
  </si>
  <si>
    <t>BỆNH VIỆN ĐA KHOA TỈNH KHÁNH HÒA</t>
  </si>
  <si>
    <t>Stratagene Mx3000P</t>
  </si>
  <si>
    <t>6</t>
  </si>
  <si>
    <t>QBL018</t>
  </si>
  <si>
    <t>BTN201</t>
  </si>
  <si>
    <t>BỆNH VIỆN ĐA KHOA BÌNH THUẬN</t>
  </si>
  <si>
    <t>IVD NK DNARNAprep - BOOM kit</t>
  </si>
  <si>
    <t>THỦ CÔNG</t>
  </si>
  <si>
    <t>IVD NK qPCR - Vbquant kit</t>
  </si>
  <si>
    <t>Agilent – Mỹ , Model ARIAMX</t>
  </si>
  <si>
    <t>QBL007</t>
  </si>
  <si>
    <t>QNI201V</t>
  </si>
  <si>
    <t>BỆNH VIỆN ĐA KHOA TỈNH QUẢNG NGÃI</t>
  </si>
  <si>
    <t>Realtime RCR Mx3005p</t>
  </si>
  <si>
    <t>ĐẠT</t>
  </si>
  <si>
    <t>Roche</t>
  </si>
  <si>
    <t>QBL012</t>
  </si>
  <si>
    <t>DNI201V</t>
  </si>
  <si>
    <t>BỆNH VIỆN ĐA KHOA ĐỒNG NAI</t>
  </si>
  <si>
    <t>Máy CAP CTM</t>
  </si>
  <si>
    <t>QBL002</t>
  </si>
  <si>
    <t>DNG201V</t>
  </si>
  <si>
    <t>BỆNH VIỆN ĐÀ NẴNG</t>
  </si>
  <si>
    <t>COBAS® AmpliPrep/COBAS® TaqMan® HBV Test, v2.0</t>
  </si>
  <si>
    <t>Tự động</t>
  </si>
  <si>
    <t>Cobas Ampliprep</t>
  </si>
  <si>
    <t xml:space="preserve">COBAS® AmpliPrep/COBAS® TaqMan® HBV Test, v2.0 </t>
  </si>
  <si>
    <t xml:space="preserve">Tự động </t>
  </si>
  <si>
    <t>COBAS® TaqMan® Analyzer</t>
  </si>
  <si>
    <t>QBL034</t>
  </si>
  <si>
    <t>BDG203</t>
  </si>
  <si>
    <t>BỆNH VIỆN PHỤ SẢN NHI BÌNH DƯƠNG</t>
  </si>
  <si>
    <t>TANBead</t>
  </si>
  <si>
    <t>KT Bio Tech</t>
  </si>
  <si>
    <t>LightCycler 96</t>
  </si>
  <si>
    <t>QBL035</t>
  </si>
  <si>
    <t>QNM201</t>
  </si>
  <si>
    <t>BVĐK TỈNH QUẢNG NAM</t>
  </si>
  <si>
    <t>COBAS ®AmpliPrep/COBAS®TaqMan® HBV Tet, V20.</t>
  </si>
  <si>
    <t>COBAS AmpliPrep</t>
  </si>
  <si>
    <t xml:space="preserve">Realtime PCR </t>
  </si>
  <si>
    <t>COBAS TaqMan 48</t>
  </si>
  <si>
    <t>4-8</t>
  </si>
  <si>
    <t>QBL032</t>
  </si>
  <si>
    <t>KTM201V</t>
  </si>
  <si>
    <t>BỆNH VIỆN ĐA KHOA TỈNH KON TUM</t>
  </si>
  <si>
    <t>Cobas x480</t>
  </si>
  <si>
    <t>Cobas z480</t>
  </si>
  <si>
    <t>Tốt</t>
  </si>
  <si>
    <t>QBL004</t>
  </si>
  <si>
    <t>DNI203V</t>
  </si>
  <si>
    <t>BỆNH VIỆN ĐA KHOA THỐNG NHẤT ĐỒNG NAI</t>
  </si>
  <si>
    <t>Tand bead</t>
  </si>
  <si>
    <t xml:space="preserve">Máy Rotor Gene Q 5 plex </t>
  </si>
  <si>
    <t>Rotor Gene Q</t>
  </si>
  <si>
    <t>TỐT</t>
  </si>
  <si>
    <t>Không rõ</t>
  </si>
  <si>
    <t>Khác</t>
  </si>
  <si>
    <t>QBL036</t>
  </si>
  <si>
    <t>QNM509</t>
  </si>
  <si>
    <t>PHÒNG XÉT NGHIỆM TRƯỜNG ĐẠI HỌC PHAN CHÂU TRINH</t>
  </si>
  <si>
    <t>Bộ xét nghiệm IVD NK DNARNAprep – MAGBED – FLEX kit</t>
  </si>
  <si>
    <t xml:space="preserve">KingFisher Flex. 
</t>
  </si>
  <si>
    <t>Bộ xét nghiệm IVD NK PCR – VB quant kit</t>
  </si>
  <si>
    <t>Bán tự động</t>
  </si>
  <si>
    <t>Rotor Gene Q MDx 5plex Platform</t>
  </si>
  <si>
    <t>20</t>
  </si>
  <si>
    <t>QBL011</t>
  </si>
  <si>
    <t>HCM101H</t>
  </si>
  <si>
    <t>BỆNH VIỆN CHỢ RẪY</t>
  </si>
  <si>
    <t>artus HBV QS-RGQ</t>
  </si>
  <si>
    <t>QIAsymphony/Rotor-Gene Q MDX 5 Plex HRM</t>
  </si>
  <si>
    <t>QBL026</t>
  </si>
  <si>
    <t>HCM604</t>
  </si>
  <si>
    <t>BỆNH VIỆN QUÂN Y 7A</t>
  </si>
  <si>
    <t>QIA amp 96 virus QIA cube HT kit</t>
  </si>
  <si>
    <t>QIA cube HT</t>
  </si>
  <si>
    <t>artus HBV QS-RGQ kit</t>
  </si>
  <si>
    <t>Realtime PCR</t>
  </si>
  <si>
    <t xml:space="preserve">Rotor Gene Q </t>
  </si>
  <si>
    <t>QBL029</t>
  </si>
  <si>
    <t>GLI501</t>
  </si>
  <si>
    <t>CTCP BỆNH VIỆN ĐẠI HỌC Y DƯỢC HOÀNG ANH GIA LAI</t>
  </si>
  <si>
    <t>Bộ Kit tách chiết Vibo Virus</t>
  </si>
  <si>
    <t>Tách chiết thủ công</t>
  </si>
  <si>
    <t xml:space="preserve">Bộ Kit HBV Real-TM Quant Dx </t>
  </si>
  <si>
    <t>Realtime PCR Sacece (Ý)</t>
  </si>
  <si>
    <t>Sacace</t>
  </si>
  <si>
    <t>3</t>
  </si>
  <si>
    <t>QBL039</t>
  </si>
  <si>
    <t>QNM303</t>
  </si>
  <si>
    <t>BỆNH VIỆN ĐA KHOA VĨNH ĐỨC</t>
  </si>
  <si>
    <t>Viral Nucleic Acid Extracion kit</t>
  </si>
  <si>
    <t>công nghệ hạt từ</t>
  </si>
  <si>
    <t>SaMag-12 IVD</t>
  </si>
  <si>
    <t>HBV Real – TM Quant Dx kit</t>
  </si>
  <si>
    <t xml:space="preserve">Real-time PCR </t>
  </si>
  <si>
    <t>SaCycler-96 Real Time PCR System</t>
  </si>
  <si>
    <t>Nguyên vẹn - Tốt</t>
  </si>
  <si>
    <t>10</t>
  </si>
  <si>
    <t>QBL003</t>
  </si>
  <si>
    <t>DNG501</t>
  </si>
  <si>
    <t>CÔNG TY CỔ PHẦN BỆNH VIỆN ĐA KHOA HOÀN MỸ ĐÀ NẴNG</t>
  </si>
  <si>
    <t>SaMag Viral Nucleic Acid Extraction Kit</t>
  </si>
  <si>
    <t>SaMag-12</t>
  </si>
  <si>
    <t>Realtime PCR Sacycler</t>
  </si>
  <si>
    <t>Biorad</t>
  </si>
  <si>
    <t>QBL001</t>
  </si>
  <si>
    <t>BDH101P</t>
  </si>
  <si>
    <t>BỆNH VIỆN PHONG DA LIỄU TRUNG ƯƠNG QUY HÒA</t>
  </si>
  <si>
    <t>AccuRive pDNA Prep Kit</t>
  </si>
  <si>
    <t>AccuPid HBV Quantification Kit</t>
  </si>
  <si>
    <t>Mẫu được bảo quản 3 lớp đúng quy cách, trong thùng đá lạnh</t>
  </si>
  <si>
    <t>QBL028</t>
  </si>
  <si>
    <t>AGG201</t>
  </si>
  <si>
    <t>BỆNH VIỆN ĐA KHOA TRUNG TÂM AN GIANG</t>
  </si>
  <si>
    <t xml:space="preserve"> TANBead Nucleic Aicd Extraction Kit </t>
  </si>
  <si>
    <t xml:space="preserve">AccuPid HBV Quantification Kit  </t>
  </si>
  <si>
    <t>CFX96</t>
  </si>
  <si>
    <t>8-15</t>
  </si>
  <si>
    <t>QBL008</t>
  </si>
  <si>
    <t>QNM101V</t>
  </si>
  <si>
    <t>BỆNH VIỆN ĐA KHOA TRUNG ƯƠNG QUẢNG NAM</t>
  </si>
  <si>
    <t>QBL013</t>
  </si>
  <si>
    <t>BDH201V</t>
  </si>
  <si>
    <t>KHOA VI SINH BỆNH VIỆN ĐA KHOA TỈNH BÌNH ĐỊNH</t>
  </si>
  <si>
    <t>Thủ công</t>
  </si>
  <si>
    <t>qTower 2.2</t>
  </si>
  <si>
    <t>Qtower</t>
  </si>
  <si>
    <t>QBL015</t>
  </si>
  <si>
    <t>DNG102V</t>
  </si>
  <si>
    <t xml:space="preserve"> BỆNH VIỆN C ĐÀ NẴNG</t>
  </si>
  <si>
    <t>Sacace- Ý</t>
  </si>
  <si>
    <t>Tách chiết cột</t>
  </si>
  <si>
    <t>Sacace –Ý</t>
  </si>
  <si>
    <t>Lạnh</t>
  </si>
  <si>
    <t>QBL038</t>
  </si>
  <si>
    <t>HCM529</t>
  </si>
  <si>
    <t>HANHPHUCLAB</t>
  </si>
  <si>
    <t>TopPURE@MAGA SERUM DNA/RNA EXTRACTION KIT_ABT</t>
  </si>
  <si>
    <t>GenePure Pro-Bioer</t>
  </si>
  <si>
    <t>QBL016</t>
  </si>
  <si>
    <t>LDG201</t>
  </si>
  <si>
    <t>BỆNH VIỆN ĐA KHOA LÂM ĐỒNG</t>
  </si>
  <si>
    <t>Row Labels</t>
  </si>
  <si>
    <t>Grand Total</t>
  </si>
  <si>
    <t>số lượng</t>
  </si>
  <si>
    <t>%</t>
  </si>
  <si>
    <t>Điểm tích lũy</t>
  </si>
  <si>
    <t>Hiệu xuất</t>
  </si>
  <si>
    <t>ĐỢT 1</t>
  </si>
  <si>
    <t>ĐỢT 2</t>
  </si>
  <si>
    <t>ĐỢT 3</t>
  </si>
  <si>
    <t>MEAN</t>
  </si>
  <si>
    <t>SD</t>
  </si>
  <si>
    <t>trả kết quả</t>
  </si>
  <si>
    <t>0</t>
  </si>
  <si>
    <t>Âm tính</t>
  </si>
  <si>
    <t>COBAS® AmpliPrep/COBAS® TaqMan® HCV Test, v2.0</t>
  </si>
  <si>
    <t xml:space="preserve">COBAS® AmpliPrep/COBAS® TaqMan® HCV Test, v2.0 </t>
  </si>
  <si>
    <t>Việt Á</t>
  </si>
  <si>
    <t>HCM103V</t>
  </si>
  <si>
    <t>HCM101V</t>
  </si>
  <si>
    <t>Thermo Fisher</t>
  </si>
  <si>
    <t>Tách chiết tự động bằng hạt từ</t>
  </si>
  <si>
    <t>DNG504</t>
  </si>
  <si>
    <t>Đóng gói kín</t>
  </si>
  <si>
    <t>Count of tổng2</t>
  </si>
  <si>
    <t>BDG201V</t>
  </si>
  <si>
    <t>BỆNH VIỆN ĐK TỈNH BÌNH DƯƠNG</t>
  </si>
  <si>
    <t>Pure 24 Total NA Isolation Kit</t>
  </si>
  <si>
    <t>bằng công nghệ hạt bi từ tính</t>
  </si>
  <si>
    <t>MagNA Pure 24</t>
  </si>
  <si>
    <t>Real-time PCR công nghệ Photomultipler</t>
  </si>
  <si>
    <t>LIGHT CYCLER 96</t>
  </si>
  <si>
    <t>x</t>
  </si>
  <si>
    <t>Smart labAssist</t>
  </si>
  <si>
    <t>BỆNH VIỆN ĐA KHOA GIA ĐÌNH</t>
  </si>
  <si>
    <t xml:space="preserve">TopPURE®MAGA SERUM DNA EXTRACTION KIT </t>
  </si>
  <si>
    <t>Tách chiết từ hãng ABT</t>
  </si>
  <si>
    <t>BIOER_NPA-32P</t>
  </si>
  <si>
    <t>LightPower iVAHBV qPCR Kit VA.A02</t>
  </si>
  <si>
    <t>Mygo Pro 1</t>
  </si>
  <si>
    <t>Mygo</t>
  </si>
  <si>
    <t>Mygo Pro 2</t>
  </si>
  <si>
    <t>IVD NK qPCR-VBquant kit</t>
  </si>
  <si>
    <t>Công ty Nam Khoa</t>
  </si>
  <si>
    <t>COBAS AmpliPrep-COBAS TaqMan hepatitis B virus (HBV) test</t>
  </si>
  <si>
    <t>xi-new x*</t>
  </si>
  <si>
    <t>1st interation</t>
  </si>
  <si>
    <t>2nd</t>
  </si>
  <si>
    <t>3rd</t>
  </si>
  <si>
    <t>4th</t>
  </si>
  <si>
    <t>Average</t>
  </si>
  <si>
    <t>Variance</t>
  </si>
  <si>
    <t>New x*</t>
  </si>
  <si>
    <t>New s*</t>
  </si>
  <si>
    <t xml:space="preserve">1st </t>
  </si>
  <si>
    <t>sd1</t>
  </si>
  <si>
    <t>sd2</t>
  </si>
  <si>
    <t>sd3</t>
  </si>
  <si>
    <t>SDI1</t>
  </si>
  <si>
    <t>SDI2</t>
  </si>
  <si>
    <t>SDI3</t>
  </si>
  <si>
    <t>LightPower iVA HBV qPCR Plus Kit (Việt Á)</t>
  </si>
  <si>
    <t>NA HBV qPCR Mix</t>
  </si>
  <si>
    <t>NHÓM HÓA CHẤT</t>
  </si>
  <si>
    <t>CAT/CTM</t>
  </si>
  <si>
    <t>AccuPid HBV</t>
  </si>
  <si>
    <t>artus HBV</t>
  </si>
  <si>
    <t>IVD NK</t>
  </si>
  <si>
    <t>Sacace-Ý</t>
  </si>
  <si>
    <t xml:space="preserve"> </t>
  </si>
  <si>
    <t>Hệ máy</t>
  </si>
  <si>
    <t>Tách chiết từ</t>
  </si>
  <si>
    <t>Máy tand bead SLA-32</t>
  </si>
  <si>
    <t xml:space="preserve"> HBV Real – TM Quant Dx</t>
  </si>
  <si>
    <t xml:space="preserve">Bộ hoá chất tách chiết DNA/RNA </t>
  </si>
  <si>
    <t>tách chiết bằng cột Silica</t>
  </si>
  <si>
    <t xml:space="preserve">AccuPid HBV Quantification Kit Cty Khoa Thương </t>
  </si>
  <si>
    <t>Máy Realtime PCR Agilent AriaDx</t>
  </si>
  <si>
    <t>QBL042</t>
  </si>
  <si>
    <t>BDG570</t>
  </si>
  <si>
    <t>CÔNG TY TNHH SINH HỌC PHÂN TỬ TRÍ VIỆT</t>
  </si>
  <si>
    <t>STARMag 96</t>
  </si>
  <si>
    <t>hạt từ trên hệ thống máy tự động</t>
  </si>
  <si>
    <t>SEEPREP32</t>
  </si>
  <si>
    <t>AccuPid HBV Quantification</t>
  </si>
  <si>
    <t>QIAquant 96 5Plex</t>
  </si>
  <si>
    <t>-5</t>
  </si>
  <si>
    <t>Mẫu không lạnh, đá khô đã tan gần hết</t>
  </si>
  <si>
    <t>IU</t>
  </si>
  <si>
    <t>Qiagen</t>
  </si>
  <si>
    <t>min, max</t>
  </si>
  <si>
    <t>Count of QBL02</t>
  </si>
  <si>
    <t>Nam Khoa</t>
  </si>
  <si>
    <t>HCM526</t>
  </si>
  <si>
    <t>ACCUPID HBV QUANTIFICATION KIT Q01HBV02.2A</t>
  </si>
  <si>
    <t>REALTIME PCR</t>
  </si>
  <si>
    <t>ROTO GENE Q</t>
  </si>
  <si>
    <t>MẪU ĐÔNG KHÔ BẢO QUẢN LẠNH</t>
  </si>
  <si>
    <t>LẠNH</t>
  </si>
  <si>
    <t>QBL043</t>
  </si>
  <si>
    <t>XÉT NGHIỆM Y KHOA ILAB</t>
  </si>
  <si>
    <t>Nguyên hộp</t>
  </si>
  <si>
    <t>5,8</t>
  </si>
  <si>
    <t>GeneProof Hepatitis B virus (HBV)</t>
  </si>
  <si>
    <t>QuantStudiaTM5 Dx Realtime PCR</t>
  </si>
  <si>
    <t>DNI549</t>
  </si>
  <si>
    <t>PHÒNG KHÁM ĐA KHOA ÁI NGHĨA NHƠN TRẠCH</t>
  </si>
  <si>
    <t>TopPURE@MAGA Genomic DNA/RNA EXTRACTION KIT</t>
  </si>
  <si>
    <t>ABT</t>
  </si>
  <si>
    <t>QBL044</t>
  </si>
  <si>
    <t/>
  </si>
  <si>
    <t>QBL01</t>
  </si>
  <si>
    <t>Tất cả hóa chất</t>
  </si>
  <si>
    <t>kết quả đơn vị</t>
  </si>
  <si>
    <t>QBL03</t>
  </si>
  <si>
    <t>Số lượng đơn vị</t>
  </si>
  <si>
    <t>Phần trăm tích lũy của các đơn vị</t>
  </si>
  <si>
    <t>Điểm của đơn vị</t>
  </si>
  <si>
    <t>Series 1</t>
  </si>
  <si>
    <t>Dưới ngưỡng phát hiện</t>
  </si>
  <si>
    <t>N/A</t>
  </si>
  <si>
    <t>Dương tính</t>
  </si>
  <si>
    <t>Kết quả đơn vị</t>
  </si>
  <si>
    <t>Microfuge-20R (Beckman Coulter)</t>
  </si>
  <si>
    <t>Abbott</t>
  </si>
  <si>
    <t>DLK315</t>
  </si>
  <si>
    <t>Tách chiết tự động</t>
  </si>
  <si>
    <t>BỆNH VIỆN ĐẠI HỌC Y DƯỢC BUÔN MA THUỘT</t>
  </si>
  <si>
    <t>CHU KỲ</t>
  </si>
  <si>
    <t>ĐỢT</t>
  </si>
  <si>
    <t>MẪU</t>
  </si>
  <si>
    <t>NGÀY TRẢ REPORT</t>
  </si>
  <si>
    <t>CBA601</t>
  </si>
  <si>
    <t>HCM538</t>
  </si>
  <si>
    <t>KHA211</t>
  </si>
  <si>
    <t>TNH502</t>
  </si>
  <si>
    <t>Hộp đựng mẫu nguyên vẹn, các ống chứa mấu vặn nắp kín</t>
  </si>
  <si>
    <t>7500 Fast</t>
  </si>
  <si>
    <t xml:space="preserve">ABI </t>
  </si>
  <si>
    <t>Tanbead nucleic acid extraction</t>
  </si>
  <si>
    <t>Tanbead Nanotechnology Inside</t>
  </si>
  <si>
    <t>Còn lạnh</t>
  </si>
  <si>
    <t>QIAsymphony DSP Virus/Pathogen Mini Kit</t>
  </si>
  <si>
    <t>HBV REAL-TM QUANT DX</t>
  </si>
  <si>
    <t>SaCycler-96</t>
  </si>
  <si>
    <t>GeneProof</t>
  </si>
  <si>
    <t>GeneProof PathogenFree DNA Isolation Kit</t>
  </si>
  <si>
    <t>Sắc ký ái lực cột</t>
  </si>
  <si>
    <t>GeneProof Hepatitis B Virus (HBV) PCR Kit</t>
  </si>
  <si>
    <t>CFX96 Dx System (Bio-rad)</t>
  </si>
  <si>
    <t>Bio-rad</t>
  </si>
  <si>
    <t>Alinity m</t>
  </si>
  <si>
    <t>Cobas</t>
  </si>
  <si>
    <t>Cobas Tagman HBV Test v2.0</t>
  </si>
  <si>
    <t>Cobas Tagman 48</t>
  </si>
  <si>
    <t>TopPURE Maga Serum Viral Extraction Kit (DNA/RNA)</t>
  </si>
  <si>
    <t>Từ tính</t>
  </si>
  <si>
    <t>NPA-32 Bioer</t>
  </si>
  <si>
    <t>Real-time PCR</t>
  </si>
  <si>
    <t>AriaDx</t>
  </si>
  <si>
    <t>Khô</t>
  </si>
  <si>
    <t>KIT CAP-G/CTM HBV</t>
  </si>
  <si>
    <t>Hạt từ tính MGP</t>
  </si>
  <si>
    <t>Cobas AmpliPrep Version 2.0</t>
  </si>
  <si>
    <t>Cobas Tagman Version 2.0</t>
  </si>
  <si>
    <t>TANBead Nucleic Acid Extraction Kit</t>
  </si>
  <si>
    <t>Smart Lab Assit (SAL-32)</t>
  </si>
  <si>
    <t>Realtime PCR Taqman probe</t>
  </si>
  <si>
    <t>Insta Q96</t>
  </si>
  <si>
    <t>Himedia</t>
  </si>
  <si>
    <t>BIOMED PHNOM PENH MEDICAL ANALYSIS LABORATORY</t>
  </si>
  <si>
    <t>QBL049</t>
  </si>
  <si>
    <t>QBL050</t>
  </si>
  <si>
    <t>QBL045</t>
  </si>
  <si>
    <t>BỆNH VIỆN THỐNG NHẤT-TPHCM</t>
  </si>
  <si>
    <t>Công ty TNHH Xét nghiệm y khoa Medilab Sài Gòn</t>
  </si>
  <si>
    <t>QBL051</t>
  </si>
  <si>
    <t xml:space="preserve">	BỆNH VIỆN BỆNH NHIỆT ĐỚI KHÁNH HÒA</t>
  </si>
  <si>
    <t>QBL047</t>
  </si>
  <si>
    <t>BỆNH VIỆN ĐA KHOA TƯ NHÂN LÊ NGỌC TÙNG</t>
  </si>
  <si>
    <t>QBL048</t>
  </si>
  <si>
    <t>QBL046</t>
  </si>
  <si>
    <t>Not Detected</t>
  </si>
  <si>
    <t>Không phát hiện thấy HBV DNA</t>
  </si>
  <si>
    <t>Target Not Detected</t>
  </si>
  <si>
    <t>Analytik jena-qTower 2.2</t>
  </si>
  <si>
    <t>MÃ
NK</t>
  </si>
  <si>
    <t>QBL01 IU log</t>
  </si>
  <si>
    <t>QBL01 IU log2</t>
  </si>
  <si>
    <t>MagNa Purre 96 DNA and Viral NA Small Volume Kit</t>
  </si>
  <si>
    <t>Rotor-Gene Q5 plex</t>
  </si>
  <si>
    <t>2.13-2.63</t>
  </si>
  <si>
    <t>2.63-3.13</t>
  </si>
  <si>
    <t>3.13-3.63</t>
  </si>
  <si>
    <t>3.63-4.13</t>
  </si>
  <si>
    <t>4.13-4.63</t>
  </si>
  <si>
    <t>4.63-5.13</t>
  </si>
  <si>
    <t>5.13-5.63</t>
  </si>
  <si>
    <t>Count of QBL03</t>
  </si>
  <si>
    <t>1.8-2.15</t>
  </si>
  <si>
    <t>2.5-2.85</t>
  </si>
  <si>
    <t>2.85-3.2</t>
  </si>
  <si>
    <t>3.2-3.55</t>
  </si>
  <si>
    <t>3.55-3.9</t>
  </si>
  <si>
    <t>3.9-4.25</t>
  </si>
  <si>
    <t>4.95-5.3</t>
  </si>
  <si>
    <t>Cột lọc màng Silica</t>
  </si>
  <si>
    <t>19/04/2023</t>
  </si>
  <si>
    <t>21/04/2023</t>
  </si>
  <si>
    <t>26/04/2023</t>
  </si>
  <si>
    <t>22/04/2023</t>
  </si>
  <si>
    <t>-</t>
  </si>
  <si>
    <t>Alinity m-Abbott</t>
  </si>
  <si>
    <t>Đợt 1-2023</t>
  </si>
  <si>
    <t>Alinity m HCV Assay</t>
  </si>
  <si>
    <t>QBL006A</t>
  </si>
  <si>
    <t>QBL009B</t>
  </si>
  <si>
    <t>QBL040A</t>
  </si>
  <si>
    <t>QBL040B</t>
  </si>
  <si>
    <t>QBL041A</t>
  </si>
  <si>
    <t>Điểm</t>
  </si>
  <si>
    <t>Biểu đồ</t>
  </si>
  <si>
    <t>HẠN TRẢ KQ</t>
  </si>
  <si>
    <t>23/6/2023</t>
  </si>
  <si>
    <t>20/6/2023</t>
  </si>
  <si>
    <t>QBL009A</t>
  </si>
  <si>
    <t>QBL009C</t>
  </si>
  <si>
    <t>03/7/2023</t>
  </si>
  <si>
    <t>Đợt 2-2023</t>
  </si>
  <si>
    <t>Count of QBL01 IU log2</t>
  </si>
  <si>
    <t>1.39-1.94</t>
  </si>
  <si>
    <t>2.49-3.04</t>
  </si>
  <si>
    <t>3.04-3.59</t>
  </si>
  <si>
    <t>3.59-4.14</t>
  </si>
  <si>
    <t>4.14-4.69</t>
  </si>
  <si>
    <t>4.69-5.24</t>
  </si>
  <si>
    <t>08/10/2023</t>
  </si>
  <si>
    <t>30/10/2023</t>
  </si>
  <si>
    <t>26/9/2023</t>
  </si>
  <si>
    <t>27/9/2023</t>
  </si>
  <si>
    <t>10/10/2023</t>
  </si>
  <si>
    <t>02/10/2023</t>
  </si>
  <si>
    <t>03/10/2023</t>
  </si>
  <si>
    <t>29/9/2023</t>
  </si>
  <si>
    <t>28/9/2023</t>
  </si>
  <si>
    <t>25/9/2023</t>
  </si>
  <si>
    <t>04/10/2023</t>
  </si>
  <si>
    <t>05/10/2023</t>
  </si>
  <si>
    <t>06/10/2023</t>
  </si>
  <si>
    <t>07/10/2023</t>
  </si>
  <si>
    <t>09/10/2023</t>
  </si>
  <si>
    <t>09/2023</t>
  </si>
  <si>
    <t>QBL040C</t>
  </si>
  <si>
    <t>Đợt 3-2023</t>
  </si>
  <si>
    <t>3.4-3.7</t>
  </si>
  <si>
    <t>3.7-4</t>
  </si>
  <si>
    <t>4-4.3</t>
  </si>
  <si>
    <t>4.3-4.6</t>
  </si>
  <si>
    <t>4.6-4.9</t>
  </si>
  <si>
    <t>5.8-6.1</t>
  </si>
  <si>
    <t>3.53-3.88</t>
  </si>
  <si>
    <t>3.88-4.23</t>
  </si>
  <si>
    <t>4.23-4.58</t>
  </si>
  <si>
    <t>4.58-4.93</t>
  </si>
  <si>
    <t>4.93-5.28</t>
  </si>
  <si>
    <t>5.63-5.98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</si>
</sst>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2"/>
      <color theme="1"/>
      <name val="Times New Roman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8"/>
      <color theme="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8"/>
      <color theme="0"/>
      <name val="Times New Roman"/>
      <family val="1"/>
    </font>
    <font>
      <sz val="14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name val="Times New Roman"/>
      <family val="1"/>
    </font>
    <font>
      <sz val="12"/>
      <color rgb="FFFF000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b/>
      <sz val="12"/>
      <color rgb="FFFF0000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35E1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DBCE3B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BCE3B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15" fillId="0" borderId="0"/>
    <xf numFmtId="0" fontId="5" fillId="0" borderId="0"/>
    <xf numFmtId="0" fontId="5" fillId="0" borderId="0"/>
    <xf numFmtId="0" fontId="2" fillId="0" borderId="0"/>
    <xf numFmtId="0" fontId="1" fillId="0" borderId="0"/>
    <xf numFmtId="0" fontId="1" fillId="0" borderId="0"/>
  </cellStyleXfs>
  <cellXfs count="33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49" fontId="5" fillId="7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left"/>
    </xf>
    <xf numFmtId="49" fontId="10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6" fillId="8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/>
    <xf numFmtId="0" fontId="0" fillId="0" borderId="0" xfId="0" applyAlignment="1">
      <alignment horizontal="left" indent="1"/>
    </xf>
    <xf numFmtId="0" fontId="13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10" borderId="0" xfId="0" applyFont="1" applyFill="1"/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vertical="center" wrapText="1"/>
    </xf>
    <xf numFmtId="0" fontId="17" fillId="0" borderId="0" xfId="0" applyFont="1" applyAlignment="1">
      <alignment wrapText="1"/>
    </xf>
    <xf numFmtId="164" fontId="17" fillId="0" borderId="0" xfId="0" applyNumberFormat="1" applyFont="1" applyAlignment="1">
      <alignment wrapText="1"/>
    </xf>
    <xf numFmtId="49" fontId="16" fillId="0" borderId="0" xfId="0" applyNumberFormat="1" applyFont="1"/>
    <xf numFmtId="0" fontId="17" fillId="0" borderId="0" xfId="0" applyFont="1" applyAlignment="1">
      <alignment vertical="center"/>
    </xf>
    <xf numFmtId="49" fontId="17" fillId="0" borderId="0" xfId="0" applyNumberFormat="1" applyFont="1"/>
    <xf numFmtId="49" fontId="16" fillId="0" borderId="1" xfId="0" applyNumberFormat="1" applyFont="1" applyBorder="1"/>
    <xf numFmtId="0" fontId="17" fillId="0" borderId="1" xfId="0" applyFont="1" applyBorder="1" applyAlignment="1">
      <alignment horizontal="right" vertical="top"/>
    </xf>
    <xf numFmtId="164" fontId="17" fillId="0" borderId="1" xfId="0" applyNumberFormat="1" applyFont="1" applyBorder="1" applyAlignment="1">
      <alignment horizontal="right" vertical="top"/>
    </xf>
    <xf numFmtId="0" fontId="17" fillId="0" borderId="1" xfId="0" applyFont="1" applyBorder="1" applyAlignment="1">
      <alignment vertical="center"/>
    </xf>
    <xf numFmtId="0" fontId="17" fillId="7" borderId="1" xfId="0" applyFont="1" applyFill="1" applyBorder="1" applyAlignment="1">
      <alignment horizontal="right" vertical="top"/>
    </xf>
    <xf numFmtId="49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6" fillId="0" borderId="1" xfId="0" applyNumberFormat="1" applyFont="1" applyBorder="1" applyAlignment="1">
      <alignment wrapText="1"/>
    </xf>
    <xf numFmtId="49" fontId="17" fillId="0" borderId="1" xfId="0" applyNumberFormat="1" applyFont="1" applyBorder="1" applyAlignment="1">
      <alignment wrapText="1"/>
    </xf>
    <xf numFmtId="0" fontId="0" fillId="0" borderId="0" xfId="0" pivotButton="1"/>
    <xf numFmtId="0" fontId="0" fillId="0" borderId="3" xfId="0" applyBorder="1"/>
    <xf numFmtId="0" fontId="19" fillId="0" borderId="1" xfId="0" applyFont="1" applyBorder="1" applyAlignment="1">
      <alignment wrapText="1"/>
    </xf>
    <xf numFmtId="0" fontId="0" fillId="18" borderId="0" xfId="0" applyFill="1" applyAlignment="1">
      <alignment wrapText="1"/>
    </xf>
    <xf numFmtId="0" fontId="18" fillId="2" borderId="1" xfId="1" applyFont="1" applyFill="1" applyBorder="1" applyAlignment="1" applyProtection="1">
      <alignment horizontal="center" vertical="center" wrapText="1"/>
      <protection locked="0"/>
    </xf>
    <xf numFmtId="49" fontId="14" fillId="0" borderId="0" xfId="1" applyNumberFormat="1" applyFont="1" applyAlignment="1" applyProtection="1">
      <alignment horizontal="left" vertical="center" wrapText="1"/>
      <protection hidden="1"/>
    </xf>
    <xf numFmtId="49" fontId="12" fillId="0" borderId="0" xfId="1" applyNumberFormat="1" applyFont="1" applyAlignment="1" applyProtection="1">
      <alignment horizontal="left" vertical="center" wrapText="1"/>
      <protection hidden="1"/>
    </xf>
    <xf numFmtId="49" fontId="14" fillId="24" borderId="0" xfId="1" applyNumberFormat="1" applyFont="1" applyFill="1" applyAlignment="1" applyProtection="1">
      <alignment horizontal="left" vertical="center" wrapText="1"/>
      <protection hidden="1"/>
    </xf>
    <xf numFmtId="49" fontId="12" fillId="24" borderId="0" xfId="1" applyNumberFormat="1" applyFont="1" applyFill="1" applyAlignment="1" applyProtection="1">
      <alignment horizontal="left" vertical="center" wrapText="1"/>
      <protection hidden="1"/>
    </xf>
    <xf numFmtId="0" fontId="12" fillId="0" borderId="0" xfId="0" applyFont="1"/>
    <xf numFmtId="0" fontId="12" fillId="0" borderId="0" xfId="0" applyFont="1" applyAlignment="1">
      <alignment wrapText="1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wrapText="1"/>
    </xf>
    <xf numFmtId="0" fontId="12" fillId="0" borderId="0" xfId="0" applyFont="1" applyAlignment="1">
      <alignment horizontal="center" vertical="center" wrapText="1"/>
    </xf>
    <xf numFmtId="49" fontId="3" fillId="0" borderId="0" xfId="1" applyNumberFormat="1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49" fontId="20" fillId="0" borderId="0" xfId="2" applyNumberFormat="1" applyFont="1" applyAlignment="1" applyProtection="1">
      <alignment horizontal="left" vertical="center" wrapText="1"/>
      <protection hidden="1"/>
    </xf>
    <xf numFmtId="49" fontId="20" fillId="0" borderId="0" xfId="0" applyNumberFormat="1" applyFont="1" applyAlignment="1" applyProtection="1">
      <alignment horizontal="left" vertical="center" wrapText="1"/>
      <protection hidden="1"/>
    </xf>
    <xf numFmtId="49" fontId="21" fillId="0" borderId="0" xfId="1" applyNumberFormat="1" applyFont="1" applyAlignment="1" applyProtection="1">
      <alignment horizontal="left" vertical="center" wrapText="1"/>
      <protection hidden="1"/>
    </xf>
    <xf numFmtId="49" fontId="14" fillId="0" borderId="0" xfId="2" applyNumberFormat="1" applyFont="1" applyAlignment="1" applyProtection="1">
      <alignment horizontal="left" vertical="center" wrapText="1"/>
      <protection hidden="1"/>
    </xf>
    <xf numFmtId="0" fontId="12" fillId="5" borderId="1" xfId="0" applyFont="1" applyFill="1" applyBorder="1" applyAlignment="1">
      <alignment horizontal="center" vertical="center" wrapText="1"/>
    </xf>
    <xf numFmtId="49" fontId="20" fillId="24" borderId="0" xfId="2" applyNumberFormat="1" applyFont="1" applyFill="1" applyAlignment="1" applyProtection="1">
      <alignment horizontal="left" vertical="center" wrapText="1"/>
      <protection hidden="1"/>
    </xf>
    <xf numFmtId="0" fontId="12" fillId="24" borderId="0" xfId="0" applyFont="1" applyFill="1"/>
    <xf numFmtId="0" fontId="12" fillId="24" borderId="0" xfId="0" applyFont="1" applyFill="1" applyAlignment="1">
      <alignment wrapText="1"/>
    </xf>
    <xf numFmtId="0" fontId="12" fillId="24" borderId="0" xfId="0" applyFont="1" applyFill="1" applyAlignment="1">
      <alignment horizontal="center" vertical="center" wrapText="1"/>
    </xf>
    <xf numFmtId="49" fontId="12" fillId="0" borderId="0" xfId="0" applyNumberFormat="1" applyFont="1" applyAlignment="1">
      <alignment wrapText="1"/>
    </xf>
    <xf numFmtId="0" fontId="12" fillId="0" borderId="0" xfId="0" applyFont="1" applyAlignment="1">
      <alignment horizontal="right" vertical="top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top" wrapText="1"/>
    </xf>
    <xf numFmtId="0" fontId="5" fillId="0" borderId="1" xfId="0" applyFont="1" applyBorder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49" fontId="8" fillId="2" borderId="5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right" vertical="top"/>
    </xf>
    <xf numFmtId="164" fontId="5" fillId="0" borderId="0" xfId="0" applyNumberFormat="1" applyFont="1" applyAlignment="1">
      <alignment horizontal="right" vertical="top"/>
    </xf>
    <xf numFmtId="0" fontId="5" fillId="7" borderId="0" xfId="0" applyFont="1" applyFill="1" applyAlignment="1">
      <alignment horizontal="right" vertical="top"/>
    </xf>
    <xf numFmtId="0" fontId="1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right" vertical="top"/>
    </xf>
    <xf numFmtId="164" fontId="5" fillId="0" borderId="1" xfId="0" applyNumberFormat="1" applyFont="1" applyBorder="1" applyAlignment="1">
      <alignment horizontal="right" vertical="top"/>
    </xf>
    <xf numFmtId="0" fontId="5" fillId="7" borderId="1" xfId="0" applyFont="1" applyFill="1" applyBorder="1" applyAlignment="1">
      <alignment horizontal="right" vertical="top"/>
    </xf>
    <xf numFmtId="0" fontId="13" fillId="24" borderId="0" xfId="0" applyFont="1" applyFill="1" applyAlignment="1">
      <alignment vertical="center"/>
    </xf>
    <xf numFmtId="0" fontId="6" fillId="24" borderId="0" xfId="0" applyFont="1" applyFill="1" applyAlignment="1" applyProtection="1">
      <alignment horizontal="left" vertical="center" wrapText="1"/>
      <protection hidden="1"/>
    </xf>
    <xf numFmtId="0" fontId="5" fillId="24" borderId="0" xfId="0" applyFont="1" applyFill="1" applyAlignment="1" applyProtection="1">
      <alignment horizontal="left" vertical="center" wrapText="1"/>
      <protection hidden="1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5" borderId="0" xfId="0" applyFill="1"/>
    <xf numFmtId="0" fontId="0" fillId="3" borderId="0" xfId="0" applyFill="1"/>
    <xf numFmtId="0" fontId="22" fillId="2" borderId="1" xfId="0" applyFont="1" applyFill="1" applyBorder="1" applyAlignment="1">
      <alignment wrapText="1"/>
    </xf>
    <xf numFmtId="0" fontId="22" fillId="2" borderId="3" xfId="0" applyFont="1" applyFill="1" applyBorder="1" applyAlignment="1">
      <alignment wrapText="1"/>
    </xf>
    <xf numFmtId="0" fontId="22" fillId="2" borderId="3" xfId="0" applyFont="1" applyFill="1" applyBorder="1" applyAlignment="1">
      <alignment horizontal="center" wrapText="1"/>
    </xf>
    <xf numFmtId="0" fontId="12" fillId="5" borderId="1" xfId="0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right"/>
    </xf>
    <xf numFmtId="49" fontId="1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12" fillId="5" borderId="1" xfId="0" applyNumberFormat="1" applyFont="1" applyFill="1" applyBorder="1" applyAlignment="1">
      <alignment horizontal="center" vertical="center" wrapText="1"/>
    </xf>
    <xf numFmtId="49" fontId="5" fillId="7" borderId="0" xfId="0" applyNumberFormat="1" applyFont="1" applyFill="1"/>
    <xf numFmtId="0" fontId="5" fillId="6" borderId="0" xfId="0" applyFont="1" applyFill="1"/>
    <xf numFmtId="0" fontId="0" fillId="11" borderId="0" xfId="0" applyFill="1"/>
    <xf numFmtId="0" fontId="5" fillId="0" borderId="0" xfId="3"/>
    <xf numFmtId="2" fontId="0" fillId="0" borderId="0" xfId="0" applyNumberFormat="1" applyAlignment="1">
      <alignment horizontal="left"/>
    </xf>
    <xf numFmtId="49" fontId="0" fillId="5" borderId="0" xfId="0" applyNumberFormat="1" applyFill="1"/>
    <xf numFmtId="0" fontId="13" fillId="0" borderId="1" xfId="3" applyFont="1" applyBorder="1" applyAlignment="1">
      <alignment horizontal="center"/>
    </xf>
    <xf numFmtId="0" fontId="5" fillId="0" borderId="1" xfId="3" applyBorder="1"/>
    <xf numFmtId="49" fontId="5" fillId="5" borderId="1" xfId="0" applyNumberFormat="1" applyFont="1" applyFill="1" applyBorder="1" applyAlignment="1">
      <alignment horizontal="center" vertical="center"/>
    </xf>
    <xf numFmtId="49" fontId="5" fillId="24" borderId="0" xfId="0" applyNumberFormat="1" applyFont="1" applyFill="1"/>
    <xf numFmtId="0" fontId="12" fillId="24" borderId="1" xfId="1" applyFont="1" applyFill="1" applyBorder="1" applyAlignment="1" applyProtection="1">
      <alignment horizontal="center" vertical="center" wrapText="1"/>
      <protection hidden="1"/>
    </xf>
    <xf numFmtId="0" fontId="14" fillId="24" borderId="1" xfId="1" applyFont="1" applyFill="1" applyBorder="1" applyAlignment="1" applyProtection="1">
      <alignment horizontal="center" vertical="center" wrapText="1"/>
      <protection hidden="1"/>
    </xf>
    <xf numFmtId="0" fontId="14" fillId="4" borderId="1" xfId="1" applyFont="1" applyFill="1" applyBorder="1" applyAlignment="1" applyProtection="1">
      <alignment horizontal="center" vertical="center" wrapText="1"/>
      <protection hidden="1"/>
    </xf>
    <xf numFmtId="0" fontId="20" fillId="4" borderId="1" xfId="2" applyFont="1" applyFill="1" applyBorder="1" applyAlignment="1" applyProtection="1">
      <alignment horizontal="center" vertical="center" wrapText="1"/>
      <protection hidden="1"/>
    </xf>
    <xf numFmtId="0" fontId="20" fillId="24" borderId="1" xfId="0" applyFont="1" applyFill="1" applyBorder="1" applyAlignment="1" applyProtection="1">
      <alignment horizontal="center" vertical="center" wrapText="1"/>
      <protection hidden="1"/>
    </xf>
    <xf numFmtId="0" fontId="20" fillId="4" borderId="1" xfId="0" applyFont="1" applyFill="1" applyBorder="1" applyAlignment="1" applyProtection="1">
      <alignment horizontal="center" vertical="center" wrapText="1"/>
      <protection hidden="1"/>
    </xf>
    <xf numFmtId="0" fontId="12" fillId="14" borderId="1" xfId="1" applyFont="1" applyFill="1" applyBorder="1" applyAlignment="1" applyProtection="1">
      <alignment horizontal="center" vertical="center" wrapText="1"/>
      <protection hidden="1"/>
    </xf>
    <xf numFmtId="0" fontId="20" fillId="14" borderId="1" xfId="0" applyFont="1" applyFill="1" applyBorder="1" applyAlignment="1" applyProtection="1">
      <alignment horizontal="center" vertical="center" wrapText="1"/>
      <protection hidden="1"/>
    </xf>
    <xf numFmtId="0" fontId="14" fillId="14" borderId="1" xfId="1" applyFont="1" applyFill="1" applyBorder="1" applyAlignment="1" applyProtection="1">
      <alignment horizontal="center" vertical="center" wrapText="1"/>
      <protection hidden="1"/>
    </xf>
    <xf numFmtId="0" fontId="20" fillId="14" borderId="1" xfId="2" applyFont="1" applyFill="1" applyBorder="1" applyAlignment="1" applyProtection="1">
      <alignment horizontal="center" vertical="center" wrapText="1"/>
      <protection hidden="1"/>
    </xf>
    <xf numFmtId="0" fontId="12" fillId="14" borderId="1" xfId="0" applyFont="1" applyFill="1" applyBorder="1" applyAlignment="1">
      <alignment horizontal="center" vertical="center" wrapText="1"/>
    </xf>
    <xf numFmtId="0" fontId="25" fillId="14" borderId="1" xfId="1" applyFont="1" applyFill="1" applyBorder="1" applyAlignment="1" applyProtection="1">
      <alignment horizontal="center" vertical="center" wrapText="1"/>
      <protection hidden="1"/>
    </xf>
    <xf numFmtId="0" fontId="26" fillId="14" borderId="1" xfId="0" applyFont="1" applyFill="1" applyBorder="1" applyAlignment="1" applyProtection="1">
      <alignment horizontal="center" vertical="center" wrapText="1"/>
      <protection hidden="1"/>
    </xf>
    <xf numFmtId="0" fontId="12" fillId="5" borderId="1" xfId="1" applyFont="1" applyFill="1" applyBorder="1" applyAlignment="1" applyProtection="1">
      <alignment horizontal="center" vertical="center" wrapText="1"/>
      <protection hidden="1"/>
    </xf>
    <xf numFmtId="0" fontId="20" fillId="5" borderId="1" xfId="2" applyFont="1" applyFill="1" applyBorder="1" applyAlignment="1" applyProtection="1">
      <alignment horizontal="center" vertical="center" wrapText="1"/>
      <protection hidden="1"/>
    </xf>
    <xf numFmtId="0" fontId="14" fillId="5" borderId="1" xfId="1" applyFont="1" applyFill="1" applyBorder="1" applyAlignment="1" applyProtection="1">
      <alignment horizontal="center" vertical="center" wrapText="1"/>
      <protection hidden="1"/>
    </xf>
    <xf numFmtId="0" fontId="20" fillId="5" borderId="1" xfId="0" applyFont="1" applyFill="1" applyBorder="1" applyAlignment="1" applyProtection="1">
      <alignment horizontal="center" vertical="center" wrapText="1"/>
      <protection hidden="1"/>
    </xf>
    <xf numFmtId="0" fontId="21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 applyProtection="1">
      <alignment horizontal="center" vertical="center" wrapText="1"/>
      <protection hidden="1"/>
    </xf>
    <xf numFmtId="0" fontId="12" fillId="7" borderId="1" xfId="1" applyFont="1" applyFill="1" applyBorder="1" applyAlignment="1" applyProtection="1">
      <alignment horizontal="center" vertical="center" wrapText="1"/>
      <protection hidden="1"/>
    </xf>
    <xf numFmtId="0" fontId="20" fillId="7" borderId="1" xfId="2" applyFont="1" applyFill="1" applyBorder="1" applyAlignment="1" applyProtection="1">
      <alignment horizontal="center" vertical="center" wrapText="1"/>
      <protection hidden="1"/>
    </xf>
    <xf numFmtId="0" fontId="14" fillId="7" borderId="1" xfId="1" applyFont="1" applyFill="1" applyBorder="1" applyAlignment="1" applyProtection="1">
      <alignment horizontal="center" vertical="center" wrapText="1"/>
      <protection hidden="1"/>
    </xf>
    <xf numFmtId="0" fontId="21" fillId="23" borderId="1" xfId="0" applyFont="1" applyFill="1" applyBorder="1" applyAlignment="1">
      <alignment horizontal="center" vertical="center" wrapText="1"/>
    </xf>
    <xf numFmtId="0" fontId="12" fillId="23" borderId="1" xfId="0" applyFont="1" applyFill="1" applyBorder="1" applyAlignment="1">
      <alignment horizontal="center" vertical="center" wrapText="1"/>
    </xf>
    <xf numFmtId="0" fontId="12" fillId="23" borderId="1" xfId="1" applyFont="1" applyFill="1" applyBorder="1" applyAlignment="1" applyProtection="1">
      <alignment horizontal="center" vertical="center" wrapText="1"/>
      <protection hidden="1"/>
    </xf>
    <xf numFmtId="0" fontId="20" fillId="23" borderId="1" xfId="0" applyFont="1" applyFill="1" applyBorder="1" applyAlignment="1" applyProtection="1">
      <alignment horizontal="center" vertical="center" wrapText="1"/>
      <protection hidden="1"/>
    </xf>
    <xf numFmtId="0" fontId="14" fillId="23" borderId="1" xfId="1" applyFont="1" applyFill="1" applyBorder="1" applyAlignment="1" applyProtection="1">
      <alignment horizontal="center" vertical="center" wrapText="1"/>
      <protection hidden="1"/>
    </xf>
    <xf numFmtId="0" fontId="21" fillId="12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12" fillId="12" borderId="1" xfId="1" applyFont="1" applyFill="1" applyBorder="1" applyAlignment="1" applyProtection="1">
      <alignment horizontal="center" vertical="center" wrapText="1"/>
      <protection hidden="1"/>
    </xf>
    <xf numFmtId="0" fontId="20" fillId="12" borderId="1" xfId="0" applyFont="1" applyFill="1" applyBorder="1" applyAlignment="1" applyProtection="1">
      <alignment horizontal="center" vertical="center" wrapText="1"/>
      <protection hidden="1"/>
    </xf>
    <xf numFmtId="0" fontId="14" fillId="12" borderId="1" xfId="1" applyFont="1" applyFill="1" applyBorder="1" applyAlignment="1" applyProtection="1">
      <alignment horizontal="center" vertical="center" wrapText="1"/>
      <protection hidden="1"/>
    </xf>
    <xf numFmtId="0" fontId="25" fillId="19" borderId="1" xfId="1" applyFont="1" applyFill="1" applyBorder="1" applyAlignment="1" applyProtection="1">
      <alignment horizontal="center" vertical="center" wrapText="1"/>
      <protection hidden="1"/>
    </xf>
    <xf numFmtId="0" fontId="26" fillId="19" borderId="1" xfId="2" applyFont="1" applyFill="1" applyBorder="1" applyAlignment="1" applyProtection="1">
      <alignment horizontal="center" vertical="center" wrapText="1"/>
      <protection hidden="1"/>
    </xf>
    <xf numFmtId="0" fontId="12" fillId="19" borderId="1" xfId="1" applyFont="1" applyFill="1" applyBorder="1" applyAlignment="1" applyProtection="1">
      <alignment horizontal="center" vertical="center" wrapText="1"/>
      <protection hidden="1"/>
    </xf>
    <xf numFmtId="0" fontId="20" fillId="19" borderId="1" xfId="0" applyFont="1" applyFill="1" applyBorder="1" applyAlignment="1" applyProtection="1">
      <alignment horizontal="center" vertical="center" wrapText="1"/>
      <protection hidden="1"/>
    </xf>
    <xf numFmtId="0" fontId="14" fillId="19" borderId="1" xfId="1" applyFont="1" applyFill="1" applyBorder="1" applyAlignment="1" applyProtection="1">
      <alignment horizontal="center" vertical="center" wrapText="1"/>
      <protection hidden="1"/>
    </xf>
    <xf numFmtId="0" fontId="21" fillId="19" borderId="1" xfId="1" applyFont="1" applyFill="1" applyBorder="1" applyAlignment="1" applyProtection="1">
      <alignment horizontal="center" vertical="center" wrapText="1"/>
      <protection hidden="1"/>
    </xf>
    <xf numFmtId="0" fontId="20" fillId="19" borderId="1" xfId="2" applyFont="1" applyFill="1" applyBorder="1" applyAlignment="1" applyProtection="1">
      <alignment horizontal="center" vertical="center" wrapText="1"/>
      <protection hidden="1"/>
    </xf>
    <xf numFmtId="0" fontId="14" fillId="19" borderId="1" xfId="2" applyFont="1" applyFill="1" applyBorder="1" applyAlignment="1" applyProtection="1">
      <alignment horizontal="center" vertical="center" wrapText="1"/>
      <protection hidden="1"/>
    </xf>
    <xf numFmtId="0" fontId="12" fillId="27" borderId="1" xfId="1" applyFont="1" applyFill="1" applyBorder="1" applyAlignment="1" applyProtection="1">
      <alignment horizontal="center" vertical="center" wrapText="1"/>
      <protection hidden="1"/>
    </xf>
    <xf numFmtId="0" fontId="20" fillId="27" borderId="1" xfId="2" applyFont="1" applyFill="1" applyBorder="1" applyAlignment="1" applyProtection="1">
      <alignment horizontal="center" vertical="center" wrapText="1"/>
      <protection hidden="1"/>
    </xf>
    <xf numFmtId="0" fontId="14" fillId="27" borderId="1" xfId="1" applyFont="1" applyFill="1" applyBorder="1" applyAlignment="1" applyProtection="1">
      <alignment horizontal="center" vertical="center" wrapText="1"/>
      <protection hidden="1"/>
    </xf>
    <xf numFmtId="0" fontId="20" fillId="27" borderId="1" xfId="0" applyFont="1" applyFill="1" applyBorder="1" applyAlignment="1" applyProtection="1">
      <alignment horizontal="center" vertical="center" wrapText="1"/>
      <protection hidden="1"/>
    </xf>
    <xf numFmtId="0" fontId="12" fillId="27" borderId="1" xfId="0" applyFont="1" applyFill="1" applyBorder="1" applyAlignment="1">
      <alignment horizontal="center" vertical="center" wrapText="1"/>
    </xf>
    <xf numFmtId="0" fontId="12" fillId="21" borderId="1" xfId="1" applyFont="1" applyFill="1" applyBorder="1" applyAlignment="1" applyProtection="1">
      <alignment horizontal="center" vertical="center" wrapText="1"/>
      <protection hidden="1"/>
    </xf>
    <xf numFmtId="0" fontId="25" fillId="21" borderId="1" xfId="1" applyFont="1" applyFill="1" applyBorder="1" applyAlignment="1" applyProtection="1">
      <alignment horizontal="center" vertical="center" wrapText="1"/>
      <protection hidden="1"/>
    </xf>
    <xf numFmtId="0" fontId="26" fillId="21" borderId="1" xfId="0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horizontal="right" vertical="top"/>
    </xf>
    <xf numFmtId="0" fontId="12" fillId="0" borderId="1" xfId="0" applyFont="1" applyBorder="1"/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right" vertical="top" wrapText="1"/>
    </xf>
    <xf numFmtId="0" fontId="12" fillId="7" borderId="1" xfId="0" applyFont="1" applyFill="1" applyBorder="1" applyAlignment="1">
      <alignment horizontal="right" vertical="top" wrapText="1"/>
    </xf>
    <xf numFmtId="0" fontId="0" fillId="5" borderId="0" xfId="0" applyFill="1"/>
    <xf numFmtId="0" fontId="21" fillId="19" borderId="1" xfId="2" applyFont="1" applyFill="1" applyBorder="1" applyAlignment="1" applyProtection="1">
      <alignment horizontal="center" vertical="center" wrapText="1"/>
      <protection hidden="1"/>
    </xf>
    <xf numFmtId="0" fontId="13" fillId="0" borderId="0" xfId="0" applyFont="1" applyAlignment="1">
      <alignment horizontal="center"/>
    </xf>
    <xf numFmtId="1" fontId="0" fillId="0" borderId="0" xfId="0" applyNumberFormat="1"/>
    <xf numFmtId="0" fontId="5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18" borderId="1" xfId="0" applyNumberFormat="1" applyFont="1" applyFill="1" applyBorder="1" applyAlignment="1">
      <alignment horizontal="center" vertical="center" wrapText="1"/>
    </xf>
    <xf numFmtId="49" fontId="24" fillId="19" borderId="1" xfId="0" applyNumberFormat="1" applyFont="1" applyFill="1" applyBorder="1" applyAlignment="1">
      <alignment horizontal="center" vertical="center" wrapText="1"/>
    </xf>
    <xf numFmtId="49" fontId="25" fillId="19" borderId="1" xfId="1" applyNumberFormat="1" applyFont="1" applyFill="1" applyBorder="1" applyAlignment="1" applyProtection="1">
      <alignment horizontal="center" vertical="center" wrapText="1"/>
      <protection locked="0"/>
    </xf>
    <xf numFmtId="49" fontId="25" fillId="19" borderId="1" xfId="1" applyNumberFormat="1" applyFont="1" applyFill="1" applyBorder="1" applyAlignment="1" applyProtection="1">
      <alignment horizontal="center" vertical="center" wrapText="1"/>
      <protection hidden="1"/>
    </xf>
    <xf numFmtId="49" fontId="26" fillId="19" borderId="1" xfId="2" applyNumberFormat="1" applyFont="1" applyFill="1" applyBorder="1" applyAlignment="1" applyProtection="1">
      <alignment horizontal="center" vertical="center" wrapText="1"/>
      <protection hidden="1"/>
    </xf>
    <xf numFmtId="49" fontId="24" fillId="20" borderId="1" xfId="0" applyNumberFormat="1" applyFont="1" applyFill="1" applyBorder="1" applyAlignment="1">
      <alignment horizontal="center" vertical="center" wrapText="1"/>
    </xf>
    <xf numFmtId="49" fontId="24" fillId="19" borderId="1" xfId="0" quotePrefix="1" applyNumberFormat="1" applyFont="1" applyFill="1" applyBorder="1" applyAlignment="1">
      <alignment horizontal="center" vertical="center" wrapText="1"/>
    </xf>
    <xf numFmtId="49" fontId="24" fillId="24" borderId="0" xfId="0" applyNumberFormat="1" applyFont="1" applyFill="1"/>
    <xf numFmtId="49" fontId="29" fillId="19" borderId="1" xfId="0" applyNumberFormat="1" applyFont="1" applyFill="1" applyBorder="1" applyAlignment="1">
      <alignment horizontal="center" vertical="center" wrapText="1"/>
    </xf>
    <xf numFmtId="49" fontId="24" fillId="19" borderId="0" xfId="0" applyNumberFormat="1" applyFont="1" applyFill="1"/>
    <xf numFmtId="49" fontId="9" fillId="19" borderId="1" xfId="0" applyNumberFormat="1" applyFont="1" applyFill="1" applyBorder="1" applyAlignment="1">
      <alignment horizontal="center" vertical="center" wrapText="1"/>
    </xf>
    <xf numFmtId="49" fontId="12" fillId="19" borderId="1" xfId="1" applyNumberFormat="1" applyFont="1" applyFill="1" applyBorder="1" applyAlignment="1" applyProtection="1">
      <alignment horizontal="center" vertical="center" wrapText="1"/>
      <protection locked="0"/>
    </xf>
    <xf numFmtId="49" fontId="12" fillId="19" borderId="1" xfId="1" applyNumberFormat="1" applyFont="1" applyFill="1" applyBorder="1" applyAlignment="1" applyProtection="1">
      <alignment horizontal="center" vertical="center" wrapText="1"/>
      <protection hidden="1"/>
    </xf>
    <xf numFmtId="49" fontId="20" fillId="19" borderId="1" xfId="0" applyNumberFormat="1" applyFont="1" applyFill="1" applyBorder="1" applyAlignment="1" applyProtection="1">
      <alignment horizontal="center" vertical="center" wrapText="1"/>
      <protection hidden="1"/>
    </xf>
    <xf numFmtId="49" fontId="14" fillId="19" borderId="1" xfId="1" applyNumberFormat="1" applyFont="1" applyFill="1" applyBorder="1" applyAlignment="1" applyProtection="1">
      <alignment horizontal="center" vertical="center" wrapText="1"/>
      <protection hidden="1"/>
    </xf>
    <xf numFmtId="49" fontId="5" fillId="19" borderId="1" xfId="0" applyNumberFormat="1" applyFont="1" applyFill="1" applyBorder="1" applyAlignment="1">
      <alignment horizontal="center" vertical="center" wrapText="1"/>
    </xf>
    <xf numFmtId="49" fontId="6" fillId="20" borderId="1" xfId="0" applyNumberFormat="1" applyFont="1" applyFill="1" applyBorder="1" applyAlignment="1">
      <alignment horizontal="center" vertical="center" wrapText="1"/>
    </xf>
    <xf numFmtId="49" fontId="5" fillId="19" borderId="1" xfId="0" quotePrefix="1" applyNumberFormat="1" applyFont="1" applyFill="1" applyBorder="1" applyAlignment="1">
      <alignment horizontal="center" vertical="center" wrapText="1"/>
    </xf>
    <xf numFmtId="49" fontId="5" fillId="19" borderId="0" xfId="0" applyNumberFormat="1" applyFont="1" applyFill="1"/>
    <xf numFmtId="49" fontId="21" fillId="19" borderId="1" xfId="1" applyNumberFormat="1" applyFont="1" applyFill="1" applyBorder="1" applyAlignment="1" applyProtection="1">
      <alignment horizontal="center" vertical="center" wrapText="1"/>
      <protection hidden="1"/>
    </xf>
    <xf numFmtId="49" fontId="21" fillId="19" borderId="1" xfId="2" applyNumberFormat="1" applyFont="1" applyFill="1" applyBorder="1" applyAlignment="1" applyProtection="1">
      <alignment horizontal="center" vertical="center" wrapText="1"/>
      <protection hidden="1"/>
    </xf>
    <xf numFmtId="49" fontId="5" fillId="20" borderId="1" xfId="0" applyNumberFormat="1" applyFont="1" applyFill="1" applyBorder="1" applyAlignment="1">
      <alignment horizontal="center" vertical="center" wrapText="1"/>
    </xf>
    <xf numFmtId="49" fontId="20" fillId="19" borderId="1" xfId="2" applyNumberFormat="1" applyFont="1" applyFill="1" applyBorder="1" applyAlignment="1" applyProtection="1">
      <alignment horizontal="center" vertical="center" wrapText="1"/>
      <protection hidden="1"/>
    </xf>
    <xf numFmtId="49" fontId="14" fillId="19" borderId="1" xfId="2" applyNumberFormat="1" applyFont="1" applyFill="1" applyBorder="1" applyAlignment="1" applyProtection="1">
      <alignment horizontal="center" vertical="center" wrapText="1"/>
      <protection hidden="1"/>
    </xf>
    <xf numFmtId="49" fontId="11" fillId="19" borderId="1" xfId="0" applyNumberFormat="1" applyFont="1" applyFill="1" applyBorder="1" applyAlignment="1">
      <alignment horizontal="center" vertical="center" wrapText="1"/>
    </xf>
    <xf numFmtId="49" fontId="9" fillId="14" borderId="1" xfId="0" applyNumberFormat="1" applyFont="1" applyFill="1" applyBorder="1" applyAlignment="1">
      <alignment horizontal="center" vertical="center" wrapText="1"/>
    </xf>
    <xf numFmtId="49" fontId="12" fillId="14" borderId="1" xfId="1" applyNumberFormat="1" applyFont="1" applyFill="1" applyBorder="1" applyAlignment="1" applyProtection="1">
      <alignment horizontal="center" vertical="center" wrapText="1"/>
      <protection locked="0"/>
    </xf>
    <xf numFmtId="49" fontId="12" fillId="14" borderId="1" xfId="1" applyNumberFormat="1" applyFont="1" applyFill="1" applyBorder="1" applyAlignment="1" applyProtection="1">
      <alignment horizontal="center" vertical="center" wrapText="1"/>
      <protection hidden="1"/>
    </xf>
    <xf numFmtId="49" fontId="20" fillId="14" borderId="1" xfId="0" applyNumberFormat="1" applyFont="1" applyFill="1" applyBorder="1" applyAlignment="1" applyProtection="1">
      <alignment horizontal="center" vertical="center" wrapText="1"/>
      <protection hidden="1"/>
    </xf>
    <xf numFmtId="49" fontId="14" fillId="14" borderId="1" xfId="1" applyNumberFormat="1" applyFont="1" applyFill="1" applyBorder="1" applyAlignment="1" applyProtection="1">
      <alignment horizontal="center" vertical="center" wrapText="1"/>
      <protection hidden="1"/>
    </xf>
    <xf numFmtId="49" fontId="5" fillId="14" borderId="0" xfId="0" applyNumberFormat="1" applyFont="1" applyFill="1"/>
    <xf numFmtId="49" fontId="20" fillId="14" borderId="1" xfId="2" applyNumberFormat="1" applyFont="1" applyFill="1" applyBorder="1" applyAlignment="1" applyProtection="1">
      <alignment horizontal="center" vertical="center" wrapText="1"/>
      <protection hidden="1"/>
    </xf>
    <xf numFmtId="49" fontId="5" fillId="14" borderId="1" xfId="0" applyNumberFormat="1" applyFont="1" applyFill="1" applyBorder="1" applyAlignment="1">
      <alignment horizontal="center" vertical="center" wrapText="1"/>
    </xf>
    <xf numFmtId="49" fontId="11" fillId="25" borderId="1" xfId="0" applyNumberFormat="1" applyFont="1" applyFill="1" applyBorder="1" applyAlignment="1">
      <alignment horizontal="center" vertical="center" wrapText="1"/>
    </xf>
    <xf numFmtId="49" fontId="24" fillId="14" borderId="1" xfId="0" applyNumberFormat="1" applyFont="1" applyFill="1" applyBorder="1" applyAlignment="1">
      <alignment horizontal="center" vertical="center" wrapText="1"/>
    </xf>
    <xf numFmtId="49" fontId="25" fillId="14" borderId="1" xfId="1" applyNumberFormat="1" applyFont="1" applyFill="1" applyBorder="1" applyAlignment="1" applyProtection="1">
      <alignment horizontal="center" vertical="center" wrapText="1"/>
      <protection hidden="1"/>
    </xf>
    <xf numFmtId="49" fontId="26" fillId="14" borderId="1" xfId="0" applyNumberFormat="1" applyFont="1" applyFill="1" applyBorder="1" applyAlignment="1" applyProtection="1">
      <alignment horizontal="center" vertical="center" wrapText="1"/>
      <protection hidden="1"/>
    </xf>
    <xf numFmtId="49" fontId="24" fillId="25" borderId="1" xfId="0" applyNumberFormat="1" applyFont="1" applyFill="1" applyBorder="1" applyAlignment="1">
      <alignment horizontal="center" vertical="center" wrapText="1"/>
    </xf>
    <xf numFmtId="49" fontId="24" fillId="14" borderId="0" xfId="0" applyNumberFormat="1" applyFont="1" applyFill="1"/>
    <xf numFmtId="49" fontId="9" fillId="27" borderId="1" xfId="0" applyNumberFormat="1" applyFont="1" applyFill="1" applyBorder="1" applyAlignment="1">
      <alignment horizontal="center" vertical="center" wrapText="1"/>
    </xf>
    <xf numFmtId="49" fontId="12" fillId="27" borderId="1" xfId="1" applyNumberFormat="1" applyFont="1" applyFill="1" applyBorder="1" applyAlignment="1" applyProtection="1">
      <alignment horizontal="center" vertical="center" wrapText="1"/>
      <protection hidden="1"/>
    </xf>
    <xf numFmtId="49" fontId="20" fillId="27" borderId="1" xfId="2" applyNumberFormat="1" applyFont="1" applyFill="1" applyBorder="1" applyAlignment="1" applyProtection="1">
      <alignment horizontal="center" vertical="center" wrapText="1"/>
      <protection hidden="1"/>
    </xf>
    <xf numFmtId="49" fontId="14" fillId="27" borderId="1" xfId="1" applyNumberFormat="1" applyFont="1" applyFill="1" applyBorder="1" applyAlignment="1" applyProtection="1">
      <alignment horizontal="center" vertical="center" wrapText="1"/>
      <protection hidden="1"/>
    </xf>
    <xf numFmtId="49" fontId="5" fillId="27" borderId="1" xfId="0" applyNumberFormat="1" applyFont="1" applyFill="1" applyBorder="1" applyAlignment="1">
      <alignment horizontal="center" vertical="center" wrapText="1"/>
    </xf>
    <xf numFmtId="49" fontId="6" fillId="28" borderId="1" xfId="0" applyNumberFormat="1" applyFont="1" applyFill="1" applyBorder="1" applyAlignment="1">
      <alignment horizontal="center" vertical="center" wrapText="1"/>
    </xf>
    <xf numFmtId="49" fontId="5" fillId="27" borderId="1" xfId="0" quotePrefix="1" applyNumberFormat="1" applyFont="1" applyFill="1" applyBorder="1" applyAlignment="1">
      <alignment horizontal="center" vertical="center" wrapText="1"/>
    </xf>
    <xf numFmtId="49" fontId="5" fillId="27" borderId="0" xfId="0" applyNumberFormat="1" applyFont="1" applyFill="1"/>
    <xf numFmtId="49" fontId="20" fillId="27" borderId="1" xfId="0" applyNumberFormat="1" applyFont="1" applyFill="1" applyBorder="1" applyAlignment="1" applyProtection="1">
      <alignment horizontal="center" vertical="center" wrapText="1"/>
      <protection hidden="1"/>
    </xf>
    <xf numFmtId="49" fontId="12" fillId="27" borderId="1" xfId="0" applyNumberFormat="1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49" fontId="12" fillId="5" borderId="1" xfId="1" applyNumberFormat="1" applyFont="1" applyFill="1" applyBorder="1" applyAlignment="1" applyProtection="1">
      <alignment horizontal="center" vertical="center" wrapText="1"/>
      <protection hidden="1"/>
    </xf>
    <xf numFmtId="49" fontId="20" fillId="5" borderId="1" xfId="2" applyNumberFormat="1" applyFont="1" applyFill="1" applyBorder="1" applyAlignment="1" applyProtection="1">
      <alignment horizontal="center" vertical="center" wrapText="1"/>
      <protection hidden="1"/>
    </xf>
    <xf numFmtId="49" fontId="14" fillId="5" borderId="1" xfId="1" applyNumberFormat="1" applyFont="1" applyFill="1" applyBorder="1" applyAlignment="1" applyProtection="1">
      <alignment horizontal="center" vertical="center" wrapText="1"/>
      <protection hidden="1"/>
    </xf>
    <xf numFmtId="49" fontId="5" fillId="5" borderId="1" xfId="0" applyNumberFormat="1" applyFont="1" applyFill="1" applyBorder="1" applyAlignment="1">
      <alignment horizontal="center" vertical="center" wrapText="1"/>
    </xf>
    <xf numFmtId="49" fontId="5" fillId="5" borderId="1" xfId="0" quotePrefix="1" applyNumberFormat="1" applyFont="1" applyFill="1" applyBorder="1" applyAlignment="1">
      <alignment horizontal="center" vertical="center" wrapText="1"/>
    </xf>
    <xf numFmtId="49" fontId="5" fillId="5" borderId="0" xfId="0" applyNumberFormat="1" applyFont="1" applyFill="1"/>
    <xf numFmtId="49" fontId="20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11" fillId="8" borderId="1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9" fillId="7" borderId="1" xfId="0" applyNumberFormat="1" applyFont="1" applyFill="1" applyBorder="1" applyAlignment="1">
      <alignment horizontal="center" vertical="center" wrapText="1"/>
    </xf>
    <xf numFmtId="49" fontId="12" fillId="7" borderId="1" xfId="1" applyNumberFormat="1" applyFont="1" applyFill="1" applyBorder="1" applyAlignment="1" applyProtection="1">
      <alignment horizontal="center" vertical="center" wrapText="1"/>
      <protection hidden="1"/>
    </xf>
    <xf numFmtId="49" fontId="20" fillId="7" borderId="1" xfId="2" applyNumberFormat="1" applyFont="1" applyFill="1" applyBorder="1" applyAlignment="1" applyProtection="1">
      <alignment horizontal="center" vertical="center" wrapText="1"/>
      <protection hidden="1"/>
    </xf>
    <xf numFmtId="49" fontId="14" fillId="7" borderId="1" xfId="1" applyNumberFormat="1" applyFont="1" applyFill="1" applyBorder="1" applyAlignment="1" applyProtection="1">
      <alignment horizontal="center" vertical="center" wrapText="1"/>
      <protection hidden="1"/>
    </xf>
    <xf numFmtId="49" fontId="6" fillId="9" borderId="1" xfId="0" applyNumberFormat="1" applyFont="1" applyFill="1" applyBorder="1" applyAlignment="1">
      <alignment horizontal="center" vertical="center" wrapText="1"/>
    </xf>
    <xf numFmtId="49" fontId="5" fillId="7" borderId="1" xfId="0" quotePrefix="1" applyNumberFormat="1" applyFont="1" applyFill="1" applyBorder="1" applyAlignment="1">
      <alignment horizontal="center" vertical="center" wrapText="1"/>
    </xf>
    <xf numFmtId="49" fontId="5" fillId="23" borderId="1" xfId="0" applyNumberFormat="1" applyFont="1" applyFill="1" applyBorder="1" applyAlignment="1">
      <alignment horizontal="center" vertical="center" wrapText="1"/>
    </xf>
    <xf numFmtId="49" fontId="21" fillId="23" borderId="1" xfId="0" applyNumberFormat="1" applyFont="1" applyFill="1" applyBorder="1" applyAlignment="1">
      <alignment horizontal="center" vertical="center" wrapText="1"/>
    </xf>
    <xf numFmtId="49" fontId="12" fillId="23" borderId="1" xfId="0" applyNumberFormat="1" applyFont="1" applyFill="1" applyBorder="1" applyAlignment="1">
      <alignment horizontal="center" vertical="center" wrapText="1"/>
    </xf>
    <xf numFmtId="49" fontId="12" fillId="23" borderId="1" xfId="1" applyNumberFormat="1" applyFont="1" applyFill="1" applyBorder="1" applyAlignment="1" applyProtection="1">
      <alignment horizontal="center" vertical="center" wrapText="1"/>
      <protection hidden="1"/>
    </xf>
    <xf numFmtId="49" fontId="5" fillId="23" borderId="1" xfId="0" quotePrefix="1" applyNumberFormat="1" applyFont="1" applyFill="1" applyBorder="1" applyAlignment="1">
      <alignment horizontal="center" vertical="center" wrapText="1"/>
    </xf>
    <xf numFmtId="49" fontId="5" fillId="23" borderId="0" xfId="0" applyNumberFormat="1" applyFont="1" applyFill="1"/>
    <xf numFmtId="49" fontId="9" fillId="23" borderId="1" xfId="0" applyNumberFormat="1" applyFont="1" applyFill="1" applyBorder="1" applyAlignment="1">
      <alignment horizontal="center" vertical="center" wrapText="1"/>
    </xf>
    <xf numFmtId="49" fontId="20" fillId="23" borderId="1" xfId="0" applyNumberFormat="1" applyFont="1" applyFill="1" applyBorder="1" applyAlignment="1" applyProtection="1">
      <alignment horizontal="center" vertical="center" wrapText="1"/>
      <protection hidden="1"/>
    </xf>
    <xf numFmtId="49" fontId="14" fillId="23" borderId="1" xfId="1" applyNumberFormat="1" applyFont="1" applyFill="1" applyBorder="1" applyAlignment="1" applyProtection="1">
      <alignment horizontal="center" vertical="center" wrapText="1"/>
      <protection hidden="1"/>
    </xf>
    <xf numFmtId="49" fontId="5" fillId="12" borderId="1" xfId="0" applyNumberFormat="1" applyFont="1" applyFill="1" applyBorder="1" applyAlignment="1">
      <alignment horizontal="center" vertical="center" wrapText="1"/>
    </xf>
    <xf numFmtId="49" fontId="21" fillId="12" borderId="1" xfId="0" applyNumberFormat="1" applyFont="1" applyFill="1" applyBorder="1" applyAlignment="1">
      <alignment horizontal="center" vertical="center" wrapText="1"/>
    </xf>
    <xf numFmtId="49" fontId="12" fillId="12" borderId="1" xfId="0" applyNumberFormat="1" applyFont="1" applyFill="1" applyBorder="1" applyAlignment="1">
      <alignment horizontal="center" vertical="center" wrapText="1"/>
    </xf>
    <xf numFmtId="49" fontId="12" fillId="12" borderId="1" xfId="1" applyNumberFormat="1" applyFont="1" applyFill="1" applyBorder="1" applyAlignment="1" applyProtection="1">
      <alignment horizontal="center" vertical="center" wrapText="1"/>
      <protection hidden="1"/>
    </xf>
    <xf numFmtId="49" fontId="5" fillId="12" borderId="1" xfId="0" quotePrefix="1" applyNumberFormat="1" applyFont="1" applyFill="1" applyBorder="1" applyAlignment="1">
      <alignment horizontal="center" vertical="center" wrapText="1"/>
    </xf>
    <xf numFmtId="49" fontId="5" fillId="12" borderId="0" xfId="0" applyNumberFormat="1" applyFont="1" applyFill="1"/>
    <xf numFmtId="49" fontId="9" fillId="12" borderId="1" xfId="0" applyNumberFormat="1" applyFont="1" applyFill="1" applyBorder="1" applyAlignment="1">
      <alignment horizontal="center" vertical="center" wrapText="1"/>
    </xf>
    <xf numFmtId="49" fontId="20" fillId="12" borderId="1" xfId="0" applyNumberFormat="1" applyFont="1" applyFill="1" applyBorder="1" applyAlignment="1" applyProtection="1">
      <alignment horizontal="center" vertical="center" wrapText="1"/>
      <protection hidden="1"/>
    </xf>
    <xf numFmtId="49" fontId="14" fillId="12" borderId="1" xfId="1" applyNumberFormat="1" applyFont="1" applyFill="1" applyBorder="1" applyAlignment="1" applyProtection="1">
      <alignment horizontal="center" vertical="center" wrapText="1"/>
      <protection hidden="1"/>
    </xf>
    <xf numFmtId="49" fontId="6" fillId="26" borderId="1" xfId="0" applyNumberFormat="1" applyFont="1" applyFill="1" applyBorder="1" applyAlignment="1">
      <alignment horizontal="center" vertical="center" wrapText="1"/>
    </xf>
    <xf numFmtId="49" fontId="9" fillId="24" borderId="1" xfId="0" applyNumberFormat="1" applyFont="1" applyFill="1" applyBorder="1" applyAlignment="1">
      <alignment horizontal="center" vertical="center" wrapText="1"/>
    </xf>
    <xf numFmtId="49" fontId="12" fillId="24" borderId="1" xfId="1" applyNumberFormat="1" applyFont="1" applyFill="1" applyBorder="1" applyAlignment="1" applyProtection="1">
      <alignment horizontal="center" vertical="center" wrapText="1"/>
      <protection hidden="1"/>
    </xf>
    <xf numFmtId="49" fontId="20" fillId="24" borderId="1" xfId="0" applyNumberFormat="1" applyFont="1" applyFill="1" applyBorder="1" applyAlignment="1" applyProtection="1">
      <alignment horizontal="center" vertical="center" wrapText="1"/>
      <protection hidden="1"/>
    </xf>
    <xf numFmtId="49" fontId="14" fillId="24" borderId="1" xfId="1" applyNumberFormat="1" applyFont="1" applyFill="1" applyBorder="1" applyAlignment="1" applyProtection="1">
      <alignment horizontal="center" vertical="center" wrapText="1"/>
      <protection hidden="1"/>
    </xf>
    <xf numFmtId="49" fontId="12" fillId="21" borderId="1" xfId="1" applyNumberFormat="1" applyFont="1" applyFill="1" applyBorder="1" applyAlignment="1" applyProtection="1">
      <alignment horizontal="center" vertical="center" wrapText="1"/>
      <protection hidden="1"/>
    </xf>
    <xf numFmtId="49" fontId="24" fillId="21" borderId="1" xfId="0" applyNumberFormat="1" applyFont="1" applyFill="1" applyBorder="1" applyAlignment="1">
      <alignment horizontal="center" vertical="center" wrapText="1"/>
    </xf>
    <xf numFmtId="49" fontId="25" fillId="21" borderId="1" xfId="1" applyNumberFormat="1" applyFont="1" applyFill="1" applyBorder="1" applyAlignment="1" applyProtection="1">
      <alignment horizontal="center" vertical="center" wrapText="1"/>
      <protection hidden="1"/>
    </xf>
    <xf numFmtId="49" fontId="26" fillId="21" borderId="1" xfId="0" applyNumberFormat="1" applyFont="1" applyFill="1" applyBorder="1" applyAlignment="1" applyProtection="1">
      <alignment horizontal="center" vertical="center" wrapText="1"/>
      <protection hidden="1"/>
    </xf>
    <xf numFmtId="49" fontId="24" fillId="22" borderId="1" xfId="0" applyNumberFormat="1" applyFont="1" applyFill="1" applyBorder="1" applyAlignment="1">
      <alignment horizontal="center" vertical="center" wrapText="1"/>
    </xf>
    <xf numFmtId="49" fontId="24" fillId="21" borderId="0" xfId="0" applyNumberFormat="1" applyFont="1" applyFill="1"/>
    <xf numFmtId="49" fontId="6" fillId="4" borderId="1" xfId="0" applyNumberFormat="1" applyFont="1" applyFill="1" applyBorder="1" applyAlignment="1">
      <alignment horizontal="center" vertical="center" wrapText="1"/>
    </xf>
    <xf numFmtId="49" fontId="14" fillId="4" borderId="1" xfId="1" applyNumberFormat="1" applyFont="1" applyFill="1" applyBorder="1" applyAlignment="1" applyProtection="1">
      <alignment horizontal="center" vertical="center" wrapText="1"/>
      <protection hidden="1"/>
    </xf>
    <xf numFmtId="49" fontId="20" fillId="4" borderId="1" xfId="0" applyNumberFormat="1" applyFont="1" applyFill="1" applyBorder="1" applyAlignment="1" applyProtection="1">
      <alignment horizontal="center" vertical="center" wrapText="1"/>
      <protection hidden="1"/>
    </xf>
    <xf numFmtId="49" fontId="12" fillId="4" borderId="1" xfId="1" applyNumberFormat="1" applyFont="1" applyFill="1" applyBorder="1" applyAlignment="1" applyProtection="1">
      <alignment horizontal="center" vertical="center" wrapText="1"/>
      <protection hidden="1"/>
    </xf>
    <xf numFmtId="49" fontId="6" fillId="13" borderId="1" xfId="0" applyNumberFormat="1" applyFont="1" applyFill="1" applyBorder="1" applyAlignment="1">
      <alignment horizontal="center" vertical="center" wrapText="1"/>
    </xf>
    <xf numFmtId="49" fontId="6" fillId="4" borderId="1" xfId="0" quotePrefix="1" applyNumberFormat="1" applyFont="1" applyFill="1" applyBorder="1" applyAlignment="1">
      <alignment horizontal="center" vertical="center" wrapText="1"/>
    </xf>
    <xf numFmtId="49" fontId="6" fillId="24" borderId="0" xfId="0" applyNumberFormat="1" applyFont="1" applyFill="1"/>
    <xf numFmtId="49" fontId="6" fillId="4" borderId="0" xfId="0" applyNumberFormat="1" applyFont="1" applyFill="1"/>
    <xf numFmtId="49" fontId="20" fillId="4" borderId="1" xfId="2" applyNumberFormat="1" applyFont="1" applyFill="1" applyBorder="1" applyAlignment="1" applyProtection="1">
      <alignment horizontal="center" vertical="center" wrapText="1"/>
      <protection hidden="1"/>
    </xf>
    <xf numFmtId="49" fontId="14" fillId="4" borderId="1" xfId="0" applyNumberFormat="1" applyFont="1" applyFill="1" applyBorder="1" applyAlignment="1">
      <alignment horizontal="center" vertical="center" wrapText="1"/>
    </xf>
    <xf numFmtId="49" fontId="6" fillId="13" borderId="1" xfId="0" quotePrefix="1" applyNumberFormat="1" applyFont="1" applyFill="1" applyBorder="1" applyAlignment="1">
      <alignment horizontal="center" vertical="center" wrapText="1"/>
    </xf>
    <xf numFmtId="49" fontId="6" fillId="24" borderId="0" xfId="0" applyNumberFormat="1" applyFont="1" applyFill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 applyProtection="1">
      <alignment horizontal="center" vertical="center" wrapText="1"/>
      <protection hidden="1"/>
    </xf>
    <xf numFmtId="49" fontId="5" fillId="0" borderId="0" xfId="0" applyNumberFormat="1" applyFont="1" applyAlignment="1">
      <alignment wrapText="1"/>
    </xf>
    <xf numFmtId="49" fontId="21" fillId="5" borderId="1" xfId="0" applyNumberFormat="1" applyFont="1" applyFill="1" applyBorder="1" applyAlignment="1">
      <alignment horizontal="center" vertical="center" wrapText="1"/>
    </xf>
    <xf numFmtId="49" fontId="5" fillId="24" borderId="1" xfId="0" applyNumberFormat="1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wrapText="1"/>
    </xf>
    <xf numFmtId="0" fontId="13" fillId="0" borderId="2" xfId="0" applyFont="1" applyBorder="1" applyAlignment="1">
      <alignment wrapText="1"/>
    </xf>
    <xf numFmtId="49" fontId="25" fillId="14" borderId="1" xfId="0" applyNumberFormat="1" applyFont="1" applyFill="1" applyBorder="1" applyAlignment="1">
      <alignment horizontal="center" vertical="center" wrapText="1"/>
    </xf>
    <xf numFmtId="49" fontId="24" fillId="14" borderId="1" xfId="0" quotePrefix="1" applyNumberFormat="1" applyFont="1" applyFill="1" applyBorder="1" applyAlignment="1">
      <alignment horizontal="center" vertical="center" wrapText="1"/>
    </xf>
    <xf numFmtId="49" fontId="6" fillId="14" borderId="1" xfId="0" applyNumberFormat="1" applyFont="1" applyFill="1" applyBorder="1" applyAlignment="1">
      <alignment horizontal="center" vertical="center" wrapText="1"/>
    </xf>
    <xf numFmtId="49" fontId="6" fillId="25" borderId="1" xfId="0" applyNumberFormat="1" applyFont="1" applyFill="1" applyBorder="1" applyAlignment="1">
      <alignment horizontal="center" vertical="center" wrapText="1"/>
    </xf>
    <xf numFmtId="49" fontId="6" fillId="14" borderId="0" xfId="0" applyNumberFormat="1" applyFont="1" applyFill="1"/>
    <xf numFmtId="49" fontId="25" fillId="27" borderId="1" xfId="1" applyNumberFormat="1" applyFont="1" applyFill="1" applyBorder="1" applyAlignment="1" applyProtection="1">
      <alignment horizontal="center" vertical="center" wrapText="1"/>
      <protection hidden="1"/>
    </xf>
    <xf numFmtId="49" fontId="26" fillId="27" borderId="1" xfId="2" applyNumberFormat="1" applyFont="1" applyFill="1" applyBorder="1" applyAlignment="1" applyProtection="1">
      <alignment horizontal="center" vertical="center" wrapText="1"/>
      <protection hidden="1"/>
    </xf>
    <xf numFmtId="49" fontId="24" fillId="28" borderId="1" xfId="0" applyNumberFormat="1" applyFont="1" applyFill="1" applyBorder="1" applyAlignment="1">
      <alignment horizontal="center" vertical="center" wrapText="1"/>
    </xf>
    <xf numFmtId="49" fontId="24" fillId="12" borderId="1" xfId="0" applyNumberFormat="1" applyFont="1" applyFill="1" applyBorder="1" applyAlignment="1">
      <alignment horizontal="center" vertical="center" wrapText="1"/>
    </xf>
    <xf numFmtId="49" fontId="26" fillId="12" borderId="1" xfId="0" applyNumberFormat="1" applyFont="1" applyFill="1" applyBorder="1" applyAlignment="1">
      <alignment horizontal="center" vertical="center" wrapText="1"/>
    </xf>
    <xf numFmtId="49" fontId="25" fillId="12" borderId="1" xfId="0" applyNumberFormat="1" applyFont="1" applyFill="1" applyBorder="1" applyAlignment="1">
      <alignment horizontal="center" vertical="center" wrapText="1"/>
    </xf>
    <xf numFmtId="49" fontId="25" fillId="12" borderId="1" xfId="1" applyNumberFormat="1" applyFont="1" applyFill="1" applyBorder="1" applyAlignment="1" applyProtection="1">
      <alignment horizontal="center" vertical="center" wrapText="1"/>
      <protection hidden="1"/>
    </xf>
    <xf numFmtId="49" fontId="24" fillId="12" borderId="1" xfId="0" quotePrefix="1" applyNumberFormat="1" applyFont="1" applyFill="1" applyBorder="1" applyAlignment="1">
      <alignment horizontal="center" vertical="center" wrapText="1"/>
    </xf>
    <xf numFmtId="49" fontId="24" fillId="12" borderId="0" xfId="0" applyNumberFormat="1" applyFont="1" applyFill="1"/>
    <xf numFmtId="49" fontId="6" fillId="27" borderId="1" xfId="0" applyNumberFormat="1" applyFont="1" applyFill="1" applyBorder="1" applyAlignment="1">
      <alignment horizontal="center" vertical="center" wrapText="1"/>
    </xf>
    <xf numFmtId="49" fontId="6" fillId="27" borderId="0" xfId="0" applyNumberFormat="1" applyFont="1" applyFill="1"/>
    <xf numFmtId="49" fontId="25" fillId="14" borderId="1" xfId="1" applyNumberFormat="1" applyFont="1" applyFill="1" applyBorder="1" applyAlignment="1" applyProtection="1">
      <alignment horizontal="center" vertical="center" wrapText="1"/>
      <protection locked="0"/>
    </xf>
    <xf numFmtId="49" fontId="26" fillId="14" borderId="1" xfId="2" applyNumberFormat="1" applyFont="1" applyFill="1" applyBorder="1" applyAlignment="1" applyProtection="1">
      <alignment horizontal="center" vertical="center" wrapText="1"/>
      <protection hidden="1"/>
    </xf>
    <xf numFmtId="49" fontId="14" fillId="14" borderId="1" xfId="1" applyNumberFormat="1" applyFont="1" applyFill="1" applyBorder="1" applyAlignment="1" applyProtection="1">
      <alignment horizontal="center" vertical="center" wrapText="1"/>
      <protection locked="0"/>
    </xf>
    <xf numFmtId="49" fontId="14" fillId="14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0" xfId="0" applyFont="1"/>
    <xf numFmtId="0" fontId="25" fillId="0" borderId="0" xfId="0" applyFont="1" applyAlignment="1">
      <alignment wrapText="1"/>
    </xf>
    <xf numFmtId="0" fontId="26" fillId="27" borderId="1" xfId="2" applyFont="1" applyFill="1" applyBorder="1" applyAlignment="1" applyProtection="1">
      <alignment horizontal="center" vertical="center" wrapText="1"/>
      <protection hidden="1"/>
    </xf>
    <xf numFmtId="0" fontId="25" fillId="27" borderId="1" xfId="1" applyFont="1" applyFill="1" applyBorder="1" applyAlignment="1" applyProtection="1">
      <alignment horizontal="center" vertical="center" wrapText="1"/>
      <protection hidden="1"/>
    </xf>
    <xf numFmtId="49" fontId="12" fillId="27" borderId="1" xfId="1" applyNumberFormat="1" applyFont="1" applyFill="1" applyBorder="1" applyAlignment="1" applyProtection="1">
      <alignment horizontal="center" vertical="center" wrapText="1"/>
      <protection locked="0"/>
    </xf>
    <xf numFmtId="49" fontId="12" fillId="5" borderId="1" xfId="1" applyNumberFormat="1" applyFont="1" applyFill="1" applyBorder="1" applyAlignment="1" applyProtection="1">
      <alignment horizontal="center" vertical="center" wrapText="1"/>
      <protection locked="0"/>
    </xf>
    <xf numFmtId="49" fontId="12" fillId="7" borderId="1" xfId="1" applyNumberFormat="1" applyFont="1" applyFill="1" applyBorder="1" applyAlignment="1" applyProtection="1">
      <alignment horizontal="center" vertical="center" wrapText="1"/>
      <protection locked="0"/>
    </xf>
    <xf numFmtId="49" fontId="12" fillId="23" borderId="1" xfId="1" applyNumberFormat="1" applyFont="1" applyFill="1" applyBorder="1" applyAlignment="1" applyProtection="1">
      <alignment horizontal="center" vertical="center" wrapText="1"/>
      <protection locked="0"/>
    </xf>
    <xf numFmtId="49" fontId="25" fillId="12" borderId="1" xfId="1" applyNumberFormat="1" applyFont="1" applyFill="1" applyBorder="1" applyAlignment="1" applyProtection="1">
      <alignment horizontal="center" vertical="center" wrapText="1"/>
      <protection locked="0"/>
    </xf>
    <xf numFmtId="49" fontId="12" fillId="12" borderId="1" xfId="1" applyNumberFormat="1" applyFont="1" applyFill="1" applyBorder="1" applyAlignment="1" applyProtection="1">
      <alignment horizontal="center" vertical="center" wrapText="1"/>
      <protection locked="0"/>
    </xf>
    <xf numFmtId="49" fontId="12" fillId="24" borderId="1" xfId="1" applyNumberFormat="1" applyFont="1" applyFill="1" applyBorder="1" applyAlignment="1" applyProtection="1">
      <alignment horizontal="center" vertical="center" wrapText="1"/>
      <protection locked="0"/>
    </xf>
    <xf numFmtId="49" fontId="25" fillId="21" borderId="1" xfId="1" applyNumberFormat="1" applyFont="1" applyFill="1" applyBorder="1" applyAlignment="1" applyProtection="1">
      <alignment horizontal="center" vertical="center" wrapText="1"/>
      <protection locked="0"/>
    </xf>
    <xf numFmtId="49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49" fontId="21" fillId="27" borderId="1" xfId="2" applyNumberFormat="1" applyFont="1" applyFill="1" applyBorder="1" applyAlignment="1" applyProtection="1">
      <alignment horizontal="center" vertical="center" wrapText="1"/>
      <protection hidden="1"/>
    </xf>
    <xf numFmtId="49" fontId="5" fillId="28" borderId="1" xfId="0" applyNumberFormat="1" applyFont="1" applyFill="1" applyBorder="1" applyAlignment="1">
      <alignment horizontal="center" vertical="center" wrapText="1"/>
    </xf>
    <xf numFmtId="49" fontId="21" fillId="24" borderId="1" xfId="0" applyNumberFormat="1" applyFont="1" applyFill="1" applyBorder="1" applyAlignment="1" applyProtection="1">
      <alignment horizontal="center" vertical="center" wrapText="1"/>
      <protection hidden="1"/>
    </xf>
    <xf numFmtId="49" fontId="27" fillId="19" borderId="1" xfId="0" applyNumberFormat="1" applyFont="1" applyFill="1" applyBorder="1" applyAlignment="1">
      <alignment horizontal="center" vertical="center" wrapText="1"/>
    </xf>
    <xf numFmtId="49" fontId="6" fillId="19" borderId="1" xfId="0" applyNumberFormat="1" applyFont="1" applyFill="1" applyBorder="1" applyAlignment="1">
      <alignment horizontal="center" vertical="center" wrapText="1"/>
    </xf>
    <xf numFmtId="49" fontId="19" fillId="19" borderId="1" xfId="0" applyNumberFormat="1" applyFont="1" applyFill="1" applyBorder="1" applyAlignment="1">
      <alignment horizontal="center" vertical="center" wrapText="1"/>
    </xf>
    <xf numFmtId="49" fontId="19" fillId="14" borderId="1" xfId="0" applyNumberFormat="1" applyFont="1" applyFill="1" applyBorder="1" applyAlignment="1">
      <alignment horizontal="center" vertical="center" wrapText="1"/>
    </xf>
    <xf numFmtId="49" fontId="27" fillId="14" borderId="1" xfId="0" applyNumberFormat="1" applyFont="1" applyFill="1" applyBorder="1" applyAlignment="1">
      <alignment horizontal="center" vertical="center" wrapText="1"/>
    </xf>
    <xf numFmtId="49" fontId="28" fillId="14" borderId="1" xfId="0" applyNumberFormat="1" applyFont="1" applyFill="1" applyBorder="1" applyAlignment="1">
      <alignment horizontal="center" vertical="center" wrapText="1"/>
    </xf>
    <xf numFmtId="49" fontId="19" fillId="27" borderId="1" xfId="0" applyNumberFormat="1" applyFont="1" applyFill="1" applyBorder="1" applyAlignment="1">
      <alignment horizontal="center" vertical="center" wrapText="1"/>
    </xf>
    <xf numFmtId="49" fontId="19" fillId="5" borderId="1" xfId="0" applyNumberFormat="1" applyFont="1" applyFill="1" applyBorder="1" applyAlignment="1">
      <alignment horizontal="center" vertical="center" wrapText="1"/>
    </xf>
    <xf numFmtId="49" fontId="19" fillId="7" borderId="1" xfId="0" applyNumberFormat="1" applyFont="1" applyFill="1" applyBorder="1" applyAlignment="1">
      <alignment horizontal="center" vertical="center" wrapText="1"/>
    </xf>
    <xf numFmtId="49" fontId="19" fillId="23" borderId="1" xfId="0" applyNumberFormat="1" applyFont="1" applyFill="1" applyBorder="1" applyAlignment="1">
      <alignment horizontal="center" vertical="center" wrapText="1"/>
    </xf>
    <xf numFmtId="49" fontId="27" fillId="12" borderId="1" xfId="0" applyNumberFormat="1" applyFont="1" applyFill="1" applyBorder="1" applyAlignment="1">
      <alignment horizontal="center" vertical="center" wrapText="1"/>
    </xf>
    <xf numFmtId="49" fontId="19" fillId="12" borderId="1" xfId="0" applyNumberFormat="1" applyFont="1" applyFill="1" applyBorder="1" applyAlignment="1">
      <alignment horizontal="center" vertical="center" wrapText="1"/>
    </xf>
    <xf numFmtId="49" fontId="28" fillId="4" borderId="1" xfId="0" applyNumberFormat="1" applyFont="1" applyFill="1" applyBorder="1" applyAlignment="1">
      <alignment horizontal="center" vertical="center" wrapText="1"/>
    </xf>
    <xf numFmtId="49" fontId="6" fillId="14" borderId="1" xfId="0" quotePrefix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7">
    <cellStyle name="Normal" xfId="0" builtinId="0"/>
    <cellStyle name="Normal 2" xfId="1" xr:uid="{00000000-0005-0000-0000-000002000000}"/>
    <cellStyle name="Normal 2 2" xfId="5" xr:uid="{58E5C4CD-010A-411D-815F-C73829C46D78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5 2" xfId="6" xr:uid="{6DA57FD5-FC22-4431-A67B-0D6E4C1670FD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6600"/>
      <color rgb="FFFF0066"/>
      <color rgb="FF66FFFF"/>
      <color rgb="FFFF99FF"/>
      <color rgb="FFDBCE3B"/>
      <color rgb="FF35E1D7"/>
      <color rgb="FFFF66FF"/>
      <color rgb="FF00FF00"/>
      <color rgb="FF00FF99"/>
      <color rgb="FFDC60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535745531808524"/>
          <c:y val="8.2734129716626303E-2"/>
          <c:w val="0.7312692163479565"/>
          <c:h val="0.744893705402885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'BĐ 1+2-IU'!$W$56</c:f>
              <c:strCache>
                <c:ptCount val="1"/>
                <c:pt idx="0">
                  <c:v>Tất cả hóa chất</c:v>
                </c:pt>
              </c:strCache>
            </c:strRef>
          </c:tx>
          <c:invertIfNegative val="0"/>
          <c:cat>
            <c:strRef>
              <c:f>'BĐ 1+2-IU'!$V$57:$V$63</c:f>
              <c:strCache>
                <c:ptCount val="5"/>
                <c:pt idx="2">
                  <c:v>Âm tính</c:v>
                </c:pt>
                <c:pt idx="4">
                  <c:v>Dương tính</c:v>
                </c:pt>
              </c:strCache>
            </c:strRef>
          </c:cat>
          <c:val>
            <c:numRef>
              <c:f>'BĐ 1+2-IU'!$W$57:$W$63</c:f>
              <c:numCache>
                <c:formatCode>General</c:formatCode>
                <c:ptCount val="7"/>
                <c:pt idx="2">
                  <c:v>32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5-434E-9A48-29A4998056AE}"/>
            </c:ext>
          </c:extLst>
        </c:ser>
        <c:ser>
          <c:idx val="2"/>
          <c:order val="2"/>
          <c:tx>
            <c:strRef>
              <c:f>'BĐ 1+2-IU'!$Y$56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'BĐ 1+2-IU'!$V$57:$V$63</c:f>
              <c:strCache>
                <c:ptCount val="5"/>
                <c:pt idx="2">
                  <c:v>Âm tính</c:v>
                </c:pt>
                <c:pt idx="4">
                  <c:v>Dương tính</c:v>
                </c:pt>
              </c:strCache>
            </c:strRef>
          </c:cat>
          <c:val>
            <c:numRef>
              <c:f>'BĐ 1+2-IU'!$Y$57:$Y$63</c:f>
              <c:numCache>
                <c:formatCode>General</c:formatCode>
                <c:ptCount val="7"/>
                <c:pt idx="2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5-434E-9A48-29A499805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35036704"/>
        <c:axId val="541317760"/>
      </c:barChart>
      <c:barChart>
        <c:barDir val="col"/>
        <c:grouping val="stacked"/>
        <c:varyColors val="0"/>
        <c:ser>
          <c:idx val="1"/>
          <c:order val="1"/>
          <c:tx>
            <c:strRef>
              <c:f>'BĐ 1+2-IU'!$X$56</c:f>
              <c:strCache>
                <c:ptCount val="1"/>
                <c:pt idx="0">
                  <c:v>Sacace-Ý</c:v>
                </c:pt>
              </c:strCache>
            </c:strRef>
          </c:tx>
          <c:invertIfNegative val="0"/>
          <c:cat>
            <c:strRef>
              <c:f>'BĐ 1+2-IU'!$V$57:$V$63</c:f>
              <c:strCache>
                <c:ptCount val="5"/>
                <c:pt idx="2">
                  <c:v>Âm tính</c:v>
                </c:pt>
                <c:pt idx="4">
                  <c:v>Dương tính</c:v>
                </c:pt>
              </c:strCache>
            </c:strRef>
          </c:cat>
          <c:val>
            <c:numRef>
              <c:f>'BĐ 1+2-IU'!$X$57:$X$63</c:f>
              <c:numCache>
                <c:formatCode>General</c:formatCode>
                <c:ptCount val="7"/>
                <c:pt idx="2">
                  <c:v>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5-434E-9A48-29A499805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541318880"/>
        <c:axId val="541318320"/>
      </c:barChart>
      <c:dateAx>
        <c:axId val="13503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Log</a:t>
                </a:r>
                <a:r>
                  <a:rPr lang="en-GB" b="1" baseline="0"/>
                  <a:t>10 IU</a:t>
                </a:r>
                <a:r>
                  <a:rPr lang="en-GB" b="1"/>
                  <a:t>/mL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541317760"/>
        <c:crosses val="autoZero"/>
        <c:auto val="0"/>
        <c:lblOffset val="100"/>
        <c:baseTimeUnit val="days"/>
        <c:majorUnit val="1"/>
      </c:dateAx>
      <c:valAx>
        <c:axId val="541317760"/>
        <c:scaling>
          <c:orientation val="minMax"/>
          <c:max val="35"/>
          <c:min val="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Số</a:t>
                </a:r>
                <a:r>
                  <a:rPr lang="en-GB" b="1" baseline="0"/>
                  <a:t> lượng đơn vị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"/>
              <c:y val="0.382977744220328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135036704"/>
        <c:crossesAt val="1"/>
        <c:crossBetween val="between"/>
        <c:majorUnit val="7"/>
      </c:valAx>
      <c:valAx>
        <c:axId val="541318320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541318880"/>
        <c:crosses val="max"/>
        <c:crossBetween val="between"/>
        <c:majorUnit val="1"/>
      </c:valAx>
      <c:dateAx>
        <c:axId val="54131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318320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56905918010248724"/>
          <c:y val="3.7912613864443416E-3"/>
          <c:w val="0.36431919694248743"/>
          <c:h val="0.21547290838705738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  <c:txPr>
        <a:bodyPr/>
        <a:lstStyle/>
        <a:p>
          <a:pPr>
            <a:defRPr sz="10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01840394950631"/>
          <c:y val="8.2734129716626303E-2"/>
          <c:w val="0.76918103987001629"/>
          <c:h val="0.74958302250018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'BĐ 1+2-IU'!$W$3</c:f>
              <c:strCache>
                <c:ptCount val="1"/>
                <c:pt idx="0">
                  <c:v>Tất cả hóa chất</c:v>
                </c:pt>
              </c:strCache>
            </c:strRef>
          </c:tx>
          <c:invertIfNegative val="0"/>
          <c:cat>
            <c:strRef>
              <c:f>'BĐ 1+2-IU'!$V$4:$V$10</c:f>
              <c:strCache>
                <c:ptCount val="6"/>
                <c:pt idx="0">
                  <c:v>3.4-3.7</c:v>
                </c:pt>
                <c:pt idx="1">
                  <c:v>3.7-4</c:v>
                </c:pt>
                <c:pt idx="2">
                  <c:v>4-4.3</c:v>
                </c:pt>
                <c:pt idx="3">
                  <c:v>4.3-4.6</c:v>
                </c:pt>
                <c:pt idx="4">
                  <c:v>4.6-4.9</c:v>
                </c:pt>
                <c:pt idx="5">
                  <c:v>5.8-6.1</c:v>
                </c:pt>
              </c:strCache>
            </c:strRef>
          </c:cat>
          <c:val>
            <c:numRef>
              <c:f>'BĐ 1+2-IU'!$W$4:$W$10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C-49B2-B5D5-AE303A02CB4D}"/>
            </c:ext>
          </c:extLst>
        </c:ser>
        <c:ser>
          <c:idx val="2"/>
          <c:order val="2"/>
          <c:tx>
            <c:strRef>
              <c:f>'BĐ 1+2-IU'!$Y$3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'BĐ 1+2-IU'!$V$4:$V$10</c:f>
              <c:strCache>
                <c:ptCount val="6"/>
                <c:pt idx="0">
                  <c:v>3.4-3.7</c:v>
                </c:pt>
                <c:pt idx="1">
                  <c:v>3.7-4</c:v>
                </c:pt>
                <c:pt idx="2">
                  <c:v>4-4.3</c:v>
                </c:pt>
                <c:pt idx="3">
                  <c:v>4.3-4.6</c:v>
                </c:pt>
                <c:pt idx="4">
                  <c:v>4.6-4.9</c:v>
                </c:pt>
                <c:pt idx="5">
                  <c:v>5.8-6.1</c:v>
                </c:pt>
              </c:strCache>
            </c:strRef>
          </c:cat>
          <c:val>
            <c:numRef>
              <c:f>'BĐ 1+2-IU'!$Y$4:$Y$10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C-49B2-B5D5-AE303A02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51545632"/>
        <c:axId val="151546192"/>
      </c:barChart>
      <c:barChart>
        <c:barDir val="col"/>
        <c:grouping val="stacked"/>
        <c:varyColors val="0"/>
        <c:ser>
          <c:idx val="1"/>
          <c:order val="1"/>
          <c:tx>
            <c:strRef>
              <c:f>'BĐ 1+2-IU'!$X$3</c:f>
              <c:strCache>
                <c:ptCount val="1"/>
                <c:pt idx="0">
                  <c:v>Sacace-Ý</c:v>
                </c:pt>
              </c:strCache>
            </c:strRef>
          </c:tx>
          <c:invertIfNegative val="0"/>
          <c:cat>
            <c:strRef>
              <c:f>'BĐ 1+2-IU'!$V$4:$V$10</c:f>
              <c:strCache>
                <c:ptCount val="6"/>
                <c:pt idx="0">
                  <c:v>3.4-3.7</c:v>
                </c:pt>
                <c:pt idx="1">
                  <c:v>3.7-4</c:v>
                </c:pt>
                <c:pt idx="2">
                  <c:v>4-4.3</c:v>
                </c:pt>
                <c:pt idx="3">
                  <c:v>4.3-4.6</c:v>
                </c:pt>
                <c:pt idx="4">
                  <c:v>4.6-4.9</c:v>
                </c:pt>
                <c:pt idx="5">
                  <c:v>5.8-6.1</c:v>
                </c:pt>
              </c:strCache>
            </c:strRef>
          </c:cat>
          <c:val>
            <c:numRef>
              <c:f>'BĐ 1+2-IU'!$X$4:$X$10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C-49B2-B5D5-AE303A02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51547312"/>
        <c:axId val="151546752"/>
      </c:barChart>
      <c:dateAx>
        <c:axId val="15154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Log</a:t>
                </a:r>
                <a:r>
                  <a:rPr lang="en-GB" b="1" baseline="0"/>
                  <a:t>10 IU</a:t>
                </a:r>
                <a:r>
                  <a:rPr lang="en-GB" b="1"/>
                  <a:t>/mL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151546192"/>
        <c:crosses val="autoZero"/>
        <c:auto val="0"/>
        <c:lblOffset val="100"/>
        <c:baseTimeUnit val="days"/>
        <c:majorUnit val="1"/>
      </c:dateAx>
      <c:valAx>
        <c:axId val="151546192"/>
        <c:scaling>
          <c:orientation val="minMax"/>
          <c:max val="20"/>
          <c:min val="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Số</a:t>
                </a:r>
                <a:r>
                  <a:rPr lang="en-GB" b="1" baseline="0"/>
                  <a:t> lượng đơn vị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"/>
              <c:y val="0.382977744220328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151545632"/>
        <c:crossesAt val="1"/>
        <c:crossBetween val="between"/>
        <c:majorUnit val="5"/>
      </c:valAx>
      <c:valAx>
        <c:axId val="151546752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51547312"/>
        <c:crosses val="max"/>
        <c:crossBetween val="between"/>
        <c:majorUnit val="1"/>
      </c:valAx>
      <c:dateAx>
        <c:axId val="15154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546752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3651936129129233"/>
          <c:y val="7.4131368422659313E-2"/>
          <c:w val="0.36431919694248743"/>
          <c:h val="0.21547290838705738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  <c:txPr>
        <a:bodyPr/>
        <a:lstStyle/>
        <a:p>
          <a:pPr>
            <a:defRPr sz="10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01840394950631"/>
          <c:y val="8.2734129716626303E-2"/>
          <c:w val="0.76918103987001629"/>
          <c:h val="0.74958302250018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'BĐ 1+2-IU'!$W$25</c:f>
              <c:strCache>
                <c:ptCount val="1"/>
                <c:pt idx="0">
                  <c:v>Tất cả hóa chất</c:v>
                </c:pt>
              </c:strCache>
            </c:strRef>
          </c:tx>
          <c:invertIfNegative val="0"/>
          <c:cat>
            <c:strRef>
              <c:f>'BĐ 1+2-IU'!$V$26:$V$32</c:f>
              <c:strCache>
                <c:ptCount val="6"/>
                <c:pt idx="0">
                  <c:v>3.53-3.88</c:v>
                </c:pt>
                <c:pt idx="1">
                  <c:v>3.88-4.23</c:v>
                </c:pt>
                <c:pt idx="2">
                  <c:v>4.23-4.58</c:v>
                </c:pt>
                <c:pt idx="3">
                  <c:v>4.58-4.93</c:v>
                </c:pt>
                <c:pt idx="4">
                  <c:v>4.93-5.28</c:v>
                </c:pt>
                <c:pt idx="5">
                  <c:v>5.63-5.98</c:v>
                </c:pt>
              </c:strCache>
            </c:strRef>
          </c:cat>
          <c:val>
            <c:numRef>
              <c:f>'BĐ 1+2-IU'!$W$26:$W$32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F-4177-A3FB-097AABD94F19}"/>
            </c:ext>
          </c:extLst>
        </c:ser>
        <c:ser>
          <c:idx val="2"/>
          <c:order val="2"/>
          <c:tx>
            <c:strRef>
              <c:f>'BĐ 1+2-IU'!$Y$25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'BĐ 1+2-IU'!$V$26:$V$32</c:f>
              <c:strCache>
                <c:ptCount val="6"/>
                <c:pt idx="0">
                  <c:v>3.53-3.88</c:v>
                </c:pt>
                <c:pt idx="1">
                  <c:v>3.88-4.23</c:v>
                </c:pt>
                <c:pt idx="2">
                  <c:v>4.23-4.58</c:v>
                </c:pt>
                <c:pt idx="3">
                  <c:v>4.58-4.93</c:v>
                </c:pt>
                <c:pt idx="4">
                  <c:v>4.93-5.28</c:v>
                </c:pt>
                <c:pt idx="5">
                  <c:v>5.63-5.98</c:v>
                </c:pt>
              </c:strCache>
            </c:strRef>
          </c:cat>
          <c:val>
            <c:numRef>
              <c:f>'BĐ 1+2-IU'!$Y$26:$Y$32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F-4177-A3FB-097AABD9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51545632"/>
        <c:axId val="151546192"/>
      </c:barChart>
      <c:barChart>
        <c:barDir val="col"/>
        <c:grouping val="stacked"/>
        <c:varyColors val="0"/>
        <c:ser>
          <c:idx val="1"/>
          <c:order val="1"/>
          <c:tx>
            <c:strRef>
              <c:f>'BĐ 1+2-IU'!$X$25</c:f>
              <c:strCache>
                <c:ptCount val="1"/>
                <c:pt idx="0">
                  <c:v>Sacace-Ý</c:v>
                </c:pt>
              </c:strCache>
            </c:strRef>
          </c:tx>
          <c:invertIfNegative val="0"/>
          <c:cat>
            <c:strRef>
              <c:f>'BĐ 1+2-IU'!$V$26:$V$32</c:f>
              <c:strCache>
                <c:ptCount val="6"/>
                <c:pt idx="0">
                  <c:v>3.53-3.88</c:v>
                </c:pt>
                <c:pt idx="1">
                  <c:v>3.88-4.23</c:v>
                </c:pt>
                <c:pt idx="2">
                  <c:v>4.23-4.58</c:v>
                </c:pt>
                <c:pt idx="3">
                  <c:v>4.58-4.93</c:v>
                </c:pt>
                <c:pt idx="4">
                  <c:v>4.93-5.28</c:v>
                </c:pt>
                <c:pt idx="5">
                  <c:v>5.63-5.98</c:v>
                </c:pt>
              </c:strCache>
            </c:strRef>
          </c:cat>
          <c:val>
            <c:numRef>
              <c:f>'BĐ 1+2-IU'!$X$26:$X$32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F-4177-A3FB-097AABD9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51547312"/>
        <c:axId val="151546752"/>
      </c:barChart>
      <c:dateAx>
        <c:axId val="15154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Log</a:t>
                </a:r>
                <a:r>
                  <a:rPr lang="en-GB" b="1" baseline="0"/>
                  <a:t>10 IU</a:t>
                </a:r>
                <a:r>
                  <a:rPr lang="en-GB" b="1"/>
                  <a:t>/mL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151546192"/>
        <c:crosses val="autoZero"/>
        <c:auto val="0"/>
        <c:lblOffset val="100"/>
        <c:baseTimeUnit val="days"/>
        <c:majorUnit val="1"/>
      </c:dateAx>
      <c:valAx>
        <c:axId val="151546192"/>
        <c:scaling>
          <c:orientation val="minMax"/>
          <c:max val="25"/>
          <c:min val="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Số</a:t>
                </a:r>
                <a:r>
                  <a:rPr lang="en-GB" b="1" baseline="0"/>
                  <a:t> lượng đơn vị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"/>
              <c:y val="0.382977744220328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151545632"/>
        <c:crossesAt val="1"/>
        <c:crossBetween val="between"/>
        <c:majorUnit val="5"/>
      </c:valAx>
      <c:valAx>
        <c:axId val="151546752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51547312"/>
        <c:crosses val="max"/>
        <c:crossBetween val="between"/>
        <c:majorUnit val="1"/>
      </c:valAx>
      <c:dateAx>
        <c:axId val="15154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546752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3651936129129233"/>
          <c:y val="7.4131368422659313E-2"/>
          <c:w val="0.36431919694248743"/>
          <c:h val="0.21547290838705738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  <c:txPr>
        <a:bodyPr/>
        <a:lstStyle/>
        <a:p>
          <a:pPr>
            <a:defRPr sz="10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PHÂN BỐ ĐIỂM CÁC ĐƠN VỊ TRONG </a:t>
            </a:r>
          </a:p>
          <a:p>
            <a:pPr algn="ctr">
              <a:defRPr sz="14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ĐỢT NÀY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cap="none" spc="0" normalizeH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36726690997256E-2"/>
          <c:y val="0.18048661800486621"/>
          <c:w val="0.58953380827396562"/>
          <c:h val="0.6317632776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'BĐ 1+2-IU'!$W$79</c:f>
              <c:strCache>
                <c:ptCount val="1"/>
                <c:pt idx="0">
                  <c:v>Số lượng đơn vị</c:v>
                </c:pt>
              </c:strCache>
            </c:strRef>
          </c:tx>
          <c:spPr>
            <a:solidFill>
              <a:schemeClr val="tx2"/>
            </a:solidFill>
            <a:ln w="12700">
              <a:solidFill>
                <a:schemeClr val="tx2"/>
              </a:solidFill>
            </a:ln>
            <a:effectLst/>
          </c:spPr>
          <c:invertIfNegative val="0"/>
          <c:cat>
            <c:numRef>
              <c:f>'BĐ 1+2-IU'!$V$80:$V$89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'BĐ 1+2-IU'!$W$80:$W$89</c:f>
              <c:numCache>
                <c:formatCode>General</c:formatCode>
                <c:ptCount val="10"/>
                <c:pt idx="0">
                  <c:v>20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8-4F76-8EB4-2DC6C770D6C5}"/>
            </c:ext>
          </c:extLst>
        </c:ser>
        <c:ser>
          <c:idx val="2"/>
          <c:order val="2"/>
          <c:tx>
            <c:strRef>
              <c:f>'BĐ 1+2-IU'!$Y$79</c:f>
              <c:strCache>
                <c:ptCount val="1"/>
                <c:pt idx="0">
                  <c:v>Điểm của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'BĐ 1+2-IU'!$V$80:$V$89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'BĐ 1+2-IU'!$Y$80:$Y$89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8-4F76-8EB4-2DC6C770D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535046784"/>
        <c:axId val="535047344"/>
      </c:barChart>
      <c:lineChart>
        <c:grouping val="standard"/>
        <c:varyColors val="0"/>
        <c:ser>
          <c:idx val="1"/>
          <c:order val="1"/>
          <c:tx>
            <c:strRef>
              <c:f>'BĐ 1+2-IU'!$X$79</c:f>
              <c:strCache>
                <c:ptCount val="1"/>
                <c:pt idx="0">
                  <c:v>Phần trăm tích lũy của các đơn vị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'BĐ 1+2-IU'!$V$80:$V$89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'BĐ 1+2-IU'!$X$80:$X$89</c:f>
              <c:numCache>
                <c:formatCode>General</c:formatCode>
                <c:ptCount val="10"/>
                <c:pt idx="0">
                  <c:v>62.5</c:v>
                </c:pt>
                <c:pt idx="1">
                  <c:v>87.5</c:v>
                </c:pt>
                <c:pt idx="2">
                  <c:v>93.75</c:v>
                </c:pt>
                <c:pt idx="3">
                  <c:v>93.75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8-4F76-8EB4-2DC6C770D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048464"/>
        <c:axId val="535047904"/>
      </c:lineChart>
      <c:catAx>
        <c:axId val="5350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Điểm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5047344"/>
        <c:crosses val="autoZero"/>
        <c:auto val="1"/>
        <c:lblAlgn val="ctr"/>
        <c:lblOffset val="100"/>
        <c:noMultiLvlLbl val="0"/>
      </c:catAx>
      <c:valAx>
        <c:axId val="5350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5046784"/>
        <c:crosses val="autoZero"/>
        <c:crossBetween val="between"/>
      </c:valAx>
      <c:valAx>
        <c:axId val="535047904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Phần trăm tích lũy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5048464"/>
        <c:crosses val="max"/>
        <c:crossBetween val="between"/>
      </c:valAx>
      <c:catAx>
        <c:axId val="5350484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35047904"/>
        <c:crosses val="max"/>
        <c:auto val="1"/>
        <c:lblAlgn val="ctr"/>
        <c:lblOffset val="100"/>
        <c:noMultiLvlLbl val="0"/>
      </c:catAx>
      <c:spPr>
        <a:solidFill>
          <a:schemeClr val="lt1"/>
        </a:solidFill>
        <a:ln w="3175" cap="flat" cmpd="sng" algn="ctr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68524363996096427"/>
          <c:y val="0.28674737363255948"/>
          <c:w val="0.26475640460052852"/>
          <c:h val="0.35084172617957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THEO DÕI CHÊNH LỆCH </a:t>
            </a:r>
          </a:p>
          <a:p>
            <a:pPr>
              <a:defRPr/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KẾT QUẢ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ĐƠN VỊ SO VỚI TRUNG BÌNH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'BĐ 1+2-IU'!$W$105</c:f>
              <c:strCache>
                <c:ptCount val="1"/>
                <c:pt idx="0">
                  <c:v>Series 1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'BĐ 1+2-IU'!$V$106:$V$114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'BĐ 1+2-IU'!$W$106:$W$114</c:f>
              <c:numCache>
                <c:formatCode>General</c:formatCode>
                <c:ptCount val="9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-0.12999999999999989</c:v>
                </c:pt>
                <c:pt idx="4">
                  <c:v>0</c:v>
                </c:pt>
                <c:pt idx="5">
                  <c:v>-0.20999999999999996</c:v>
                </c:pt>
                <c:pt idx="6">
                  <c:v>-2.9999999999999361E-2</c:v>
                </c:pt>
                <c:pt idx="7">
                  <c:v>-0.10000000000000053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D-487E-9605-2FF55BE3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33408"/>
        <c:axId val="533233968"/>
      </c:scatterChart>
      <c:valAx>
        <c:axId val="533233408"/>
        <c:scaling>
          <c:orientation val="minMax"/>
          <c:max val="9"/>
          <c:min val="1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33968"/>
        <c:crosses val="autoZero"/>
        <c:crossBetween val="midCat"/>
      </c:valAx>
      <c:valAx>
        <c:axId val="533233968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Log10(/mL)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33408"/>
        <c:crosses val="autoZero"/>
        <c:crossBetween val="midCat"/>
      </c:valAx>
      <c:spPr>
        <a:solidFill>
          <a:schemeClr val="lt1"/>
        </a:solidFill>
        <a:ln w="3175" cap="flat" cmpd="sng" algn="ctr">
          <a:solidFill>
            <a:schemeClr val="tx1"/>
          </a:solidFill>
          <a:prstDash val="solid"/>
        </a:ln>
        <a:effectLst/>
      </c:spPr>
    </c:plotArea>
    <c:plotVisOnly val="1"/>
    <c:dispBlanksAs val="zero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Xếp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hạng hiệu suất hiện tại là 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'BĐ 1+2-IU'!$W$120</c:f>
              <c:strCache>
                <c:ptCount val="1"/>
                <c:pt idx="0">
                  <c:v>Series 1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'BĐ 1+2-IU'!$V$121:$V$129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'BĐ 1+2-IU'!$W$121:$W$129</c:f>
              <c:numCache>
                <c:formatCode>General</c:formatCode>
                <c:ptCount val="9"/>
                <c:pt idx="0">
                  <c:v>0.2989735461419547</c:v>
                </c:pt>
                <c:pt idx="1">
                  <c:v>-0.20963301065489834</c:v>
                </c:pt>
                <c:pt idx="2">
                  <c:v>-0.35347546805797331</c:v>
                </c:pt>
                <c:pt idx="3">
                  <c:v>-0.24000000000000002</c:v>
                </c:pt>
                <c:pt idx="4">
                  <c:v>0.34</c:v>
                </c:pt>
                <c:pt idx="5">
                  <c:v>#N/A</c:v>
                </c:pt>
                <c:pt idx="6">
                  <c:v>#N/A</c:v>
                </c:pt>
                <c:pt idx="7">
                  <c:v>-1.1200000000000001</c:v>
                </c:pt>
                <c:pt idx="8">
                  <c:v>0.29000000000000004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7-410D-AC1D-69E7D7DE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50704"/>
        <c:axId val="535051264"/>
      </c:scatterChart>
      <c:valAx>
        <c:axId val="535050704"/>
        <c:scaling>
          <c:orientation val="minMax"/>
          <c:max val="9"/>
          <c:min val="1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5051264"/>
        <c:crosses val="autoZero"/>
        <c:crossBetween val="midCat"/>
      </c:valAx>
      <c:valAx>
        <c:axId val="53505126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Xếp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hạng hiệu suất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50704"/>
        <c:crosses val="autoZero"/>
        <c:crossBetween val="midCat"/>
      </c:valAx>
      <c:spPr>
        <a:gradFill>
          <a:gsLst>
            <a:gs pos="82000">
              <a:schemeClr val="bg1"/>
            </a:gs>
            <a:gs pos="85000">
              <a:srgbClr val="FF0000"/>
            </a:gs>
            <a:gs pos="91000">
              <a:srgbClr val="FF0000"/>
            </a:gs>
            <a:gs pos="95000">
              <a:srgbClr val="FF0000"/>
            </a:gs>
          </a:gsLst>
          <a:lin ang="5400000" scaled="1"/>
        </a:gradFill>
        <a:ln w="3175" cap="flat" cmpd="sng" algn="ctr">
          <a:solidFill>
            <a:schemeClr val="tx1"/>
          </a:solidFill>
          <a:prstDash val="solid"/>
        </a:ln>
        <a:effectLst/>
      </c:spPr>
    </c:plotArea>
    <c:plotVisOnly val="1"/>
    <c:dispBlanksAs val="zero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01840394950631"/>
          <c:y val="8.2734129716626303E-2"/>
          <c:w val="0.76918103987001629"/>
          <c:h val="0.74958302250018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'BĐ 1+2-IU'!$W$3</c:f>
              <c:strCache>
                <c:ptCount val="1"/>
                <c:pt idx="0">
                  <c:v>Tất cả hóa chất</c:v>
                </c:pt>
              </c:strCache>
            </c:strRef>
          </c:tx>
          <c:invertIfNegative val="0"/>
          <c:cat>
            <c:strRef>
              <c:f>'BĐ 1+2-IU'!$V$4:$V$10</c:f>
              <c:strCache>
                <c:ptCount val="6"/>
                <c:pt idx="0">
                  <c:v>3.4-3.7</c:v>
                </c:pt>
                <c:pt idx="1">
                  <c:v>3.7-4</c:v>
                </c:pt>
                <c:pt idx="2">
                  <c:v>4-4.3</c:v>
                </c:pt>
                <c:pt idx="3">
                  <c:v>4.3-4.6</c:v>
                </c:pt>
                <c:pt idx="4">
                  <c:v>4.6-4.9</c:v>
                </c:pt>
                <c:pt idx="5">
                  <c:v>5.8-6.1</c:v>
                </c:pt>
              </c:strCache>
            </c:strRef>
          </c:cat>
          <c:val>
            <c:numRef>
              <c:f>'BĐ 1+2-IU'!$W$4:$W$10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E-4381-8FF0-0723AB9F04BF}"/>
            </c:ext>
          </c:extLst>
        </c:ser>
        <c:ser>
          <c:idx val="2"/>
          <c:order val="2"/>
          <c:tx>
            <c:strRef>
              <c:f>'BĐ 1+2-IU'!$Y$3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stretch>
                <a:fillRect l="20000" t="20000" r="20000" b="20000"/>
              </a:stretch>
            </a:blipFill>
          </c:spPr>
          <c:invertIfNegative val="0"/>
          <c:cat>
            <c:strRef>
              <c:f>'BĐ 1+2-IU'!$V$4:$V$10</c:f>
              <c:strCache>
                <c:ptCount val="6"/>
                <c:pt idx="0">
                  <c:v>3.4-3.7</c:v>
                </c:pt>
                <c:pt idx="1">
                  <c:v>3.7-4</c:v>
                </c:pt>
                <c:pt idx="2">
                  <c:v>4-4.3</c:v>
                </c:pt>
                <c:pt idx="3">
                  <c:v>4.3-4.6</c:v>
                </c:pt>
                <c:pt idx="4">
                  <c:v>4.6-4.9</c:v>
                </c:pt>
                <c:pt idx="5">
                  <c:v>5.8-6.1</c:v>
                </c:pt>
              </c:strCache>
            </c:strRef>
          </c:cat>
          <c:val>
            <c:numRef>
              <c:f>'BĐ 1+2-IU'!$Y$4:$Y$10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E-4381-8FF0-0723AB9F0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51545632"/>
        <c:axId val="151546192"/>
      </c:barChart>
      <c:barChart>
        <c:barDir val="col"/>
        <c:grouping val="stacked"/>
        <c:varyColors val="0"/>
        <c:ser>
          <c:idx val="1"/>
          <c:order val="1"/>
          <c:tx>
            <c:strRef>
              <c:f>'BĐ 1+2-IU'!$X$3</c:f>
              <c:strCache>
                <c:ptCount val="1"/>
                <c:pt idx="0">
                  <c:v>Sacace-Ý</c:v>
                </c:pt>
              </c:strCache>
            </c:strRef>
          </c:tx>
          <c:invertIfNegative val="0"/>
          <c:cat>
            <c:strRef>
              <c:f>'BĐ 1+2-IU'!$V$4:$V$10</c:f>
              <c:strCache>
                <c:ptCount val="6"/>
                <c:pt idx="0">
                  <c:v>3.4-3.7</c:v>
                </c:pt>
                <c:pt idx="1">
                  <c:v>3.7-4</c:v>
                </c:pt>
                <c:pt idx="2">
                  <c:v>4-4.3</c:v>
                </c:pt>
                <c:pt idx="3">
                  <c:v>4.3-4.6</c:v>
                </c:pt>
                <c:pt idx="4">
                  <c:v>4.6-4.9</c:v>
                </c:pt>
                <c:pt idx="5">
                  <c:v>5.8-6.1</c:v>
                </c:pt>
              </c:strCache>
            </c:strRef>
          </c:cat>
          <c:val>
            <c:numRef>
              <c:f>'BĐ 1+2-IU'!$X$4:$X$10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E-4381-8FF0-0723AB9F0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51547312"/>
        <c:axId val="151546752"/>
      </c:barChart>
      <c:dateAx>
        <c:axId val="15154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Log</a:t>
                </a:r>
                <a:r>
                  <a:rPr lang="en-GB" b="1" baseline="0"/>
                  <a:t>10 IU</a:t>
                </a:r>
                <a:r>
                  <a:rPr lang="en-GB" b="1"/>
                  <a:t>/mL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151546192"/>
        <c:crosses val="autoZero"/>
        <c:auto val="0"/>
        <c:lblOffset val="100"/>
        <c:baseTimeUnit val="days"/>
        <c:majorUnit val="1"/>
      </c:dateAx>
      <c:valAx>
        <c:axId val="151546192"/>
        <c:scaling>
          <c:orientation val="minMax"/>
          <c:max val="20"/>
          <c:min val="0"/>
        </c:scaling>
        <c:delete val="0"/>
        <c:axPos val="l"/>
        <c:majorGridlines/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Số</a:t>
                </a:r>
                <a:r>
                  <a:rPr lang="en-GB" b="1" baseline="0"/>
                  <a:t> lượng đơn vị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"/>
              <c:y val="0.382977744220328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151545632"/>
        <c:crossesAt val="1"/>
        <c:crossBetween val="between"/>
        <c:majorUnit val="5"/>
      </c:valAx>
      <c:valAx>
        <c:axId val="151546752"/>
        <c:scaling>
          <c:orientation val="minMax"/>
          <c:max val="7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51547312"/>
        <c:crosses val="max"/>
        <c:crossBetween val="between"/>
        <c:majorUnit val="1"/>
      </c:valAx>
      <c:dateAx>
        <c:axId val="15154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546752"/>
        <c:crosses val="autoZero"/>
        <c:auto val="0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3651936129129233"/>
          <c:y val="7.4131368422659313E-2"/>
          <c:w val="0.36431919694248743"/>
          <c:h val="0.21547290838705738"/>
        </c:manualLayout>
      </c:layout>
      <c:overlay val="0"/>
      <c:spPr>
        <a:ln>
          <a:solidFill>
            <a:schemeClr val="accent5">
              <a:lumMod val="40000"/>
              <a:lumOff val="60000"/>
            </a:schemeClr>
          </a:solidFill>
        </a:ln>
      </c:spPr>
      <c:txPr>
        <a:bodyPr/>
        <a:lstStyle/>
        <a:p>
          <a:pPr>
            <a:defRPr sz="10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54</xdr:row>
      <xdr:rowOff>590550</xdr:rowOff>
    </xdr:from>
    <xdr:to>
      <xdr:col>31</xdr:col>
      <xdr:colOff>981075</xdr:colOff>
      <xdr:row>72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31</xdr:col>
      <xdr:colOff>1009650</xdr:colOff>
      <xdr:row>19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24</xdr:row>
      <xdr:rowOff>0</xdr:rowOff>
    </xdr:from>
    <xdr:to>
      <xdr:col>31</xdr:col>
      <xdr:colOff>962025</xdr:colOff>
      <xdr:row>38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342900</xdr:colOff>
      <xdr:row>78</xdr:row>
      <xdr:rowOff>19051</xdr:rowOff>
    </xdr:from>
    <xdr:to>
      <xdr:col>33</xdr:col>
      <xdr:colOff>704850</xdr:colOff>
      <xdr:row>96</xdr:row>
      <xdr:rowOff>133351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600075</xdr:colOff>
      <xdr:row>104</xdr:row>
      <xdr:rowOff>19050</xdr:rowOff>
    </xdr:from>
    <xdr:to>
      <xdr:col>30</xdr:col>
      <xdr:colOff>1019175</xdr:colOff>
      <xdr:row>115</xdr:row>
      <xdr:rowOff>314325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552450</xdr:colOff>
      <xdr:row>119</xdr:row>
      <xdr:rowOff>9525</xdr:rowOff>
    </xdr:from>
    <xdr:to>
      <xdr:col>30</xdr:col>
      <xdr:colOff>819150</xdr:colOff>
      <xdr:row>127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0</xdr:colOff>
      <xdr:row>2</xdr:row>
      <xdr:rowOff>0</xdr:rowOff>
    </xdr:from>
    <xdr:to>
      <xdr:col>43</xdr:col>
      <xdr:colOff>1009650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A08CE-75AF-4FB7-96C8-370DE46AA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0.62248</cdr:x>
      <cdr:y>0.02657</cdr:y>
    </cdr:from>
    <cdr:to>
      <cdr:x>0.64569</cdr:x>
      <cdr:y>0.05484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D5A55AF9-B530-8294-6288-064AAEDBF3F7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992182" y="71959"/>
          <a:ext cx="74281" cy="7656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0.18498</cdr:x>
      <cdr:y>0.10043</cdr:y>
    </cdr:from>
    <cdr:to>
      <cdr:x>0.20819</cdr:x>
      <cdr:y>0.1287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4C3DF2DC-4724-3D5E-117A-C75B6BC46D76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02568" y="349156"/>
          <a:ext cx="75608" cy="98284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0.18498</cdr:x>
      <cdr:y>0.10043</cdr:y>
    </cdr:from>
    <cdr:to>
      <cdr:x>0.20819</cdr:x>
      <cdr:y>0.1287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F67DB260-A85C-2E14-6E74-584134295B96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02568" y="349156"/>
          <a:ext cx="75608" cy="98284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0.70289</cdr:x>
      <cdr:y>0.43239</cdr:y>
    </cdr:from>
    <cdr:to>
      <cdr:x>0.75891</cdr:x>
      <cdr:y>0.4832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8155A135-ED09-49C7-BCCB-468A8C1BA936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4006851" y="1530350"/>
          <a:ext cx="187326" cy="314324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0.73571</cdr:x>
      <cdr:y>0.11163</cdr:y>
    </cdr:from>
    <cdr:to>
      <cdr:x>0.90714</cdr:x>
      <cdr:y>0.55814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3924300" y="228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0.73214</cdr:x>
      <cdr:y>0.04651</cdr:y>
    </cdr:from>
    <cdr:to>
      <cdr:x>0.90179</cdr:x>
      <cdr:y>0.17674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3905250" y="95250"/>
          <a:ext cx="9048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0.18498</cdr:x>
      <cdr:y>0.10043</cdr:y>
    </cdr:from>
    <cdr:to>
      <cdr:x>0.20819</cdr:x>
      <cdr:y>0.1287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4C3DF2DC-4724-3D5E-117A-C75B6BC46D76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02568" y="349156"/>
          <a:ext cx="75608" cy="98284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8.704556712961" createdVersion="8" refreshedVersion="8" minRefreshableVersion="3" recordCount="33" xr:uid="{AE28BA01-16E1-4E09-A18D-9DB440106060}">
  <cacheSource type="worksheet">
    <worksheetSource ref="AJ46:AK79" sheet="BĐ 1+2-IU"/>
  </cacheSource>
  <cacheFields count="2">
    <cacheField name="QBL02_x000a_IU_x000a_log" numFmtId="0">
      <sharedItems containsSemiMixedTypes="0" containsString="0" containsNumber="1" minValue="2.13" maxValue="5.58" count="32">
        <n v="5.58"/>
        <n v="3.6999999999999997"/>
        <n v="3.38"/>
        <n v="3.86"/>
        <n v="3.9299999999999997"/>
        <n v="3.6199999999999997"/>
        <n v="3.9899999999999998"/>
        <n v="3.96"/>
        <n v="3.3299999999999996"/>
        <n v="3.88"/>
        <n v="3.8299999999999996"/>
        <n v="3.4899999999999998"/>
        <n v="3.03"/>
        <n v="4.0699999999999994"/>
        <n v="4.26"/>
        <n v="4.1099999999999994"/>
        <n v="4.29"/>
        <n v="2.13"/>
        <n v="2.84"/>
        <n v="4.34"/>
        <n v="4.33"/>
        <n v="3.9099999999999997"/>
        <n v="3.4"/>
        <n v="2.48"/>
        <n v="3.5399999999999996"/>
        <n v="3.5199999999999996"/>
        <n v="3.3699999999999997"/>
        <n v="3.67"/>
        <n v="3.84"/>
        <n v="4.84"/>
        <n v="3.34"/>
        <n v="4.3099999999999996"/>
      </sharedItems>
      <fieldGroup base="0">
        <rangePr startNum="2.13" endNum="5.58" groupInterval="0.5"/>
        <groupItems count="9">
          <s v="&lt;2.13"/>
          <s v="2.13-2.63"/>
          <s v="2.63-3.13"/>
          <s v="3.13-3.63"/>
          <s v="3.63-4.13"/>
          <s v="4.13-4.63"/>
          <s v="4.63-5.13"/>
          <s v="5.13-5.63"/>
          <s v="&gt;5.63"/>
        </groupItems>
      </fieldGroup>
    </cacheField>
    <cacheField name="QBL02_x000a_IU_x000a_log2" numFmtId="0">
      <sharedItems containsSemiMixedTypes="0" containsString="0" containsNumber="1" minValue="2.13" maxValue="5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8.705046875002" createdVersion="8" refreshedVersion="8" minRefreshableVersion="3" recordCount="33" xr:uid="{E3847EEC-58A9-4DCD-B7CF-5140DEE809D8}">
  <cacheSource type="worksheet">
    <worksheetSource ref="AJ91:AK124" sheet="BĐ 1+2-IU"/>
  </cacheSource>
  <cacheFields count="2">
    <cacheField name="QBL03_x000a_IU_x000a_log" numFmtId="0">
      <sharedItems containsSemiMixedTypes="0" containsString="0" containsNumber="1" minValue="1.8" maxValue="5.1499999999999995" count="29">
        <n v="5.1499999999999995"/>
        <n v="2.98"/>
        <n v="2.6599999999999997"/>
        <n v="3.25"/>
        <n v="3.03"/>
        <n v="3.34"/>
        <n v="3.1999999999999997"/>
        <n v="2.8099999999999996"/>
        <n v="3.36"/>
        <n v="3.46"/>
        <n v="2.8499999999999996"/>
        <n v="2.63"/>
        <n v="3.4899999999999998"/>
        <n v="3.96"/>
        <n v="3.6199999999999997"/>
        <n v="4.17"/>
        <n v="3.92"/>
        <n v="3.09"/>
        <n v="4.0999999999999996"/>
        <n v="3.94"/>
        <n v="3.4499999999999997"/>
        <n v="2.6799999999999997"/>
        <n v="1.8"/>
        <n v="3.11"/>
        <n v="3.2399999999999998"/>
        <n v="3.19"/>
        <n v="3.21"/>
        <n v="3.51"/>
        <n v="3.69"/>
      </sharedItems>
      <fieldGroup base="0">
        <rangePr startNum="1.8" endNum="5.1499999999999995" groupInterval="0.35"/>
        <groupItems count="12">
          <s v="&lt;1.8"/>
          <s v="1.8-2.15"/>
          <s v="2.15-2.5"/>
          <s v="2.5-2.85"/>
          <s v="2.85-3.2"/>
          <s v="3.2-3.55"/>
          <s v="3.55-3.9"/>
          <s v="3.9-4.25"/>
          <s v="4.25-4.6"/>
          <s v="4.6-4.95"/>
          <s v="4.95-5.3"/>
          <s v="&gt;5.3"/>
        </groupItems>
      </fieldGroup>
    </cacheField>
    <cacheField name="QBL03_x000a_IU_x000a_log2" numFmtId="0">
      <sharedItems containsSemiMixedTypes="0" containsString="0" containsNumber="1" minValue="1.8" maxValue="5.149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 Thanh Tung" refreshedDate="45162.689551967589" createdVersion="8" refreshedVersion="8" minRefreshableVersion="3" recordCount="31" xr:uid="{36AFE080-E637-4D07-925A-D76387BF4E0F}">
  <cacheSource type="worksheet">
    <worksheetSource ref="G91:H122" sheet="BĐ 1+2-IU"/>
  </cacheSource>
  <cacheFields count="2">
    <cacheField name="QBL03_x000a_IU_x000a_log" numFmtId="0">
      <sharedItems containsSemiMixedTypes="0" containsString="0" containsNumber="1" minValue="1.39" maxValue="4.8999999999999995" count="28">
        <n v="3.84"/>
        <n v="4.0999999999999996"/>
        <n v="3.4499999999999997"/>
        <n v="4.01"/>
        <n v="4.12"/>
        <n v="4.62"/>
        <n v="4.09"/>
        <n v="3.73"/>
        <n v="3.98"/>
        <n v="3.9699999999999998"/>
        <n v="1.39"/>
        <n v="4.0699999999999994"/>
        <n v="3.7399999999999998"/>
        <n v="3.59"/>
        <n v="4.1499999999999995"/>
        <n v="3.7699999999999996"/>
        <n v="4.8999999999999995"/>
        <n v="4.3899999999999997"/>
        <n v="4.33"/>
        <n v="3.65"/>
        <n v="3.86"/>
        <n v="3.6599999999999997"/>
        <n v="3.3299999999999996"/>
        <n v="3.63"/>
        <n v="3.3899999999999997"/>
        <n v="3.67"/>
        <n v="2.84"/>
        <n v="3.78"/>
      </sharedItems>
      <fieldGroup base="0">
        <rangePr startNum="1.39" endNum="4.8999999999999995" groupInterval="0.55000000000000004"/>
        <groupItems count="9">
          <s v="&lt;1.39"/>
          <s v="1.39-1.94"/>
          <s v="1.94-2.49"/>
          <s v="2.49-3.04"/>
          <s v="3.04-3.59"/>
          <s v="3.59-4.14"/>
          <s v="4.14-4.69"/>
          <s v="4.69-5.24"/>
          <s v="&gt;5.24"/>
        </groupItems>
      </fieldGroup>
    </cacheField>
    <cacheField name="QBL03_x000a_IU_x000a_log2" numFmtId="0">
      <sharedItems containsSemiMixedTypes="0" containsString="0" containsNumber="1" minValue="1.39" maxValue="4.899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 Thanh Tung" refreshedDate="45211.617524189816" createdVersion="8" refreshedVersion="8" minRefreshableVersion="3" recordCount="32" xr:uid="{E6435256-8408-4AC3-A660-4B1A0C553BFF}">
  <cacheSource type="worksheet">
    <worksheetSource ref="G1:H33" sheet="BĐ 1+2-IU"/>
  </cacheSource>
  <cacheFields count="2">
    <cacheField name="QBL01 IU log" numFmtId="0">
      <sharedItems containsSemiMixedTypes="0" containsString="0" containsNumber="1" minValue="3.4" maxValue="5.97" count="27">
        <n v="4.53"/>
        <n v="4.7699999999999996"/>
        <n v="4.12"/>
        <n v="4.3499999999999996"/>
        <n v="4.7300000000000004"/>
        <n v="4.8"/>
        <n v="4.5599999999999996"/>
        <n v="4.55"/>
        <n v="4.57"/>
        <n v="4.3099999999999996"/>
        <n v="4.68"/>
        <n v="4.38"/>
        <n v="5.97"/>
        <n v="4.6399999999999997"/>
        <n v="4.0999999999999996"/>
        <n v="4.32"/>
        <n v="3.96"/>
        <n v="3.85"/>
        <n v="4.2699999999999996"/>
        <n v="3.75"/>
        <n v="4.51"/>
        <n v="3.4"/>
        <n v="4.03"/>
        <n v="4.17"/>
        <n v="4.22"/>
        <n v="4.1500000000000004"/>
        <n v="3.91"/>
      </sharedItems>
      <fieldGroup base="0">
        <rangePr startNum="3.4" endNum="5.97" groupInterval="0.3"/>
        <groupItems count="11">
          <s v="&lt;3.4"/>
          <s v="3.4-3.7"/>
          <s v="3.7-4"/>
          <s v="4-4.3"/>
          <s v="4.3-4.6"/>
          <s v="4.6-4.9"/>
          <s v="4.9-5.2"/>
          <s v="5.2-5.5"/>
          <s v="5.5-5.8"/>
          <s v="5.8-6.1"/>
          <s v="&gt;6.1"/>
        </groupItems>
      </fieldGroup>
    </cacheField>
    <cacheField name="QBL01 IU log2" numFmtId="0">
      <sharedItems containsSemiMixedTypes="0" containsString="0" containsNumber="1" minValue="3.4" maxValue="5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 Thanh Tung" refreshedDate="45211.619989583334" createdVersion="8" refreshedVersion="8" minRefreshableVersion="3" recordCount="32" xr:uid="{9A7BEE5A-409C-48C1-9E4D-82CAF6865584}">
  <cacheSource type="worksheet">
    <worksheetSource ref="N1:O33" sheet="BĐ 1+2-IU"/>
  </cacheSource>
  <cacheFields count="2">
    <cacheField name="tổng" numFmtId="0">
      <sharedItems containsSemiMixedTypes="0" containsString="0" containsNumber="1" containsInteger="1" minValue="5" maxValue="9" count="4">
        <n v="9"/>
        <n v="7"/>
        <n v="8"/>
        <n v="5"/>
      </sharedItems>
    </cacheField>
    <cacheField name="tổng2" numFmtId="0">
      <sharedItems containsSemiMixedTypes="0" containsString="0" containsNumber="1" containsInteger="1" minValue="5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 Thanh Tung" refreshedDate="45211.624122222223" createdVersion="8" refreshedVersion="8" minRefreshableVersion="3" recordCount="32" xr:uid="{9D8E750D-F1DD-4811-BC2D-4CBB4CC8EB27}">
  <cacheSource type="worksheet">
    <worksheetSource ref="G46:H78" sheet="BĐ 1+2-IU"/>
  </cacheSource>
  <cacheFields count="2">
    <cacheField name="QBL02_x000a_IU_x000a_log" numFmtId="0">
      <sharedItems containsSemiMixedTypes="0" containsString="0" containsNumber="1" minValue="3.53" maxValue="5.92" count="29">
        <n v="4.5599999999999996"/>
        <n v="4.67"/>
        <n v="4.24"/>
        <n v="4.49"/>
        <n v="4.84"/>
        <n v="4.59"/>
        <n v="4.99"/>
        <n v="4.8099999999999996"/>
        <n v="4.6100000000000003"/>
        <n v="4.6900000000000004"/>
        <n v="4.4400000000000004"/>
        <n v="4.68"/>
        <n v="4.42"/>
        <n v="5.92"/>
        <n v="4.53"/>
        <n v="4.2300000000000004"/>
        <n v="4.3"/>
        <n v="4.21"/>
        <n v="5.0999999999999996"/>
        <n v="4.62"/>
        <n v="3.53"/>
        <n v="4.74"/>
        <n v="4.72"/>
        <n v="3.87"/>
        <n v="4.12"/>
        <n v="4.38"/>
        <n v="4.47"/>
        <n v="4.01"/>
        <n v="4.33"/>
      </sharedItems>
      <fieldGroup base="0">
        <rangePr startNum="3.53" endNum="5.92" groupInterval="0.35"/>
        <groupItems count="9">
          <s v="&lt;3.53"/>
          <s v="3.53-3.88"/>
          <s v="3.88-4.23"/>
          <s v="4.23-4.58"/>
          <s v="4.58-4.93"/>
          <s v="4.93-5.28"/>
          <s v="5.28-5.63"/>
          <s v="5.63-5.98"/>
          <s v="&gt;5.98"/>
        </groupItems>
      </fieldGroup>
    </cacheField>
    <cacheField name="QBL02_x000a_IU_x000a_log2" numFmtId="0">
      <sharedItems containsSemiMixedTypes="0" containsString="0" containsNumber="1" minValue="3.53" maxValue="5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5.58"/>
  </r>
  <r>
    <x v="1"/>
    <n v="3.6999999999999997"/>
  </r>
  <r>
    <x v="2"/>
    <n v="3.38"/>
  </r>
  <r>
    <x v="3"/>
    <n v="3.86"/>
  </r>
  <r>
    <x v="4"/>
    <n v="3.9299999999999997"/>
  </r>
  <r>
    <x v="5"/>
    <n v="3.6199999999999997"/>
  </r>
  <r>
    <x v="6"/>
    <n v="3.9899999999999998"/>
  </r>
  <r>
    <x v="7"/>
    <n v="3.96"/>
  </r>
  <r>
    <x v="8"/>
    <n v="3.3299999999999996"/>
  </r>
  <r>
    <x v="9"/>
    <n v="3.88"/>
  </r>
  <r>
    <x v="10"/>
    <n v="3.8299999999999996"/>
  </r>
  <r>
    <x v="11"/>
    <n v="3.4899999999999998"/>
  </r>
  <r>
    <x v="12"/>
    <n v="3.03"/>
  </r>
  <r>
    <x v="9"/>
    <n v="3.88"/>
  </r>
  <r>
    <x v="13"/>
    <n v="4.0699999999999994"/>
  </r>
  <r>
    <x v="14"/>
    <n v="4.26"/>
  </r>
  <r>
    <x v="15"/>
    <n v="4.1099999999999994"/>
  </r>
  <r>
    <x v="16"/>
    <n v="4.29"/>
  </r>
  <r>
    <x v="17"/>
    <n v="2.13"/>
  </r>
  <r>
    <x v="18"/>
    <n v="2.84"/>
  </r>
  <r>
    <x v="19"/>
    <n v="4.34"/>
  </r>
  <r>
    <x v="20"/>
    <n v="4.33"/>
  </r>
  <r>
    <x v="21"/>
    <n v="3.9099999999999997"/>
  </r>
  <r>
    <x v="22"/>
    <n v="3.4"/>
  </r>
  <r>
    <x v="23"/>
    <n v="2.48"/>
  </r>
  <r>
    <x v="24"/>
    <n v="3.5399999999999996"/>
  </r>
  <r>
    <x v="25"/>
    <n v="3.5199999999999996"/>
  </r>
  <r>
    <x v="26"/>
    <n v="3.3699999999999997"/>
  </r>
  <r>
    <x v="27"/>
    <n v="3.67"/>
  </r>
  <r>
    <x v="28"/>
    <n v="3.84"/>
  </r>
  <r>
    <x v="29"/>
    <n v="4.84"/>
  </r>
  <r>
    <x v="30"/>
    <n v="3.34"/>
  </r>
  <r>
    <x v="31"/>
    <n v="4.3099999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5.1499999999999995"/>
  </r>
  <r>
    <x v="1"/>
    <n v="2.98"/>
  </r>
  <r>
    <x v="2"/>
    <n v="2.6599999999999997"/>
  </r>
  <r>
    <x v="3"/>
    <n v="3.25"/>
  </r>
  <r>
    <x v="4"/>
    <n v="3.03"/>
  </r>
  <r>
    <x v="1"/>
    <n v="2.98"/>
  </r>
  <r>
    <x v="5"/>
    <n v="3.34"/>
  </r>
  <r>
    <x v="6"/>
    <n v="3.1999999999999997"/>
  </r>
  <r>
    <x v="7"/>
    <n v="2.8099999999999996"/>
  </r>
  <r>
    <x v="8"/>
    <n v="3.36"/>
  </r>
  <r>
    <x v="9"/>
    <n v="3.46"/>
  </r>
  <r>
    <x v="10"/>
    <n v="2.8499999999999996"/>
  </r>
  <r>
    <x v="11"/>
    <n v="2.63"/>
  </r>
  <r>
    <x v="12"/>
    <n v="3.4899999999999998"/>
  </r>
  <r>
    <x v="13"/>
    <n v="3.96"/>
  </r>
  <r>
    <x v="14"/>
    <n v="3.6199999999999997"/>
  </r>
  <r>
    <x v="15"/>
    <n v="4.17"/>
  </r>
  <r>
    <x v="16"/>
    <n v="3.92"/>
  </r>
  <r>
    <x v="17"/>
    <n v="3.09"/>
  </r>
  <r>
    <x v="6"/>
    <n v="3.1999999999999997"/>
  </r>
  <r>
    <x v="18"/>
    <n v="4.0999999999999996"/>
  </r>
  <r>
    <x v="19"/>
    <n v="3.94"/>
  </r>
  <r>
    <x v="20"/>
    <n v="3.4499999999999997"/>
  </r>
  <r>
    <x v="21"/>
    <n v="2.6799999999999997"/>
  </r>
  <r>
    <x v="22"/>
    <n v="1.8"/>
  </r>
  <r>
    <x v="23"/>
    <n v="3.11"/>
  </r>
  <r>
    <x v="24"/>
    <n v="3.2399999999999998"/>
  </r>
  <r>
    <x v="25"/>
    <n v="3.19"/>
  </r>
  <r>
    <x v="25"/>
    <n v="3.19"/>
  </r>
  <r>
    <x v="26"/>
    <n v="3.21"/>
  </r>
  <r>
    <x v="27"/>
    <n v="3.51"/>
  </r>
  <r>
    <x v="24"/>
    <n v="3.2399999999999998"/>
  </r>
  <r>
    <x v="28"/>
    <n v="3.6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3.84"/>
  </r>
  <r>
    <x v="1"/>
    <n v="4.0999999999999996"/>
  </r>
  <r>
    <x v="2"/>
    <n v="3.4499999999999997"/>
  </r>
  <r>
    <x v="3"/>
    <n v="4.01"/>
  </r>
  <r>
    <x v="4"/>
    <n v="4.12"/>
  </r>
  <r>
    <x v="5"/>
    <n v="4.62"/>
  </r>
  <r>
    <x v="1"/>
    <n v="4.0999999999999996"/>
  </r>
  <r>
    <x v="6"/>
    <n v="4.09"/>
  </r>
  <r>
    <x v="7"/>
    <n v="3.73"/>
  </r>
  <r>
    <x v="8"/>
    <n v="3.98"/>
  </r>
  <r>
    <x v="9"/>
    <n v="3.9699999999999998"/>
  </r>
  <r>
    <x v="10"/>
    <n v="1.39"/>
  </r>
  <r>
    <x v="11"/>
    <n v="4.0699999999999994"/>
  </r>
  <r>
    <x v="12"/>
    <n v="3.7399999999999998"/>
  </r>
  <r>
    <x v="13"/>
    <n v="3.59"/>
  </r>
  <r>
    <x v="14"/>
    <n v="4.1499999999999995"/>
  </r>
  <r>
    <x v="15"/>
    <n v="3.7699999999999996"/>
  </r>
  <r>
    <x v="16"/>
    <n v="4.8999999999999995"/>
  </r>
  <r>
    <x v="14"/>
    <n v="4.1499999999999995"/>
  </r>
  <r>
    <x v="17"/>
    <n v="4.3899999999999997"/>
  </r>
  <r>
    <x v="18"/>
    <n v="4.33"/>
  </r>
  <r>
    <x v="19"/>
    <n v="3.65"/>
  </r>
  <r>
    <x v="20"/>
    <n v="3.86"/>
  </r>
  <r>
    <x v="21"/>
    <n v="3.6599999999999997"/>
  </r>
  <r>
    <x v="22"/>
    <n v="3.3299999999999996"/>
  </r>
  <r>
    <x v="23"/>
    <n v="3.63"/>
  </r>
  <r>
    <x v="24"/>
    <n v="3.3899999999999997"/>
  </r>
  <r>
    <x v="25"/>
    <n v="3.67"/>
  </r>
  <r>
    <x v="26"/>
    <n v="2.84"/>
  </r>
  <r>
    <x v="27"/>
    <n v="3.78"/>
  </r>
  <r>
    <x v="0"/>
    <n v="3.8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4.53"/>
  </r>
  <r>
    <x v="1"/>
    <n v="4.7699999999999996"/>
  </r>
  <r>
    <x v="2"/>
    <n v="4.12"/>
  </r>
  <r>
    <x v="3"/>
    <n v="4.3499999999999996"/>
  </r>
  <r>
    <x v="4"/>
    <n v="4.7300000000000004"/>
  </r>
  <r>
    <x v="0"/>
    <n v="4.53"/>
  </r>
  <r>
    <x v="5"/>
    <n v="4.8"/>
  </r>
  <r>
    <x v="6"/>
    <n v="4.5599999999999996"/>
  </r>
  <r>
    <x v="7"/>
    <n v="4.55"/>
  </r>
  <r>
    <x v="8"/>
    <n v="4.57"/>
  </r>
  <r>
    <x v="9"/>
    <n v="4.3099999999999996"/>
  </r>
  <r>
    <x v="10"/>
    <n v="4.68"/>
  </r>
  <r>
    <x v="11"/>
    <n v="4.38"/>
  </r>
  <r>
    <x v="12"/>
    <n v="5.97"/>
  </r>
  <r>
    <x v="13"/>
    <n v="4.6399999999999997"/>
  </r>
  <r>
    <x v="14"/>
    <n v="4.0999999999999996"/>
  </r>
  <r>
    <x v="15"/>
    <n v="4.32"/>
  </r>
  <r>
    <x v="10"/>
    <n v="4.68"/>
  </r>
  <r>
    <x v="16"/>
    <n v="3.96"/>
  </r>
  <r>
    <x v="17"/>
    <n v="3.85"/>
  </r>
  <r>
    <x v="18"/>
    <n v="4.2699999999999996"/>
  </r>
  <r>
    <x v="19"/>
    <n v="3.75"/>
  </r>
  <r>
    <x v="20"/>
    <n v="4.51"/>
  </r>
  <r>
    <x v="4"/>
    <n v="4.7300000000000004"/>
  </r>
  <r>
    <x v="21"/>
    <n v="3.4"/>
  </r>
  <r>
    <x v="22"/>
    <n v="4.03"/>
  </r>
  <r>
    <x v="23"/>
    <n v="4.17"/>
  </r>
  <r>
    <x v="24"/>
    <n v="4.22"/>
  </r>
  <r>
    <x v="15"/>
    <n v="4.32"/>
  </r>
  <r>
    <x v="25"/>
    <n v="4.1500000000000004"/>
  </r>
  <r>
    <x v="26"/>
    <n v="3.91"/>
  </r>
  <r>
    <x v="3"/>
    <n v="4.349999999999999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9"/>
  </r>
  <r>
    <x v="0"/>
    <n v="9"/>
  </r>
  <r>
    <x v="1"/>
    <n v="7"/>
  </r>
  <r>
    <x v="0"/>
    <n v="9"/>
  </r>
  <r>
    <x v="0"/>
    <n v="9"/>
  </r>
  <r>
    <x v="0"/>
    <n v="9"/>
  </r>
  <r>
    <x v="2"/>
    <n v="8"/>
  </r>
  <r>
    <x v="0"/>
    <n v="9"/>
  </r>
  <r>
    <x v="0"/>
    <n v="9"/>
  </r>
  <r>
    <x v="0"/>
    <n v="9"/>
  </r>
  <r>
    <x v="2"/>
    <n v="8"/>
  </r>
  <r>
    <x v="0"/>
    <n v="9"/>
  </r>
  <r>
    <x v="2"/>
    <n v="8"/>
  </r>
  <r>
    <x v="3"/>
    <n v="5"/>
  </r>
  <r>
    <x v="0"/>
    <n v="9"/>
  </r>
  <r>
    <x v="0"/>
    <n v="9"/>
  </r>
  <r>
    <x v="0"/>
    <n v="9"/>
  </r>
  <r>
    <x v="0"/>
    <n v="9"/>
  </r>
  <r>
    <x v="0"/>
    <n v="9"/>
  </r>
  <r>
    <x v="2"/>
    <n v="8"/>
  </r>
  <r>
    <x v="0"/>
    <n v="9"/>
  </r>
  <r>
    <x v="2"/>
    <n v="8"/>
  </r>
  <r>
    <x v="2"/>
    <n v="8"/>
  </r>
  <r>
    <x v="0"/>
    <n v="9"/>
  </r>
  <r>
    <x v="3"/>
    <n v="5"/>
  </r>
  <r>
    <x v="2"/>
    <n v="8"/>
  </r>
  <r>
    <x v="2"/>
    <n v="8"/>
  </r>
  <r>
    <x v="0"/>
    <n v="9"/>
  </r>
  <r>
    <x v="0"/>
    <n v="9"/>
  </r>
  <r>
    <x v="0"/>
    <n v="9"/>
  </r>
  <r>
    <x v="1"/>
    <n v="7"/>
  </r>
  <r>
    <x v="0"/>
    <n v="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4.5599999999999996"/>
  </r>
  <r>
    <x v="1"/>
    <n v="4.67"/>
  </r>
  <r>
    <x v="2"/>
    <n v="4.24"/>
  </r>
  <r>
    <x v="3"/>
    <n v="4.49"/>
  </r>
  <r>
    <x v="4"/>
    <n v="4.84"/>
  </r>
  <r>
    <x v="5"/>
    <n v="4.59"/>
  </r>
  <r>
    <x v="6"/>
    <n v="4.99"/>
  </r>
  <r>
    <x v="7"/>
    <n v="4.8099999999999996"/>
  </r>
  <r>
    <x v="8"/>
    <n v="4.6100000000000003"/>
  </r>
  <r>
    <x v="9"/>
    <n v="4.6900000000000004"/>
  </r>
  <r>
    <x v="10"/>
    <n v="4.4400000000000004"/>
  </r>
  <r>
    <x v="11"/>
    <n v="4.68"/>
  </r>
  <r>
    <x v="12"/>
    <n v="4.42"/>
  </r>
  <r>
    <x v="13"/>
    <n v="5.92"/>
  </r>
  <r>
    <x v="14"/>
    <n v="4.53"/>
  </r>
  <r>
    <x v="15"/>
    <n v="4.2300000000000004"/>
  </r>
  <r>
    <x v="16"/>
    <n v="4.3"/>
  </r>
  <r>
    <x v="11"/>
    <n v="4.68"/>
  </r>
  <r>
    <x v="17"/>
    <n v="4.21"/>
  </r>
  <r>
    <x v="18"/>
    <n v="5.0999999999999996"/>
  </r>
  <r>
    <x v="19"/>
    <n v="4.62"/>
  </r>
  <r>
    <x v="20"/>
    <n v="3.53"/>
  </r>
  <r>
    <x v="21"/>
    <n v="4.74"/>
  </r>
  <r>
    <x v="22"/>
    <n v="4.72"/>
  </r>
  <r>
    <x v="23"/>
    <n v="3.87"/>
  </r>
  <r>
    <x v="24"/>
    <n v="4.12"/>
  </r>
  <r>
    <x v="17"/>
    <n v="4.21"/>
  </r>
  <r>
    <x v="25"/>
    <n v="4.38"/>
  </r>
  <r>
    <x v="26"/>
    <n v="4.47"/>
  </r>
  <r>
    <x v="5"/>
    <n v="4.59"/>
  </r>
  <r>
    <x v="27"/>
    <n v="4.01"/>
  </r>
  <r>
    <x v="28"/>
    <n v="4.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7F7AA-A59F-4A39-AB7B-D1583E3976BE}" name="PivotTable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:R6" firstHeaderRow="1" firstDataRow="1" firstDataCol="1"/>
  <pivotFields count="2">
    <pivotField axis="axisRow" showAll="0">
      <items count="5">
        <item x="3"/>
        <item x="1"/>
        <item x="2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ổng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20A72-49DF-408D-A28C-0BC2CA471CD6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8" firstHeaderRow="1" firstDataRow="1" firstDataCol="1"/>
  <pivotFields count="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9"/>
    </i>
    <i t="grand">
      <x/>
    </i>
  </rowItems>
  <colItems count="1">
    <i/>
  </colItems>
  <dataFields count="1">
    <dataField name="Count of QBL01 IU log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12F58-352F-4423-909D-BFDAEB54E863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91:J98" firstHeaderRow="1" firstDataRow="1" firstDataCol="1"/>
  <pivotFields count="2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7">
    <i>
      <x v="1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QBL03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55296-1805-4774-87CC-761F718A7519}" name="PivotTable1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L91:AM99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8">
    <i>
      <x v="1"/>
    </i>
    <i>
      <x v="3"/>
    </i>
    <i>
      <x v="4"/>
    </i>
    <i>
      <x v="5"/>
    </i>
    <i>
      <x v="6"/>
    </i>
    <i>
      <x v="7"/>
    </i>
    <i>
      <x v="10"/>
    </i>
    <i t="grand">
      <x/>
    </i>
  </rowItems>
  <colItems count="1">
    <i/>
  </colItems>
  <dataFields count="1">
    <dataField name="Count of QBL03" fld="1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FEBE4-C535-4A5F-940E-BE604E1B43A9}" name="PivotTable1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L46:AM54" firstHeaderRow="1" firstDataRow="1" firstDataCol="1"/>
  <pivotFields count="2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QBL02" fld="1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2F2273-EE33-43D3-AAEC-08D78076E7DF}" name="PivotTable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6:J53" firstHeaderRow="1" firstDataRow="1" firstDataCol="1"/>
  <pivotFields count="2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QBL0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" displayName="Table1" ref="V79:Y91" totalsRowShown="0">
  <tableColumns count="4">
    <tableColumn id="1" xr3:uid="{00000000-0010-0000-0000-000001000000}" name="Điểm" dataDxfId="32">
      <calculatedColumnFormula>R34</calculatedColumnFormula>
    </tableColumn>
    <tableColumn id="2" xr3:uid="{00000000-0010-0000-0000-000002000000}" name="Số lượng đơn vị" dataDxfId="31">
      <calculatedColumnFormula>S34</calculatedColumnFormula>
    </tableColumn>
    <tableColumn id="3" xr3:uid="{00000000-0010-0000-0000-000003000000}" name="Phần trăm tích lũy của các đơn vị" dataDxfId="30">
      <calculatedColumnFormula>T34</calculatedColumnFormula>
    </tableColumn>
    <tableColumn id="4" xr3:uid="{00000000-0010-0000-0000-000004000000}" name="Điểm của đơn vị" dataDxfId="29">
      <calculatedColumnFormula>IF(Table1[[#This Row],[Điểm]]=$X$83,1,0)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V105:W114" totalsRowShown="0">
  <tableColumns count="2">
    <tableColumn id="1" xr3:uid="{00000000-0010-0000-0100-000001000000}" name=" "/>
    <tableColumn id="2" xr3:uid="{00000000-0010-0000-0100-000002000000}" name="Series 1" dataDxfId="28">
      <calculatedColumnFormula>IF(VLOOKUP($W$117,CHÊNH!$B:$MF,4,0)&gt;1.5,1.5,IF(VLOOKUP($W$117,CHÊNH!$B:$MF,4,0)&lt;-1.5,-1.5,VLOOKUP($W$117,CHÊNH!$B:$MF,4,0)))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6" displayName="Table16" ref="V120:W129" totalsRowShown="0">
  <tableColumns count="2">
    <tableColumn id="1" xr3:uid="{00000000-0010-0000-0200-000001000000}" name=" "/>
    <tableColumn id="2" xr3:uid="{00000000-0010-0000-0200-000002000000}" name="Series 1">
      <calculatedColumnFormula>VLOOKUP($W$131,'HIEU XUAT'!$B:$AP,33,0)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opPURE@MAGA%20Genomic%20DNA/RNA%20EXTRACTION%20KIT" TargetMode="External"/><Relationship Id="rId1" Type="http://schemas.openxmlformats.org/officeDocument/2006/relationships/hyperlink" Target="mailto:TopPURE@MAGA%20SERUM%20DNA/RNA%20EXTRACTION%20KIT_AB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3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2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opLeftCell="A42" workbookViewId="0">
      <selection activeCell="AL28" sqref="AL28"/>
    </sheetView>
  </sheetViews>
  <sheetFormatPr defaultRowHeight="12.75" x14ac:dyDescent="0.2"/>
  <cols>
    <col min="1" max="2" width="9" style="38"/>
    <col min="3" max="3" width="25.25" style="39" customWidth="1"/>
    <col min="4" max="4" width="10.25" style="38" bestFit="1" customWidth="1"/>
    <col min="5" max="5" width="9.375" style="38" bestFit="1" customWidth="1"/>
    <col min="6" max="6" width="10.25" style="38" bestFit="1" customWidth="1"/>
    <col min="7" max="8" width="11.375" style="38" bestFit="1" customWidth="1"/>
    <col min="9" max="12" width="9" style="38"/>
    <col min="13" max="13" width="19.25" style="39" customWidth="1"/>
    <col min="14" max="16384" width="9" style="38"/>
  </cols>
  <sheetData>
    <row r="1" spans="1:18" x14ac:dyDescent="0.2">
      <c r="E1" s="39" t="s">
        <v>277</v>
      </c>
      <c r="F1" s="39" t="s">
        <v>286</v>
      </c>
      <c r="G1" s="39" t="s">
        <v>279</v>
      </c>
      <c r="H1" s="39" t="s">
        <v>280</v>
      </c>
      <c r="I1" s="39" t="s">
        <v>281</v>
      </c>
      <c r="O1" s="39"/>
      <c r="P1" s="39"/>
      <c r="Q1" s="39"/>
      <c r="R1" s="39"/>
    </row>
    <row r="2" spans="1:18" x14ac:dyDescent="0.2">
      <c r="E2" s="39">
        <f>D20-D19</f>
        <v>4.1223449999999993</v>
      </c>
      <c r="F2" s="39"/>
      <c r="G2" s="39">
        <f>F20-F19</f>
        <v>4.1595170568501372</v>
      </c>
      <c r="H2" s="39">
        <f t="shared" ref="H2:I2" si="0">G20-G19</f>
        <v>4.1807043296623885</v>
      </c>
      <c r="I2" s="39">
        <f t="shared" si="0"/>
        <v>4.1925024026203657</v>
      </c>
      <c r="O2" s="39"/>
      <c r="P2" s="39"/>
      <c r="Q2" s="39"/>
      <c r="R2" s="39"/>
    </row>
    <row r="3" spans="1:18" x14ac:dyDescent="0.2">
      <c r="E3" s="39">
        <f>D20+D19</f>
        <v>4.9676550000000006</v>
      </c>
      <c r="F3" s="39"/>
      <c r="G3" s="39">
        <f>F20+F19</f>
        <v>4.9385691931498643</v>
      </c>
      <c r="H3" s="39">
        <f t="shared" ref="H3:I3" si="1">G20+G19</f>
        <v>4.9266749345501477</v>
      </c>
      <c r="I3" s="39">
        <f t="shared" si="1"/>
        <v>4.9201736797952327</v>
      </c>
      <c r="O3" s="39"/>
      <c r="P3" s="39"/>
      <c r="Q3" s="39"/>
      <c r="R3" s="39"/>
    </row>
    <row r="4" spans="1:18" ht="25.5" x14ac:dyDescent="0.2">
      <c r="A4" s="40" t="s">
        <v>3</v>
      </c>
      <c r="B4" s="40" t="s">
        <v>4</v>
      </c>
      <c r="C4" s="40" t="s">
        <v>5</v>
      </c>
      <c r="D4" s="41" t="s">
        <v>320</v>
      </c>
      <c r="E4" s="39"/>
      <c r="F4" s="42"/>
      <c r="G4" s="42"/>
      <c r="H4" s="42"/>
      <c r="K4" s="43"/>
      <c r="L4" s="43"/>
      <c r="M4" s="43"/>
      <c r="N4" s="44"/>
      <c r="O4" s="39"/>
      <c r="P4" s="42"/>
      <c r="Q4" s="42"/>
      <c r="R4" s="42"/>
    </row>
    <row r="5" spans="1:18" ht="25.5" x14ac:dyDescent="0.25">
      <c r="A5" s="161" t="s">
        <v>50</v>
      </c>
      <c r="B5" s="160" t="s">
        <v>51</v>
      </c>
      <c r="C5" s="160" t="s">
        <v>52</v>
      </c>
      <c r="D5" s="4" t="str">
        <f>IF(VLOOKUP(A5,'HBV ĐL HC'!E:AA,14,0)&lt;&gt;"",VLOOKUP(A5,'HBV ĐL HC'!E:AA,14,0),"")</f>
        <v/>
      </c>
      <c r="E5" s="45" t="str">
        <f>IF(VLOOKUP(A5,'HBV ĐL HC'!E:AA,14,0)&lt;&gt;"",ABS(D5-$D$20),"")</f>
        <v/>
      </c>
      <c r="F5" s="45" t="str">
        <f>IF(VLOOKUP(A5,'HBV ĐL HC'!E:AA,10,0)&lt;&gt;0,IF(D5&lt;$E$2,$E$2,IF(D5&gt;$E$3,$E$3,D5)),"")</f>
        <v/>
      </c>
      <c r="G5" s="45" t="str">
        <f>IF(VLOOKUP(A5,'HBV ĐL HC'!E:AA,10,0)&lt;&gt;0,IF(F5&lt;$G$2,$G$2,IF(F5&gt;$G$3,$G$3,F5)),"")</f>
        <v/>
      </c>
      <c r="H5" s="45" t="str">
        <f>IF(VLOOKUP(A5,'HBV ĐL HC'!E:AA,10,0)&lt;&gt;0,IF(G5&lt;$H$2,$H$2,IF(G5&gt;$H$3,$H$3,G5)),"")</f>
        <v/>
      </c>
      <c r="I5" s="45" t="str">
        <f>IF(VLOOKUP(A5,'HBV ĐL HC'!E:AA,10,0)&lt;&gt;0,IF(H5&lt;$I$2,$I$2,IF(H5&gt;$I$3,$I$3,H5)),"")</f>
        <v/>
      </c>
      <c r="K5" s="46"/>
      <c r="L5" s="34"/>
      <c r="M5" s="35"/>
      <c r="O5" s="39"/>
      <c r="P5" s="42"/>
      <c r="Q5" s="42"/>
      <c r="R5" s="42"/>
    </row>
    <row r="6" spans="1:18" ht="25.5" x14ac:dyDescent="0.25">
      <c r="A6" s="170" t="s">
        <v>60</v>
      </c>
      <c r="B6" s="171" t="s">
        <v>61</v>
      </c>
      <c r="C6" s="169" t="s">
        <v>62</v>
      </c>
      <c r="D6" s="4">
        <f>IF(VLOOKUP(A6,'HBV ĐL HC'!E:AA,14,0)&lt;&gt;"",VLOOKUP(A6,'HBV ĐL HC'!E:AA,14,0),"")</f>
        <v>4.53</v>
      </c>
      <c r="E6" s="45">
        <f>IF(VLOOKUP(A6,'HBV ĐL HC'!E:AA,14,0)&lt;&gt;"",ABS(D6-$D$20),"")</f>
        <v>1.499999999999968E-2</v>
      </c>
      <c r="F6" s="45">
        <f>IF(VLOOKUP(A6,'HBV ĐL HC'!E:AA,10,0)&lt;&gt;0,IF(D6&lt;$E$2,$E$2,IF(D6&gt;$E$3,$E$3,D6)),"")</f>
        <v>4.53</v>
      </c>
      <c r="G6" s="45">
        <f>IF(VLOOKUP(A6,'HBV ĐL HC'!E:AA,10,0)&lt;&gt;0,IF(F6&lt;$G$2,$G$2,IF(F6&gt;$G$3,$G$3,F6)),"")</f>
        <v>4.53</v>
      </c>
      <c r="H6" s="45">
        <f>IF(VLOOKUP(A6,'HBV ĐL HC'!E:AA,10,0)&lt;&gt;0,IF(G6&lt;$H$2,$H$2,IF(G6&gt;$H$3,$H$3,G6)),"")</f>
        <v>4.53</v>
      </c>
      <c r="I6" s="45">
        <f>IF(VLOOKUP(A6,'HBV ĐL HC'!E:AA,10,0)&lt;&gt;0,IF(H6&lt;$I$2,$I$2,IF(H6&gt;$I$3,$I$3,H6)),"")</f>
        <v>4.53</v>
      </c>
      <c r="K6" s="47"/>
      <c r="L6" s="34"/>
      <c r="M6" s="35"/>
      <c r="O6" s="39"/>
      <c r="P6" s="42"/>
      <c r="Q6" s="42"/>
      <c r="R6" s="42"/>
    </row>
    <row r="7" spans="1:18" ht="25.5" x14ac:dyDescent="0.25">
      <c r="A7" s="176" t="s">
        <v>70</v>
      </c>
      <c r="B7" s="171" t="s">
        <v>71</v>
      </c>
      <c r="C7" s="169" t="s">
        <v>72</v>
      </c>
      <c r="D7" s="4">
        <f>IF(VLOOKUP(A7,'HBV ĐL HC'!E:AA,14,0)&lt;&gt;"",VLOOKUP(A7,'HBV ĐL HC'!E:AA,14,0),"")</f>
        <v>4.7699999999999996</v>
      </c>
      <c r="E7" s="45">
        <f>IF(VLOOKUP(A7,'HBV ĐL HC'!E:AA,14,0)&lt;&gt;"",ABS(D7-$D$20),"")</f>
        <v>0.22499999999999964</v>
      </c>
      <c r="F7" s="45">
        <f>IF(VLOOKUP(A7,'HBV ĐL HC'!E:AA,10,0)&lt;&gt;0,IF(D7&lt;$E$2,$E$2,IF(D7&gt;$E$3,$E$3,D7)),"")</f>
        <v>4.7699999999999996</v>
      </c>
      <c r="G7" s="45">
        <f>IF(VLOOKUP(A7,'HBV ĐL HC'!E:AA,10,0)&lt;&gt;0,IF(F7&lt;$G$2,$G$2,IF(F7&gt;$G$3,$G$3,F7)),"")</f>
        <v>4.7699999999999996</v>
      </c>
      <c r="H7" s="45">
        <f>IF(VLOOKUP(A7,'HBV ĐL HC'!E:AA,10,0)&lt;&gt;0,IF(G7&lt;$H$2,$H$2,IF(G7&gt;$H$3,$H$3,G7)),"")</f>
        <v>4.7699999999999996</v>
      </c>
      <c r="I7" s="45">
        <f>IF(VLOOKUP(A7,'HBV ĐL HC'!E:AA,10,0)&lt;&gt;0,IF(H7&lt;$I$2,$I$2,IF(H7&gt;$I$3,$I$3,H7)),"")</f>
        <v>4.7699999999999996</v>
      </c>
      <c r="K7" s="48"/>
      <c r="L7" s="34"/>
      <c r="M7" s="35"/>
      <c r="O7" s="39"/>
      <c r="P7" s="42"/>
      <c r="Q7" s="42"/>
      <c r="R7" s="42"/>
    </row>
    <row r="8" spans="1:18" s="295" customFormat="1" ht="25.5" x14ac:dyDescent="0.25">
      <c r="A8" s="177" t="s">
        <v>169</v>
      </c>
      <c r="B8" s="169" t="s">
        <v>170</v>
      </c>
      <c r="C8" s="169" t="s">
        <v>171</v>
      </c>
      <c r="D8" s="4">
        <f>IF(VLOOKUP(A8,'HBV ĐL HC'!E:AA,14,0)&lt;&gt;"",VLOOKUP(A8,'HBV ĐL HC'!E:AA,14,0),"")</f>
        <v>4.12</v>
      </c>
      <c r="E8" s="45">
        <f>IF(VLOOKUP(A8,'HBV ĐL HC'!E:AA,14,0)&lt;&gt;"",ABS(D8-$D$20),"")</f>
        <v>0.42499999999999982</v>
      </c>
      <c r="F8" s="294">
        <f>IF(VLOOKUP(A8,'HBV ĐL HC'!E:AA,10,0)&lt;&gt;0,IF(D8&lt;$E$2,$E$2,IF(D8&gt;$E$3,$E$3,D8)),"")</f>
        <v>4.1223449999999993</v>
      </c>
      <c r="G8" s="294">
        <f>IF(VLOOKUP(A8,'HBV ĐL HC'!E:AA,10,0)&lt;&gt;0,IF(F8&lt;$G$2,$G$2,IF(F8&gt;$G$3,$G$3,F8)),"")</f>
        <v>4.1595170568501372</v>
      </c>
      <c r="H8" s="294">
        <f>IF(VLOOKUP(A8,'HBV ĐL HC'!E:AA,10,0)&lt;&gt;0,IF(G8&lt;$H$2,$H$2,IF(G8&gt;$H$3,$H$3,G8)),"")</f>
        <v>4.1807043296623885</v>
      </c>
      <c r="I8" s="294">
        <f>IF(VLOOKUP(A8,'HBV ĐL HC'!E:AA,10,0)&lt;&gt;0,IF(H8&lt;$I$2,$I$2,IF(H8&gt;$I$3,$I$3,H8)),"")</f>
        <v>4.1925024026203657</v>
      </c>
      <c r="K8" s="46"/>
      <c r="L8" s="34"/>
      <c r="M8" s="34"/>
      <c r="O8" s="296"/>
      <c r="P8" s="297"/>
      <c r="Q8" s="297"/>
      <c r="R8" s="297"/>
    </row>
    <row r="9" spans="1:18" ht="15.75" x14ac:dyDescent="0.25">
      <c r="A9" s="179" t="s">
        <v>178</v>
      </c>
      <c r="B9" s="180" t="s">
        <v>179</v>
      </c>
      <c r="C9" s="169" t="s">
        <v>180</v>
      </c>
      <c r="D9" s="4">
        <f>IF(VLOOKUP(A9,'HBV ĐL HC'!E:AA,14,0)&lt;&gt;"",VLOOKUP(A9,'HBV ĐL HC'!E:AA,14,0),"")</f>
        <v>4.3499999999999996</v>
      </c>
      <c r="E9" s="45">
        <f>IF(VLOOKUP(A9,'HBV ĐL HC'!E:AA,14,0)&lt;&gt;"",ABS(D9-$D$20),"")</f>
        <v>0.19500000000000028</v>
      </c>
      <c r="F9" s="45">
        <f>IF(VLOOKUP(A9,'HBV ĐL HC'!E:AA,10,0)&lt;&gt;0,IF(D9&lt;$E$2,$E$2,IF(D9&gt;$E$3,$E$3,D9)),"")</f>
        <v>4.3499999999999996</v>
      </c>
      <c r="G9" s="45">
        <f>IF(VLOOKUP(A9,'HBV ĐL HC'!E:AA,10,0)&lt;&gt;0,IF(F9&lt;$G$2,$G$2,IF(F9&gt;$G$3,$G$3,F9)),"")</f>
        <v>4.3499999999999996</v>
      </c>
      <c r="H9" s="45">
        <f>IF(VLOOKUP(A9,'HBV ĐL HC'!E:AA,10,0)&lt;&gt;0,IF(G9&lt;$H$2,$H$2,IF(G9&gt;$H$3,$H$3,G9)),"")</f>
        <v>4.3499999999999996</v>
      </c>
      <c r="I9" s="45">
        <f>IF(VLOOKUP(A9,'HBV ĐL HC'!E:AA,10,0)&lt;&gt;0,IF(H9&lt;$I$2,$I$2,IF(H9&gt;$I$3,$I$3,H9)),"")</f>
        <v>4.3499999999999996</v>
      </c>
      <c r="K9" s="46"/>
      <c r="L9" s="49"/>
      <c r="M9" s="35"/>
      <c r="O9" s="39"/>
      <c r="P9" s="42"/>
      <c r="Q9" s="42"/>
      <c r="R9" s="42"/>
    </row>
    <row r="10" spans="1:18" ht="25.5" x14ac:dyDescent="0.25">
      <c r="A10" s="179" t="s">
        <v>189</v>
      </c>
      <c r="B10" s="171" t="s">
        <v>190</v>
      </c>
      <c r="C10" s="169" t="s">
        <v>191</v>
      </c>
      <c r="D10" s="4">
        <f>IF(VLOOKUP(A10,'HBV ĐL HC'!E:AA,14,0)&lt;&gt;"",VLOOKUP(A10,'HBV ĐL HC'!E:AA,14,0),"")</f>
        <v>4.7300000000000004</v>
      </c>
      <c r="E10" s="45">
        <f>IF(VLOOKUP(A10,'HBV ĐL HC'!E:AA,14,0)&lt;&gt;"",ABS(D10-$D$20),"")</f>
        <v>0.1850000000000005</v>
      </c>
      <c r="F10" s="45">
        <f>IF(VLOOKUP(A10,'HBV ĐL HC'!E:AA,10,0)&lt;&gt;0,IF(D10&lt;$E$2,$E$2,IF(D10&gt;$E$3,$E$3,D10)),"")</f>
        <v>4.7300000000000004</v>
      </c>
      <c r="G10" s="45">
        <f>IF(VLOOKUP(A10,'HBV ĐL HC'!E:AA,10,0)&lt;&gt;0,IF(F10&lt;$G$2,$G$2,IF(F10&gt;$G$3,$G$3,F10)),"")</f>
        <v>4.7300000000000004</v>
      </c>
      <c r="H10" s="45">
        <f>IF(VLOOKUP(A10,'HBV ĐL HC'!E:AA,10,0)&lt;&gt;0,IF(G10&lt;$H$2,$H$2,IF(G10&gt;$H$3,$H$3,G10)),"")</f>
        <v>4.7300000000000004</v>
      </c>
      <c r="I10" s="45">
        <f>IF(VLOOKUP(A10,'HBV ĐL HC'!E:AA,10,0)&lt;&gt;0,IF(H10&lt;$I$2,$I$2,IF(H10&gt;$I$3,$I$3,H10)),"")</f>
        <v>4.7300000000000004</v>
      </c>
      <c r="K10" s="46"/>
      <c r="L10" s="34"/>
      <c r="M10" s="35"/>
      <c r="O10" s="39"/>
      <c r="P10" s="42"/>
      <c r="Q10" s="42"/>
      <c r="R10" s="42"/>
    </row>
    <row r="11" spans="1:18" ht="38.25" x14ac:dyDescent="0.25">
      <c r="A11" s="179" t="s">
        <v>447</v>
      </c>
      <c r="B11" s="171" t="s">
        <v>79</v>
      </c>
      <c r="C11" s="169" t="s">
        <v>80</v>
      </c>
      <c r="D11" s="4">
        <f>IF(VLOOKUP(A11,'HBV ĐL HC'!E:AA,14,0)&lt;&gt;"",VLOOKUP(A11,'HBV ĐL HC'!E:AA,14,0),"")</f>
        <v>4.53</v>
      </c>
      <c r="E11" s="45">
        <f>IF(VLOOKUP(A11,'HBV ĐL HC'!E:AA,14,0)&lt;&gt;"",ABS(D11-$D$20),"")</f>
        <v>1.499999999999968E-2</v>
      </c>
      <c r="F11" s="45">
        <f>IF(VLOOKUP(A11,'HBV ĐL HC'!E:AA,10,0)&lt;&gt;0,IF(D11&lt;$E$2,$E$2,IF(D11&gt;$E$3,$E$3,D11)),"")</f>
        <v>4.53</v>
      </c>
      <c r="G11" s="45">
        <f>IF(VLOOKUP(A11,'HBV ĐL HC'!E:AA,10,0)&lt;&gt;0,IF(F11&lt;$G$2,$G$2,IF(F11&gt;$G$3,$G$3,F11)),"")</f>
        <v>4.53</v>
      </c>
      <c r="H11" s="45">
        <f>IF(VLOOKUP(A11,'HBV ĐL HC'!E:AA,10,0)&lt;&gt;0,IF(G11&lt;$H$2,$H$2,IF(G11&gt;$H$3,$H$3,G11)),"")</f>
        <v>4.53</v>
      </c>
      <c r="I11" s="45">
        <f>IF(VLOOKUP(A11,'HBV ĐL HC'!E:AA,10,0)&lt;&gt;0,IF(H11&lt;$I$2,$I$2,IF(H11&gt;$I$3,$I$3,H11)),"")</f>
        <v>4.53</v>
      </c>
      <c r="K11" s="46"/>
      <c r="L11" s="34"/>
      <c r="M11" s="35"/>
      <c r="O11" s="39"/>
      <c r="P11" s="42"/>
      <c r="Q11" s="42"/>
      <c r="R11" s="42"/>
    </row>
    <row r="12" spans="1:18" ht="25.5" x14ac:dyDescent="0.25">
      <c r="A12" s="179" t="s">
        <v>212</v>
      </c>
      <c r="B12" s="171" t="s">
        <v>213</v>
      </c>
      <c r="C12" s="169" t="s">
        <v>214</v>
      </c>
      <c r="D12" s="4">
        <f>IF(VLOOKUP(A12,'HBV ĐL HC'!E:AA,14,0)&lt;&gt;"",VLOOKUP(A12,'HBV ĐL HC'!E:AA,14,0),"")</f>
        <v>4.8</v>
      </c>
      <c r="E12" s="45">
        <f>IF(VLOOKUP(A12,'HBV ĐL HC'!E:AA,14,0)&lt;&gt;"",ABS(D12-$D$20),"")</f>
        <v>0.25499999999999989</v>
      </c>
      <c r="F12" s="45">
        <f>IF(VLOOKUP(A12,'HBV ĐL HC'!E:AA,10,0)&lt;&gt;0,IF(D12&lt;$E$2,$E$2,IF(D12&gt;$E$3,$E$3,D12)),"")</f>
        <v>4.8</v>
      </c>
      <c r="G12" s="45">
        <f>IF(VLOOKUP(A12,'HBV ĐL HC'!E:AA,10,0)&lt;&gt;0,IF(F12&lt;$G$2,$G$2,IF(F12&gt;$G$3,$G$3,F12)),"")</f>
        <v>4.8</v>
      </c>
      <c r="H12" s="45">
        <f>IF(VLOOKUP(A12,'HBV ĐL HC'!E:AA,10,0)&lt;&gt;0,IF(G12&lt;$H$2,$H$2,IF(G12&gt;$H$3,$H$3,G12)),"")</f>
        <v>4.8</v>
      </c>
      <c r="I12" s="45">
        <f>IF(VLOOKUP(A12,'HBV ĐL HC'!E:AA,10,0)&lt;&gt;0,IF(H12&lt;$I$2,$I$2,IF(H12&gt;$I$3,$I$3,H12)),"")</f>
        <v>4.8</v>
      </c>
      <c r="K12" s="46"/>
      <c r="L12" s="34"/>
      <c r="M12" s="35"/>
      <c r="O12" s="39"/>
      <c r="P12" s="42"/>
      <c r="Q12" s="42"/>
      <c r="R12" s="42"/>
    </row>
    <row r="13" spans="1:18" ht="15.75" x14ac:dyDescent="0.25">
      <c r="A13" s="179" t="s">
        <v>218</v>
      </c>
      <c r="B13" s="171" t="s">
        <v>219</v>
      </c>
      <c r="C13" s="169" t="s">
        <v>220</v>
      </c>
      <c r="D13" s="4">
        <f>IF(VLOOKUP(A13,'HBV ĐL HC'!E:AA,14,0)&lt;&gt;"",VLOOKUP(A13,'HBV ĐL HC'!E:AA,14,0),"")</f>
        <v>4.5599999999999996</v>
      </c>
      <c r="E13" s="45">
        <f>IF(VLOOKUP(A13,'HBV ĐL HC'!E:AA,14,0)&lt;&gt;"",ABS(D13-$D$20),"")</f>
        <v>1.499999999999968E-2</v>
      </c>
      <c r="F13" s="45">
        <f>IF(VLOOKUP(A13,'HBV ĐL HC'!E:AA,10,0)&lt;&gt;0,IF(D13&lt;$E$2,$E$2,IF(D13&gt;$E$3,$E$3,D13)),"")</f>
        <v>4.5599999999999996</v>
      </c>
      <c r="G13" s="45">
        <f>IF(VLOOKUP(A13,'HBV ĐL HC'!E:AA,10,0)&lt;&gt;0,IF(F13&lt;$G$2,$G$2,IF(F13&gt;$G$3,$G$3,F13)),"")</f>
        <v>4.5599999999999996</v>
      </c>
      <c r="H13" s="45">
        <f>IF(VLOOKUP(A13,'HBV ĐL HC'!E:AA,10,0)&lt;&gt;0,IF(G13&lt;$H$2,$H$2,IF(G13&gt;$H$3,$H$3,G13)),"")</f>
        <v>4.5599999999999996</v>
      </c>
      <c r="I13" s="45">
        <f>IF(VLOOKUP(A13,'HBV ĐL HC'!E:AA,10,0)&lt;&gt;0,IF(H13&lt;$I$2,$I$2,IF(H13&gt;$I$3,$I$3,H13)),"")</f>
        <v>4.5599999999999996</v>
      </c>
      <c r="K13" s="46"/>
      <c r="L13" s="34"/>
      <c r="M13" s="35"/>
      <c r="O13" s="39"/>
      <c r="P13" s="42"/>
      <c r="Q13" s="42"/>
      <c r="R13" s="42"/>
    </row>
    <row r="14" spans="1:18" ht="15.75" x14ac:dyDescent="0.25">
      <c r="A14" s="179" t="s">
        <v>448</v>
      </c>
      <c r="B14" s="171" t="s">
        <v>85</v>
      </c>
      <c r="C14" s="169" t="s">
        <v>86</v>
      </c>
      <c r="D14" s="4" t="str">
        <f>IF(VLOOKUP(A14,'HBV ĐL HC'!E:AA,14,0)&lt;&gt;"",VLOOKUP(A14,'HBV ĐL HC'!E:AA,14,0),"")</f>
        <v/>
      </c>
      <c r="E14" s="45" t="str">
        <f>IF(VLOOKUP(A14,'HBV ĐL HC'!E:AA,14,0)&lt;&gt;"",ABS(D14-$D$20),"")</f>
        <v/>
      </c>
      <c r="F14" s="45" t="str">
        <f>IF(VLOOKUP(A14,'HBV ĐL HC'!E:AA,10,0)&lt;&gt;0,IF(D14&lt;$E$2,$E$2,IF(D14&gt;$E$3,$E$3,D14)),"")</f>
        <v/>
      </c>
      <c r="G14" s="45" t="str">
        <f>IF(VLOOKUP(A14,'HBV ĐL HC'!E:AA,10,0)&lt;&gt;0,IF(F14&lt;$G$2,$G$2,IF(F14&gt;$G$3,$G$3,F14)),"")</f>
        <v/>
      </c>
      <c r="H14" s="45" t="str">
        <f>IF(VLOOKUP(A14,'HBV ĐL HC'!E:AA,10,0)&lt;&gt;0,IF(G14&lt;$H$2,$H$2,IF(G14&gt;$H$3,$H$3,G14)),"")</f>
        <v/>
      </c>
      <c r="I14" s="45" t="str">
        <f>IF(VLOOKUP(A14,'HBV ĐL HC'!E:AA,10,0)&lt;&gt;0,IF(H14&lt;$I$2,$I$2,IF(H14&gt;$I$3,$I$3,H14)),"")</f>
        <v/>
      </c>
    </row>
    <row r="15" spans="1:18" s="52" customFormat="1" x14ac:dyDescent="0.2">
      <c r="A15" s="51"/>
      <c r="B15" s="36"/>
      <c r="C15" s="37"/>
      <c r="E15" s="53"/>
      <c r="F15" s="54"/>
      <c r="G15" s="54"/>
      <c r="H15" s="54"/>
      <c r="K15" s="51"/>
      <c r="L15" s="36"/>
      <c r="M15" s="37"/>
      <c r="O15" s="53"/>
      <c r="P15" s="54"/>
      <c r="Q15" s="54"/>
      <c r="R15" s="54"/>
    </row>
    <row r="16" spans="1:18" s="52" customFormat="1" x14ac:dyDescent="0.2">
      <c r="A16" s="51"/>
      <c r="B16" s="36"/>
      <c r="C16" s="37"/>
      <c r="E16" s="53"/>
      <c r="F16" s="54"/>
      <c r="G16" s="54"/>
      <c r="H16" s="54"/>
      <c r="K16" s="51"/>
      <c r="L16" s="36"/>
      <c r="M16" s="37"/>
      <c r="O16" s="53"/>
      <c r="P16" s="54"/>
      <c r="Q16" s="54"/>
      <c r="R16" s="54"/>
    </row>
    <row r="17" spans="1:18" ht="15.75" x14ac:dyDescent="0.25">
      <c r="C17" s="21" t="s">
        <v>282</v>
      </c>
      <c r="D17" s="66">
        <f>AVERAGE(D5:D14)</f>
        <v>4.548750000000001</v>
      </c>
      <c r="E17" s="67"/>
      <c r="F17" s="66">
        <f>AVERAGE(F5:F14)</f>
        <v>4.5490431250000007</v>
      </c>
      <c r="G17" s="66">
        <f t="shared" ref="G17:I17" si="2">AVERAGE(G5:G14)</f>
        <v>4.5536896321062681</v>
      </c>
      <c r="H17" s="66">
        <f t="shared" si="2"/>
        <v>4.5563380412077992</v>
      </c>
      <c r="I17" s="66">
        <f t="shared" si="2"/>
        <v>4.5578128003275467</v>
      </c>
      <c r="M17" s="55"/>
      <c r="N17" s="56"/>
      <c r="P17" s="56"/>
      <c r="Q17" s="56"/>
      <c r="R17" s="56"/>
    </row>
    <row r="18" spans="1:18" ht="15.75" x14ac:dyDescent="0.2">
      <c r="C18" s="24" t="s">
        <v>243</v>
      </c>
      <c r="D18" s="66">
        <f>_xlfn.STDEV.S(D5:D14)</f>
        <v>0.22962313845578738</v>
      </c>
      <c r="E18" s="67"/>
      <c r="F18" s="66">
        <f>_xlfn.STDEV.S(F5:F14)</f>
        <v>0.22899827639615719</v>
      </c>
      <c r="G18" s="66">
        <f t="shared" ref="G18:I18" si="3">_xlfn.STDEV.S(G5:G14)</f>
        <v>0.21927413429975279</v>
      </c>
      <c r="H18" s="66">
        <f t="shared" si="3"/>
        <v>0.21389514320248862</v>
      </c>
      <c r="I18" s="66">
        <f t="shared" si="3"/>
        <v>0.2109557209262328</v>
      </c>
      <c r="M18" s="57"/>
      <c r="N18" s="58"/>
      <c r="P18" s="58"/>
      <c r="Q18" s="58"/>
      <c r="R18" s="58"/>
    </row>
    <row r="19" spans="1:18" ht="15.75" x14ac:dyDescent="0.2">
      <c r="C19" s="24" t="s">
        <v>283</v>
      </c>
      <c r="D19" s="67">
        <f>1.5*D21</f>
        <v>0.42265500000000089</v>
      </c>
      <c r="E19" s="67"/>
      <c r="F19" s="66">
        <f>1.5*F21</f>
        <v>0.38952606814986335</v>
      </c>
      <c r="G19" s="66">
        <f t="shared" ref="G19:I19" si="4">1.5*G21</f>
        <v>0.37298530244387945</v>
      </c>
      <c r="H19" s="66">
        <f t="shared" si="4"/>
        <v>0.36383563858743312</v>
      </c>
      <c r="I19" s="66">
        <f t="shared" si="4"/>
        <v>0.35883568129552196</v>
      </c>
      <c r="M19" s="57"/>
      <c r="N19" s="58"/>
      <c r="P19" s="58"/>
      <c r="Q19" s="58"/>
      <c r="R19" s="58"/>
    </row>
    <row r="20" spans="1:18" ht="15.75" x14ac:dyDescent="0.2">
      <c r="C20" s="24" t="s">
        <v>284</v>
      </c>
      <c r="D20" s="66">
        <f>MEDIAN(D5:D14)</f>
        <v>4.5449999999999999</v>
      </c>
      <c r="E20" s="67">
        <f>MEDIAN(E5:E14)</f>
        <v>0.19000000000000039</v>
      </c>
      <c r="F20" s="68">
        <f>AVERAGE(F5:F14)</f>
        <v>4.5490431250000007</v>
      </c>
      <c r="G20" s="68">
        <f t="shared" ref="G20:I20" si="5">AVERAGE(G5:G14)</f>
        <v>4.5536896321062681</v>
      </c>
      <c r="H20" s="68">
        <f t="shared" si="5"/>
        <v>4.5563380412077992</v>
      </c>
      <c r="I20" s="68">
        <f t="shared" si="5"/>
        <v>4.5578128003275467</v>
      </c>
      <c r="M20" s="57"/>
      <c r="N20" s="58"/>
      <c r="P20" s="58"/>
      <c r="Q20" s="58"/>
      <c r="R20" s="58"/>
    </row>
    <row r="21" spans="1:18" ht="15.75" x14ac:dyDescent="0.2">
      <c r="C21" s="24" t="s">
        <v>285</v>
      </c>
      <c r="D21" s="66">
        <f>1.483*MEDIAN(E5:E14)</f>
        <v>0.28177000000000058</v>
      </c>
      <c r="E21" s="67">
        <f>1.483*E20</f>
        <v>0.28177000000000058</v>
      </c>
      <c r="F21" s="68">
        <f>1.134*_xlfn.STDEV.S(F5:F14)</f>
        <v>0.25968404543324225</v>
      </c>
      <c r="G21" s="68">
        <f t="shared" ref="G21:I21" si="6">1.134*_xlfn.STDEV.S(G5:G14)</f>
        <v>0.24865686829591963</v>
      </c>
      <c r="H21" s="68">
        <f t="shared" si="6"/>
        <v>0.24255709239162207</v>
      </c>
      <c r="I21" s="68">
        <f t="shared" si="6"/>
        <v>0.23922378753034798</v>
      </c>
      <c r="M21" s="57"/>
      <c r="N21" s="58"/>
      <c r="P21" s="58"/>
      <c r="Q21" s="58"/>
      <c r="R21" s="58"/>
    </row>
    <row r="22" spans="1:18" x14ac:dyDescent="0.2">
      <c r="D22" s="39"/>
    </row>
    <row r="23" spans="1:18" x14ac:dyDescent="0.2">
      <c r="D23" s="39"/>
    </row>
    <row r="24" spans="1:18" x14ac:dyDescent="0.2">
      <c r="D24" s="39"/>
      <c r="E24" s="39" t="s">
        <v>277</v>
      </c>
      <c r="F24" s="39" t="s">
        <v>286</v>
      </c>
      <c r="G24" s="39" t="s">
        <v>279</v>
      </c>
      <c r="H24" s="39" t="s">
        <v>279</v>
      </c>
    </row>
    <row r="25" spans="1:18" x14ac:dyDescent="0.2">
      <c r="D25" s="39"/>
      <c r="E25" s="39">
        <f t="shared" ref="E25:I25" si="7">D39-D38</f>
        <v>4.260815</v>
      </c>
      <c r="F25" s="39"/>
      <c r="G25" s="39">
        <f t="shared" si="7"/>
        <v>4.2424534082207312</v>
      </c>
      <c r="H25" s="39">
        <f t="shared" si="7"/>
        <v>4.2424534082207312</v>
      </c>
      <c r="I25" s="39">
        <f t="shared" si="7"/>
        <v>4.2424534082207312</v>
      </c>
    </row>
    <row r="26" spans="1:18" x14ac:dyDescent="0.2">
      <c r="D26" s="39"/>
      <c r="E26" s="39">
        <f t="shared" ref="E26:I26" si="8">D39+D38</f>
        <v>4.8391849999999996</v>
      </c>
      <c r="F26" s="39"/>
      <c r="G26" s="39">
        <f t="shared" si="8"/>
        <v>4.7535465917792674</v>
      </c>
      <c r="H26" s="39">
        <f t="shared" si="8"/>
        <v>4.7535465917792674</v>
      </c>
      <c r="I26" s="39">
        <f t="shared" si="8"/>
        <v>4.7535465917792674</v>
      </c>
    </row>
    <row r="27" spans="1:18" ht="25.5" x14ac:dyDescent="0.2">
      <c r="A27" s="185" t="s">
        <v>413</v>
      </c>
      <c r="B27" s="186" t="s">
        <v>250</v>
      </c>
      <c r="C27" s="184" t="s">
        <v>406</v>
      </c>
      <c r="D27" s="65">
        <f>IF(VLOOKUP(A27,'HBV ĐL HC'!E:AA,14,0)&lt;&gt;"",VLOOKUP(A27,'HBV ĐL HC'!E:AA,14,0),"")</f>
        <v>4.55</v>
      </c>
      <c r="E27" s="45">
        <f>IF(VLOOKUP(A27,'HBV ĐL HC'!E:AA,14,0)&lt;&gt;"",ABS(D27-$D$39),"")</f>
        <v>0</v>
      </c>
      <c r="F27" s="45">
        <f>IF(VLOOKUP(A27,'HBV ĐL HC'!E:AA,10,0)&lt;&gt;0,IF(D27&lt;$E$25,$E$25,IF(D27&gt;$E$26,$E$26,D27)),"")</f>
        <v>4.55</v>
      </c>
      <c r="G27" s="45">
        <f>IF(VLOOKUP(A27,'HBV ĐL HC'!E:AA,10,0)&lt;&gt;0,IF(F27&lt;$G$25,$G$25,IF(F27&gt;$G$26,$G$26,F27)),"")</f>
        <v>4.55</v>
      </c>
      <c r="H27" s="45">
        <f>IF(VLOOKUP(A27,'HBV ĐL HC'!E:AA,10,0)&lt;&gt;0,IF(G27&lt;$H$25,$H$25,IF(G27&gt;$H$26,$H$26,G27)),"")</f>
        <v>4.55</v>
      </c>
      <c r="I27" s="45">
        <f>IF(VLOOKUP(A27,'HBV ĐL HC'!E:AA,10,0)&lt;&gt;0,IF(H27&lt;$I$25,$I$25,IF(H27&gt;$I$26,$I$26,H27)),"")</f>
        <v>4.55</v>
      </c>
    </row>
    <row r="28" spans="1:18" ht="25.5" x14ac:dyDescent="0.2">
      <c r="A28" s="185" t="s">
        <v>410</v>
      </c>
      <c r="B28" s="186" t="s">
        <v>366</v>
      </c>
      <c r="C28" s="184" t="s">
        <v>409</v>
      </c>
      <c r="D28" s="65">
        <f>IF(VLOOKUP(A28,'HBV ĐL HC'!E:AA,14,0)&lt;&gt;"",VLOOKUP(A28,'HBV ĐL HC'!E:AA,14,0),"")</f>
        <v>4.57</v>
      </c>
      <c r="E28" s="45">
        <f>IF(VLOOKUP(A28,'HBV ĐL HC'!E:AA,14,0)&lt;&gt;"",ABS(D28-$D$39),"")</f>
        <v>2.0000000000000462E-2</v>
      </c>
      <c r="F28" s="45">
        <f>IF(VLOOKUP(A28,'HBV ĐL HC'!E:AA,10,0)&lt;&gt;0,IF(D28&lt;$E$25,$E$25,IF(D28&gt;$E$26,$E$26,D28)),"")</f>
        <v>4.57</v>
      </c>
      <c r="G28" s="45">
        <f>IF(VLOOKUP(A28,'HBV ĐL HC'!E:AA,10,0)&lt;&gt;0,IF(F28&lt;$G$25,$G$25,IF(F28&gt;$G$26,$G$26,F28)),"")</f>
        <v>4.57</v>
      </c>
      <c r="H28" s="45">
        <f>IF(VLOOKUP(A28,'HBV ĐL HC'!E:AA,10,0)&lt;&gt;0,IF(G28&lt;$H$25,$H$25,IF(G28&gt;$H$26,$H$26,G28)),"")</f>
        <v>4.57</v>
      </c>
      <c r="I28" s="45">
        <f>IF(VLOOKUP(A28,'HBV ĐL HC'!E:AA,10,0)&lt;&gt;0,IF(H28&lt;$I$25,$I$25,IF(H28&gt;$I$26,$I$26,H28)),"")</f>
        <v>4.57</v>
      </c>
    </row>
    <row r="29" spans="1:18" x14ac:dyDescent="0.2">
      <c r="A29" s="188" t="s">
        <v>105</v>
      </c>
      <c r="B29" s="186" t="s">
        <v>106</v>
      </c>
      <c r="C29" s="184" t="s">
        <v>107</v>
      </c>
      <c r="D29" s="65">
        <f>IF(VLOOKUP(A29,'HBV ĐL HC'!E:AA,14,0)&lt;&gt;"",VLOOKUP(A29,'HBV ĐL HC'!E:AA,14,0),"")</f>
        <v>4.3099999999999996</v>
      </c>
      <c r="E29" s="45">
        <f>IF(VLOOKUP(A29,'HBV ĐL HC'!E:AA,14,0)&lt;&gt;"",ABS(D29-$D$39),"")</f>
        <v>0.24000000000000021</v>
      </c>
      <c r="F29" s="45">
        <f>IF(VLOOKUP(A29,'HBV ĐL HC'!E:AA,10,0)&lt;&gt;0,IF(D29&lt;$E$25,$E$25,IF(D29&gt;$E$26,$E$26,D29)),"")</f>
        <v>4.3099999999999996</v>
      </c>
      <c r="G29" s="45">
        <f>IF(VLOOKUP(A29,'HBV ĐL HC'!E:AA,10,0)&lt;&gt;0,IF(F29&lt;$G$25,$G$25,IF(F29&gt;$G$26,$G$26,F29)),"")</f>
        <v>4.3099999999999996</v>
      </c>
      <c r="H29" s="45">
        <f>IF(VLOOKUP(A29,'HBV ĐL HC'!E:AA,10,0)&lt;&gt;0,IF(G29&lt;$H$25,$H$25,IF(G29&gt;$H$26,$H$26,G29)),"")</f>
        <v>4.3099999999999996</v>
      </c>
      <c r="I29" s="45">
        <f>IF(VLOOKUP(A29,'HBV ĐL HC'!E:AA,10,0)&lt;&gt;0,IF(H29&lt;$I$25,$I$25,IF(H29&gt;$I$26,$I$26,H29)),"")</f>
        <v>4.3099999999999996</v>
      </c>
    </row>
    <row r="30" spans="1:18" x14ac:dyDescent="0.2">
      <c r="A30" s="188" t="s">
        <v>109</v>
      </c>
      <c r="B30" s="186" t="s">
        <v>110</v>
      </c>
      <c r="C30" s="184" t="s">
        <v>111</v>
      </c>
      <c r="D30" s="65" t="str">
        <f>IF(VLOOKUP(A30,'HBV ĐL HC'!E:AA,14,0)&lt;&gt;"",VLOOKUP(A30,'HBV ĐL HC'!E:AA,14,0),"")</f>
        <v/>
      </c>
      <c r="E30" s="45" t="str">
        <f>IF(VLOOKUP(A30,'HBV ĐL HC'!E:AA,14,0)&lt;&gt;"",ABS(D30-$D$39),"")</f>
        <v/>
      </c>
      <c r="F30" s="45" t="str">
        <f>IF(VLOOKUP(A30,'HBV ĐL HC'!E:AA,10,0)&lt;&gt;0,IF(D30&lt;$E$25,$E$25,IF(D30&gt;$E$26,$E$26,D30)),"")</f>
        <v/>
      </c>
      <c r="G30" s="45" t="str">
        <f>IF(VLOOKUP(A30,'HBV ĐL HC'!E:AA,10,0)&lt;&gt;0,IF(F30&lt;$G$25,$G$25,IF(F30&gt;$G$26,$G$26,F30)),"")</f>
        <v/>
      </c>
      <c r="H30" s="45" t="str">
        <f>IF(VLOOKUP(A30,'HBV ĐL HC'!E:AA,10,0)&lt;&gt;0,IF(G30&lt;$H$25,$H$25,IF(G30&gt;$H$26,$H$26,G30)),"")</f>
        <v/>
      </c>
      <c r="I30" s="45" t="str">
        <f>IF(VLOOKUP(A30,'HBV ĐL HC'!E:AA,10,0)&lt;&gt;0,IF(H30&lt;$I$25,$I$25,IF(H30&gt;$I$26,$I$26,H30)),"")</f>
        <v/>
      </c>
    </row>
    <row r="31" spans="1:18" x14ac:dyDescent="0.2">
      <c r="A31" s="193" t="s">
        <v>124</v>
      </c>
      <c r="B31" s="273" t="s">
        <v>125</v>
      </c>
      <c r="C31" s="273" t="s">
        <v>126</v>
      </c>
      <c r="D31" s="65">
        <f>IF(VLOOKUP(A31,'HBV ĐL HC'!E:AA,14,0)&lt;&gt;"",VLOOKUP(A31,'HBV ĐL HC'!E:AA,14,0),"")</f>
        <v>4.68</v>
      </c>
      <c r="E31" s="45">
        <f>IF(VLOOKUP(A31,'HBV ĐL HC'!E:AA,14,0)&lt;&gt;"",ABS(D31-$D$39),"")</f>
        <v>0.12999999999999989</v>
      </c>
      <c r="F31" s="45">
        <f>IF(VLOOKUP(A31,'HBV ĐL HC'!E:AA,10,0)&lt;&gt;0,IF(D31&lt;$E$25,$E$25,IF(D31&gt;$E$26,$E$26,D31)),"")</f>
        <v>4.68</v>
      </c>
      <c r="G31" s="45">
        <f>IF(VLOOKUP(A31,'HBV ĐL HC'!E:AA,10,0)&lt;&gt;0,IF(F31&lt;$G$25,$G$25,IF(F31&gt;$G$26,$G$26,F31)),"")</f>
        <v>4.68</v>
      </c>
      <c r="H31" s="45">
        <f>IF(VLOOKUP(A31,'HBV ĐL HC'!E:AA,10,0)&lt;&gt;0,IF(G31&lt;$H$25,$H$25,IF(G31&gt;$H$26,$H$26,G31)),"")</f>
        <v>4.68</v>
      </c>
      <c r="I31" s="45">
        <f>IF(VLOOKUP(A31,'HBV ĐL HC'!E:AA,10,0)&lt;&gt;0,IF(H31&lt;$I$25,$I$25,IF(H31&gt;$I$26,$I$26,H31)),"")</f>
        <v>4.68</v>
      </c>
    </row>
    <row r="32" spans="1:18" ht="25.5" x14ac:dyDescent="0.2">
      <c r="A32" s="185" t="s">
        <v>132</v>
      </c>
      <c r="B32" s="186" t="s">
        <v>133</v>
      </c>
      <c r="C32" s="186" t="s">
        <v>134</v>
      </c>
      <c r="D32" s="65">
        <f>IF(VLOOKUP(A32,'HBV ĐL HC'!E:AA,14,0)&lt;&gt;"",VLOOKUP(A32,'HBV ĐL HC'!E:AA,14,0),"")</f>
        <v>4.38</v>
      </c>
      <c r="E32" s="45">
        <f>IF(VLOOKUP(A32,'HBV ĐL HC'!E:AA,14,0)&lt;&gt;"",ABS(D32-$D$39),"")</f>
        <v>0.16999999999999993</v>
      </c>
      <c r="F32" s="45">
        <f>IF(VLOOKUP(A32,'HBV ĐL HC'!E:AA,10,0)&lt;&gt;0,IF(D32&lt;$E$25,$E$25,IF(D32&gt;$E$26,$E$26,D32)),"")</f>
        <v>4.38</v>
      </c>
      <c r="G32" s="45">
        <f>IF(VLOOKUP(A32,'HBV ĐL HC'!E:AA,10,0)&lt;&gt;0,IF(F32&lt;$G$25,$G$25,IF(F32&gt;$G$26,$G$26,F32)),"")</f>
        <v>4.38</v>
      </c>
      <c r="H32" s="45">
        <f>IF(VLOOKUP(A32,'HBV ĐL HC'!E:AA,10,0)&lt;&gt;0,IF(G32&lt;$H$25,$H$25,IF(G32&gt;$H$26,$H$26,G32)),"")</f>
        <v>4.38</v>
      </c>
      <c r="I32" s="45">
        <f>IF(VLOOKUP(A32,'HBV ĐL HC'!E:AA,10,0)&lt;&gt;0,IF(H32&lt;$I$25,$I$25,IF(H32&gt;$I$26,$I$26,H32)),"")</f>
        <v>4.38</v>
      </c>
    </row>
    <row r="33" spans="1:9" x14ac:dyDescent="0.2">
      <c r="A33" s="185" t="s">
        <v>457</v>
      </c>
      <c r="B33" s="186" t="s">
        <v>85</v>
      </c>
      <c r="C33" s="186" t="s">
        <v>86</v>
      </c>
      <c r="D33" s="65" t="str">
        <f>IF(VLOOKUP(A33,'HBV ĐL HC'!E:AA,14,0)&lt;&gt;"",VLOOKUP(A33,'HBV ĐL HC'!E:AA,14,0),"")</f>
        <v/>
      </c>
      <c r="E33" s="45" t="str">
        <f>IF(VLOOKUP(A33,'HBV ĐL HC'!E:AA,14,0)&lt;&gt;"",ABS(D33-$D$39),"")</f>
        <v/>
      </c>
      <c r="F33" s="45" t="str">
        <f>IF(VLOOKUP(A33,'HBV ĐL HC'!E:AA,10,0)&lt;&gt;0,IF(D33&lt;$E$25,$E$25,IF(D33&gt;$E$26,$E$26,D33)),"")</f>
        <v/>
      </c>
      <c r="G33" s="45" t="str">
        <f>IF(VLOOKUP(A33,'HBV ĐL HC'!E:AA,10,0)&lt;&gt;0,IF(F33&lt;$G$25,$G$25,IF(F33&gt;$G$26,$G$26,F33)),"")</f>
        <v/>
      </c>
      <c r="H33" s="45" t="str">
        <f>IF(VLOOKUP(A33,'HBV ĐL HC'!E:AA,10,0)&lt;&gt;0,IF(G33&lt;$H$25,$H$25,IF(G33&gt;$H$26,$H$26,G33)),"")</f>
        <v/>
      </c>
      <c r="I33" s="45" t="str">
        <f>IF(VLOOKUP(A33,'HBV ĐL HC'!E:AA,10,0)&lt;&gt;0,IF(H33&lt;$I$25,$I$25,IF(H33&gt;$I$26,$I$26,H33)),"")</f>
        <v/>
      </c>
    </row>
    <row r="34" spans="1:9" ht="15.75" x14ac:dyDescent="0.2">
      <c r="A34" s="69"/>
      <c r="B34" s="70"/>
      <c r="C34" s="71"/>
      <c r="D34" s="65"/>
      <c r="E34" s="42"/>
      <c r="F34" s="42"/>
      <c r="G34" s="42"/>
      <c r="H34" s="42"/>
      <c r="I34" s="42"/>
    </row>
    <row r="35" spans="1:9" x14ac:dyDescent="0.2">
      <c r="D35" s="39"/>
    </row>
    <row r="36" spans="1:9" ht="15.75" x14ac:dyDescent="0.25">
      <c r="C36" s="21" t="s">
        <v>282</v>
      </c>
      <c r="D36" s="66">
        <f>AVERAGE(D27:D33)</f>
        <v>4.4979999999999993</v>
      </c>
      <c r="E36" s="67"/>
      <c r="F36" s="66">
        <f>AVERAGE(F27:F33)</f>
        <v>4.4979999999999993</v>
      </c>
      <c r="G36" s="66">
        <f t="shared" ref="G36:I36" si="9">AVERAGE(G27:G33)</f>
        <v>4.4979999999999993</v>
      </c>
      <c r="H36" s="66">
        <f t="shared" si="9"/>
        <v>4.4979999999999993</v>
      </c>
      <c r="I36" s="66">
        <f t="shared" si="9"/>
        <v>4.4979999999999993</v>
      </c>
    </row>
    <row r="37" spans="1:9" ht="15.75" x14ac:dyDescent="0.2">
      <c r="C37" s="24" t="s">
        <v>243</v>
      </c>
      <c r="D37" s="66">
        <f>_xlfn.STDEV.S(D27:D33)</f>
        <v>0.15023315213360872</v>
      </c>
      <c r="E37" s="67"/>
      <c r="F37" s="66">
        <f>_xlfn.STDEV.S(F27:F33)</f>
        <v>0.15023315213360872</v>
      </c>
      <c r="G37" s="66">
        <f t="shared" ref="G37:I37" si="10">_xlfn.STDEV.S(G27:G33)</f>
        <v>0.15023315213360872</v>
      </c>
      <c r="H37" s="66">
        <f t="shared" si="10"/>
        <v>0.15023315213360872</v>
      </c>
      <c r="I37" s="66">
        <f t="shared" si="10"/>
        <v>0.15023315213360872</v>
      </c>
    </row>
    <row r="38" spans="1:9" ht="15.75" x14ac:dyDescent="0.2">
      <c r="C38" s="24" t="s">
        <v>283</v>
      </c>
      <c r="D38" s="67">
        <f>1.5*D40</f>
        <v>0.2891849999999998</v>
      </c>
      <c r="E38" s="67"/>
      <c r="F38" s="66">
        <f>1.5*F40</f>
        <v>0.25554659177926842</v>
      </c>
      <c r="G38" s="66">
        <f t="shared" ref="G38:I38" si="11">1.5*G40</f>
        <v>0.25554659177926842</v>
      </c>
      <c r="H38" s="66">
        <f t="shared" si="11"/>
        <v>0.25554659177926842</v>
      </c>
      <c r="I38" s="66">
        <f t="shared" si="11"/>
        <v>0.25554659177926842</v>
      </c>
    </row>
    <row r="39" spans="1:9" ht="15.75" x14ac:dyDescent="0.2">
      <c r="C39" s="24" t="s">
        <v>284</v>
      </c>
      <c r="D39" s="66">
        <f>MEDIAN(D27:D33)</f>
        <v>4.55</v>
      </c>
      <c r="E39" s="67">
        <f>MEDIAN(E27:E33)</f>
        <v>0.12999999999999989</v>
      </c>
      <c r="F39" s="68">
        <f>AVERAGE(F27:F33)</f>
        <v>4.4979999999999993</v>
      </c>
      <c r="G39" s="68">
        <f t="shared" ref="G39:I39" si="12">AVERAGE(G27:G33)</f>
        <v>4.4979999999999993</v>
      </c>
      <c r="H39" s="68">
        <f t="shared" si="12"/>
        <v>4.4979999999999993</v>
      </c>
      <c r="I39" s="68">
        <f t="shared" si="12"/>
        <v>4.4979999999999993</v>
      </c>
    </row>
    <row r="40" spans="1:9" ht="15.75" x14ac:dyDescent="0.2">
      <c r="C40" s="24" t="s">
        <v>285</v>
      </c>
      <c r="D40" s="66">
        <f>1.483*MEDIAN(E27:E33)</f>
        <v>0.19278999999999985</v>
      </c>
      <c r="E40" s="67">
        <f>1.483*E39</f>
        <v>0.19278999999999985</v>
      </c>
      <c r="F40" s="68">
        <f>1.134*_xlfn.STDEV.S(F27:F33)</f>
        <v>0.17036439451951227</v>
      </c>
      <c r="G40" s="68">
        <f t="shared" ref="G40:I40" si="13">1.134*_xlfn.STDEV.S(G27:G33)</f>
        <v>0.17036439451951227</v>
      </c>
      <c r="H40" s="68">
        <f t="shared" si="13"/>
        <v>0.17036439451951227</v>
      </c>
      <c r="I40" s="68">
        <f t="shared" si="13"/>
        <v>0.17036439451951227</v>
      </c>
    </row>
    <row r="43" spans="1:9" x14ac:dyDescent="0.2">
      <c r="D43" s="39"/>
      <c r="E43" s="39" t="s">
        <v>277</v>
      </c>
      <c r="F43" s="39" t="s">
        <v>286</v>
      </c>
      <c r="G43" s="39" t="s">
        <v>279</v>
      </c>
      <c r="H43" s="39" t="s">
        <v>279</v>
      </c>
    </row>
    <row r="44" spans="1:9" x14ac:dyDescent="0.2">
      <c r="D44" s="39"/>
      <c r="E44" s="39">
        <f t="shared" ref="E44" si="14">D56-D55</f>
        <v>3.928160000000001</v>
      </c>
      <c r="F44" s="39"/>
      <c r="G44" s="39">
        <f t="shared" ref="G44" si="15">F56-F55</f>
        <v>3.811523403148088</v>
      </c>
      <c r="H44" s="39">
        <f t="shared" ref="H44:I44" si="16">G56-G55</f>
        <v>3.811523403148088</v>
      </c>
      <c r="I44" s="39">
        <f t="shared" si="16"/>
        <v>3.811523403148088</v>
      </c>
    </row>
    <row r="45" spans="1:9" x14ac:dyDescent="0.2">
      <c r="D45" s="39"/>
      <c r="E45" s="39">
        <f t="shared" ref="E45" si="17">D56+D55</f>
        <v>5.3518399999999984</v>
      </c>
      <c r="F45" s="39"/>
      <c r="G45" s="39">
        <f t="shared" ref="G45" si="18">F56+F55</f>
        <v>5.4252125968519103</v>
      </c>
      <c r="H45" s="39">
        <f t="shared" ref="H45:I45" si="19">G56+G55</f>
        <v>5.4252125968519103</v>
      </c>
      <c r="I45" s="39">
        <f t="shared" si="19"/>
        <v>5.4252125968519103</v>
      </c>
    </row>
    <row r="46" spans="1:9" ht="25.5" x14ac:dyDescent="0.2">
      <c r="A46" s="135" t="s">
        <v>138</v>
      </c>
      <c r="B46" s="136" t="s">
        <v>139</v>
      </c>
      <c r="C46" s="134" t="s">
        <v>140</v>
      </c>
      <c r="D46" s="65">
        <f>IF(VLOOKUP(A46,'HBV ĐL HC'!E:AA,14,0)&lt;&gt;"",VLOOKUP(A46,'HBV ĐL HC'!E:AA,14,0),"")</f>
        <v>5.97</v>
      </c>
      <c r="E46" s="45">
        <f>IF(VLOOKUP(A46,'HBV ĐL HC'!E:AA,14,0)&lt;&gt;"",ABS(D46-$D$56),"")</f>
        <v>1.33</v>
      </c>
      <c r="F46" s="45">
        <f>IF(VLOOKUP(A46,'HBV ĐL HC'!E:AA,10,0)&lt;&gt;0,IF(D46&lt;$E$44,$E$44,IF(D46&gt;$E$45,$E$45,D46)),"")</f>
        <v>5.3518399999999984</v>
      </c>
      <c r="G46" s="45">
        <f>IF(VLOOKUP(A46,'HBV ĐL HC'!E:AA,10,0)&lt;&gt;0,IF(F46&lt;$G$44,$G$44,IF(F46&gt;$G$45,$G$45,F46)),"")</f>
        <v>5.3518399999999984</v>
      </c>
      <c r="H46" s="45">
        <f>IF(VLOOKUP(A46,'HBV ĐL HC'!E:AA,10,0)&lt;&gt;0,IF(G46&lt;$H$44,$H$44,IF(G46&gt;$H$45,$H$45,G46)),"")</f>
        <v>5.3518399999999984</v>
      </c>
      <c r="I46" s="45">
        <f>IF(VLOOKUP(A46,'HBV ĐL HC'!E:AA,10,0)&lt;&gt;0,IF(H46&lt;$I$44,$I$44,IF(H46&gt;$I$45,$I$45,H46)),"")</f>
        <v>5.3518399999999984</v>
      </c>
    </row>
    <row r="47" spans="1:9" ht="25.5" x14ac:dyDescent="0.2">
      <c r="A47" s="137" t="s">
        <v>147</v>
      </c>
      <c r="B47" s="138" t="s">
        <v>148</v>
      </c>
      <c r="C47" s="138" t="s">
        <v>149</v>
      </c>
      <c r="D47" s="65">
        <f>IF(VLOOKUP(A47,'HBV ĐL HC'!E:AA,14,0)&lt;&gt;"",VLOOKUP(A47,'HBV ĐL HC'!E:AA,14,0),"")</f>
        <v>4.6399999999999997</v>
      </c>
      <c r="E47" s="45">
        <f>IF(VLOOKUP(A47,'HBV ĐL HC'!E:AA,14,0)&lt;&gt;"",ABS(D47-$D$56),"")</f>
        <v>0</v>
      </c>
      <c r="F47" s="45">
        <f>IF(VLOOKUP(A47,'HBV ĐL HC'!E:AA,10,0)&lt;&gt;0,IF(D47&lt;$E$44,$E$44,IF(D47&gt;$E$45,$E$45,D47)),"")</f>
        <v>4.6399999999999997</v>
      </c>
      <c r="G47" s="45">
        <f>IF(VLOOKUP(A47,'HBV ĐL HC'!E:AA,10,0)&lt;&gt;0,IF(F47&lt;$G$44,$G$44,IF(F47&gt;$G$45,$G$45,F47)),"")</f>
        <v>4.6399999999999997</v>
      </c>
      <c r="H47" s="45">
        <f>IF(VLOOKUP(A47,'HBV ĐL HC'!E:AA,10,0)&lt;&gt;0,IF(G47&lt;$H$44,$H$44,IF(G47&gt;$H$45,$H$45,G47)),"")</f>
        <v>4.6399999999999997</v>
      </c>
      <c r="I47" s="45">
        <f>IF(VLOOKUP(A47,'HBV ĐL HC'!E:AA,10,0)&lt;&gt;0,IF(H47&lt;$I$44,$I$44,IF(H47&gt;$I$45,$I$45,H47)),"")</f>
        <v>4.6399999999999997</v>
      </c>
    </row>
    <row r="48" spans="1:9" ht="25.5" x14ac:dyDescent="0.2">
      <c r="A48" s="135" t="s">
        <v>92</v>
      </c>
      <c r="B48" s="136" t="s">
        <v>93</v>
      </c>
      <c r="C48" s="134" t="s">
        <v>94</v>
      </c>
      <c r="D48" s="65">
        <f>IF(VLOOKUP(A48,'HBV ĐL HC'!E:AA,14,0)&lt;&gt;"",VLOOKUP(A48,'HBV ĐL HC'!E:AA,14,0),"")</f>
        <v>4.0999999999999996</v>
      </c>
      <c r="E48" s="45">
        <f>IF(VLOOKUP(A48,'HBV ĐL HC'!E:AA,14,0)&lt;&gt;"",ABS(D48-$D$56),"")</f>
        <v>0.54</v>
      </c>
      <c r="F48" s="45">
        <f>IF(VLOOKUP(A48,'HBV ĐL HC'!E:AA,10,0)&lt;&gt;0,IF(D48&lt;$E$44,$E$44,IF(D48&gt;$E$45,$E$45,D48)),"")</f>
        <v>4.0999999999999996</v>
      </c>
      <c r="G48" s="45">
        <f>IF(VLOOKUP(A48,'HBV ĐL HC'!E:AA,10,0)&lt;&gt;0,IF(F48&lt;$G$44,$G$44,IF(F48&gt;$G$45,$G$45,F48)),"")</f>
        <v>4.0999999999999996</v>
      </c>
      <c r="H48" s="45">
        <f>IF(VLOOKUP(A48,'HBV ĐL HC'!E:AA,10,0)&lt;&gt;0,IF(G48&lt;$H$44,$H$44,IF(G48&gt;$H$45,$H$45,G48)),"")</f>
        <v>4.0999999999999996</v>
      </c>
      <c r="I48" s="45">
        <f>IF(VLOOKUP(A48,'HBV ĐL HC'!E:AA,10,0)&lt;&gt;0,IF(H48&lt;$I$44,$I$44,IF(H48&gt;$I$45,$I$45,H48)),"")</f>
        <v>4.0999999999999996</v>
      </c>
    </row>
    <row r="49" spans="1:9" ht="38.25" x14ac:dyDescent="0.2">
      <c r="A49" s="137" t="s">
        <v>403</v>
      </c>
      <c r="B49" s="136" t="s">
        <v>364</v>
      </c>
      <c r="C49" s="134" t="s">
        <v>402</v>
      </c>
      <c r="D49" s="65">
        <f>IF(VLOOKUP(A49,'HBV ĐL HC'!E:AA,14,0)&lt;&gt;"",VLOOKUP(A49,'HBV ĐL HC'!E:AA,14,0),"")</f>
        <v>4.32</v>
      </c>
      <c r="E49" s="45">
        <f>IF(VLOOKUP(A49,'HBV ĐL HC'!E:AA,14,0)&lt;&gt;"",ABS(D49-$D$56),"")</f>
        <v>0.3199999999999994</v>
      </c>
      <c r="F49" s="45">
        <f>IF(VLOOKUP(A49,'HBV ĐL HC'!E:AA,10,0)&lt;&gt;0,IF(D49&lt;$E$44,$E$44,IF(D49&gt;$E$45,$E$45,D49)),"")</f>
        <v>4.32</v>
      </c>
      <c r="G49" s="45">
        <f>IF(VLOOKUP(A49,'HBV ĐL HC'!E:AA,10,0)&lt;&gt;0,IF(F49&lt;$G$44,$G$44,IF(F49&gt;$G$45,$G$45,F49)),"")</f>
        <v>4.32</v>
      </c>
      <c r="H49" s="45">
        <f>IF(VLOOKUP(A49,'HBV ĐL HC'!E:AA,10,0)&lt;&gt;0,IF(G49&lt;$H$44,$H$44,IF(G49&gt;$H$45,$H$45,G49)),"")</f>
        <v>4.32</v>
      </c>
      <c r="I49" s="45">
        <f>IF(VLOOKUP(A49,'HBV ĐL HC'!E:AA,10,0)&lt;&gt;0,IF(H49&lt;$I$44,$I$44,IF(H49&gt;$I$45,$I$45,H49)),"")</f>
        <v>4.32</v>
      </c>
    </row>
    <row r="50" spans="1:9" ht="25.5" x14ac:dyDescent="0.2">
      <c r="A50" s="135" t="s">
        <v>209</v>
      </c>
      <c r="B50" s="136" t="s">
        <v>210</v>
      </c>
      <c r="C50" s="134" t="s">
        <v>211</v>
      </c>
      <c r="D50" s="65">
        <f>IF(VLOOKUP(A50,'HBV ĐL HC'!E:AA,14,0)&lt;&gt;"",VLOOKUP(A50,'HBV ĐL HC'!E:AA,14,0),"")</f>
        <v>4.68</v>
      </c>
      <c r="E50" s="45">
        <f>IF(VLOOKUP(A50,'HBV ĐL HC'!E:AA,14,0)&lt;&gt;"",ABS(D50-$D$56),"")</f>
        <v>4.0000000000000036E-2</v>
      </c>
      <c r="F50" s="45">
        <f>IF(VLOOKUP(A50,'HBV ĐL HC'!E:AA,10,0)&lt;&gt;0,IF(D50&lt;$E$44,$E$44,IF(D50&gt;$E$45,$E$45,D50)),"")</f>
        <v>4.68</v>
      </c>
      <c r="G50" s="45">
        <f>IF(VLOOKUP(A50,'HBV ĐL HC'!E:AA,10,0)&lt;&gt;0,IF(F50&lt;$G$44,$G$44,IF(F50&gt;$G$45,$G$45,F50)),"")</f>
        <v>4.68</v>
      </c>
      <c r="H50" s="45">
        <f>IF(VLOOKUP(A50,'HBV ĐL HC'!E:AA,10,0)&lt;&gt;0,IF(G50&lt;$H$44,$H$44,IF(G50&gt;$H$45,$H$45,G50)),"")</f>
        <v>4.68</v>
      </c>
      <c r="I50" s="45">
        <f>IF(VLOOKUP(A50,'HBV ĐL HC'!E:AA,10,0)&lt;&gt;0,IF(H50&lt;$I$44,$I$44,IF(H50&gt;$I$45,$I$45,H50)),"")</f>
        <v>4.68</v>
      </c>
    </row>
    <row r="51" spans="1:9" x14ac:dyDescent="0.2">
      <c r="C51" s="38"/>
      <c r="D51" s="65"/>
      <c r="E51" s="42"/>
      <c r="F51" s="42"/>
      <c r="G51" s="42"/>
      <c r="H51" s="42"/>
    </row>
    <row r="52" spans="1:9" x14ac:dyDescent="0.2">
      <c r="D52" s="39"/>
      <c r="E52" s="39"/>
      <c r="F52" s="42"/>
      <c r="G52" s="42"/>
      <c r="H52" s="42"/>
    </row>
    <row r="53" spans="1:9" x14ac:dyDescent="0.2">
      <c r="C53" s="144" t="s">
        <v>282</v>
      </c>
      <c r="D53" s="145">
        <f>AVERAGE(D46:D50)</f>
        <v>4.742</v>
      </c>
      <c r="E53" s="146"/>
      <c r="F53" s="145">
        <f>AVERAGE(F46:F50)</f>
        <v>4.6183679999999994</v>
      </c>
      <c r="G53" s="145">
        <f t="shared" ref="G53:I53" si="20">AVERAGE(G46:G50)</f>
        <v>4.6183679999999994</v>
      </c>
      <c r="H53" s="145">
        <f t="shared" si="20"/>
        <v>4.6183679999999994</v>
      </c>
      <c r="I53" s="145">
        <f t="shared" si="20"/>
        <v>4.6183679999999994</v>
      </c>
    </row>
    <row r="54" spans="1:9" x14ac:dyDescent="0.2">
      <c r="C54" s="147" t="s">
        <v>243</v>
      </c>
      <c r="D54" s="148">
        <f>_xlfn.STDEV.S(D46:D50)</f>
        <v>0.72671865257470458</v>
      </c>
      <c r="E54" s="146"/>
      <c r="F54" s="148">
        <f>_xlfn.STDEV.S(F46:F50)</f>
        <v>0.47433544788472159</v>
      </c>
      <c r="G54" s="148">
        <f>_xlfn.STDEV.S(G46:G50)</f>
        <v>0.47433544788472159</v>
      </c>
      <c r="H54" s="148">
        <f>_xlfn.STDEV.S(H46:H50)</f>
        <v>0.47433544788472159</v>
      </c>
      <c r="I54" s="148">
        <f>_xlfn.STDEV.S(I46:I50)</f>
        <v>0.47433544788472159</v>
      </c>
    </row>
    <row r="55" spans="1:9" x14ac:dyDescent="0.2">
      <c r="C55" s="147" t="s">
        <v>283</v>
      </c>
      <c r="D55" s="148">
        <f>1.5*D57</f>
        <v>0.7118399999999987</v>
      </c>
      <c r="E55" s="146"/>
      <c r="F55" s="148">
        <f>1.5*F57</f>
        <v>0.80684459685191134</v>
      </c>
      <c r="G55" s="148">
        <f t="shared" ref="G55:I55" si="21">1.5*G57</f>
        <v>0.80684459685191134</v>
      </c>
      <c r="H55" s="148">
        <f>1.5*H57</f>
        <v>0.80684459685191134</v>
      </c>
      <c r="I55" s="148">
        <f t="shared" si="21"/>
        <v>0.80684459685191134</v>
      </c>
    </row>
    <row r="56" spans="1:9" x14ac:dyDescent="0.2">
      <c r="C56" s="147" t="s">
        <v>284</v>
      </c>
      <c r="D56" s="148">
        <f>MEDIAN(D46:D50)</f>
        <v>4.6399999999999997</v>
      </c>
      <c r="E56" s="146">
        <f>MEDIAN(E46:E50)</f>
        <v>0.3199999999999994</v>
      </c>
      <c r="F56" s="149">
        <f>AVERAGE(F46:F50)</f>
        <v>4.6183679999999994</v>
      </c>
      <c r="G56" s="149">
        <f t="shared" ref="G56:I56" si="22">AVERAGE(G46:G50)</f>
        <v>4.6183679999999994</v>
      </c>
      <c r="H56" s="149">
        <f t="shared" si="22"/>
        <v>4.6183679999999994</v>
      </c>
      <c r="I56" s="149">
        <f t="shared" si="22"/>
        <v>4.6183679999999994</v>
      </c>
    </row>
    <row r="57" spans="1:9" ht="15.75" x14ac:dyDescent="0.2">
      <c r="C57" s="147" t="s">
        <v>285</v>
      </c>
      <c r="D57" s="148">
        <f>1.483*MEDIAN(E46:E50)</f>
        <v>0.47455999999999915</v>
      </c>
      <c r="E57" s="67">
        <f>1.483*E56</f>
        <v>0.47455999999999915</v>
      </c>
      <c r="F57" s="149">
        <f>1.134*STDEV(F46:F50)</f>
        <v>0.53789639790127419</v>
      </c>
      <c r="G57" s="149">
        <f t="shared" ref="G57:I57" si="23">1.134*STDEV(G46:G50)</f>
        <v>0.53789639790127419</v>
      </c>
      <c r="H57" s="149">
        <f t="shared" si="23"/>
        <v>0.53789639790127419</v>
      </c>
      <c r="I57" s="149">
        <f t="shared" si="23"/>
        <v>0.53789639790127419</v>
      </c>
    </row>
    <row r="58" spans="1:9" x14ac:dyDescent="0.2">
      <c r="C58" s="57"/>
    </row>
    <row r="60" spans="1:9" x14ac:dyDescent="0.2">
      <c r="D60" s="39"/>
      <c r="E60" s="39" t="s">
        <v>277</v>
      </c>
      <c r="F60" s="39" t="s">
        <v>286</v>
      </c>
      <c r="G60" s="39" t="s">
        <v>279</v>
      </c>
      <c r="H60" s="39" t="s">
        <v>279</v>
      </c>
    </row>
    <row r="61" spans="1:9" x14ac:dyDescent="0.2">
      <c r="D61" s="39"/>
      <c r="E61" s="39">
        <f t="shared" ref="E61" si="24">D73-D72</f>
        <v>3.492855</v>
      </c>
      <c r="F61" s="39"/>
      <c r="G61" s="39">
        <f t="shared" ref="G61" si="25">F73-F72</f>
        <v>3.5637963689710856</v>
      </c>
      <c r="H61" s="39">
        <f t="shared" ref="H61" si="26">G73-G72</f>
        <v>3.5637963689710856</v>
      </c>
      <c r="I61" s="39">
        <f t="shared" ref="I61" si="27">H73-H72</f>
        <v>3.5637963689710856</v>
      </c>
    </row>
    <row r="62" spans="1:9" x14ac:dyDescent="0.2">
      <c r="D62" s="39"/>
      <c r="E62" s="39">
        <f t="shared" ref="E62" si="28">D73+D72</f>
        <v>4.4271450000000003</v>
      </c>
      <c r="F62" s="39"/>
      <c r="G62" s="39">
        <f t="shared" ref="G62" si="29">F73+F72</f>
        <v>4.5390616310289156</v>
      </c>
      <c r="H62" s="39">
        <f t="shared" ref="H62" si="30">G73+G72</f>
        <v>4.5390616310289156</v>
      </c>
      <c r="I62" s="39">
        <f t="shared" ref="I62" si="31">H73+H72</f>
        <v>4.5390616310289156</v>
      </c>
    </row>
    <row r="63" spans="1:9" ht="25.5" x14ac:dyDescent="0.2">
      <c r="A63" s="208" t="s">
        <v>196</v>
      </c>
      <c r="B63" s="209" t="s">
        <v>197</v>
      </c>
      <c r="C63" s="207" t="s">
        <v>198</v>
      </c>
      <c r="D63" s="65">
        <f>IF(VLOOKUP(A63,'HBV ĐL HC'!E:AA,14,0)&lt;&gt;"",VLOOKUP(A63,'HBV ĐL HC'!E:AA,14,0),"")</f>
        <v>3.96</v>
      </c>
      <c r="E63" s="45">
        <f>IF(VLOOKUP(A63,'HBV ĐL HC'!E:AA,14,0)&lt;&gt;"",ABS(D63-$D$73),"")</f>
        <v>0</v>
      </c>
      <c r="F63" s="45">
        <f>IF(VLOOKUP(A63,'HBV ĐL HC'!E:AA,10,0)&lt;&gt;0,IF(D63&lt;$E$61,$E$61,IF(D63&gt;$E$62,$E$62,D63)),"")</f>
        <v>3.96</v>
      </c>
      <c r="G63" s="45">
        <f>IF(VLOOKUP(A63,'HBV ĐL HC'!E:AA,10,0)&lt;&gt;0,IF(F63&lt;$G$61,$G$61,IF(F63&gt;$G$62,$G$62,F63)),"")</f>
        <v>3.96</v>
      </c>
      <c r="H63" s="45">
        <f>IF(VLOOKUP(A63,'HBV ĐL HC'!E:AA,10,0)&lt;&gt;0,IF(G63&lt;$H$61,$H$61,IF(G63&gt;$H$62,$H$62,G63)),"")</f>
        <v>3.96</v>
      </c>
      <c r="I63" s="45">
        <f>IF(VLOOKUP(A63,'HBV ĐL HC'!E:AA,10,0)&lt;&gt;0,IF(H63&lt;$I$61,$I$61,IF(H63&gt;$I$62,$I$62,H63)),"")</f>
        <v>3.96</v>
      </c>
    </row>
    <row r="64" spans="1:9" ht="25.5" x14ac:dyDescent="0.2">
      <c r="A64" s="213" t="s">
        <v>412</v>
      </c>
      <c r="B64" s="209" t="s">
        <v>367</v>
      </c>
      <c r="C64" s="207" t="s">
        <v>411</v>
      </c>
      <c r="D64" s="65">
        <f>IF(VLOOKUP(A64,'HBV ĐL HC'!E:AA,14,0)&lt;&gt;"",VLOOKUP(A64,'HBV ĐL HC'!E:AA,14,0),"")</f>
        <v>3.85</v>
      </c>
      <c r="E64" s="45">
        <f>IF(VLOOKUP(A64,'HBV ĐL HC'!E:AA,14,0)&lt;&gt;"",ABS(D64-$D$73),"")</f>
        <v>0.10999999999999988</v>
      </c>
      <c r="F64" s="45">
        <f>IF(VLOOKUP(A64,'HBV ĐL HC'!E:AA,10,0)&lt;&gt;0,IF(D64&lt;$E$61,$E$61,IF(D64&gt;$E$62,$E$62,D64)),"")</f>
        <v>3.85</v>
      </c>
      <c r="G64" s="45">
        <f>IF(VLOOKUP(A64,'HBV ĐL HC'!E:AA,10,0)&lt;&gt;0,IF(F64&lt;$G$61,$G$61,IF(F64&gt;$G$62,$G$62,F64)),"")</f>
        <v>3.85</v>
      </c>
      <c r="H64" s="45">
        <f>IF(VLOOKUP(A64,'HBV ĐL HC'!E:AA,10,0)&lt;&gt;0,IF(G64&lt;$H$61,$H$61,IF(G64&gt;$H$62,$H$62,G64)),"")</f>
        <v>3.85</v>
      </c>
      <c r="I64" s="45">
        <f>IF(VLOOKUP(A64,'HBV ĐL HC'!E:AA,10,0)&lt;&gt;0,IF(H64&lt;$I$61,$I$61,IF(H64&gt;$I$62,$I$62,H64)),"")</f>
        <v>3.85</v>
      </c>
    </row>
    <row r="65" spans="1:9" ht="25.5" x14ac:dyDescent="0.2">
      <c r="A65" s="213" t="s">
        <v>118</v>
      </c>
      <c r="B65" s="83" t="s">
        <v>119</v>
      </c>
      <c r="C65" s="83" t="s">
        <v>120</v>
      </c>
      <c r="D65" s="65">
        <f>IF(VLOOKUP(A65,'HBV ĐL HC'!E:AA,14,0)&lt;&gt;"",VLOOKUP(A65,'HBV ĐL HC'!E:AA,14,0),"")</f>
        <v>4.2699999999999996</v>
      </c>
      <c r="E65" s="45">
        <f>IF(VLOOKUP(A65,'HBV ĐL HC'!E:AA,14,0)&lt;&gt;"",ABS(D65-$D$73),"")</f>
        <v>0.30999999999999961</v>
      </c>
      <c r="F65" s="45">
        <f>IF(VLOOKUP(A65,'HBV ĐL HC'!E:AA,10,0)&lt;&gt;0,IF(D65&lt;$E$61,$E$61,IF(D65&gt;$E$62,$E$62,D65)),"")</f>
        <v>4.2699999999999996</v>
      </c>
      <c r="G65" s="45">
        <f>IF(VLOOKUP(A65,'HBV ĐL HC'!E:AA,10,0)&lt;&gt;0,IF(F65&lt;$G$61,$G$61,IF(F65&gt;$G$62,$G$62,F65)),"")</f>
        <v>4.2699999999999996</v>
      </c>
      <c r="H65" s="45">
        <f>IF(VLOOKUP(A65,'HBV ĐL HC'!E:AA,10,0)&lt;&gt;0,IF(G65&lt;$H$61,$H$61,IF(G65&gt;$H$62,$H$62,G65)),"")</f>
        <v>4.2699999999999996</v>
      </c>
      <c r="I65" s="45">
        <f>IF(VLOOKUP(A65,'HBV ĐL HC'!E:AA,10,0)&lt;&gt;0,IF(H65&lt;$I$61,$I$61,IF(H65&gt;$I$62,$I$62,H65)),"")</f>
        <v>4.2699999999999996</v>
      </c>
    </row>
    <row r="66" spans="1:9" x14ac:dyDescent="0.2">
      <c r="A66" s="266" t="s">
        <v>331</v>
      </c>
      <c r="B66" s="215" t="s">
        <v>325</v>
      </c>
      <c r="C66" s="82" t="s">
        <v>332</v>
      </c>
      <c r="D66" s="65">
        <f>IF(VLOOKUP(A66,'HBV ĐL HC'!E:AA,14,0)&lt;&gt;"",VLOOKUP(A66,'HBV ĐL HC'!E:AA,14,0),"")</f>
        <v>3.75</v>
      </c>
      <c r="E66" s="45">
        <f>IF(VLOOKUP(A66,'HBV ĐL HC'!E:AA,14,0)&lt;&gt;"",ABS(D66-$D$73),"")</f>
        <v>0.20999999999999996</v>
      </c>
      <c r="F66" s="45">
        <f>IF(VLOOKUP(A66,'HBV ĐL HC'!E:AA,10,0)&lt;&gt;0,IF(D66&lt;$E$61,$E$61,IF(D66&gt;$E$62,$E$62,D66)),"")</f>
        <v>3.75</v>
      </c>
      <c r="G66" s="45">
        <f>IF(VLOOKUP(A66,'HBV ĐL HC'!E:AA,10,0)&lt;&gt;0,IF(F66&lt;$G$61,$G$61,IF(F66&gt;$G$62,$G$62,F66)),"")</f>
        <v>3.75</v>
      </c>
      <c r="H66" s="45">
        <f>IF(VLOOKUP(A66,'HBV ĐL HC'!E:AA,10,0)&lt;&gt;0,IF(G66&lt;$H$61,$H$61,IF(G66&gt;$H$62,$H$62,G66)),"")</f>
        <v>3.75</v>
      </c>
      <c r="I66" s="45">
        <f>IF(VLOOKUP(A66,'HBV ĐL HC'!E:AA,10,0)&lt;&gt;0,IF(H66&lt;$I$61,$I$61,IF(H66&gt;$I$62,$I$62,H66)),"")</f>
        <v>3.75</v>
      </c>
    </row>
    <row r="67" spans="1:9" ht="25.5" x14ac:dyDescent="0.2">
      <c r="A67" s="266" t="s">
        <v>408</v>
      </c>
      <c r="B67" s="215" t="s">
        <v>365</v>
      </c>
      <c r="C67" s="82" t="s">
        <v>407</v>
      </c>
      <c r="D67" s="65">
        <f>IF(VLOOKUP(A67,'HBV ĐL HC'!E:AA,14,0)&lt;&gt;"",VLOOKUP(A67,'HBV ĐL HC'!E:AA,14,0),"")</f>
        <v>4.51</v>
      </c>
      <c r="E67" s="45">
        <f>IF(VLOOKUP(A67,'HBV ĐL HC'!E:AA,14,0)&lt;&gt;"",ABS(D67-$D$73),"")</f>
        <v>0.54999999999999982</v>
      </c>
      <c r="F67" s="45">
        <f>IF(VLOOKUP(A67,'HBV ĐL HC'!E:AA,10,0)&lt;&gt;0,IF(D67&lt;$E$61,$E$61,IF(D67&gt;$E$62,$E$62,D67)),"")</f>
        <v>4.4271450000000003</v>
      </c>
      <c r="G67" s="45">
        <f>IF(VLOOKUP(A67,'HBV ĐL HC'!E:AA,10,0)&lt;&gt;0,IF(F67&lt;$G$61,$G$61,IF(F67&gt;$G$62,$G$62,F67)),"")</f>
        <v>4.4271450000000003</v>
      </c>
      <c r="H67" s="45">
        <f>IF(VLOOKUP(A67,'HBV ĐL HC'!E:AA,10,0)&lt;&gt;0,IF(G67&lt;$H$61,$H$61,IF(G67&gt;$H$62,$H$62,G67)),"")</f>
        <v>4.4271450000000003</v>
      </c>
      <c r="I67" s="45">
        <f>IF(VLOOKUP(A67,'HBV ĐL HC'!E:AA,10,0)&lt;&gt;0,IF(H67&lt;$I$61,$I$61,IF(H67&gt;$I$62,$I$62,H67)),"")</f>
        <v>4.4271450000000003</v>
      </c>
    </row>
    <row r="68" spans="1:9" x14ac:dyDescent="0.2">
      <c r="C68" s="38"/>
      <c r="D68" s="65"/>
      <c r="E68" s="42"/>
      <c r="F68" s="42"/>
      <c r="G68" s="42"/>
      <c r="H68" s="42"/>
    </row>
    <row r="69" spans="1:9" x14ac:dyDescent="0.2">
      <c r="D69" s="39"/>
      <c r="E69" s="39"/>
      <c r="F69" s="42"/>
      <c r="G69" s="42"/>
      <c r="H69" s="42"/>
    </row>
    <row r="70" spans="1:9" x14ac:dyDescent="0.2">
      <c r="C70" s="144" t="s">
        <v>282</v>
      </c>
      <c r="D70" s="145">
        <f>AVERAGE(D63:D67)</f>
        <v>4.0679999999999996</v>
      </c>
      <c r="E70" s="146"/>
      <c r="F70" s="145">
        <f>AVERAGE(F63:F67)</f>
        <v>4.0514290000000006</v>
      </c>
      <c r="G70" s="145">
        <f t="shared" ref="G70:I70" si="32">AVERAGE(G63:G67)</f>
        <v>4.0514290000000006</v>
      </c>
      <c r="H70" s="145">
        <f t="shared" si="32"/>
        <v>4.0514290000000006</v>
      </c>
      <c r="I70" s="145">
        <f t="shared" si="32"/>
        <v>4.0514290000000006</v>
      </c>
    </row>
    <row r="71" spans="1:9" x14ac:dyDescent="0.2">
      <c r="C71" s="147" t="s">
        <v>243</v>
      </c>
      <c r="D71" s="148">
        <f>_xlfn.STDEV.S(D63:D67)</f>
        <v>0.31483328921827802</v>
      </c>
      <c r="E71" s="146"/>
      <c r="F71" s="148">
        <f>_xlfn.STDEV.S(F63:F67)</f>
        <v>0.28667409231564683</v>
      </c>
      <c r="G71" s="148">
        <f>_xlfn.STDEV.S(G63:G67)</f>
        <v>0.28667409231564683</v>
      </c>
      <c r="H71" s="148">
        <f>_xlfn.STDEV.S(H63:H67)</f>
        <v>0.28667409231564683</v>
      </c>
      <c r="I71" s="148">
        <f>_xlfn.STDEV.S(I63:I67)</f>
        <v>0.28667409231564683</v>
      </c>
    </row>
    <row r="72" spans="1:9" x14ac:dyDescent="0.2">
      <c r="C72" s="147" t="s">
        <v>283</v>
      </c>
      <c r="D72" s="148">
        <f t="shared" ref="D72" si="33">1.5*D74</f>
        <v>0.46714499999999998</v>
      </c>
      <c r="E72" s="146"/>
      <c r="F72" s="148">
        <f>1.5*F74</f>
        <v>0.48763263102891519</v>
      </c>
      <c r="G72" s="148">
        <f t="shared" ref="G72" si="34">1.5*G74</f>
        <v>0.48763263102891519</v>
      </c>
      <c r="H72" s="148">
        <f>1.5*H74</f>
        <v>0.48763263102891519</v>
      </c>
      <c r="I72" s="148">
        <f t="shared" ref="I72" si="35">1.5*I74</f>
        <v>0.48763263102891519</v>
      </c>
    </row>
    <row r="73" spans="1:9" x14ac:dyDescent="0.2">
      <c r="C73" s="147" t="s">
        <v>284</v>
      </c>
      <c r="D73" s="148">
        <f>MEDIAN(D63:D67)</f>
        <v>3.96</v>
      </c>
      <c r="E73" s="146">
        <f>MEDIAN(E63:E67)</f>
        <v>0.20999999999999996</v>
      </c>
      <c r="F73" s="149">
        <f>AVERAGE(F63:F67)</f>
        <v>4.0514290000000006</v>
      </c>
      <c r="G73" s="149">
        <f t="shared" ref="G73:I73" si="36">AVERAGE(G63:G67)</f>
        <v>4.0514290000000006</v>
      </c>
      <c r="H73" s="149">
        <f t="shared" si="36"/>
        <v>4.0514290000000006</v>
      </c>
      <c r="I73" s="149">
        <f t="shared" si="36"/>
        <v>4.0514290000000006</v>
      </c>
    </row>
    <row r="74" spans="1:9" ht="15.75" x14ac:dyDescent="0.2">
      <c r="C74" s="147" t="s">
        <v>285</v>
      </c>
      <c r="D74" s="148">
        <f>1.483*MEDIAN(E63:E67)</f>
        <v>0.31142999999999998</v>
      </c>
      <c r="E74" s="67">
        <f>1.483*E73</f>
        <v>0.31142999999999998</v>
      </c>
      <c r="F74" s="149">
        <f>1.134*STDEV(F63:F67)</f>
        <v>0.32508842068594346</v>
      </c>
      <c r="G74" s="149">
        <f t="shared" ref="G74:I74" si="37">1.134*STDEV(G63:G67)</f>
        <v>0.32508842068594346</v>
      </c>
      <c r="H74" s="149">
        <f t="shared" si="37"/>
        <v>0.32508842068594346</v>
      </c>
      <c r="I74" s="149">
        <f t="shared" si="37"/>
        <v>0.32508842068594346</v>
      </c>
    </row>
  </sheetData>
  <conditionalFormatting sqref="A5:A8 A10:A14">
    <cfRule type="duplicateValues" dxfId="27" priority="2"/>
  </conditionalFormatting>
  <conditionalFormatting sqref="A9">
    <cfRule type="duplicateValues" dxfId="26" priority="1"/>
  </conditionalFormatting>
  <conditionalFormatting sqref="A27:A33">
    <cfRule type="duplicateValues" dxfId="25" priority="5"/>
  </conditionalFormatting>
  <conditionalFormatting sqref="A63:A67">
    <cfRule type="duplicateValues" dxfId="24" priority="4"/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H46"/>
  <sheetViews>
    <sheetView zoomScale="85" zoomScaleNormal="85" workbookViewId="0">
      <pane xSplit="7" ySplit="1" topLeftCell="Y2" activePane="bottomRight" state="frozen"/>
      <selection activeCell="AL28" sqref="AL28"/>
      <selection pane="topRight" activeCell="AL28" sqref="AL28"/>
      <selection pane="bottomLeft" activeCell="AL28" sqref="AL28"/>
      <selection pane="bottomRight" activeCell="AQ44" sqref="AQ2:AQ44"/>
    </sheetView>
  </sheetViews>
  <sheetFormatPr defaultRowHeight="37.5" customHeight="1" x14ac:dyDescent="0.25"/>
  <cols>
    <col min="1" max="1" width="2.625" style="8" hidden="1" customWidth="1"/>
    <col min="2" max="2" width="4.75" style="8" bestFit="1" customWidth="1"/>
    <col min="3" max="3" width="8.375" style="8" hidden="1" customWidth="1"/>
    <col min="4" max="4" width="6" style="8" hidden="1" customWidth="1"/>
    <col min="5" max="5" width="7.75" style="8" customWidth="1"/>
    <col min="6" max="6" width="8.875" style="8" bestFit="1" customWidth="1"/>
    <col min="7" max="7" width="19.125" style="265" customWidth="1"/>
    <col min="8" max="9" width="6.125" style="265" customWidth="1"/>
    <col min="10" max="10" width="6.75" style="265" bestFit="1" customWidth="1"/>
    <col min="11" max="11" width="6.75" style="265" customWidth="1"/>
    <col min="12" max="12" width="9.5" style="265" bestFit="1" customWidth="1"/>
    <col min="13" max="13" width="6.125" style="265" customWidth="1"/>
    <col min="14" max="14" width="6.25" style="8" customWidth="1"/>
    <col min="15" max="27" width="6.375" style="8" customWidth="1"/>
    <col min="28" max="28" width="7" style="8" bestFit="1" customWidth="1"/>
    <col min="29" max="30" width="9.125" style="8" bestFit="1" customWidth="1"/>
    <col min="31" max="31" width="7.125" style="8" bestFit="1" customWidth="1"/>
    <col min="32" max="32" width="7.375" style="8" bestFit="1" customWidth="1"/>
    <col min="33" max="34" width="9.125" style="8" bestFit="1" customWidth="1"/>
    <col min="35" max="35" width="4.5" style="8" bestFit="1" customWidth="1"/>
    <col min="36" max="36" width="9.25" style="8" bestFit="1" customWidth="1"/>
    <col min="37" max="37" width="9.125" style="8" bestFit="1" customWidth="1"/>
    <col min="38" max="38" width="5.125" style="8" bestFit="1" customWidth="1"/>
    <col min="39" max="39" width="9.125" style="8" bestFit="1" customWidth="1"/>
    <col min="40" max="40" width="10.75" style="8" bestFit="1" customWidth="1"/>
    <col min="41" max="41" width="6.375" style="8" bestFit="1" customWidth="1"/>
    <col min="42" max="42" width="10.75" style="8" bestFit="1" customWidth="1"/>
    <col min="43" max="43" width="9.125" style="8" bestFit="1" customWidth="1"/>
    <col min="44" max="44" width="5.5" style="8" bestFit="1" customWidth="1"/>
    <col min="45" max="45" width="4.625" style="8" bestFit="1" customWidth="1"/>
    <col min="46" max="46" width="4.875" style="8" bestFit="1" customWidth="1"/>
    <col min="47" max="47" width="5.875" style="8" bestFit="1" customWidth="1"/>
    <col min="48" max="52" width="9" style="8" customWidth="1"/>
    <col min="53" max="53" width="18.375" style="8" customWidth="1"/>
    <col min="54" max="54" width="10.875" style="8" bestFit="1" customWidth="1"/>
    <col min="55" max="55" width="12.625" style="8" customWidth="1"/>
    <col min="56" max="56" width="14.375" style="8" customWidth="1"/>
    <col min="57" max="57" width="12.25" style="8" customWidth="1"/>
    <col min="58" max="58" width="12.75" style="8" customWidth="1"/>
    <col min="59" max="59" width="9" style="8"/>
    <col min="60" max="60" width="9.5" style="8" bestFit="1" customWidth="1"/>
    <col min="61" max="61" width="9.375" style="8" bestFit="1" customWidth="1"/>
    <col min="62" max="64" width="9" style="8"/>
    <col min="65" max="65" width="2.75" style="93" customWidth="1"/>
    <col min="66" max="66" width="13.5" style="93" customWidth="1"/>
    <col min="67" max="86" width="9" style="93"/>
    <col min="87" max="16384" width="9" style="8"/>
  </cols>
  <sheetData>
    <row r="1" spans="1:86" ht="37.5" customHeight="1" x14ac:dyDescent="0.25">
      <c r="A1" s="155"/>
      <c r="B1" s="6" t="s">
        <v>0</v>
      </c>
      <c r="C1" s="6" t="s">
        <v>1</v>
      </c>
      <c r="D1" s="6" t="s">
        <v>2</v>
      </c>
      <c r="E1" s="6" t="s">
        <v>418</v>
      </c>
      <c r="F1" s="6" t="s">
        <v>4</v>
      </c>
      <c r="G1" s="6" t="s">
        <v>5</v>
      </c>
      <c r="H1" s="6" t="s">
        <v>360</v>
      </c>
      <c r="I1" s="6" t="s">
        <v>361</v>
      </c>
      <c r="J1" s="6" t="s">
        <v>362</v>
      </c>
      <c r="K1" s="6" t="s">
        <v>454</v>
      </c>
      <c r="L1" s="6" t="s">
        <v>363</v>
      </c>
      <c r="M1" s="6" t="s">
        <v>244</v>
      </c>
      <c r="N1" s="6" t="s">
        <v>6</v>
      </c>
      <c r="O1" s="6" t="s">
        <v>7</v>
      </c>
      <c r="P1" s="6" t="s">
        <v>8</v>
      </c>
      <c r="Q1" s="6" t="s">
        <v>9</v>
      </c>
      <c r="R1" s="6" t="s">
        <v>10</v>
      </c>
      <c r="S1" s="6" t="s">
        <v>11</v>
      </c>
      <c r="T1" s="6" t="s">
        <v>12</v>
      </c>
      <c r="U1" s="6" t="s">
        <v>13</v>
      </c>
      <c r="V1" s="6" t="s">
        <v>14</v>
      </c>
      <c r="W1" s="6" t="s">
        <v>15</v>
      </c>
      <c r="X1" s="6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287</v>
      </c>
      <c r="AI1" s="6" t="s">
        <v>288</v>
      </c>
      <c r="AJ1" s="6" t="s">
        <v>289</v>
      </c>
      <c r="AK1" s="6" t="s">
        <v>290</v>
      </c>
      <c r="AL1" s="6" t="s">
        <v>291</v>
      </c>
      <c r="AM1" s="6" t="s">
        <v>292</v>
      </c>
      <c r="AN1" s="6" t="s">
        <v>26</v>
      </c>
      <c r="AO1" s="6" t="s">
        <v>27</v>
      </c>
      <c r="AP1" s="6" t="s">
        <v>28</v>
      </c>
      <c r="AQ1" s="6" t="s">
        <v>29</v>
      </c>
      <c r="AR1" s="6" t="s">
        <v>30</v>
      </c>
      <c r="AS1" s="6" t="s">
        <v>31</v>
      </c>
      <c r="AT1" s="6" t="s">
        <v>32</v>
      </c>
      <c r="AU1" s="6" t="s">
        <v>33</v>
      </c>
      <c r="AV1" s="6" t="s">
        <v>34</v>
      </c>
      <c r="AW1" s="6" t="s">
        <v>35</v>
      </c>
      <c r="AX1" s="6" t="s">
        <v>36</v>
      </c>
      <c r="AY1" s="6" t="s">
        <v>37</v>
      </c>
      <c r="AZ1" s="6" t="s">
        <v>38</v>
      </c>
      <c r="BA1" s="6" t="s">
        <v>39</v>
      </c>
      <c r="BB1" s="6" t="s">
        <v>302</v>
      </c>
      <c r="BC1" s="6" t="s">
        <v>295</v>
      </c>
      <c r="BD1" s="156" t="s">
        <v>40</v>
      </c>
      <c r="BE1" s="156" t="s">
        <v>41</v>
      </c>
      <c r="BF1" s="156" t="s">
        <v>42</v>
      </c>
      <c r="BG1" s="156" t="s">
        <v>43</v>
      </c>
      <c r="BH1" s="156" t="s">
        <v>44</v>
      </c>
      <c r="BI1" s="157" t="s">
        <v>45</v>
      </c>
      <c r="BJ1" s="157" t="s">
        <v>46</v>
      </c>
      <c r="BK1" s="157" t="s">
        <v>47</v>
      </c>
      <c r="BL1" s="157" t="s">
        <v>48</v>
      </c>
    </row>
    <row r="2" spans="1:86" s="166" customFormat="1" ht="36.75" customHeight="1" x14ac:dyDescent="0.25">
      <c r="A2" s="158"/>
      <c r="B2" s="159" t="s">
        <v>49</v>
      </c>
      <c r="C2" s="160" t="str">
        <f>LEFT(F2,3)</f>
        <v>DNG</v>
      </c>
      <c r="D2" s="160">
        <v>1</v>
      </c>
      <c r="E2" s="161" t="s">
        <v>50</v>
      </c>
      <c r="F2" s="160" t="s">
        <v>51</v>
      </c>
      <c r="G2" s="160" t="s">
        <v>52</v>
      </c>
      <c r="H2" s="160">
        <v>8</v>
      </c>
      <c r="I2" s="160">
        <v>3</v>
      </c>
      <c r="J2" s="160">
        <v>230803</v>
      </c>
      <c r="K2" s="160" t="s">
        <v>468</v>
      </c>
      <c r="L2" s="160" t="s">
        <v>469</v>
      </c>
      <c r="M2" s="160">
        <f>$N$46</f>
        <v>32</v>
      </c>
      <c r="N2" s="158"/>
      <c r="O2" s="158"/>
      <c r="P2" s="158"/>
      <c r="Q2" s="158"/>
      <c r="R2" s="158" t="str">
        <f>IF(O2&lt;&gt;0,ROUND(LOG10(O2),2),"")</f>
        <v/>
      </c>
      <c r="S2" s="158" t="str">
        <f>IF(P2&lt;&gt;0,ROUND(LOG10(P2),2),"")</f>
        <v/>
      </c>
      <c r="T2" s="158"/>
      <c r="U2" s="158">
        <v>1.7</v>
      </c>
      <c r="V2" s="158"/>
      <c r="W2" s="158"/>
      <c r="X2" s="158"/>
      <c r="Y2" s="158"/>
      <c r="Z2" s="158"/>
      <c r="AA2" s="158"/>
      <c r="AB2" s="158">
        <f>ROUNDUP('NHÓM QBL01'!$I$20,2)</f>
        <v>4.5599999999999996</v>
      </c>
      <c r="AC2" s="158">
        <f>ROUNDUP('NHÓM QBL 02'!$I$20,2)</f>
        <v>4.66</v>
      </c>
      <c r="AD2" s="158" t="s">
        <v>246</v>
      </c>
      <c r="AE2" s="158" t="str">
        <f>IF(O2&lt;&gt;0,R2-AB2,"")</f>
        <v/>
      </c>
      <c r="AF2" s="158" t="str">
        <f>IF(P2&lt;&gt;0,S2-AC2,"")</f>
        <v/>
      </c>
      <c r="AG2" s="158">
        <v>0</v>
      </c>
      <c r="AH2" s="158">
        <f>ROUNDUP('NHÓM QBL01'!$I$21,2)</f>
        <v>0.24000000000000002</v>
      </c>
      <c r="AI2" s="158">
        <f>ROUNDUP('NHÓM QBL 02'!$I$21,2)</f>
        <v>0.26</v>
      </c>
      <c r="AJ2" s="158">
        <v>0</v>
      </c>
      <c r="AK2" s="158" t="str">
        <f>IF(O2&lt;&gt;0,ROUND(AE2/AH2,2),"")</f>
        <v/>
      </c>
      <c r="AL2" s="158" t="str">
        <f>IF(P2&lt;&gt;0,ROUND(AF2/AI2,2),"")</f>
        <v/>
      </c>
      <c r="AM2" s="158">
        <v>0</v>
      </c>
      <c r="AN2" s="316" t="str">
        <f>IF(O2&lt;&gt;0,IF(ABS(AK2)&gt;3,0,IF(ABS(AK2)&gt;2,1,IF(ABS(AK2)&gt;1,2,3))),"")</f>
        <v/>
      </c>
      <c r="AO2" s="316" t="str">
        <f>IF(P2&lt;&gt;0,IF(ABS(AL2)&gt;3,0,IF(ABS(AL2)&gt;2,1,IF(ABS(AL2)&gt;1,2,3))),"")</f>
        <v/>
      </c>
      <c r="AP2" s="316"/>
      <c r="AQ2" s="172" t="str">
        <f>IF(SUM(AN2:AP2)&lt;&gt;0,SUM(AN2:AP2),"")</f>
        <v/>
      </c>
      <c r="AR2" s="172">
        <f>ROUNDUP('HIEU XUAT'!$X$48,2)</f>
        <v>15.7</v>
      </c>
      <c r="AS2" s="158">
        <f>ROUNDUP('HIEU XUAT'!$X$50,2)</f>
        <v>3.3099999999999996</v>
      </c>
      <c r="AT2" s="158" t="str">
        <f>VLOOKUP(E2,'HIEU XUAT'!B:AF,23,0)</f>
        <v>N/A</v>
      </c>
      <c r="AU2" s="172" t="str">
        <f>VLOOKUP(E2,'HIEU XUAT'!B:AP,32,0)</f>
        <v>N/A</v>
      </c>
      <c r="AV2" s="158" t="s">
        <v>53</v>
      </c>
      <c r="AW2" s="158"/>
      <c r="AX2" s="158" t="s">
        <v>54</v>
      </c>
      <c r="AY2" s="158" t="s">
        <v>55</v>
      </c>
      <c r="AZ2" s="158"/>
      <c r="BA2" s="158" t="s">
        <v>56</v>
      </c>
      <c r="BB2" s="162" t="s">
        <v>57</v>
      </c>
      <c r="BC2" s="162" t="s">
        <v>300</v>
      </c>
      <c r="BD2" s="163"/>
      <c r="BE2" s="163"/>
      <c r="BF2" s="163"/>
      <c r="BG2" s="158"/>
      <c r="BH2" s="158"/>
      <c r="BI2" s="158"/>
      <c r="BJ2" s="158"/>
      <c r="BK2" s="158"/>
      <c r="BL2" s="158"/>
      <c r="BM2" s="164"/>
      <c r="BN2" s="165" t="s">
        <v>60</v>
      </c>
      <c r="BO2" s="164"/>
      <c r="BP2" s="164"/>
      <c r="BQ2" s="164"/>
      <c r="BR2" s="164"/>
      <c r="BS2" s="164"/>
      <c r="BT2" s="164"/>
      <c r="BU2" s="164"/>
      <c r="BV2" s="164"/>
      <c r="BW2" s="164"/>
      <c r="BX2" s="164"/>
      <c r="BY2" s="164"/>
      <c r="BZ2" s="164"/>
      <c r="CA2" s="164"/>
      <c r="CB2" s="164"/>
      <c r="CC2" s="164"/>
      <c r="CD2" s="164"/>
      <c r="CE2" s="164"/>
      <c r="CF2" s="164"/>
      <c r="CG2" s="164"/>
      <c r="CH2" s="164"/>
    </row>
    <row r="3" spans="1:86" s="175" customFormat="1" ht="36.75" customHeight="1" x14ac:dyDescent="0.25">
      <c r="A3" s="167"/>
      <c r="B3" s="168" t="s">
        <v>59</v>
      </c>
      <c r="C3" s="169" t="str">
        <f t="shared" ref="C3:C37" si="0">LEFT(F3,3)</f>
        <v>DNG</v>
      </c>
      <c r="D3" s="169">
        <v>2</v>
      </c>
      <c r="E3" s="170" t="s">
        <v>60</v>
      </c>
      <c r="F3" s="171" t="s">
        <v>61</v>
      </c>
      <c r="G3" s="169" t="s">
        <v>62</v>
      </c>
      <c r="H3" s="169">
        <v>8</v>
      </c>
      <c r="I3" s="169">
        <v>3</v>
      </c>
      <c r="J3" s="169">
        <v>230803</v>
      </c>
      <c r="K3" s="169" t="s">
        <v>468</v>
      </c>
      <c r="L3" s="169" t="s">
        <v>469</v>
      </c>
      <c r="M3" s="169">
        <f t="shared" ref="M3:M17" si="1">$N$46</f>
        <v>32</v>
      </c>
      <c r="N3" s="172" t="s">
        <v>264</v>
      </c>
      <c r="O3" s="172">
        <v>33882</v>
      </c>
      <c r="P3" s="172">
        <v>36412</v>
      </c>
      <c r="Q3" s="172" t="s">
        <v>246</v>
      </c>
      <c r="R3" s="317">
        <f t="shared" ref="R3:R44" si="2">IF(O3&lt;&gt;0,ROUND(LOG10(O3),2),"")</f>
        <v>4.53</v>
      </c>
      <c r="S3" s="317">
        <f t="shared" ref="S3:S44" si="3">IF(P3&lt;&gt;0,ROUND(LOG10(P3),2),"")</f>
        <v>4.5599999999999996</v>
      </c>
      <c r="T3" s="172" t="s">
        <v>246</v>
      </c>
      <c r="U3" s="172">
        <v>1.7</v>
      </c>
      <c r="V3" s="172"/>
      <c r="W3" s="172"/>
      <c r="X3" s="172"/>
      <c r="Y3" s="172"/>
      <c r="Z3" s="172"/>
      <c r="AA3" s="172"/>
      <c r="AB3" s="172">
        <f>ROUNDUP('NHÓM QBL01'!$I$20,2)</f>
        <v>4.5599999999999996</v>
      </c>
      <c r="AC3" s="172">
        <f>ROUNDUP('NHÓM QBL 02'!$I$20,2)</f>
        <v>4.66</v>
      </c>
      <c r="AD3" s="172" t="s">
        <v>246</v>
      </c>
      <c r="AE3" s="172">
        <f t="shared" ref="AE3:AE44" si="4">IF(O3&lt;&gt;0,R3-AB3,"")</f>
        <v>-2.9999999999999361E-2</v>
      </c>
      <c r="AF3" s="172">
        <f t="shared" ref="AF3:AF44" si="5">IF(P3&lt;&gt;0,S3-AC3,"")</f>
        <v>-0.10000000000000053</v>
      </c>
      <c r="AG3" s="172">
        <v>0</v>
      </c>
      <c r="AH3" s="172">
        <f>ROUNDUP('NHÓM QBL01'!$I$21,2)</f>
        <v>0.24000000000000002</v>
      </c>
      <c r="AI3" s="172">
        <f>ROUNDUP('NHÓM QBL 02'!$I$21,2)</f>
        <v>0.26</v>
      </c>
      <c r="AJ3" s="172">
        <v>0</v>
      </c>
      <c r="AK3" s="172">
        <f t="shared" ref="AK3:AK44" si="6">IF(O3&lt;&gt;0,ROUND(AE3/AH3,2),"")</f>
        <v>-0.12</v>
      </c>
      <c r="AL3" s="172">
        <f t="shared" ref="AL3:AL44" si="7">IF(P3&lt;&gt;0,ROUND(AF3/AI3,2),"")</f>
        <v>-0.38</v>
      </c>
      <c r="AM3" s="172">
        <v>0</v>
      </c>
      <c r="AN3" s="318">
        <f t="shared" ref="AN3:AN44" si="8">IF(O3&lt;&gt;0,IF(ABS(AK3)&gt;3,0,IF(ABS(AK3)&gt;2,1,IF(ABS(AK3)&gt;1,2,3))),"")</f>
        <v>3</v>
      </c>
      <c r="AO3" s="318">
        <f t="shared" ref="AO3:AO44" si="9">IF(P3&lt;&gt;0,IF(ABS(AL3)&gt;3,0,IF(ABS(AL3)&gt;2,1,IF(ABS(AL3)&gt;1,2,3))),"")</f>
        <v>3</v>
      </c>
      <c r="AP3" s="318">
        <v>3</v>
      </c>
      <c r="AQ3" s="172">
        <f>IF(SUM(AN3:AP3)&lt;&gt;0,SUM(AN3:AP3),"")</f>
        <v>9</v>
      </c>
      <c r="AR3" s="172">
        <f>ROUNDUP('HIEU XUAT'!$X$48,2)</f>
        <v>15.7</v>
      </c>
      <c r="AS3" s="172">
        <f>ROUNDUP('HIEU XUAT'!$X$50,2)</f>
        <v>3.3099999999999996</v>
      </c>
      <c r="AT3" s="172">
        <f>VLOOKUP(E3,'HIEU XUAT'!B:AF,23,0)</f>
        <v>17</v>
      </c>
      <c r="AU3" s="172">
        <f>VLOOKUP(E3,'HIEU XUAT'!B:AP,32,0)</f>
        <v>0.4</v>
      </c>
      <c r="AV3" s="172" t="s">
        <v>63</v>
      </c>
      <c r="AW3" s="172"/>
      <c r="AX3" s="172" t="s">
        <v>64</v>
      </c>
      <c r="AY3" s="172" t="s">
        <v>65</v>
      </c>
      <c r="AZ3" s="172"/>
      <c r="BA3" s="172" t="s">
        <v>66</v>
      </c>
      <c r="BB3" s="173" t="s">
        <v>57</v>
      </c>
      <c r="BC3" s="173" t="s">
        <v>300</v>
      </c>
      <c r="BD3" s="174" t="s">
        <v>476</v>
      </c>
      <c r="BE3" s="174" t="s">
        <v>480</v>
      </c>
      <c r="BF3" s="174" t="s">
        <v>480</v>
      </c>
      <c r="BG3" s="172" t="s">
        <v>67</v>
      </c>
      <c r="BH3" s="172"/>
      <c r="BI3" s="172"/>
      <c r="BJ3" s="172"/>
      <c r="BK3" s="172"/>
      <c r="BL3" s="172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</row>
    <row r="4" spans="1:86" s="175" customFormat="1" ht="36.75" customHeight="1" x14ac:dyDescent="0.25">
      <c r="A4" s="167"/>
      <c r="B4" s="168" t="s">
        <v>177</v>
      </c>
      <c r="C4" s="169" t="str">
        <f t="shared" si="0"/>
        <v>HCM</v>
      </c>
      <c r="D4" s="169">
        <v>2</v>
      </c>
      <c r="E4" s="176" t="s">
        <v>70</v>
      </c>
      <c r="F4" s="171" t="s">
        <v>71</v>
      </c>
      <c r="G4" s="169" t="s">
        <v>72</v>
      </c>
      <c r="H4" s="169">
        <v>8</v>
      </c>
      <c r="I4" s="169">
        <v>3</v>
      </c>
      <c r="J4" s="169">
        <v>230803</v>
      </c>
      <c r="K4" s="169" t="s">
        <v>468</v>
      </c>
      <c r="L4" s="169" t="s">
        <v>469</v>
      </c>
      <c r="M4" s="169">
        <f t="shared" si="1"/>
        <v>32</v>
      </c>
      <c r="N4" s="172" t="s">
        <v>264</v>
      </c>
      <c r="O4" s="172">
        <v>59266</v>
      </c>
      <c r="P4" s="172">
        <v>46512</v>
      </c>
      <c r="Q4" s="172" t="s">
        <v>414</v>
      </c>
      <c r="R4" s="317">
        <f t="shared" si="2"/>
        <v>4.7699999999999996</v>
      </c>
      <c r="S4" s="317">
        <f t="shared" si="3"/>
        <v>4.67</v>
      </c>
      <c r="T4" s="172" t="s">
        <v>414</v>
      </c>
      <c r="U4" s="172">
        <v>1.7</v>
      </c>
      <c r="V4" s="172"/>
      <c r="W4" s="172"/>
      <c r="X4" s="172"/>
      <c r="Y4" s="172"/>
      <c r="Z4" s="172"/>
      <c r="AA4" s="172"/>
      <c r="AB4" s="172">
        <f>ROUNDUP('NHÓM QBL01'!$I$20,2)</f>
        <v>4.5599999999999996</v>
      </c>
      <c r="AC4" s="172">
        <f>ROUNDUP('NHÓM QBL 02'!$I$20,2)</f>
        <v>4.66</v>
      </c>
      <c r="AD4" s="172" t="s">
        <v>246</v>
      </c>
      <c r="AE4" s="172">
        <f t="shared" si="4"/>
        <v>0.20999999999999996</v>
      </c>
      <c r="AF4" s="172">
        <f t="shared" si="5"/>
        <v>9.9999999999997868E-3</v>
      </c>
      <c r="AG4" s="172">
        <v>0</v>
      </c>
      <c r="AH4" s="172">
        <f>ROUNDUP('NHÓM QBL01'!$I$21,2)</f>
        <v>0.24000000000000002</v>
      </c>
      <c r="AI4" s="172">
        <f>ROUNDUP('NHÓM QBL 02'!$I$21,2)</f>
        <v>0.26</v>
      </c>
      <c r="AJ4" s="172">
        <v>0</v>
      </c>
      <c r="AK4" s="172">
        <f t="shared" si="6"/>
        <v>0.88</v>
      </c>
      <c r="AL4" s="172">
        <f t="shared" si="7"/>
        <v>0.04</v>
      </c>
      <c r="AM4" s="172">
        <v>0</v>
      </c>
      <c r="AN4" s="318">
        <f t="shared" si="8"/>
        <v>3</v>
      </c>
      <c r="AO4" s="318">
        <f t="shared" si="9"/>
        <v>3</v>
      </c>
      <c r="AP4" s="318">
        <v>3</v>
      </c>
      <c r="AQ4" s="172">
        <f t="shared" ref="AQ4:AQ44" si="10">IF(SUM(AN4:AP4)&lt;&gt;0,SUM(AN4:AP4),"")</f>
        <v>9</v>
      </c>
      <c r="AR4" s="172">
        <f>ROUNDUP('HIEU XUAT'!$X$48,2)</f>
        <v>15.7</v>
      </c>
      <c r="AS4" s="172">
        <f>ROUNDUP('HIEU XUAT'!$X$50,2)</f>
        <v>3.3099999999999996</v>
      </c>
      <c r="AT4" s="172">
        <f>VLOOKUP(E4,'HIEU XUAT'!B:AF,23,0)</f>
        <v>18</v>
      </c>
      <c r="AU4" s="172">
        <f>VLOOKUP(E4,'HIEU XUAT'!B:AP,32,0)</f>
        <v>0.7</v>
      </c>
      <c r="AV4" s="172" t="s">
        <v>73</v>
      </c>
      <c r="AW4" s="172"/>
      <c r="AX4" s="172" t="s">
        <v>74</v>
      </c>
      <c r="AY4" s="172" t="s">
        <v>75</v>
      </c>
      <c r="AZ4" s="172"/>
      <c r="BA4" s="172" t="s">
        <v>76</v>
      </c>
      <c r="BB4" s="173" t="s">
        <v>57</v>
      </c>
      <c r="BC4" s="173" t="s">
        <v>300</v>
      </c>
      <c r="BD4" s="174" t="s">
        <v>471</v>
      </c>
      <c r="BE4" s="174" t="s">
        <v>480</v>
      </c>
      <c r="BF4" s="174" t="s">
        <v>480</v>
      </c>
      <c r="BG4" s="172" t="s">
        <v>67</v>
      </c>
      <c r="BH4" s="172">
        <v>6</v>
      </c>
      <c r="BI4" s="172" t="s">
        <v>58</v>
      </c>
      <c r="BJ4" s="172"/>
      <c r="BK4" s="172"/>
      <c r="BL4" s="172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</row>
    <row r="5" spans="1:86" s="175" customFormat="1" ht="36.75" customHeight="1" x14ac:dyDescent="0.25">
      <c r="A5" s="172"/>
      <c r="B5" s="168" t="s">
        <v>68</v>
      </c>
      <c r="C5" s="169" t="str">
        <f t="shared" si="0"/>
        <v>GLI</v>
      </c>
      <c r="D5" s="169">
        <v>3</v>
      </c>
      <c r="E5" s="177" t="s">
        <v>169</v>
      </c>
      <c r="F5" s="169" t="s">
        <v>170</v>
      </c>
      <c r="G5" s="169" t="s">
        <v>171</v>
      </c>
      <c r="H5" s="169">
        <v>8</v>
      </c>
      <c r="I5" s="169">
        <v>3</v>
      </c>
      <c r="J5" s="169">
        <v>230803</v>
      </c>
      <c r="K5" s="169" t="s">
        <v>468</v>
      </c>
      <c r="L5" s="169" t="s">
        <v>469</v>
      </c>
      <c r="M5" s="169">
        <f t="shared" si="1"/>
        <v>32</v>
      </c>
      <c r="N5" s="172" t="s">
        <v>264</v>
      </c>
      <c r="O5" s="172">
        <v>13200</v>
      </c>
      <c r="P5" s="172">
        <v>17400</v>
      </c>
      <c r="Q5" s="172" t="s">
        <v>246</v>
      </c>
      <c r="R5" s="317">
        <f t="shared" si="2"/>
        <v>4.12</v>
      </c>
      <c r="S5" s="317">
        <f t="shared" si="3"/>
        <v>4.24</v>
      </c>
      <c r="T5" s="172" t="s">
        <v>246</v>
      </c>
      <c r="U5" s="172">
        <v>1.7</v>
      </c>
      <c r="V5" s="172"/>
      <c r="W5" s="172"/>
      <c r="X5" s="172"/>
      <c r="Y5" s="172"/>
      <c r="Z5" s="172"/>
      <c r="AA5" s="172"/>
      <c r="AB5" s="172">
        <f>ROUNDUP('NHÓM QBL01'!$I$20,2)</f>
        <v>4.5599999999999996</v>
      </c>
      <c r="AC5" s="172">
        <f>ROUNDUP('NHÓM QBL 02'!$I$20,2)</f>
        <v>4.66</v>
      </c>
      <c r="AD5" s="172" t="s">
        <v>246</v>
      </c>
      <c r="AE5" s="172">
        <f t="shared" si="4"/>
        <v>-0.4399999999999995</v>
      </c>
      <c r="AF5" s="172">
        <f t="shared" si="5"/>
        <v>-0.41999999999999993</v>
      </c>
      <c r="AG5" s="172">
        <v>0</v>
      </c>
      <c r="AH5" s="172">
        <f>ROUNDUP('NHÓM QBL01'!$I$21,2)</f>
        <v>0.24000000000000002</v>
      </c>
      <c r="AI5" s="172">
        <f>ROUNDUP('NHÓM QBL 02'!$I$21,2)</f>
        <v>0.26</v>
      </c>
      <c r="AJ5" s="172">
        <v>0</v>
      </c>
      <c r="AK5" s="172">
        <f t="shared" si="6"/>
        <v>-1.83</v>
      </c>
      <c r="AL5" s="172">
        <f t="shared" si="7"/>
        <v>-1.62</v>
      </c>
      <c r="AM5" s="172">
        <v>0</v>
      </c>
      <c r="AN5" s="318">
        <f t="shared" si="8"/>
        <v>2</v>
      </c>
      <c r="AO5" s="318">
        <f t="shared" si="9"/>
        <v>2</v>
      </c>
      <c r="AP5" s="318">
        <v>3</v>
      </c>
      <c r="AQ5" s="172">
        <f t="shared" si="10"/>
        <v>7</v>
      </c>
      <c r="AR5" s="172">
        <f>ROUNDUP('HIEU XUAT'!$X$48,2)</f>
        <v>15.7</v>
      </c>
      <c r="AS5" s="172">
        <f>ROUNDUP('HIEU XUAT'!$X$50,2)</f>
        <v>3.3099999999999996</v>
      </c>
      <c r="AT5" s="172">
        <f>VLOOKUP(E5,'HIEU XUAT'!B:AF,23,0)</f>
        <v>13</v>
      </c>
      <c r="AU5" s="172">
        <f>VLOOKUP(E5,'HIEU XUAT'!B:AP,32,0)</f>
        <v>-0.82000000000000006</v>
      </c>
      <c r="AV5" s="172" t="s">
        <v>172</v>
      </c>
      <c r="AW5" s="172" t="s">
        <v>173</v>
      </c>
      <c r="AX5" s="172"/>
      <c r="AY5" s="172" t="s">
        <v>174</v>
      </c>
      <c r="AZ5" s="172"/>
      <c r="BA5" s="172" t="s">
        <v>175</v>
      </c>
      <c r="BB5" s="178" t="s">
        <v>176</v>
      </c>
      <c r="BC5" s="178" t="s">
        <v>300</v>
      </c>
      <c r="BD5" s="172"/>
      <c r="BE5" s="172"/>
      <c r="BF5" s="174" t="s">
        <v>481</v>
      </c>
      <c r="BG5" s="172"/>
      <c r="BH5" s="172"/>
      <c r="BI5" s="172"/>
      <c r="BJ5" s="172"/>
      <c r="BK5" s="172"/>
      <c r="BL5" s="172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</row>
    <row r="6" spans="1:86" s="175" customFormat="1" ht="36.75" customHeight="1" x14ac:dyDescent="0.25">
      <c r="A6" s="167"/>
      <c r="B6" s="168" t="s">
        <v>77</v>
      </c>
      <c r="C6" s="169" t="str">
        <f t="shared" si="0"/>
        <v>QNM</v>
      </c>
      <c r="D6" s="169" t="s">
        <v>177</v>
      </c>
      <c r="E6" s="179" t="s">
        <v>178</v>
      </c>
      <c r="F6" s="180" t="s">
        <v>179</v>
      </c>
      <c r="G6" s="169" t="s">
        <v>180</v>
      </c>
      <c r="H6" s="169">
        <v>8</v>
      </c>
      <c r="I6" s="169">
        <v>3</v>
      </c>
      <c r="J6" s="169">
        <v>230803</v>
      </c>
      <c r="K6" s="169" t="s">
        <v>468</v>
      </c>
      <c r="L6" s="169" t="s">
        <v>469</v>
      </c>
      <c r="M6" s="169">
        <f t="shared" si="1"/>
        <v>32</v>
      </c>
      <c r="N6" s="172" t="s">
        <v>264</v>
      </c>
      <c r="O6" s="172">
        <v>22300</v>
      </c>
      <c r="P6" s="172">
        <v>31200</v>
      </c>
      <c r="Q6" s="172" t="s">
        <v>246</v>
      </c>
      <c r="R6" s="317">
        <f t="shared" si="2"/>
        <v>4.3499999999999996</v>
      </c>
      <c r="S6" s="317">
        <f t="shared" si="3"/>
        <v>4.49</v>
      </c>
      <c r="T6" s="172" t="s">
        <v>246</v>
      </c>
      <c r="U6" s="172">
        <v>1.7</v>
      </c>
      <c r="V6" s="172"/>
      <c r="W6" s="172"/>
      <c r="X6" s="172"/>
      <c r="Y6" s="172"/>
      <c r="Z6" s="172"/>
      <c r="AA6" s="172"/>
      <c r="AB6" s="172">
        <f>ROUNDUP('NHÓM QBL01'!$I$20,2)</f>
        <v>4.5599999999999996</v>
      </c>
      <c r="AC6" s="172">
        <f>ROUNDUP('NHÓM QBL 02'!$I$20,2)</f>
        <v>4.66</v>
      </c>
      <c r="AD6" s="172" t="s">
        <v>246</v>
      </c>
      <c r="AE6" s="172">
        <f t="shared" si="4"/>
        <v>-0.20999999999999996</v>
      </c>
      <c r="AF6" s="172">
        <f t="shared" si="5"/>
        <v>-0.16999999999999993</v>
      </c>
      <c r="AG6" s="172">
        <v>0</v>
      </c>
      <c r="AH6" s="172">
        <f>ROUNDUP('NHÓM QBL01'!$I$21,2)</f>
        <v>0.24000000000000002</v>
      </c>
      <c r="AI6" s="172">
        <f>ROUNDUP('NHÓM QBL 02'!$I$21,2)</f>
        <v>0.26</v>
      </c>
      <c r="AJ6" s="172">
        <v>0</v>
      </c>
      <c r="AK6" s="172">
        <f t="shared" si="6"/>
        <v>-0.88</v>
      </c>
      <c r="AL6" s="172">
        <f t="shared" si="7"/>
        <v>-0.65</v>
      </c>
      <c r="AM6" s="172">
        <v>0</v>
      </c>
      <c r="AN6" s="318">
        <f t="shared" si="8"/>
        <v>3</v>
      </c>
      <c r="AO6" s="318">
        <f t="shared" si="9"/>
        <v>3</v>
      </c>
      <c r="AP6" s="318">
        <v>3</v>
      </c>
      <c r="AQ6" s="172">
        <f t="shared" si="10"/>
        <v>9</v>
      </c>
      <c r="AR6" s="172">
        <f>ROUNDUP('HIEU XUAT'!$X$48,2)</f>
        <v>15.7</v>
      </c>
      <c r="AS6" s="172">
        <f>ROUNDUP('HIEU XUAT'!$X$50,2)</f>
        <v>3.3099999999999996</v>
      </c>
      <c r="AT6" s="172">
        <f>VLOOKUP(E6,'HIEU XUAT'!B:AF,23,0)</f>
        <v>18</v>
      </c>
      <c r="AU6" s="172">
        <f>VLOOKUP(E6,'HIEU XUAT'!B:AP,32,0)</f>
        <v>0.7</v>
      </c>
      <c r="AV6" s="172" t="s">
        <v>181</v>
      </c>
      <c r="AW6" s="172" t="s">
        <v>182</v>
      </c>
      <c r="AX6" s="172" t="s">
        <v>183</v>
      </c>
      <c r="AY6" s="172" t="s">
        <v>184</v>
      </c>
      <c r="AZ6" s="172" t="s">
        <v>185</v>
      </c>
      <c r="BA6" s="172" t="s">
        <v>186</v>
      </c>
      <c r="BB6" s="173" t="s">
        <v>176</v>
      </c>
      <c r="BC6" s="173" t="s">
        <v>300</v>
      </c>
      <c r="BD6" s="174" t="s">
        <v>470</v>
      </c>
      <c r="BE6" s="174" t="s">
        <v>479</v>
      </c>
      <c r="BF6" s="174" t="s">
        <v>479</v>
      </c>
      <c r="BG6" s="172" t="s">
        <v>187</v>
      </c>
      <c r="BH6" s="172" t="s">
        <v>188</v>
      </c>
      <c r="BI6" s="172" t="s">
        <v>58</v>
      </c>
      <c r="BJ6" s="172"/>
      <c r="BK6" s="172"/>
      <c r="BL6" s="172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/>
    </row>
    <row r="7" spans="1:86" s="175" customFormat="1" ht="36.75" customHeight="1" x14ac:dyDescent="0.25">
      <c r="A7" s="167"/>
      <c r="B7" s="168" t="s">
        <v>91</v>
      </c>
      <c r="C7" s="169" t="str">
        <f t="shared" si="0"/>
        <v>DNG</v>
      </c>
      <c r="D7" s="169">
        <v>2</v>
      </c>
      <c r="E7" s="179" t="s">
        <v>189</v>
      </c>
      <c r="F7" s="171" t="s">
        <v>190</v>
      </c>
      <c r="G7" s="169" t="s">
        <v>191</v>
      </c>
      <c r="H7" s="169">
        <v>8</v>
      </c>
      <c r="I7" s="169">
        <v>3</v>
      </c>
      <c r="J7" s="169">
        <v>230803</v>
      </c>
      <c r="K7" s="169" t="s">
        <v>468</v>
      </c>
      <c r="L7" s="169" t="s">
        <v>469</v>
      </c>
      <c r="M7" s="169">
        <f t="shared" si="1"/>
        <v>32</v>
      </c>
      <c r="N7" s="172" t="s">
        <v>264</v>
      </c>
      <c r="O7" s="172">
        <v>53300</v>
      </c>
      <c r="P7" s="172">
        <v>68900</v>
      </c>
      <c r="Q7" s="172">
        <v>0</v>
      </c>
      <c r="R7" s="317">
        <f t="shared" si="2"/>
        <v>4.7300000000000004</v>
      </c>
      <c r="S7" s="317">
        <f t="shared" si="3"/>
        <v>4.84</v>
      </c>
      <c r="T7" s="174" t="s">
        <v>245</v>
      </c>
      <c r="U7" s="172">
        <v>1.7</v>
      </c>
      <c r="V7" s="172"/>
      <c r="W7" s="172"/>
      <c r="X7" s="172"/>
      <c r="Y7" s="172"/>
      <c r="Z7" s="172"/>
      <c r="AA7" s="172"/>
      <c r="AB7" s="172">
        <f>ROUNDUP('NHÓM QBL01'!$I$20,2)</f>
        <v>4.5599999999999996</v>
      </c>
      <c r="AC7" s="172">
        <f>ROUNDUP('NHÓM QBL 02'!$I$20,2)</f>
        <v>4.66</v>
      </c>
      <c r="AD7" s="172" t="s">
        <v>246</v>
      </c>
      <c r="AE7" s="172">
        <f t="shared" si="4"/>
        <v>0.17000000000000082</v>
      </c>
      <c r="AF7" s="172">
        <f t="shared" si="5"/>
        <v>0.17999999999999972</v>
      </c>
      <c r="AG7" s="172">
        <v>0</v>
      </c>
      <c r="AH7" s="172">
        <f>ROUNDUP('NHÓM QBL01'!$I$21,2)</f>
        <v>0.24000000000000002</v>
      </c>
      <c r="AI7" s="172">
        <f>ROUNDUP('NHÓM QBL 02'!$I$21,2)</f>
        <v>0.26</v>
      </c>
      <c r="AJ7" s="172">
        <v>0</v>
      </c>
      <c r="AK7" s="172">
        <f t="shared" si="6"/>
        <v>0.71</v>
      </c>
      <c r="AL7" s="172">
        <f t="shared" si="7"/>
        <v>0.69</v>
      </c>
      <c r="AM7" s="172">
        <v>0</v>
      </c>
      <c r="AN7" s="318">
        <f t="shared" si="8"/>
        <v>3</v>
      </c>
      <c r="AO7" s="318">
        <f t="shared" si="9"/>
        <v>3</v>
      </c>
      <c r="AP7" s="318">
        <v>3</v>
      </c>
      <c r="AQ7" s="172">
        <f t="shared" si="10"/>
        <v>9</v>
      </c>
      <c r="AR7" s="172">
        <f>ROUNDUP('HIEU XUAT'!$X$48,2)</f>
        <v>15.7</v>
      </c>
      <c r="AS7" s="172">
        <f>ROUNDUP('HIEU XUAT'!$X$50,2)</f>
        <v>3.3099999999999996</v>
      </c>
      <c r="AT7" s="172">
        <f>VLOOKUP(E7,'HIEU XUAT'!B:AF,23,0)</f>
        <v>18</v>
      </c>
      <c r="AU7" s="172">
        <f>VLOOKUP(E7,'HIEU XUAT'!B:AP,32,0)</f>
        <v>0.7</v>
      </c>
      <c r="AV7" s="172" t="s">
        <v>192</v>
      </c>
      <c r="AW7" s="172"/>
      <c r="AX7" s="172" t="s">
        <v>193</v>
      </c>
      <c r="AY7" s="172" t="s">
        <v>305</v>
      </c>
      <c r="AZ7" s="172"/>
      <c r="BA7" s="172" t="s">
        <v>194</v>
      </c>
      <c r="BB7" s="173" t="s">
        <v>176</v>
      </c>
      <c r="BC7" s="173" t="s">
        <v>300</v>
      </c>
      <c r="BD7" s="174" t="s">
        <v>470</v>
      </c>
      <c r="BE7" s="174" t="s">
        <v>471</v>
      </c>
      <c r="BF7" s="174"/>
      <c r="BG7" s="172"/>
      <c r="BH7" s="172"/>
      <c r="BI7" s="172"/>
      <c r="BJ7" s="172"/>
      <c r="BK7" s="172"/>
      <c r="BL7" s="172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</row>
    <row r="8" spans="1:86" s="175" customFormat="1" ht="36.75" customHeight="1" x14ac:dyDescent="0.25">
      <c r="A8" s="167"/>
      <c r="B8" s="168">
        <v>7</v>
      </c>
      <c r="C8" s="169" t="str">
        <f>LEFT(F8,3)</f>
        <v>HCM</v>
      </c>
      <c r="D8" s="169" t="s">
        <v>78</v>
      </c>
      <c r="E8" s="179" t="s">
        <v>447</v>
      </c>
      <c r="F8" s="169" t="s">
        <v>79</v>
      </c>
      <c r="G8" s="169" t="s">
        <v>80</v>
      </c>
      <c r="H8" s="169">
        <v>8</v>
      </c>
      <c r="I8" s="169">
        <v>3</v>
      </c>
      <c r="J8" s="169">
        <v>230803</v>
      </c>
      <c r="K8" s="169" t="s">
        <v>468</v>
      </c>
      <c r="L8" s="169" t="s">
        <v>469</v>
      </c>
      <c r="M8" s="169">
        <f t="shared" si="1"/>
        <v>32</v>
      </c>
      <c r="N8" s="172" t="s">
        <v>264</v>
      </c>
      <c r="O8" s="172">
        <v>33800</v>
      </c>
      <c r="P8" s="172">
        <v>38900</v>
      </c>
      <c r="Q8" s="172" t="s">
        <v>246</v>
      </c>
      <c r="R8" s="317">
        <f t="shared" si="2"/>
        <v>4.53</v>
      </c>
      <c r="S8" s="317">
        <f t="shared" si="3"/>
        <v>4.59</v>
      </c>
      <c r="T8" s="172" t="s">
        <v>246</v>
      </c>
      <c r="U8" s="172">
        <v>1.7</v>
      </c>
      <c r="V8" s="172"/>
      <c r="W8" s="172"/>
      <c r="X8" s="172"/>
      <c r="Y8" s="172"/>
      <c r="Z8" s="172"/>
      <c r="AA8" s="172"/>
      <c r="AB8" s="172">
        <f>ROUNDUP('NHÓM QBL01'!$I$20,2)</f>
        <v>4.5599999999999996</v>
      </c>
      <c r="AC8" s="172">
        <f>ROUNDUP('NHÓM QBL 02'!$I$20,2)</f>
        <v>4.66</v>
      </c>
      <c r="AD8" s="172" t="s">
        <v>246</v>
      </c>
      <c r="AE8" s="172">
        <f t="shared" si="4"/>
        <v>-2.9999999999999361E-2</v>
      </c>
      <c r="AF8" s="172">
        <f t="shared" si="5"/>
        <v>-7.0000000000000284E-2</v>
      </c>
      <c r="AG8" s="172">
        <v>0</v>
      </c>
      <c r="AH8" s="172">
        <f>ROUNDUP('NHÓM QBL01'!$I$21,2)</f>
        <v>0.24000000000000002</v>
      </c>
      <c r="AI8" s="172">
        <f>ROUNDUP('NHÓM QBL 02'!$I$21,2)</f>
        <v>0.26</v>
      </c>
      <c r="AJ8" s="172">
        <v>0</v>
      </c>
      <c r="AK8" s="172">
        <f t="shared" si="6"/>
        <v>-0.12</v>
      </c>
      <c r="AL8" s="172">
        <f t="shared" si="7"/>
        <v>-0.27</v>
      </c>
      <c r="AM8" s="172">
        <v>0</v>
      </c>
      <c r="AN8" s="318">
        <f t="shared" si="8"/>
        <v>3</v>
      </c>
      <c r="AO8" s="318">
        <f t="shared" si="9"/>
        <v>3</v>
      </c>
      <c r="AP8" s="318">
        <v>3</v>
      </c>
      <c r="AQ8" s="172">
        <f t="shared" si="10"/>
        <v>9</v>
      </c>
      <c r="AR8" s="172">
        <f>ROUNDUP('HIEU XUAT'!$X$48,2)</f>
        <v>15.7</v>
      </c>
      <c r="AS8" s="172">
        <f>ROUNDUP('HIEU XUAT'!$X$50,2)</f>
        <v>3.3099999999999996</v>
      </c>
      <c r="AT8" s="172">
        <f>VLOOKUP(E8,'HIEU XUAT'!B:AF,23,0)</f>
        <v>16</v>
      </c>
      <c r="AU8" s="172">
        <f>VLOOKUP(E8,'HIEU XUAT'!B:AP,32,0)</f>
        <v>9.9999999999999992E-2</v>
      </c>
      <c r="AV8" s="172" t="s">
        <v>374</v>
      </c>
      <c r="AW8" s="172" t="s">
        <v>81</v>
      </c>
      <c r="AX8" s="172" t="s">
        <v>82</v>
      </c>
      <c r="AY8" s="172" t="s">
        <v>375</v>
      </c>
      <c r="AZ8" s="172"/>
      <c r="BA8" s="172" t="s">
        <v>376</v>
      </c>
      <c r="BB8" s="172" t="s">
        <v>176</v>
      </c>
      <c r="BC8" s="173" t="s">
        <v>300</v>
      </c>
      <c r="BD8" s="174" t="s">
        <v>470</v>
      </c>
      <c r="BE8" s="174" t="s">
        <v>476</v>
      </c>
      <c r="BF8" s="174" t="s">
        <v>472</v>
      </c>
      <c r="BG8" s="172" t="s">
        <v>84</v>
      </c>
      <c r="BH8" s="172" t="s">
        <v>58</v>
      </c>
      <c r="BI8" s="172">
        <v>-20</v>
      </c>
      <c r="BJ8" s="172"/>
      <c r="BK8" s="172"/>
      <c r="BL8" s="172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</row>
    <row r="9" spans="1:86" s="175" customFormat="1" ht="36.75" customHeight="1" x14ac:dyDescent="0.25">
      <c r="A9" s="172"/>
      <c r="B9" s="168">
        <v>8</v>
      </c>
      <c r="C9" s="169" t="str">
        <f t="shared" si="0"/>
        <v>BDH</v>
      </c>
      <c r="D9" s="169">
        <v>1</v>
      </c>
      <c r="E9" s="179" t="s">
        <v>212</v>
      </c>
      <c r="F9" s="171" t="s">
        <v>213</v>
      </c>
      <c r="G9" s="169" t="s">
        <v>214</v>
      </c>
      <c r="H9" s="169">
        <v>8</v>
      </c>
      <c r="I9" s="169">
        <v>3</v>
      </c>
      <c r="J9" s="169">
        <v>230803</v>
      </c>
      <c r="K9" s="169" t="s">
        <v>468</v>
      </c>
      <c r="L9" s="169" t="s">
        <v>469</v>
      </c>
      <c r="M9" s="169">
        <f t="shared" si="1"/>
        <v>32</v>
      </c>
      <c r="N9" s="172" t="s">
        <v>264</v>
      </c>
      <c r="O9" s="172">
        <v>62910</v>
      </c>
      <c r="P9" s="172">
        <v>97373</v>
      </c>
      <c r="Q9" s="172">
        <v>0</v>
      </c>
      <c r="R9" s="317">
        <f t="shared" si="2"/>
        <v>4.8</v>
      </c>
      <c r="S9" s="317">
        <f t="shared" si="3"/>
        <v>4.99</v>
      </c>
      <c r="T9" s="174" t="s">
        <v>245</v>
      </c>
      <c r="U9" s="172">
        <v>1.7</v>
      </c>
      <c r="V9" s="172"/>
      <c r="W9" s="172"/>
      <c r="X9" s="172"/>
      <c r="Y9" s="172"/>
      <c r="Z9" s="172"/>
      <c r="AA9" s="172"/>
      <c r="AB9" s="172">
        <f>ROUNDUP('NHÓM QBL01'!$I$20,2)</f>
        <v>4.5599999999999996</v>
      </c>
      <c r="AC9" s="172">
        <f>ROUNDUP('NHÓM QBL 02'!$I$20,2)</f>
        <v>4.66</v>
      </c>
      <c r="AD9" s="172" t="s">
        <v>246</v>
      </c>
      <c r="AE9" s="172">
        <f t="shared" si="4"/>
        <v>0.24000000000000021</v>
      </c>
      <c r="AF9" s="172">
        <f t="shared" si="5"/>
        <v>0.33000000000000007</v>
      </c>
      <c r="AG9" s="172">
        <v>0</v>
      </c>
      <c r="AH9" s="172">
        <f>ROUNDUP('NHÓM QBL01'!$I$21,2)</f>
        <v>0.24000000000000002</v>
      </c>
      <c r="AI9" s="172">
        <f>ROUNDUP('NHÓM QBL 02'!$I$21,2)</f>
        <v>0.26</v>
      </c>
      <c r="AJ9" s="172">
        <v>0</v>
      </c>
      <c r="AK9" s="172">
        <f t="shared" si="6"/>
        <v>1</v>
      </c>
      <c r="AL9" s="172">
        <f t="shared" si="7"/>
        <v>1.27</v>
      </c>
      <c r="AM9" s="172">
        <v>0</v>
      </c>
      <c r="AN9" s="318">
        <f t="shared" si="8"/>
        <v>3</v>
      </c>
      <c r="AO9" s="318">
        <f t="shared" si="9"/>
        <v>2</v>
      </c>
      <c r="AP9" s="318">
        <v>3</v>
      </c>
      <c r="AQ9" s="172">
        <f t="shared" si="10"/>
        <v>8</v>
      </c>
      <c r="AR9" s="172">
        <f>ROUNDUP('HIEU XUAT'!$X$48,2)</f>
        <v>15.7</v>
      </c>
      <c r="AS9" s="172">
        <f>ROUNDUP('HIEU XUAT'!$X$50,2)</f>
        <v>3.3099999999999996</v>
      </c>
      <c r="AT9" s="172">
        <f>VLOOKUP(E9,'HIEU XUAT'!B:AF,23,0)</f>
        <v>17</v>
      </c>
      <c r="AU9" s="172">
        <f>VLOOKUP(E9,'HIEU XUAT'!B:AP,32,0)</f>
        <v>0.4</v>
      </c>
      <c r="AV9" s="172"/>
      <c r="AW9" s="172"/>
      <c r="AX9" s="172" t="s">
        <v>215</v>
      </c>
      <c r="AY9" s="172" t="s">
        <v>176</v>
      </c>
      <c r="AZ9" s="172"/>
      <c r="BA9" s="172" t="s">
        <v>216</v>
      </c>
      <c r="BB9" s="181" t="s">
        <v>217</v>
      </c>
      <c r="BC9" s="173" t="s">
        <v>300</v>
      </c>
      <c r="BD9" s="174" t="s">
        <v>470</v>
      </c>
      <c r="BE9" s="174" t="s">
        <v>475</v>
      </c>
      <c r="BF9" s="174" t="s">
        <v>475</v>
      </c>
      <c r="BG9" s="172" t="s">
        <v>368</v>
      </c>
      <c r="BH9" s="172">
        <v>5</v>
      </c>
      <c r="BI9" s="172" t="s">
        <v>58</v>
      </c>
      <c r="BJ9" s="172"/>
      <c r="BK9" s="172"/>
      <c r="BL9" s="172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</row>
    <row r="10" spans="1:86" s="175" customFormat="1" ht="36.75" customHeight="1" x14ac:dyDescent="0.25">
      <c r="A10" s="172"/>
      <c r="B10" s="168">
        <v>9</v>
      </c>
      <c r="C10" s="169" t="str">
        <f t="shared" si="0"/>
        <v>DNG</v>
      </c>
      <c r="D10" s="169" t="s">
        <v>78</v>
      </c>
      <c r="E10" s="179" t="s">
        <v>218</v>
      </c>
      <c r="F10" s="171" t="s">
        <v>219</v>
      </c>
      <c r="G10" s="169" t="s">
        <v>220</v>
      </c>
      <c r="H10" s="169">
        <v>8</v>
      </c>
      <c r="I10" s="169">
        <v>3</v>
      </c>
      <c r="J10" s="169">
        <v>230803</v>
      </c>
      <c r="K10" s="169" t="s">
        <v>468</v>
      </c>
      <c r="L10" s="169" t="s">
        <v>469</v>
      </c>
      <c r="M10" s="169">
        <f t="shared" si="1"/>
        <v>32</v>
      </c>
      <c r="N10" s="172" t="s">
        <v>264</v>
      </c>
      <c r="O10" s="172">
        <v>36586</v>
      </c>
      <c r="P10" s="172">
        <v>64288</v>
      </c>
      <c r="Q10" s="172" t="s">
        <v>246</v>
      </c>
      <c r="R10" s="317">
        <f t="shared" si="2"/>
        <v>4.5599999999999996</v>
      </c>
      <c r="S10" s="317">
        <f t="shared" si="3"/>
        <v>4.8099999999999996</v>
      </c>
      <c r="T10" s="172" t="s">
        <v>246</v>
      </c>
      <c r="U10" s="172">
        <v>1.7</v>
      </c>
      <c r="V10" s="172"/>
      <c r="W10" s="172"/>
      <c r="X10" s="172"/>
      <c r="Y10" s="172"/>
      <c r="Z10" s="172"/>
      <c r="AA10" s="172"/>
      <c r="AB10" s="172">
        <f>ROUNDUP('NHÓM QBL01'!$I$20,2)</f>
        <v>4.5599999999999996</v>
      </c>
      <c r="AC10" s="172">
        <f>ROUNDUP('NHÓM QBL 02'!$I$20,2)</f>
        <v>4.66</v>
      </c>
      <c r="AD10" s="172" t="s">
        <v>246</v>
      </c>
      <c r="AE10" s="172">
        <f t="shared" si="4"/>
        <v>0</v>
      </c>
      <c r="AF10" s="172">
        <f t="shared" si="5"/>
        <v>0.14999999999999947</v>
      </c>
      <c r="AG10" s="172">
        <v>0</v>
      </c>
      <c r="AH10" s="172">
        <f>ROUNDUP('NHÓM QBL01'!$I$21,2)</f>
        <v>0.24000000000000002</v>
      </c>
      <c r="AI10" s="172">
        <f>ROUNDUP('NHÓM QBL 02'!$I$21,2)</f>
        <v>0.26</v>
      </c>
      <c r="AJ10" s="172">
        <v>0</v>
      </c>
      <c r="AK10" s="172">
        <f t="shared" si="6"/>
        <v>0</v>
      </c>
      <c r="AL10" s="172">
        <f t="shared" si="7"/>
        <v>0.57999999999999996</v>
      </c>
      <c r="AM10" s="172">
        <v>0</v>
      </c>
      <c r="AN10" s="318">
        <f t="shared" si="8"/>
        <v>3</v>
      </c>
      <c r="AO10" s="318">
        <f t="shared" si="9"/>
        <v>3</v>
      </c>
      <c r="AP10" s="318">
        <v>3</v>
      </c>
      <c r="AQ10" s="172">
        <f t="shared" si="10"/>
        <v>9</v>
      </c>
      <c r="AR10" s="172">
        <f>ROUNDUP('HIEU XUAT'!$X$48,2)</f>
        <v>15.7</v>
      </c>
      <c r="AS10" s="172">
        <f>ROUNDUP('HIEU XUAT'!$X$50,2)</f>
        <v>3.3099999999999996</v>
      </c>
      <c r="AT10" s="172">
        <f>VLOOKUP(E10,'HIEU XUAT'!B:AF,23,0)</f>
        <v>17</v>
      </c>
      <c r="AU10" s="172">
        <f>VLOOKUP(E10,'HIEU XUAT'!B:AP,32,0)</f>
        <v>0.4</v>
      </c>
      <c r="AV10" s="172" t="s">
        <v>221</v>
      </c>
      <c r="AW10" s="172"/>
      <c r="AX10" s="172" t="s">
        <v>222</v>
      </c>
      <c r="AY10" s="172" t="s">
        <v>223</v>
      </c>
      <c r="AZ10" s="172"/>
      <c r="BA10" s="172" t="s">
        <v>417</v>
      </c>
      <c r="BB10" s="181" t="s">
        <v>217</v>
      </c>
      <c r="BC10" s="173" t="s">
        <v>300</v>
      </c>
      <c r="BD10" s="174" t="s">
        <v>470</v>
      </c>
      <c r="BE10" s="174" t="s">
        <v>476</v>
      </c>
      <c r="BF10" s="174" t="s">
        <v>482</v>
      </c>
      <c r="BG10" s="172" t="s">
        <v>333</v>
      </c>
      <c r="BH10" s="172" t="s">
        <v>224</v>
      </c>
      <c r="BI10" s="172" t="s">
        <v>58</v>
      </c>
      <c r="BJ10" s="172"/>
      <c r="BK10" s="172"/>
      <c r="BL10" s="172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</row>
    <row r="11" spans="1:86" s="166" customFormat="1" ht="36.75" customHeight="1" x14ac:dyDescent="0.25">
      <c r="A11" s="158"/>
      <c r="B11" s="159">
        <v>10</v>
      </c>
      <c r="C11" s="160" t="str">
        <f>LEFT(F11,3)</f>
        <v>HCM</v>
      </c>
      <c r="D11" s="160" t="s">
        <v>78</v>
      </c>
      <c r="E11" s="161" t="s">
        <v>448</v>
      </c>
      <c r="F11" s="160" t="s">
        <v>85</v>
      </c>
      <c r="G11" s="160" t="s">
        <v>86</v>
      </c>
      <c r="H11" s="160">
        <v>8</v>
      </c>
      <c r="I11" s="160">
        <v>3</v>
      </c>
      <c r="J11" s="160">
        <v>230803</v>
      </c>
      <c r="K11" s="160" t="s">
        <v>468</v>
      </c>
      <c r="L11" s="160" t="s">
        <v>469</v>
      </c>
      <c r="M11" s="160">
        <f t="shared" si="1"/>
        <v>32</v>
      </c>
      <c r="N11" s="158"/>
      <c r="O11" s="158"/>
      <c r="P11" s="158"/>
      <c r="Q11" s="158"/>
      <c r="R11" s="158" t="str">
        <f t="shared" si="2"/>
        <v/>
      </c>
      <c r="S11" s="158" t="str">
        <f t="shared" si="3"/>
        <v/>
      </c>
      <c r="T11" s="158"/>
      <c r="U11" s="158">
        <v>1.7</v>
      </c>
      <c r="V11" s="158"/>
      <c r="W11" s="158"/>
      <c r="X11" s="158"/>
      <c r="Y11" s="158"/>
      <c r="Z11" s="158"/>
      <c r="AA11" s="158"/>
      <c r="AB11" s="158">
        <f>ROUNDUP('NHÓM QBL01'!$I$20,2)</f>
        <v>4.5599999999999996</v>
      </c>
      <c r="AC11" s="158">
        <f>ROUNDUP('NHÓM QBL 02'!$I$20,2)</f>
        <v>4.66</v>
      </c>
      <c r="AD11" s="158" t="s">
        <v>246</v>
      </c>
      <c r="AE11" s="158" t="str">
        <f t="shared" si="4"/>
        <v/>
      </c>
      <c r="AF11" s="158" t="str">
        <f t="shared" si="5"/>
        <v/>
      </c>
      <c r="AG11" s="158">
        <v>0</v>
      </c>
      <c r="AH11" s="158">
        <f>ROUNDUP('NHÓM QBL01'!$I$21,2)</f>
        <v>0.24000000000000002</v>
      </c>
      <c r="AI11" s="158">
        <f>ROUNDUP('NHÓM QBL 02'!$I$21,2)</f>
        <v>0.26</v>
      </c>
      <c r="AJ11" s="158">
        <v>0</v>
      </c>
      <c r="AK11" s="158" t="str">
        <f t="shared" si="6"/>
        <v/>
      </c>
      <c r="AL11" s="158" t="str">
        <f t="shared" si="7"/>
        <v/>
      </c>
      <c r="AM11" s="158">
        <v>0</v>
      </c>
      <c r="AN11" s="316" t="str">
        <f t="shared" si="8"/>
        <v/>
      </c>
      <c r="AO11" s="316" t="str">
        <f t="shared" si="9"/>
        <v/>
      </c>
      <c r="AP11" s="316"/>
      <c r="AQ11" s="158" t="str">
        <f t="shared" si="10"/>
        <v/>
      </c>
      <c r="AR11" s="158">
        <f>ROUNDUP('HIEU XUAT'!$X$48,2)</f>
        <v>15.7</v>
      </c>
      <c r="AS11" s="158">
        <f>ROUNDUP('HIEU XUAT'!$X$50,2)</f>
        <v>3.3099999999999996</v>
      </c>
      <c r="AT11" s="158">
        <f>VLOOKUP(E11,'HIEU XUAT'!B:AF,23,0)</f>
        <v>8</v>
      </c>
      <c r="AU11" s="158">
        <f>VLOOKUP(E11,'HIEU XUAT'!B:AP,32,0)</f>
        <v>-2.34</v>
      </c>
      <c r="AV11" s="158" t="s">
        <v>421</v>
      </c>
      <c r="AW11" s="158"/>
      <c r="AX11" s="158"/>
      <c r="AY11" s="158" t="s">
        <v>375</v>
      </c>
      <c r="AZ11" s="158"/>
      <c r="BA11" s="158" t="s">
        <v>422</v>
      </c>
      <c r="BB11" s="158" t="s">
        <v>143</v>
      </c>
      <c r="BC11" s="162" t="s">
        <v>300</v>
      </c>
      <c r="BD11" s="163"/>
      <c r="BE11" s="163"/>
      <c r="BF11" s="163" t="s">
        <v>472</v>
      </c>
      <c r="BG11" s="158"/>
      <c r="BH11" s="158"/>
      <c r="BI11" s="158"/>
      <c r="BJ11" s="158"/>
      <c r="BK11" s="158"/>
      <c r="BL11" s="158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4"/>
      <c r="BY11" s="164"/>
      <c r="BZ11" s="164"/>
      <c r="CA11" s="164"/>
      <c r="CB11" s="164"/>
      <c r="CC11" s="164"/>
      <c r="CD11" s="164"/>
      <c r="CE11" s="164"/>
      <c r="CF11" s="164"/>
      <c r="CG11" s="164"/>
      <c r="CH11" s="164"/>
    </row>
    <row r="12" spans="1:86" s="187" customFormat="1" ht="36.75" customHeight="1" x14ac:dyDescent="0.25">
      <c r="A12" s="182"/>
      <c r="B12" s="183">
        <v>11</v>
      </c>
      <c r="C12" s="184"/>
      <c r="D12" s="184"/>
      <c r="E12" s="185" t="s">
        <v>413</v>
      </c>
      <c r="F12" s="186" t="s">
        <v>250</v>
      </c>
      <c r="G12" s="184" t="s">
        <v>406</v>
      </c>
      <c r="H12" s="184">
        <v>8</v>
      </c>
      <c r="I12" s="184">
        <v>3</v>
      </c>
      <c r="J12" s="184">
        <v>230803</v>
      </c>
      <c r="K12" s="184" t="s">
        <v>468</v>
      </c>
      <c r="L12" s="184" t="s">
        <v>469</v>
      </c>
      <c r="M12" s="184">
        <f t="shared" si="1"/>
        <v>32</v>
      </c>
      <c r="N12" s="189" t="s">
        <v>264</v>
      </c>
      <c r="O12" s="189">
        <v>35100</v>
      </c>
      <c r="P12" s="189">
        <v>40500</v>
      </c>
      <c r="Q12" s="189" t="s">
        <v>415</v>
      </c>
      <c r="R12" s="189">
        <f t="shared" si="2"/>
        <v>4.55</v>
      </c>
      <c r="S12" s="189">
        <f t="shared" si="3"/>
        <v>4.6100000000000003</v>
      </c>
      <c r="T12" s="189" t="s">
        <v>415</v>
      </c>
      <c r="U12" s="189">
        <v>5.82</v>
      </c>
      <c r="V12" s="189"/>
      <c r="W12" s="189"/>
      <c r="X12" s="189"/>
      <c r="Y12" s="189"/>
      <c r="Z12" s="189"/>
      <c r="AA12" s="189"/>
      <c r="AB12" s="189">
        <f>ROUNDUP('NHÓM QBL01'!$I$39,2)</f>
        <v>4.5</v>
      </c>
      <c r="AC12" s="189">
        <f>ROUNDUP('NHÓM QBL 02'!$I$39,2)</f>
        <v>4.58</v>
      </c>
      <c r="AD12" s="189" t="s">
        <v>246</v>
      </c>
      <c r="AE12" s="189">
        <f t="shared" si="4"/>
        <v>4.9999999999999822E-2</v>
      </c>
      <c r="AF12" s="189">
        <f t="shared" si="5"/>
        <v>3.0000000000000249E-2</v>
      </c>
      <c r="AG12" s="189">
        <v>0</v>
      </c>
      <c r="AH12" s="189">
        <f>ROUNDUP('NHÓM QBL01'!$I$40,2)</f>
        <v>0.18000000000000002</v>
      </c>
      <c r="AI12" s="189">
        <f>ROUNDUP('NHÓM QBL 02'!$I$40,2)</f>
        <v>0.15000000000000002</v>
      </c>
      <c r="AJ12" s="189">
        <v>0</v>
      </c>
      <c r="AK12" s="189">
        <f t="shared" si="6"/>
        <v>0.28000000000000003</v>
      </c>
      <c r="AL12" s="189">
        <f t="shared" si="7"/>
        <v>0.2</v>
      </c>
      <c r="AM12" s="189">
        <v>0</v>
      </c>
      <c r="AN12" s="189">
        <f t="shared" si="8"/>
        <v>3</v>
      </c>
      <c r="AO12" s="189">
        <f t="shared" si="9"/>
        <v>3</v>
      </c>
      <c r="AP12" s="189">
        <v>3</v>
      </c>
      <c r="AQ12" s="189">
        <f t="shared" si="10"/>
        <v>9</v>
      </c>
      <c r="AR12" s="189">
        <f>ROUNDUP('HIEU XUAT'!$X$48,2)</f>
        <v>15.7</v>
      </c>
      <c r="AS12" s="189">
        <f>ROUNDUP('HIEU XUAT'!$X$50,2)</f>
        <v>3.3099999999999996</v>
      </c>
      <c r="AT12" s="189">
        <f>VLOOKUP(E12,'HIEU XUAT'!B:AF,23,0)</f>
        <v>18</v>
      </c>
      <c r="AU12" s="189">
        <f>VLOOKUP(E12,'HIEU XUAT'!B:AP,32,0)</f>
        <v>0.7</v>
      </c>
      <c r="AV12" s="189" t="s">
        <v>114</v>
      </c>
      <c r="AW12" s="189"/>
      <c r="AX12" s="189" t="s">
        <v>384</v>
      </c>
      <c r="AY12" s="189" t="s">
        <v>385</v>
      </c>
      <c r="AZ12" s="189"/>
      <c r="BA12" s="189" t="s">
        <v>386</v>
      </c>
      <c r="BB12" s="189" t="s">
        <v>104</v>
      </c>
      <c r="BC12" s="189" t="s">
        <v>296</v>
      </c>
      <c r="BD12" s="189" t="s">
        <v>470</v>
      </c>
      <c r="BE12" s="189" t="s">
        <v>473</v>
      </c>
      <c r="BF12" s="189" t="s">
        <v>474</v>
      </c>
      <c r="BG12" s="189" t="s">
        <v>137</v>
      </c>
      <c r="BH12" s="189"/>
      <c r="BI12" s="189" t="s">
        <v>58</v>
      </c>
      <c r="BJ12" s="189"/>
      <c r="BK12" s="189"/>
      <c r="BL12" s="189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</row>
    <row r="13" spans="1:86" s="187" customFormat="1" ht="36.75" customHeight="1" x14ac:dyDescent="0.25">
      <c r="A13" s="182"/>
      <c r="B13" s="183">
        <v>12</v>
      </c>
      <c r="C13" s="184"/>
      <c r="D13" s="184"/>
      <c r="E13" s="185" t="s">
        <v>410</v>
      </c>
      <c r="F13" s="186" t="s">
        <v>366</v>
      </c>
      <c r="G13" s="184" t="s">
        <v>409</v>
      </c>
      <c r="H13" s="184">
        <v>8</v>
      </c>
      <c r="I13" s="184">
        <v>3</v>
      </c>
      <c r="J13" s="184">
        <v>230803</v>
      </c>
      <c r="K13" s="184" t="s">
        <v>468</v>
      </c>
      <c r="L13" s="184" t="s">
        <v>469</v>
      </c>
      <c r="M13" s="184">
        <f t="shared" si="1"/>
        <v>32</v>
      </c>
      <c r="N13" s="189" t="s">
        <v>264</v>
      </c>
      <c r="O13" s="189">
        <v>36800</v>
      </c>
      <c r="P13" s="189">
        <v>49100</v>
      </c>
      <c r="Q13" s="189" t="s">
        <v>416</v>
      </c>
      <c r="R13" s="189">
        <f t="shared" si="2"/>
        <v>4.57</v>
      </c>
      <c r="S13" s="189">
        <f t="shared" si="3"/>
        <v>4.6900000000000004</v>
      </c>
      <c r="T13" s="189" t="s">
        <v>416</v>
      </c>
      <c r="U13" s="189">
        <v>5.82</v>
      </c>
      <c r="V13" s="189"/>
      <c r="W13" s="189"/>
      <c r="X13" s="189"/>
      <c r="Y13" s="189"/>
      <c r="Z13" s="189"/>
      <c r="AA13" s="189"/>
      <c r="AB13" s="189">
        <f>ROUNDUP('NHÓM QBL01'!$I$39,2)</f>
        <v>4.5</v>
      </c>
      <c r="AC13" s="189">
        <f>ROUNDUP('NHÓM QBL 02'!$I$39,2)</f>
        <v>4.58</v>
      </c>
      <c r="AD13" s="189" t="s">
        <v>246</v>
      </c>
      <c r="AE13" s="189">
        <f t="shared" si="4"/>
        <v>7.0000000000000284E-2</v>
      </c>
      <c r="AF13" s="189">
        <f t="shared" si="5"/>
        <v>0.11000000000000032</v>
      </c>
      <c r="AG13" s="189">
        <v>0</v>
      </c>
      <c r="AH13" s="189">
        <f>ROUNDUP('NHÓM QBL01'!$I$40,2)</f>
        <v>0.18000000000000002</v>
      </c>
      <c r="AI13" s="189">
        <f>ROUNDUP('NHÓM QBL 02'!$I$40,2)</f>
        <v>0.15000000000000002</v>
      </c>
      <c r="AJ13" s="189">
        <v>0</v>
      </c>
      <c r="AK13" s="189">
        <f t="shared" si="6"/>
        <v>0.39</v>
      </c>
      <c r="AL13" s="189">
        <f t="shared" si="7"/>
        <v>0.73</v>
      </c>
      <c r="AM13" s="189">
        <v>0</v>
      </c>
      <c r="AN13" s="189">
        <f t="shared" si="8"/>
        <v>3</v>
      </c>
      <c r="AO13" s="189">
        <f t="shared" si="9"/>
        <v>3</v>
      </c>
      <c r="AP13" s="189">
        <v>3</v>
      </c>
      <c r="AQ13" s="189">
        <f t="shared" si="10"/>
        <v>9</v>
      </c>
      <c r="AR13" s="189">
        <f>ROUNDUP('HIEU XUAT'!$X$48,2)</f>
        <v>15.7</v>
      </c>
      <c r="AS13" s="189">
        <f>ROUNDUP('HIEU XUAT'!$X$50,2)</f>
        <v>3.3099999999999996</v>
      </c>
      <c r="AT13" s="189">
        <f>VLOOKUP(E13,'HIEU XUAT'!B:AF,23,0)</f>
        <v>18</v>
      </c>
      <c r="AU13" s="189">
        <f>VLOOKUP(E13,'HIEU XUAT'!B:AP,32,0)</f>
        <v>0.7</v>
      </c>
      <c r="AV13" s="189" t="s">
        <v>393</v>
      </c>
      <c r="AW13" s="189" t="s">
        <v>394</v>
      </c>
      <c r="AX13" s="189" t="s">
        <v>395</v>
      </c>
      <c r="AY13" s="189" t="s">
        <v>393</v>
      </c>
      <c r="AZ13" s="189" t="s">
        <v>167</v>
      </c>
      <c r="BA13" s="189" t="s">
        <v>396</v>
      </c>
      <c r="BB13" s="189" t="s">
        <v>104</v>
      </c>
      <c r="BC13" s="189" t="s">
        <v>296</v>
      </c>
      <c r="BD13" s="189" t="s">
        <v>470</v>
      </c>
      <c r="BE13" s="189" t="s">
        <v>475</v>
      </c>
      <c r="BF13" s="189" t="s">
        <v>473</v>
      </c>
      <c r="BG13" s="189" t="s">
        <v>67</v>
      </c>
      <c r="BH13" s="189">
        <v>5</v>
      </c>
      <c r="BI13" s="189" t="s">
        <v>58</v>
      </c>
      <c r="BJ13" s="189"/>
      <c r="BK13" s="189"/>
      <c r="BL13" s="189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</row>
    <row r="14" spans="1:86" s="187" customFormat="1" ht="36.75" customHeight="1" x14ac:dyDescent="0.25">
      <c r="A14" s="182"/>
      <c r="B14" s="183">
        <v>13</v>
      </c>
      <c r="C14" s="184" t="str">
        <f t="shared" si="0"/>
        <v>DNI</v>
      </c>
      <c r="D14" s="184">
        <v>1</v>
      </c>
      <c r="E14" s="188" t="s">
        <v>105</v>
      </c>
      <c r="F14" s="184" t="s">
        <v>106</v>
      </c>
      <c r="G14" s="184" t="s">
        <v>107</v>
      </c>
      <c r="H14" s="184">
        <v>8</v>
      </c>
      <c r="I14" s="184">
        <v>3</v>
      </c>
      <c r="J14" s="184">
        <v>230803</v>
      </c>
      <c r="K14" s="184" t="s">
        <v>468</v>
      </c>
      <c r="L14" s="184" t="s">
        <v>469</v>
      </c>
      <c r="M14" s="184">
        <f t="shared" si="1"/>
        <v>32</v>
      </c>
      <c r="N14" s="189" t="s">
        <v>264</v>
      </c>
      <c r="O14" s="189">
        <v>20300</v>
      </c>
      <c r="P14" s="189">
        <v>27600</v>
      </c>
      <c r="Q14" s="189" t="s">
        <v>351</v>
      </c>
      <c r="R14" s="189">
        <f t="shared" si="2"/>
        <v>4.3099999999999996</v>
      </c>
      <c r="S14" s="189">
        <f t="shared" si="3"/>
        <v>4.4400000000000004</v>
      </c>
      <c r="T14" s="189" t="s">
        <v>351</v>
      </c>
      <c r="U14" s="189"/>
      <c r="V14" s="189"/>
      <c r="W14" s="189"/>
      <c r="X14" s="189"/>
      <c r="Y14" s="189"/>
      <c r="Z14" s="189"/>
      <c r="AA14" s="189"/>
      <c r="AB14" s="189">
        <f>ROUNDUP('NHÓM QBL01'!$I$39,2)</f>
        <v>4.5</v>
      </c>
      <c r="AC14" s="189">
        <f>ROUNDUP('NHÓM QBL 02'!$I$39,2)</f>
        <v>4.58</v>
      </c>
      <c r="AD14" s="189" t="s">
        <v>246</v>
      </c>
      <c r="AE14" s="189">
        <f t="shared" si="4"/>
        <v>-0.19000000000000039</v>
      </c>
      <c r="AF14" s="189">
        <f t="shared" si="5"/>
        <v>-0.13999999999999968</v>
      </c>
      <c r="AG14" s="189">
        <v>0</v>
      </c>
      <c r="AH14" s="189">
        <f>ROUNDUP('NHÓM QBL01'!$I$40,2)</f>
        <v>0.18000000000000002</v>
      </c>
      <c r="AI14" s="189">
        <f>ROUNDUP('NHÓM QBL 02'!$I$40,2)</f>
        <v>0.15000000000000002</v>
      </c>
      <c r="AJ14" s="189">
        <v>0</v>
      </c>
      <c r="AK14" s="189">
        <f t="shared" si="6"/>
        <v>-1.06</v>
      </c>
      <c r="AL14" s="189">
        <f t="shared" si="7"/>
        <v>-0.93</v>
      </c>
      <c r="AM14" s="189">
        <v>0</v>
      </c>
      <c r="AN14" s="319">
        <f t="shared" si="8"/>
        <v>2</v>
      </c>
      <c r="AO14" s="319">
        <f t="shared" si="9"/>
        <v>3</v>
      </c>
      <c r="AP14" s="319">
        <v>3</v>
      </c>
      <c r="AQ14" s="189">
        <f t="shared" si="10"/>
        <v>8</v>
      </c>
      <c r="AR14" s="189">
        <f>ROUNDUP('HIEU XUAT'!$X$48,2)</f>
        <v>15.7</v>
      </c>
      <c r="AS14" s="189">
        <f>ROUNDUP('HIEU XUAT'!$X$50,2)</f>
        <v>3.3099999999999996</v>
      </c>
      <c r="AT14" s="189">
        <f>VLOOKUP(E14,'HIEU XUAT'!B:AF,23,0)</f>
        <v>11</v>
      </c>
      <c r="AU14" s="189">
        <f>VLOOKUP(E14,'HIEU XUAT'!B:AP,32,0)</f>
        <v>-1.43</v>
      </c>
      <c r="AV14" s="189"/>
      <c r="AW14" s="189"/>
      <c r="AX14" s="189"/>
      <c r="AY14" s="189" t="s">
        <v>276</v>
      </c>
      <c r="AZ14" s="189"/>
      <c r="BA14" s="189" t="s">
        <v>108</v>
      </c>
      <c r="BB14" s="190" t="s">
        <v>104</v>
      </c>
      <c r="BC14" s="190" t="s">
        <v>296</v>
      </c>
      <c r="BD14" s="189"/>
      <c r="BE14" s="189"/>
      <c r="BF14" s="189" t="s">
        <v>472</v>
      </c>
      <c r="BG14" s="189"/>
      <c r="BH14" s="189"/>
      <c r="BI14" s="189"/>
      <c r="BJ14" s="189"/>
      <c r="BK14" s="189"/>
      <c r="BL14" s="189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</row>
    <row r="15" spans="1:86" s="195" customFormat="1" ht="36.75" customHeight="1" x14ac:dyDescent="0.25">
      <c r="A15" s="191"/>
      <c r="B15" s="289">
        <v>14</v>
      </c>
      <c r="C15" s="192" t="str">
        <f t="shared" si="0"/>
        <v>DNG</v>
      </c>
      <c r="D15" s="192">
        <v>1</v>
      </c>
      <c r="E15" s="290" t="s">
        <v>109</v>
      </c>
      <c r="F15" s="192" t="s">
        <v>110</v>
      </c>
      <c r="G15" s="192" t="s">
        <v>111</v>
      </c>
      <c r="H15" s="192">
        <v>8</v>
      </c>
      <c r="I15" s="192">
        <v>3</v>
      </c>
      <c r="J15" s="192">
        <v>230803</v>
      </c>
      <c r="K15" s="192" t="s">
        <v>468</v>
      </c>
      <c r="L15" s="192" t="s">
        <v>469</v>
      </c>
      <c r="M15" s="192">
        <f t="shared" si="1"/>
        <v>32</v>
      </c>
      <c r="N15" s="191"/>
      <c r="O15" s="191"/>
      <c r="P15" s="191"/>
      <c r="Q15" s="191"/>
      <c r="R15" s="191" t="str">
        <f t="shared" si="2"/>
        <v/>
      </c>
      <c r="S15" s="191" t="str">
        <f t="shared" si="3"/>
        <v/>
      </c>
      <c r="T15" s="191"/>
      <c r="U15" s="191">
        <v>5.82</v>
      </c>
      <c r="V15" s="191"/>
      <c r="W15" s="191"/>
      <c r="X15" s="191"/>
      <c r="Y15" s="191"/>
      <c r="Z15" s="191"/>
      <c r="AA15" s="191"/>
      <c r="AB15" s="191">
        <f>ROUNDUP('NHÓM QBL01'!$I$39,2)</f>
        <v>4.5</v>
      </c>
      <c r="AC15" s="191">
        <f>ROUNDUP('NHÓM QBL 02'!$I$39,2)</f>
        <v>4.58</v>
      </c>
      <c r="AD15" s="191" t="s">
        <v>246</v>
      </c>
      <c r="AE15" s="191" t="str">
        <f t="shared" si="4"/>
        <v/>
      </c>
      <c r="AF15" s="191" t="str">
        <f t="shared" si="5"/>
        <v/>
      </c>
      <c r="AG15" s="191">
        <v>0</v>
      </c>
      <c r="AH15" s="191">
        <f>ROUNDUP('NHÓM QBL01'!$I$40,2)</f>
        <v>0.18000000000000002</v>
      </c>
      <c r="AI15" s="191">
        <f>ROUNDUP('NHÓM QBL 02'!$I$40,2)</f>
        <v>0.15000000000000002</v>
      </c>
      <c r="AJ15" s="191">
        <v>0</v>
      </c>
      <c r="AK15" s="191" t="str">
        <f t="shared" si="6"/>
        <v/>
      </c>
      <c r="AL15" s="191" t="str">
        <f t="shared" si="7"/>
        <v/>
      </c>
      <c r="AM15" s="191">
        <v>0</v>
      </c>
      <c r="AN15" s="320" t="str">
        <f t="shared" si="8"/>
        <v/>
      </c>
      <c r="AO15" s="320" t="str">
        <f t="shared" si="9"/>
        <v/>
      </c>
      <c r="AP15" s="320"/>
      <c r="AQ15" s="191" t="str">
        <f t="shared" si="10"/>
        <v/>
      </c>
      <c r="AR15" s="191">
        <f>ROUNDUP('HIEU XUAT'!$X$48,2)</f>
        <v>15.7</v>
      </c>
      <c r="AS15" s="191">
        <f>ROUNDUP('HIEU XUAT'!$X$50,2)</f>
        <v>3.3099999999999996</v>
      </c>
      <c r="AT15" s="191" t="str">
        <f>VLOOKUP(E15,'HIEU XUAT'!B:AF,23,0)</f>
        <v>N/A</v>
      </c>
      <c r="AU15" s="191" t="str">
        <f>VLOOKUP(E15,'HIEU XUAT'!B:AP,32,0)</f>
        <v>N/A</v>
      </c>
      <c r="AV15" s="191" t="s">
        <v>112</v>
      </c>
      <c r="AW15" s="191" t="s">
        <v>113</v>
      </c>
      <c r="AX15" s="191" t="s">
        <v>114</v>
      </c>
      <c r="AY15" s="191" t="s">
        <v>115</v>
      </c>
      <c r="AZ15" s="191" t="s">
        <v>116</v>
      </c>
      <c r="BA15" s="191" t="s">
        <v>117</v>
      </c>
      <c r="BB15" s="194" t="s">
        <v>104</v>
      </c>
      <c r="BC15" s="194" t="s">
        <v>296</v>
      </c>
      <c r="BD15" s="274" t="s">
        <v>439</v>
      </c>
      <c r="BE15" s="274" t="s">
        <v>441</v>
      </c>
      <c r="BF15" s="274" t="s">
        <v>441</v>
      </c>
      <c r="BG15" s="191" t="s">
        <v>67</v>
      </c>
      <c r="BH15" s="191" t="s">
        <v>155</v>
      </c>
      <c r="BI15" s="191" t="s">
        <v>319</v>
      </c>
      <c r="BJ15" s="191"/>
      <c r="BK15" s="191"/>
      <c r="BL15" s="191"/>
      <c r="BM15" s="164"/>
      <c r="BN15" s="164"/>
      <c r="BO15" s="164"/>
      <c r="BP15" s="164"/>
      <c r="BQ15" s="164"/>
      <c r="BR15" s="164"/>
      <c r="BS15" s="164"/>
      <c r="BT15" s="164"/>
      <c r="BU15" s="164"/>
      <c r="BV15" s="164"/>
      <c r="BW15" s="164"/>
      <c r="BX15" s="164"/>
      <c r="BY15" s="164"/>
      <c r="BZ15" s="164"/>
      <c r="CA15" s="164"/>
      <c r="CB15" s="164"/>
      <c r="CC15" s="164"/>
      <c r="CD15" s="164"/>
      <c r="CE15" s="164"/>
      <c r="CF15" s="164"/>
      <c r="CG15" s="164"/>
      <c r="CH15" s="164"/>
    </row>
    <row r="16" spans="1:86" s="277" customFormat="1" ht="36.75" customHeight="1" x14ac:dyDescent="0.25">
      <c r="A16" s="275"/>
      <c r="B16" s="291">
        <v>15</v>
      </c>
      <c r="C16" s="275" t="str">
        <f t="shared" si="0"/>
        <v>QNM</v>
      </c>
      <c r="D16" s="275"/>
      <c r="E16" s="185" t="s">
        <v>124</v>
      </c>
      <c r="F16" s="292" t="s">
        <v>125</v>
      </c>
      <c r="G16" s="292" t="s">
        <v>126</v>
      </c>
      <c r="H16" s="186">
        <v>8</v>
      </c>
      <c r="I16" s="186">
        <v>3</v>
      </c>
      <c r="J16" s="186">
        <v>230803</v>
      </c>
      <c r="K16" s="186" t="s">
        <v>468</v>
      </c>
      <c r="L16" s="186" t="s">
        <v>469</v>
      </c>
      <c r="M16" s="292">
        <f t="shared" si="1"/>
        <v>32</v>
      </c>
      <c r="N16" s="275" t="s">
        <v>264</v>
      </c>
      <c r="O16" s="275">
        <v>48400</v>
      </c>
      <c r="P16" s="275">
        <v>48400</v>
      </c>
      <c r="Q16" s="275">
        <v>0</v>
      </c>
      <c r="R16" s="275">
        <f t="shared" si="2"/>
        <v>4.68</v>
      </c>
      <c r="S16" s="275">
        <f t="shared" si="3"/>
        <v>4.68</v>
      </c>
      <c r="T16" s="329" t="s">
        <v>245</v>
      </c>
      <c r="U16" s="275">
        <v>5.82</v>
      </c>
      <c r="V16" s="275"/>
      <c r="W16" s="275"/>
      <c r="X16" s="275"/>
      <c r="Y16" s="275"/>
      <c r="Z16" s="275"/>
      <c r="AA16" s="275"/>
      <c r="AB16" s="275">
        <f>ROUNDUP('NHÓM QBL01'!$I$39,2)</f>
        <v>4.5</v>
      </c>
      <c r="AC16" s="275">
        <f>ROUNDUP('NHÓM QBL 02'!$I$39,2)</f>
        <v>4.58</v>
      </c>
      <c r="AD16" s="275" t="s">
        <v>246</v>
      </c>
      <c r="AE16" s="275">
        <f t="shared" si="4"/>
        <v>0.17999999999999972</v>
      </c>
      <c r="AF16" s="275">
        <f t="shared" si="5"/>
        <v>9.9999999999999645E-2</v>
      </c>
      <c r="AG16" s="275">
        <v>0</v>
      </c>
      <c r="AH16" s="275">
        <f>ROUNDUP('NHÓM QBL01'!$I$40,2)</f>
        <v>0.18000000000000002</v>
      </c>
      <c r="AI16" s="275">
        <f>ROUNDUP('NHÓM QBL 02'!$I$40,2)</f>
        <v>0.15000000000000002</v>
      </c>
      <c r="AJ16" s="275">
        <v>0</v>
      </c>
      <c r="AK16" s="275">
        <f t="shared" si="6"/>
        <v>1</v>
      </c>
      <c r="AL16" s="275">
        <f t="shared" si="7"/>
        <v>0.67</v>
      </c>
      <c r="AM16" s="275">
        <v>0</v>
      </c>
      <c r="AN16" s="321">
        <f t="shared" si="8"/>
        <v>3</v>
      </c>
      <c r="AO16" s="321">
        <f t="shared" si="9"/>
        <v>3</v>
      </c>
      <c r="AP16" s="321">
        <v>3</v>
      </c>
      <c r="AQ16" s="275">
        <f t="shared" si="10"/>
        <v>9</v>
      </c>
      <c r="AR16" s="275">
        <f>ROUNDUP('HIEU XUAT'!$X$48,2)</f>
        <v>15.7</v>
      </c>
      <c r="AS16" s="275">
        <f>ROUNDUP('HIEU XUAT'!$X$50,2)</f>
        <v>3.3099999999999996</v>
      </c>
      <c r="AT16" s="275">
        <f>VLOOKUP(E16,'HIEU XUAT'!B:AF,23,0)</f>
        <v>18</v>
      </c>
      <c r="AU16" s="275">
        <f>VLOOKUP(E16,'HIEU XUAT'!B:AP,32,0)</f>
        <v>0.7</v>
      </c>
      <c r="AV16" s="275" t="s">
        <v>127</v>
      </c>
      <c r="AW16" s="275" t="s">
        <v>113</v>
      </c>
      <c r="AX16" s="275" t="s">
        <v>128</v>
      </c>
      <c r="AY16" s="275" t="s">
        <v>276</v>
      </c>
      <c r="AZ16" s="275" t="s">
        <v>129</v>
      </c>
      <c r="BA16" s="275" t="s">
        <v>130</v>
      </c>
      <c r="BB16" s="276" t="s">
        <v>104</v>
      </c>
      <c r="BC16" s="276" t="s">
        <v>296</v>
      </c>
      <c r="BD16" s="189" t="s">
        <v>470</v>
      </c>
      <c r="BE16" s="189" t="s">
        <v>475</v>
      </c>
      <c r="BF16" s="189" t="s">
        <v>474</v>
      </c>
      <c r="BG16" s="275" t="s">
        <v>67</v>
      </c>
      <c r="BH16" s="275" t="s">
        <v>373</v>
      </c>
      <c r="BI16" s="275" t="s">
        <v>131</v>
      </c>
      <c r="BJ16" s="275"/>
      <c r="BK16" s="275"/>
      <c r="BL16" s="275"/>
      <c r="BM16" s="257"/>
      <c r="BN16" s="257"/>
      <c r="BO16" s="257"/>
      <c r="BP16" s="257"/>
      <c r="BQ16" s="257"/>
      <c r="BR16" s="257"/>
      <c r="BS16" s="257"/>
      <c r="BT16" s="257"/>
      <c r="BU16" s="257"/>
      <c r="BV16" s="257"/>
      <c r="BW16" s="257"/>
      <c r="BX16" s="257"/>
      <c r="BY16" s="257"/>
      <c r="BZ16" s="257"/>
      <c r="CA16" s="257"/>
      <c r="CB16" s="257"/>
      <c r="CC16" s="257"/>
      <c r="CD16" s="257"/>
      <c r="CE16" s="257"/>
      <c r="CF16" s="257"/>
      <c r="CG16" s="257"/>
      <c r="CH16" s="257"/>
    </row>
    <row r="17" spans="1:86" s="277" customFormat="1" ht="36.75" customHeight="1" x14ac:dyDescent="0.25">
      <c r="A17" s="275"/>
      <c r="B17" s="183">
        <v>16</v>
      </c>
      <c r="C17" s="186" t="str">
        <f t="shared" si="0"/>
        <v>KTM</v>
      </c>
      <c r="D17" s="186" t="s">
        <v>59</v>
      </c>
      <c r="E17" s="185" t="s">
        <v>132</v>
      </c>
      <c r="F17" s="186" t="s">
        <v>133</v>
      </c>
      <c r="G17" s="186" t="s">
        <v>134</v>
      </c>
      <c r="H17" s="186">
        <v>8</v>
      </c>
      <c r="I17" s="186">
        <v>3</v>
      </c>
      <c r="J17" s="186">
        <v>230803</v>
      </c>
      <c r="K17" s="186" t="s">
        <v>468</v>
      </c>
      <c r="L17" s="186" t="s">
        <v>469</v>
      </c>
      <c r="M17" s="186">
        <f t="shared" si="1"/>
        <v>32</v>
      </c>
      <c r="N17" s="275" t="s">
        <v>264</v>
      </c>
      <c r="O17" s="275">
        <v>24100</v>
      </c>
      <c r="P17" s="275">
        <v>26500</v>
      </c>
      <c r="Q17" s="275" t="s">
        <v>246</v>
      </c>
      <c r="R17" s="275">
        <f t="shared" si="2"/>
        <v>4.38</v>
      </c>
      <c r="S17" s="275">
        <f t="shared" si="3"/>
        <v>4.42</v>
      </c>
      <c r="T17" s="275" t="s">
        <v>246</v>
      </c>
      <c r="U17" s="275">
        <v>5.82</v>
      </c>
      <c r="V17" s="275"/>
      <c r="W17" s="275"/>
      <c r="X17" s="275"/>
      <c r="Y17" s="275"/>
      <c r="Z17" s="275"/>
      <c r="AA17" s="275"/>
      <c r="AB17" s="275">
        <f>ROUNDUP('NHÓM QBL01'!$I$39,2)</f>
        <v>4.5</v>
      </c>
      <c r="AC17" s="275">
        <f>ROUNDUP('NHÓM QBL 02'!$I$39,2)</f>
        <v>4.58</v>
      </c>
      <c r="AD17" s="275" t="s">
        <v>246</v>
      </c>
      <c r="AE17" s="275">
        <f t="shared" si="4"/>
        <v>-0.12000000000000011</v>
      </c>
      <c r="AF17" s="275">
        <f t="shared" si="5"/>
        <v>-0.16000000000000014</v>
      </c>
      <c r="AG17" s="275">
        <v>0</v>
      </c>
      <c r="AH17" s="275">
        <f>ROUNDUP('NHÓM QBL01'!$I$40,2)</f>
        <v>0.18000000000000002</v>
      </c>
      <c r="AI17" s="275">
        <f>ROUNDUP('NHÓM QBL 02'!$I$40,2)</f>
        <v>0.15000000000000002</v>
      </c>
      <c r="AJ17" s="275">
        <v>0</v>
      </c>
      <c r="AK17" s="275">
        <f t="shared" si="6"/>
        <v>-0.67</v>
      </c>
      <c r="AL17" s="275">
        <f t="shared" si="7"/>
        <v>-1.07</v>
      </c>
      <c r="AM17" s="275">
        <v>0</v>
      </c>
      <c r="AN17" s="321">
        <f t="shared" si="8"/>
        <v>3</v>
      </c>
      <c r="AO17" s="321">
        <f t="shared" si="9"/>
        <v>2</v>
      </c>
      <c r="AP17" s="321">
        <v>3</v>
      </c>
      <c r="AQ17" s="275">
        <f t="shared" si="10"/>
        <v>8</v>
      </c>
      <c r="AR17" s="275">
        <f>ROUNDUP('HIEU XUAT'!$X$48,2)</f>
        <v>15.7</v>
      </c>
      <c r="AS17" s="275">
        <f>ROUNDUP('HIEU XUAT'!$X$50,2)</f>
        <v>3.3099999999999996</v>
      </c>
      <c r="AT17" s="275">
        <f>VLOOKUP(E17,'HIEU XUAT'!B:AF,23,0)</f>
        <v>14</v>
      </c>
      <c r="AU17" s="275">
        <f>VLOOKUP(E17,'HIEU XUAT'!B:AP,32,0)</f>
        <v>-0.52</v>
      </c>
      <c r="AV17" s="275"/>
      <c r="AW17" s="275"/>
      <c r="AX17" s="275" t="s">
        <v>135</v>
      </c>
      <c r="AY17" s="275" t="s">
        <v>276</v>
      </c>
      <c r="AZ17" s="275"/>
      <c r="BA17" s="275" t="s">
        <v>136</v>
      </c>
      <c r="BB17" s="276" t="s">
        <v>104</v>
      </c>
      <c r="BC17" s="276" t="s">
        <v>296</v>
      </c>
      <c r="BD17" s="189" t="s">
        <v>470</v>
      </c>
      <c r="BE17" s="189" t="s">
        <v>471</v>
      </c>
      <c r="BF17" s="189" t="s">
        <v>471</v>
      </c>
      <c r="BG17" s="275" t="s">
        <v>84</v>
      </c>
      <c r="BH17" s="275"/>
      <c r="BI17" s="275" t="s">
        <v>67</v>
      </c>
      <c r="BJ17" s="275"/>
      <c r="BK17" s="275"/>
      <c r="BL17" s="275"/>
      <c r="BM17" s="257"/>
      <c r="BN17" s="257"/>
      <c r="BO17" s="257"/>
      <c r="BP17" s="257"/>
      <c r="BQ17" s="257"/>
      <c r="BR17" s="257"/>
      <c r="BS17" s="257"/>
      <c r="BT17" s="257"/>
      <c r="BU17" s="257"/>
      <c r="BV17" s="257"/>
      <c r="BW17" s="257"/>
      <c r="BX17" s="257"/>
      <c r="BY17" s="257"/>
      <c r="BZ17" s="257"/>
      <c r="CA17" s="257"/>
      <c r="CB17" s="257"/>
      <c r="CC17" s="257"/>
      <c r="CD17" s="257"/>
      <c r="CE17" s="257"/>
      <c r="CF17" s="257"/>
      <c r="CG17" s="257"/>
      <c r="CH17" s="257"/>
    </row>
    <row r="18" spans="1:86" s="195" customFormat="1" ht="36.75" customHeight="1" x14ac:dyDescent="0.25">
      <c r="A18" s="191"/>
      <c r="B18" s="183">
        <v>17</v>
      </c>
      <c r="C18" s="192" t="s">
        <v>69</v>
      </c>
      <c r="D18" s="192" t="s">
        <v>78</v>
      </c>
      <c r="E18" s="193" t="s">
        <v>457</v>
      </c>
      <c r="F18" s="192" t="s">
        <v>85</v>
      </c>
      <c r="G18" s="192" t="s">
        <v>86</v>
      </c>
      <c r="H18" s="192">
        <v>8</v>
      </c>
      <c r="I18" s="192">
        <v>3</v>
      </c>
      <c r="J18" s="192">
        <v>230803</v>
      </c>
      <c r="K18" s="192" t="s">
        <v>468</v>
      </c>
      <c r="L18" s="192" t="s">
        <v>469</v>
      </c>
      <c r="M18" s="192">
        <v>33</v>
      </c>
      <c r="N18" s="191"/>
      <c r="O18" s="191"/>
      <c r="P18" s="191"/>
      <c r="Q18" s="191"/>
      <c r="R18" s="191" t="str">
        <f t="shared" si="2"/>
        <v/>
      </c>
      <c r="S18" s="191" t="str">
        <f t="shared" si="3"/>
        <v/>
      </c>
      <c r="T18" s="191"/>
      <c r="U18" s="191">
        <v>1.7</v>
      </c>
      <c r="V18" s="191"/>
      <c r="W18" s="191"/>
      <c r="X18" s="191"/>
      <c r="Y18" s="191"/>
      <c r="Z18" s="191"/>
      <c r="AA18" s="191"/>
      <c r="AB18" s="191">
        <f>ROUNDUP('NHÓM QBL01'!$I$39,2)</f>
        <v>4.5</v>
      </c>
      <c r="AC18" s="191">
        <f>ROUNDUP('NHÓM QBL 02'!$I$39,2)</f>
        <v>4.58</v>
      </c>
      <c r="AD18" s="191" t="s">
        <v>246</v>
      </c>
      <c r="AE18" s="191" t="str">
        <f t="shared" si="4"/>
        <v/>
      </c>
      <c r="AF18" s="191" t="str">
        <f t="shared" si="5"/>
        <v/>
      </c>
      <c r="AG18" s="191">
        <v>0</v>
      </c>
      <c r="AH18" s="191">
        <f>ROUNDUP('NHÓM QBL01'!$I$40,2)</f>
        <v>0.18000000000000002</v>
      </c>
      <c r="AI18" s="191">
        <f>ROUNDUP('NHÓM QBL 02'!$I$40,2)</f>
        <v>0.15000000000000002</v>
      </c>
      <c r="AJ18" s="191">
        <v>0</v>
      </c>
      <c r="AK18" s="191" t="str">
        <f t="shared" si="6"/>
        <v/>
      </c>
      <c r="AL18" s="191" t="str">
        <f t="shared" si="7"/>
        <v/>
      </c>
      <c r="AM18" s="191">
        <v>0</v>
      </c>
      <c r="AN18" s="320" t="str">
        <f t="shared" si="8"/>
        <v/>
      </c>
      <c r="AO18" s="320" t="str">
        <f t="shared" si="9"/>
        <v/>
      </c>
      <c r="AP18" s="320"/>
      <c r="AQ18" s="191" t="str">
        <f t="shared" si="10"/>
        <v/>
      </c>
      <c r="AR18" s="191">
        <f>ROUNDUP('HIEU XUAT'!$X$48,2)</f>
        <v>15.7</v>
      </c>
      <c r="AS18" s="191">
        <f>ROUNDUP('HIEU XUAT'!$X$50,2)</f>
        <v>3.3099999999999996</v>
      </c>
      <c r="AT18" s="191">
        <f>VLOOKUP(E18,'HIEU XUAT'!B:AF,23,0)</f>
        <v>0</v>
      </c>
      <c r="AU18" s="191">
        <f>VLOOKUP(E18,'HIEU XUAT'!B:AP,32,0)</f>
        <v>0</v>
      </c>
      <c r="AV18" s="191" t="s">
        <v>247</v>
      </c>
      <c r="AW18" s="191" t="s">
        <v>113</v>
      </c>
      <c r="AX18" s="191" t="s">
        <v>114</v>
      </c>
      <c r="AY18" s="191" t="s">
        <v>248</v>
      </c>
      <c r="AZ18" s="191" t="s">
        <v>113</v>
      </c>
      <c r="BA18" s="191" t="s">
        <v>117</v>
      </c>
      <c r="BB18" s="194" t="s">
        <v>104</v>
      </c>
      <c r="BC18" s="194" t="s">
        <v>296</v>
      </c>
      <c r="BD18" s="191"/>
      <c r="BE18" s="191"/>
      <c r="BF18" s="191"/>
      <c r="BG18" s="191"/>
      <c r="BH18" s="191"/>
      <c r="BI18" s="191"/>
      <c r="BJ18" s="191"/>
      <c r="BK18" s="191"/>
      <c r="BL18" s="191"/>
      <c r="BM18" s="164"/>
      <c r="BN18" s="164"/>
      <c r="BO18" s="164"/>
      <c r="BP18" s="164"/>
      <c r="BQ18" s="164"/>
      <c r="BR18" s="164"/>
      <c r="BS18" s="164"/>
      <c r="BT18" s="164"/>
      <c r="BU18" s="164"/>
      <c r="BV18" s="164"/>
      <c r="BW18" s="164"/>
      <c r="BX18" s="164"/>
      <c r="BY18" s="164"/>
      <c r="BZ18" s="164"/>
      <c r="CA18" s="164"/>
      <c r="CB18" s="164"/>
      <c r="CC18" s="164"/>
      <c r="CD18" s="164"/>
      <c r="CE18" s="164"/>
      <c r="CF18" s="164"/>
      <c r="CG18" s="164"/>
      <c r="CH18" s="164"/>
    </row>
    <row r="19" spans="1:86" s="203" customFormat="1" ht="36.75" customHeight="1" x14ac:dyDescent="0.25">
      <c r="A19" s="196"/>
      <c r="B19" s="304">
        <v>18</v>
      </c>
      <c r="C19" s="197" t="str">
        <f t="shared" si="0"/>
        <v>DNI</v>
      </c>
      <c r="D19" s="197">
        <v>1</v>
      </c>
      <c r="E19" s="198" t="s">
        <v>138</v>
      </c>
      <c r="F19" s="199" t="s">
        <v>139</v>
      </c>
      <c r="G19" s="197" t="s">
        <v>140</v>
      </c>
      <c r="H19" s="197">
        <v>8</v>
      </c>
      <c r="I19" s="197">
        <v>3</v>
      </c>
      <c r="J19" s="197">
        <v>230803</v>
      </c>
      <c r="K19" s="197" t="s">
        <v>468</v>
      </c>
      <c r="L19" s="197" t="s">
        <v>469</v>
      </c>
      <c r="M19" s="197">
        <f t="shared" ref="M19:M27" si="11">$N$46</f>
        <v>32</v>
      </c>
      <c r="N19" s="200" t="s">
        <v>264</v>
      </c>
      <c r="O19" s="200">
        <v>941168</v>
      </c>
      <c r="P19" s="200">
        <v>831353</v>
      </c>
      <c r="Q19" s="200" t="s">
        <v>351</v>
      </c>
      <c r="R19" s="200">
        <f t="shared" si="2"/>
        <v>5.97</v>
      </c>
      <c r="S19" s="200">
        <f t="shared" si="3"/>
        <v>5.92</v>
      </c>
      <c r="T19" s="200" t="s">
        <v>351</v>
      </c>
      <c r="U19" s="200">
        <v>5.82</v>
      </c>
      <c r="V19" s="200"/>
      <c r="W19" s="200"/>
      <c r="X19" s="200"/>
      <c r="Y19" s="200"/>
      <c r="Z19" s="200"/>
      <c r="AA19" s="200"/>
      <c r="AB19" s="200">
        <f>ROUNDUP('NHÓM QBL01'!$I$56,2)</f>
        <v>4.62</v>
      </c>
      <c r="AC19" s="200">
        <f>ROUNDUP('NHÓM QBL 02'!$I$56,2)</f>
        <v>4.5599999999999996</v>
      </c>
      <c r="AD19" s="200" t="s">
        <v>246</v>
      </c>
      <c r="AE19" s="200">
        <f t="shared" si="4"/>
        <v>1.3499999999999996</v>
      </c>
      <c r="AF19" s="200">
        <f>IF(P19&lt;&gt;0,S19-AC19,"")</f>
        <v>1.3600000000000003</v>
      </c>
      <c r="AG19" s="200">
        <v>0</v>
      </c>
      <c r="AH19" s="200">
        <f>ROUNDUP('NHÓM QBL01'!$I$57,2)</f>
        <v>0.54</v>
      </c>
      <c r="AI19" s="200">
        <f>ROUNDUP('NHÓM QBL 02'!$I$57,2)</f>
        <v>0.37</v>
      </c>
      <c r="AJ19" s="200">
        <v>0</v>
      </c>
      <c r="AK19" s="200">
        <f t="shared" si="6"/>
        <v>2.5</v>
      </c>
      <c r="AL19" s="200">
        <f t="shared" si="7"/>
        <v>3.68</v>
      </c>
      <c r="AM19" s="200">
        <v>0</v>
      </c>
      <c r="AN19" s="322">
        <f t="shared" si="8"/>
        <v>1</v>
      </c>
      <c r="AO19" s="322">
        <f t="shared" si="9"/>
        <v>0</v>
      </c>
      <c r="AP19" s="322">
        <v>3</v>
      </c>
      <c r="AQ19" s="200">
        <f t="shared" si="10"/>
        <v>4</v>
      </c>
      <c r="AR19" s="200">
        <f>ROUNDUP('HIEU XUAT'!$X$48,2)</f>
        <v>15.7</v>
      </c>
      <c r="AS19" s="200">
        <f>ROUNDUP('HIEU XUAT'!$X$50,2)</f>
        <v>3.3099999999999996</v>
      </c>
      <c r="AT19" s="200">
        <f>VLOOKUP(E19,'HIEU XUAT'!B:AF,23,0)</f>
        <v>13</v>
      </c>
      <c r="AU19" s="200">
        <f>VLOOKUP(E19,'HIEU XUAT'!B:AP,32,0)</f>
        <v>-0.82000000000000006</v>
      </c>
      <c r="AV19" s="200" t="s">
        <v>141</v>
      </c>
      <c r="AW19" s="200" t="s">
        <v>303</v>
      </c>
      <c r="AX19" s="200" t="s">
        <v>304</v>
      </c>
      <c r="AY19" s="200" t="s">
        <v>274</v>
      </c>
      <c r="AZ19" s="200"/>
      <c r="BA19" s="200" t="s">
        <v>142</v>
      </c>
      <c r="BB19" s="201" t="s">
        <v>143</v>
      </c>
      <c r="BC19" s="201" t="s">
        <v>299</v>
      </c>
      <c r="BD19" s="202" t="s">
        <v>470</v>
      </c>
      <c r="BE19" s="202" t="s">
        <v>473</v>
      </c>
      <c r="BF19" s="202" t="s">
        <v>468</v>
      </c>
      <c r="BG19" s="200" t="s">
        <v>144</v>
      </c>
      <c r="BH19" s="200" t="s">
        <v>145</v>
      </c>
      <c r="BI19" s="200">
        <v>-20</v>
      </c>
      <c r="BJ19" s="200"/>
      <c r="BK19" s="200"/>
      <c r="BL19" s="200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</row>
    <row r="20" spans="1:86" s="203" customFormat="1" ht="36.75" customHeight="1" x14ac:dyDescent="0.25">
      <c r="A20" s="196"/>
      <c r="B20" s="304">
        <v>19</v>
      </c>
      <c r="C20" s="200" t="str">
        <f t="shared" si="0"/>
        <v>QNM</v>
      </c>
      <c r="D20" s="200" t="s">
        <v>146</v>
      </c>
      <c r="E20" s="204" t="s">
        <v>147</v>
      </c>
      <c r="F20" s="205" t="s">
        <v>148</v>
      </c>
      <c r="G20" s="205" t="s">
        <v>149</v>
      </c>
      <c r="H20" s="197">
        <v>8</v>
      </c>
      <c r="I20" s="197">
        <v>3</v>
      </c>
      <c r="J20" s="197">
        <v>230803</v>
      </c>
      <c r="K20" s="197" t="s">
        <v>468</v>
      </c>
      <c r="L20" s="197" t="s">
        <v>469</v>
      </c>
      <c r="M20" s="205">
        <f t="shared" si="11"/>
        <v>32</v>
      </c>
      <c r="N20" s="200" t="s">
        <v>264</v>
      </c>
      <c r="O20" s="200">
        <v>44000</v>
      </c>
      <c r="P20" s="200">
        <v>34000</v>
      </c>
      <c r="Q20" s="200">
        <v>0</v>
      </c>
      <c r="R20" s="200">
        <f t="shared" si="2"/>
        <v>4.6399999999999997</v>
      </c>
      <c r="S20" s="200">
        <f t="shared" si="3"/>
        <v>4.53</v>
      </c>
      <c r="T20" s="202" t="s">
        <v>245</v>
      </c>
      <c r="U20" s="200">
        <v>5.6</v>
      </c>
      <c r="V20" s="200"/>
      <c r="W20" s="200"/>
      <c r="X20" s="200"/>
      <c r="Y20" s="200"/>
      <c r="Z20" s="200"/>
      <c r="AA20" s="200"/>
      <c r="AB20" s="200">
        <f>ROUNDUP('NHÓM QBL01'!$I$56,2)</f>
        <v>4.62</v>
      </c>
      <c r="AC20" s="200">
        <f>ROUNDUP('NHÓM QBL 02'!$I$56,2)</f>
        <v>4.5599999999999996</v>
      </c>
      <c r="AD20" s="200" t="s">
        <v>246</v>
      </c>
      <c r="AE20" s="200">
        <f t="shared" si="4"/>
        <v>1.9999999999999574E-2</v>
      </c>
      <c r="AF20" s="200">
        <f t="shared" si="5"/>
        <v>-2.9999999999999361E-2</v>
      </c>
      <c r="AG20" s="200">
        <v>0</v>
      </c>
      <c r="AH20" s="200">
        <f>ROUNDUP('NHÓM QBL01'!$I$57,2)</f>
        <v>0.54</v>
      </c>
      <c r="AI20" s="200">
        <f>ROUNDUP('NHÓM QBL 02'!$I$57,2)</f>
        <v>0.37</v>
      </c>
      <c r="AJ20" s="200">
        <v>0</v>
      </c>
      <c r="AK20" s="200">
        <f t="shared" si="6"/>
        <v>0.04</v>
      </c>
      <c r="AL20" s="200">
        <f t="shared" si="7"/>
        <v>-0.08</v>
      </c>
      <c r="AM20" s="200">
        <v>0</v>
      </c>
      <c r="AN20" s="322">
        <f t="shared" si="8"/>
        <v>3</v>
      </c>
      <c r="AO20" s="322">
        <f t="shared" si="9"/>
        <v>3</v>
      </c>
      <c r="AP20" s="322">
        <v>3</v>
      </c>
      <c r="AQ20" s="200">
        <f t="shared" si="10"/>
        <v>9</v>
      </c>
      <c r="AR20" s="200">
        <f>ROUNDUP('HIEU XUAT'!$X$48,2)</f>
        <v>15.7</v>
      </c>
      <c r="AS20" s="200">
        <f>ROUNDUP('HIEU XUAT'!$X$50,2)</f>
        <v>3.3099999999999996</v>
      </c>
      <c r="AT20" s="200">
        <f>VLOOKUP(E20,'HIEU XUAT'!B:AF,23,0)</f>
        <v>18</v>
      </c>
      <c r="AU20" s="200">
        <f>VLOOKUP(E20,'HIEU XUAT'!B:AP,32,0)</f>
        <v>0.7</v>
      </c>
      <c r="AV20" s="200" t="s">
        <v>150</v>
      </c>
      <c r="AW20" s="200" t="s">
        <v>113</v>
      </c>
      <c r="AX20" s="200" t="s">
        <v>151</v>
      </c>
      <c r="AY20" s="200" t="s">
        <v>152</v>
      </c>
      <c r="AZ20" s="200" t="s">
        <v>153</v>
      </c>
      <c r="BA20" s="200" t="s">
        <v>154</v>
      </c>
      <c r="BB20" s="201" t="s">
        <v>143</v>
      </c>
      <c r="BC20" s="201" t="s">
        <v>299</v>
      </c>
      <c r="BD20" s="202" t="s">
        <v>470</v>
      </c>
      <c r="BE20" s="202" t="s">
        <v>476</v>
      </c>
      <c r="BF20" s="202" t="s">
        <v>468</v>
      </c>
      <c r="BG20" s="200" t="s">
        <v>67</v>
      </c>
      <c r="BH20" s="200">
        <v>8</v>
      </c>
      <c r="BI20" s="200" t="s">
        <v>59</v>
      </c>
      <c r="BJ20" s="200"/>
      <c r="BK20" s="200"/>
      <c r="BL20" s="200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  <c r="BZ20" s="93"/>
      <c r="CA20" s="93"/>
      <c r="CB20" s="93"/>
      <c r="CC20" s="93"/>
      <c r="CD20" s="93"/>
      <c r="CE20" s="93"/>
      <c r="CF20" s="93"/>
      <c r="CG20" s="93"/>
      <c r="CH20" s="93"/>
    </row>
    <row r="21" spans="1:86" s="203" customFormat="1" ht="36.75" customHeight="1" x14ac:dyDescent="0.25">
      <c r="A21" s="200"/>
      <c r="B21" s="304">
        <v>20</v>
      </c>
      <c r="C21" s="197" t="str">
        <f t="shared" si="0"/>
        <v>BTN</v>
      </c>
      <c r="D21" s="197" t="s">
        <v>59</v>
      </c>
      <c r="E21" s="313" t="s">
        <v>92</v>
      </c>
      <c r="F21" s="197" t="s">
        <v>93</v>
      </c>
      <c r="G21" s="197" t="s">
        <v>94</v>
      </c>
      <c r="H21" s="197">
        <v>8</v>
      </c>
      <c r="I21" s="197">
        <v>3</v>
      </c>
      <c r="J21" s="197">
        <v>230803</v>
      </c>
      <c r="K21" s="197" t="s">
        <v>468</v>
      </c>
      <c r="L21" s="197" t="s">
        <v>469</v>
      </c>
      <c r="M21" s="197">
        <f t="shared" si="11"/>
        <v>32</v>
      </c>
      <c r="N21" s="200" t="s">
        <v>264</v>
      </c>
      <c r="O21" s="200">
        <v>12622</v>
      </c>
      <c r="P21" s="200">
        <v>16971</v>
      </c>
      <c r="Q21" s="200" t="s">
        <v>246</v>
      </c>
      <c r="R21" s="200">
        <f t="shared" si="2"/>
        <v>4.0999999999999996</v>
      </c>
      <c r="S21" s="200">
        <f t="shared" si="3"/>
        <v>4.2300000000000004</v>
      </c>
      <c r="T21" s="200" t="s">
        <v>246</v>
      </c>
      <c r="U21" s="200">
        <v>5.82</v>
      </c>
      <c r="V21" s="200"/>
      <c r="W21" s="200"/>
      <c r="X21" s="200"/>
      <c r="Y21" s="200"/>
      <c r="Z21" s="200"/>
      <c r="AA21" s="200"/>
      <c r="AB21" s="200">
        <f>ROUNDUP('NHÓM QBL01'!$I$56,2)</f>
        <v>4.62</v>
      </c>
      <c r="AC21" s="200">
        <f>ROUNDUP('NHÓM QBL 02'!$I$56,2)</f>
        <v>4.5599999999999996</v>
      </c>
      <c r="AD21" s="200" t="s">
        <v>246</v>
      </c>
      <c r="AE21" s="200">
        <f t="shared" si="4"/>
        <v>-0.52000000000000046</v>
      </c>
      <c r="AF21" s="200">
        <f t="shared" si="5"/>
        <v>-0.32999999999999918</v>
      </c>
      <c r="AG21" s="200">
        <v>0</v>
      </c>
      <c r="AH21" s="200">
        <f>ROUNDUP('NHÓM QBL01'!$I$57,2)</f>
        <v>0.54</v>
      </c>
      <c r="AI21" s="200">
        <f>ROUNDUP('NHÓM QBL 02'!$I$57,2)</f>
        <v>0.37</v>
      </c>
      <c r="AJ21" s="200">
        <v>0</v>
      </c>
      <c r="AK21" s="200">
        <f t="shared" si="6"/>
        <v>-0.96</v>
      </c>
      <c r="AL21" s="200">
        <f t="shared" si="7"/>
        <v>-0.89</v>
      </c>
      <c r="AM21" s="200">
        <v>0</v>
      </c>
      <c r="AN21" s="322">
        <f t="shared" si="8"/>
        <v>3</v>
      </c>
      <c r="AO21" s="322">
        <f t="shared" si="9"/>
        <v>3</v>
      </c>
      <c r="AP21" s="322">
        <v>3</v>
      </c>
      <c r="AQ21" s="200">
        <f t="shared" si="10"/>
        <v>9</v>
      </c>
      <c r="AR21" s="200">
        <f>ROUNDUP('HIEU XUAT'!$X$48,2)</f>
        <v>15.7</v>
      </c>
      <c r="AS21" s="200">
        <f>ROUNDUP('HIEU XUAT'!$X$50,2)</f>
        <v>3.3099999999999996</v>
      </c>
      <c r="AT21" s="200" t="str">
        <f>VLOOKUP(E21,'HIEU XUAT'!B:AF,23,0)</f>
        <v>N/A</v>
      </c>
      <c r="AU21" s="200" t="str">
        <f>VLOOKUP(E21,'HIEU XUAT'!B:AP,32,0)</f>
        <v>N/A</v>
      </c>
      <c r="AV21" s="200" t="s">
        <v>95</v>
      </c>
      <c r="AW21" s="200" t="s">
        <v>96</v>
      </c>
      <c r="AX21" s="200"/>
      <c r="AY21" s="200" t="s">
        <v>97</v>
      </c>
      <c r="AZ21" s="200"/>
      <c r="BA21" s="200" t="s">
        <v>98</v>
      </c>
      <c r="BB21" s="314" t="s">
        <v>83</v>
      </c>
      <c r="BC21" s="314" t="s">
        <v>299</v>
      </c>
      <c r="BD21" s="202" t="s">
        <v>483</v>
      </c>
      <c r="BE21" s="202" t="s">
        <v>483</v>
      </c>
      <c r="BF21" s="202" t="s">
        <v>483</v>
      </c>
      <c r="BG21" s="200" t="s">
        <v>67</v>
      </c>
      <c r="BH21" s="200"/>
      <c r="BI21" s="200"/>
      <c r="BJ21" s="200"/>
      <c r="BK21" s="200"/>
      <c r="BL21" s="200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3"/>
      <c r="CH21" s="93"/>
    </row>
    <row r="22" spans="1:86" s="288" customFormat="1" ht="36.75" customHeight="1" x14ac:dyDescent="0.25">
      <c r="A22" s="287"/>
      <c r="B22" s="304">
        <v>21</v>
      </c>
      <c r="C22" s="199" t="str">
        <f>LEFT(F22,3)</f>
        <v>CBA</v>
      </c>
      <c r="D22" s="199"/>
      <c r="E22" s="204" t="s">
        <v>403</v>
      </c>
      <c r="F22" s="199" t="s">
        <v>364</v>
      </c>
      <c r="G22" s="199" t="s">
        <v>402</v>
      </c>
      <c r="H22" s="199">
        <v>8</v>
      </c>
      <c r="I22" s="199">
        <v>3</v>
      </c>
      <c r="J22" s="199">
        <v>230803</v>
      </c>
      <c r="K22" s="199" t="s">
        <v>468</v>
      </c>
      <c r="L22" s="199" t="s">
        <v>469</v>
      </c>
      <c r="M22" s="199">
        <f t="shared" si="11"/>
        <v>32</v>
      </c>
      <c r="N22" s="287" t="s">
        <v>264</v>
      </c>
      <c r="O22" s="287">
        <v>20908</v>
      </c>
      <c r="P22" s="287">
        <v>20070</v>
      </c>
      <c r="Q22" s="287" t="s">
        <v>352</v>
      </c>
      <c r="R22" s="287">
        <f t="shared" si="2"/>
        <v>4.32</v>
      </c>
      <c r="S22" s="287">
        <f t="shared" si="3"/>
        <v>4.3</v>
      </c>
      <c r="T22" s="287" t="s">
        <v>352</v>
      </c>
      <c r="U22" s="287"/>
      <c r="V22" s="287"/>
      <c r="W22" s="287"/>
      <c r="X22" s="287"/>
      <c r="Y22" s="287"/>
      <c r="Z22" s="287"/>
      <c r="AA22" s="287"/>
      <c r="AB22" s="200">
        <f>ROUNDUP('NHÓM QBL01'!$I$56,2)</f>
        <v>4.62</v>
      </c>
      <c r="AC22" s="200">
        <f>ROUNDUP('NHÓM QBL 02'!$I$56,2)</f>
        <v>4.5599999999999996</v>
      </c>
      <c r="AD22" s="287" t="s">
        <v>246</v>
      </c>
      <c r="AE22" s="287">
        <f t="shared" si="4"/>
        <v>-0.29999999999999982</v>
      </c>
      <c r="AF22" s="287">
        <f t="shared" si="5"/>
        <v>-0.25999999999999979</v>
      </c>
      <c r="AG22" s="287">
        <v>0</v>
      </c>
      <c r="AH22" s="200">
        <f>ROUNDUP('NHÓM QBL01'!$I$57,2)</f>
        <v>0.54</v>
      </c>
      <c r="AI22" s="200">
        <f>ROUNDUP('NHÓM QBL 02'!$I$57,2)</f>
        <v>0.37</v>
      </c>
      <c r="AJ22" s="287">
        <v>0</v>
      </c>
      <c r="AK22" s="287">
        <f t="shared" si="6"/>
        <v>-0.56000000000000005</v>
      </c>
      <c r="AL22" s="287">
        <f t="shared" si="7"/>
        <v>-0.7</v>
      </c>
      <c r="AM22" s="287">
        <v>0</v>
      </c>
      <c r="AN22" s="287">
        <f t="shared" si="8"/>
        <v>3</v>
      </c>
      <c r="AO22" s="287">
        <f t="shared" si="9"/>
        <v>3</v>
      </c>
      <c r="AP22" s="287">
        <v>3</v>
      </c>
      <c r="AQ22" s="287">
        <f t="shared" si="10"/>
        <v>9</v>
      </c>
      <c r="AR22" s="287">
        <f>ROUNDUP('HIEU XUAT'!$X$48,2)</f>
        <v>15.7</v>
      </c>
      <c r="AS22" s="287">
        <f>ROUNDUP('HIEU XUAT'!$X$50,2)</f>
        <v>3.3099999999999996</v>
      </c>
      <c r="AT22" s="287">
        <f>VLOOKUP(E22,'HIEU XUAT'!B:AF,23,0)</f>
        <v>18</v>
      </c>
      <c r="AU22" s="287">
        <f>VLOOKUP(E22,'HIEU XUAT'!B:AP,32,0)</f>
        <v>0.7</v>
      </c>
      <c r="AV22" s="287"/>
      <c r="AW22" s="287"/>
      <c r="AX22" s="287"/>
      <c r="AY22" s="287" t="s">
        <v>274</v>
      </c>
      <c r="AZ22" s="287" t="s">
        <v>167</v>
      </c>
      <c r="BA22" s="287" t="s">
        <v>381</v>
      </c>
      <c r="BB22" s="287" t="s">
        <v>382</v>
      </c>
      <c r="BC22" s="287" t="s">
        <v>299</v>
      </c>
      <c r="BD22" s="287"/>
      <c r="BE22" s="287"/>
      <c r="BF22" s="287"/>
      <c r="BG22" s="287"/>
      <c r="BH22" s="287"/>
      <c r="BI22" s="287"/>
      <c r="BJ22" s="287"/>
      <c r="BK22" s="287"/>
      <c r="BL22" s="287"/>
      <c r="BM22" s="257"/>
      <c r="BN22" s="257"/>
      <c r="BO22" s="257"/>
      <c r="BP22" s="257"/>
      <c r="BQ22" s="257"/>
      <c r="BR22" s="257"/>
      <c r="BS22" s="257"/>
      <c r="BT22" s="257"/>
      <c r="BU22" s="257"/>
      <c r="BV22" s="257"/>
      <c r="BW22" s="257"/>
      <c r="BX22" s="257"/>
      <c r="BY22" s="257"/>
      <c r="BZ22" s="257"/>
      <c r="CA22" s="257"/>
      <c r="CB22" s="257"/>
      <c r="CC22" s="257"/>
      <c r="CD22" s="257"/>
      <c r="CE22" s="257"/>
      <c r="CF22" s="257"/>
      <c r="CG22" s="257"/>
      <c r="CH22" s="257"/>
    </row>
    <row r="23" spans="1:86" s="203" customFormat="1" ht="36.75" customHeight="1" x14ac:dyDescent="0.25">
      <c r="A23" s="200"/>
      <c r="B23" s="304">
        <v>22</v>
      </c>
      <c r="C23" s="197" t="str">
        <f>LEFT(F23,3)</f>
        <v>QNM</v>
      </c>
      <c r="D23" s="197" t="s">
        <v>78</v>
      </c>
      <c r="E23" s="198" t="s">
        <v>209</v>
      </c>
      <c r="F23" s="199" t="s">
        <v>210</v>
      </c>
      <c r="G23" s="197" t="s">
        <v>211</v>
      </c>
      <c r="H23" s="197">
        <v>8</v>
      </c>
      <c r="I23" s="197">
        <v>3</v>
      </c>
      <c r="J23" s="197">
        <v>230803</v>
      </c>
      <c r="K23" s="197" t="s">
        <v>468</v>
      </c>
      <c r="L23" s="197" t="s">
        <v>469</v>
      </c>
      <c r="M23" s="197">
        <f t="shared" si="11"/>
        <v>32</v>
      </c>
      <c r="N23" s="200" t="s">
        <v>264</v>
      </c>
      <c r="O23" s="200">
        <v>48100</v>
      </c>
      <c r="P23" s="200">
        <v>48300</v>
      </c>
      <c r="Q23" s="200" t="s">
        <v>351</v>
      </c>
      <c r="R23" s="200">
        <f t="shared" si="2"/>
        <v>4.68</v>
      </c>
      <c r="S23" s="200">
        <f t="shared" si="3"/>
        <v>4.68</v>
      </c>
      <c r="T23" s="200" t="s">
        <v>351</v>
      </c>
      <c r="U23" s="200">
        <v>5</v>
      </c>
      <c r="V23" s="200"/>
      <c r="W23" s="200"/>
      <c r="X23" s="200"/>
      <c r="Y23" s="200"/>
      <c r="Z23" s="200"/>
      <c r="AA23" s="200"/>
      <c r="AB23" s="200">
        <f>ROUNDUP('NHÓM QBL01'!$I$56,2)</f>
        <v>4.62</v>
      </c>
      <c r="AC23" s="200">
        <f>ROUNDUP('NHÓM QBL 02'!$I$56,2)</f>
        <v>4.5599999999999996</v>
      </c>
      <c r="AD23" s="200" t="s">
        <v>246</v>
      </c>
      <c r="AE23" s="200">
        <f t="shared" si="4"/>
        <v>5.9999999999999609E-2</v>
      </c>
      <c r="AF23" s="200">
        <f t="shared" si="5"/>
        <v>0.12000000000000011</v>
      </c>
      <c r="AG23" s="200">
        <v>0</v>
      </c>
      <c r="AH23" s="200">
        <f>ROUNDUP('NHÓM QBL01'!$I$57,2)</f>
        <v>0.54</v>
      </c>
      <c r="AI23" s="200">
        <f>ROUNDUP('NHÓM QBL 02'!$I$57,2)</f>
        <v>0.37</v>
      </c>
      <c r="AJ23" s="200">
        <v>0</v>
      </c>
      <c r="AK23" s="200">
        <f t="shared" si="6"/>
        <v>0.11</v>
      </c>
      <c r="AL23" s="200">
        <f t="shared" si="7"/>
        <v>0.32</v>
      </c>
      <c r="AM23" s="200">
        <v>0</v>
      </c>
      <c r="AN23" s="322">
        <f t="shared" si="8"/>
        <v>3</v>
      </c>
      <c r="AO23" s="322">
        <f t="shared" si="9"/>
        <v>3</v>
      </c>
      <c r="AP23" s="322">
        <v>3</v>
      </c>
      <c r="AQ23" s="200">
        <f t="shared" si="10"/>
        <v>9</v>
      </c>
      <c r="AR23" s="200">
        <f>ROUNDUP('HIEU XUAT'!$X$48,2)</f>
        <v>15.7</v>
      </c>
      <c r="AS23" s="200">
        <f>ROUNDUP('HIEU XUAT'!$X$50,2)</f>
        <v>3.3099999999999996</v>
      </c>
      <c r="AT23" s="200">
        <f>VLOOKUP(E23,'HIEU XUAT'!B:AF,23,0)</f>
        <v>13</v>
      </c>
      <c r="AU23" s="200">
        <f>VLOOKUP(E23,'HIEU XUAT'!B:AP,32,0)</f>
        <v>-0.82000000000000006</v>
      </c>
      <c r="AV23" s="200" t="s">
        <v>324</v>
      </c>
      <c r="AW23" s="200" t="s">
        <v>173</v>
      </c>
      <c r="AX23" s="200"/>
      <c r="AY23" s="200" t="s">
        <v>324</v>
      </c>
      <c r="AZ23" s="200"/>
      <c r="BA23" s="200" t="s">
        <v>207</v>
      </c>
      <c r="BB23" s="201" t="s">
        <v>195</v>
      </c>
      <c r="BC23" s="201" t="s">
        <v>299</v>
      </c>
      <c r="BD23" s="202" t="s">
        <v>470</v>
      </c>
      <c r="BE23" s="202" t="s">
        <v>471</v>
      </c>
      <c r="BF23" s="202" t="s">
        <v>468</v>
      </c>
      <c r="BG23" s="200" t="s">
        <v>84</v>
      </c>
      <c r="BH23" s="200">
        <v>8</v>
      </c>
      <c r="BI23" s="200"/>
      <c r="BJ23" s="200"/>
      <c r="BK23" s="200"/>
      <c r="BL23" s="200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3"/>
      <c r="CH23" s="93"/>
    </row>
    <row r="24" spans="1:86" s="212" customFormat="1" ht="36.75" customHeight="1" x14ac:dyDescent="0.25">
      <c r="A24" s="206"/>
      <c r="B24" s="305">
        <v>23</v>
      </c>
      <c r="C24" s="207" t="str">
        <f>LEFT(F24,3)</f>
        <v>BDH</v>
      </c>
      <c r="D24" s="207" t="s">
        <v>78</v>
      </c>
      <c r="E24" s="208" t="s">
        <v>196</v>
      </c>
      <c r="F24" s="209" t="s">
        <v>197</v>
      </c>
      <c r="G24" s="207" t="s">
        <v>198</v>
      </c>
      <c r="H24" s="207">
        <v>8</v>
      </c>
      <c r="I24" s="207">
        <v>3</v>
      </c>
      <c r="J24" s="207">
        <v>230803</v>
      </c>
      <c r="K24" s="207" t="s">
        <v>468</v>
      </c>
      <c r="L24" s="207" t="s">
        <v>469</v>
      </c>
      <c r="M24" s="207">
        <f t="shared" si="11"/>
        <v>32</v>
      </c>
      <c r="N24" s="210" t="s">
        <v>264</v>
      </c>
      <c r="O24" s="210">
        <v>9130</v>
      </c>
      <c r="P24" s="210">
        <v>16170</v>
      </c>
      <c r="Q24" s="210" t="s">
        <v>352</v>
      </c>
      <c r="R24" s="210">
        <f t="shared" si="2"/>
        <v>3.96</v>
      </c>
      <c r="S24" s="210">
        <f t="shared" si="3"/>
        <v>4.21</v>
      </c>
      <c r="T24" s="210" t="s">
        <v>352</v>
      </c>
      <c r="U24" s="210">
        <v>6</v>
      </c>
      <c r="V24" s="210"/>
      <c r="W24" s="210"/>
      <c r="X24" s="210"/>
      <c r="Y24" s="210"/>
      <c r="Z24" s="210"/>
      <c r="AA24" s="210"/>
      <c r="AB24" s="210">
        <f>ROUNDUP('NHÓM QBL01'!$I$73,2)</f>
        <v>4.0599999999999996</v>
      </c>
      <c r="AC24" s="210">
        <f>ROUNDUP('NHÓM QBL 02'!$I$73,2)</f>
        <v>4.4799999999999995</v>
      </c>
      <c r="AD24" s="210" t="s">
        <v>246</v>
      </c>
      <c r="AE24" s="210">
        <f t="shared" si="4"/>
        <v>-9.9999999999999645E-2</v>
      </c>
      <c r="AF24" s="210">
        <f t="shared" si="5"/>
        <v>-0.26999999999999957</v>
      </c>
      <c r="AG24" s="210">
        <v>0</v>
      </c>
      <c r="AH24" s="210">
        <f>ROUNDUP('NHÓM QBL01'!$I$74,2)</f>
        <v>0.33</v>
      </c>
      <c r="AI24" s="210">
        <f>ROUNDUP('NHÓM QBL 02'!$I$74,2)</f>
        <v>0.61</v>
      </c>
      <c r="AJ24" s="210">
        <v>0</v>
      </c>
      <c r="AK24" s="210">
        <f t="shared" si="6"/>
        <v>-0.3</v>
      </c>
      <c r="AL24" s="210">
        <f t="shared" si="7"/>
        <v>-0.44</v>
      </c>
      <c r="AM24" s="210">
        <v>0</v>
      </c>
      <c r="AN24" s="323">
        <f t="shared" si="8"/>
        <v>3</v>
      </c>
      <c r="AO24" s="323">
        <f t="shared" si="9"/>
        <v>3</v>
      </c>
      <c r="AP24" s="323">
        <v>3</v>
      </c>
      <c r="AQ24" s="210">
        <f t="shared" si="10"/>
        <v>9</v>
      </c>
      <c r="AR24" s="210">
        <f>ROUNDUP('HIEU XUAT'!$X$48,2)</f>
        <v>15.7</v>
      </c>
      <c r="AS24" s="210">
        <f>ROUNDUP('HIEU XUAT'!$X$50,2)</f>
        <v>3.3099999999999996</v>
      </c>
      <c r="AT24" s="210">
        <f>VLOOKUP(E24,'HIEU XUAT'!B:AF,23,0)</f>
        <v>18</v>
      </c>
      <c r="AU24" s="210">
        <f>VLOOKUP(E24,'HIEU XUAT'!B:AP,32,0)</f>
        <v>0.7</v>
      </c>
      <c r="AV24" s="210" t="s">
        <v>199</v>
      </c>
      <c r="AW24" s="210"/>
      <c r="AX24" s="210" t="s">
        <v>215</v>
      </c>
      <c r="AY24" s="210" t="s">
        <v>200</v>
      </c>
      <c r="AZ24" s="210"/>
      <c r="BA24" s="210" t="s">
        <v>369</v>
      </c>
      <c r="BB24" s="7" t="s">
        <v>370</v>
      </c>
      <c r="BC24" s="7" t="s">
        <v>297</v>
      </c>
      <c r="BD24" s="211" t="s">
        <v>470</v>
      </c>
      <c r="BE24" s="211" t="s">
        <v>476</v>
      </c>
      <c r="BF24" s="211" t="s">
        <v>473</v>
      </c>
      <c r="BG24" s="210" t="s">
        <v>201</v>
      </c>
      <c r="BH24" s="210" t="s">
        <v>91</v>
      </c>
      <c r="BI24" s="210" t="s">
        <v>67</v>
      </c>
      <c r="BJ24" s="210"/>
      <c r="BK24" s="210"/>
      <c r="BL24" s="210"/>
      <c r="BM24" s="93"/>
      <c r="BN24" s="93"/>
      <c r="BO24" s="93"/>
      <c r="BP24" s="93"/>
      <c r="BQ24" s="93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93"/>
      <c r="CF24" s="93"/>
      <c r="CG24" s="93"/>
      <c r="CH24" s="93"/>
    </row>
    <row r="25" spans="1:86" s="212" customFormat="1" ht="36.75" customHeight="1" x14ac:dyDescent="0.25">
      <c r="A25" s="206"/>
      <c r="B25" s="305">
        <v>24</v>
      </c>
      <c r="C25" s="207"/>
      <c r="D25" s="207"/>
      <c r="E25" s="213" t="s">
        <v>412</v>
      </c>
      <c r="F25" s="209" t="s">
        <v>367</v>
      </c>
      <c r="G25" s="207" t="s">
        <v>411</v>
      </c>
      <c r="H25" s="207">
        <v>8</v>
      </c>
      <c r="I25" s="207">
        <v>3</v>
      </c>
      <c r="J25" s="207">
        <v>230803</v>
      </c>
      <c r="K25" s="207" t="s">
        <v>468</v>
      </c>
      <c r="L25" s="207" t="s">
        <v>469</v>
      </c>
      <c r="M25" s="207">
        <f t="shared" si="11"/>
        <v>32</v>
      </c>
      <c r="N25" s="210" t="s">
        <v>264</v>
      </c>
      <c r="O25" s="210">
        <v>7040</v>
      </c>
      <c r="P25" s="210">
        <v>125000</v>
      </c>
      <c r="Q25" s="210" t="s">
        <v>246</v>
      </c>
      <c r="R25" s="210">
        <f t="shared" si="2"/>
        <v>3.85</v>
      </c>
      <c r="S25" s="210">
        <f t="shared" si="3"/>
        <v>5.0999999999999996</v>
      </c>
      <c r="T25" s="210" t="s">
        <v>246</v>
      </c>
      <c r="U25" s="210">
        <v>4.43</v>
      </c>
      <c r="V25" s="210"/>
      <c r="W25" s="210"/>
      <c r="X25" s="210"/>
      <c r="Y25" s="210"/>
      <c r="Z25" s="210"/>
      <c r="AA25" s="210"/>
      <c r="AB25" s="210">
        <f>ROUNDUP('NHÓM QBL01'!$I$73,2)</f>
        <v>4.0599999999999996</v>
      </c>
      <c r="AC25" s="210">
        <f>ROUNDUP('NHÓM QBL 02'!$I$73,2)</f>
        <v>4.4799999999999995</v>
      </c>
      <c r="AD25" s="210" t="s">
        <v>246</v>
      </c>
      <c r="AE25" s="210">
        <f t="shared" si="4"/>
        <v>-0.20999999999999952</v>
      </c>
      <c r="AF25" s="210">
        <f t="shared" si="5"/>
        <v>0.62000000000000011</v>
      </c>
      <c r="AG25" s="210">
        <v>0</v>
      </c>
      <c r="AH25" s="210">
        <f>ROUNDUP('NHÓM QBL01'!$I$74,2)</f>
        <v>0.33</v>
      </c>
      <c r="AI25" s="210">
        <f>ROUNDUP('NHÓM QBL 02'!$I$74,2)</f>
        <v>0.61</v>
      </c>
      <c r="AJ25" s="210">
        <v>0</v>
      </c>
      <c r="AK25" s="210">
        <f t="shared" si="6"/>
        <v>-0.64</v>
      </c>
      <c r="AL25" s="210">
        <f t="shared" si="7"/>
        <v>1.02</v>
      </c>
      <c r="AM25" s="210">
        <v>0</v>
      </c>
      <c r="AN25" s="210">
        <f t="shared" si="8"/>
        <v>3</v>
      </c>
      <c r="AO25" s="210">
        <f t="shared" si="9"/>
        <v>2</v>
      </c>
      <c r="AP25" s="210">
        <v>3</v>
      </c>
      <c r="AQ25" s="210">
        <f t="shared" si="10"/>
        <v>8</v>
      </c>
      <c r="AR25" s="210">
        <f>ROUNDUP('HIEU XUAT'!$X$48,2)</f>
        <v>15.7</v>
      </c>
      <c r="AS25" s="210">
        <f>ROUNDUP('HIEU XUAT'!$X$50,2)</f>
        <v>3.3099999999999996</v>
      </c>
      <c r="AT25" s="210">
        <f>VLOOKUP(E25,'HIEU XUAT'!B:AF,23,0)</f>
        <v>17</v>
      </c>
      <c r="AU25" s="210">
        <f>VLOOKUP(E25,'HIEU XUAT'!B:AP,32,0)</f>
        <v>0.4</v>
      </c>
      <c r="AV25" s="210" t="s">
        <v>397</v>
      </c>
      <c r="AW25" s="210" t="s">
        <v>153</v>
      </c>
      <c r="AX25" s="210" t="s">
        <v>398</v>
      </c>
      <c r="AY25" s="210" t="s">
        <v>200</v>
      </c>
      <c r="AZ25" s="210" t="s">
        <v>399</v>
      </c>
      <c r="BA25" s="210" t="s">
        <v>400</v>
      </c>
      <c r="BB25" s="210" t="s">
        <v>401</v>
      </c>
      <c r="BC25" s="210" t="s">
        <v>297</v>
      </c>
      <c r="BD25" s="211" t="s">
        <v>470</v>
      </c>
      <c r="BE25" s="211" t="s">
        <v>473</v>
      </c>
      <c r="BF25" s="210" t="s">
        <v>474</v>
      </c>
      <c r="BG25" s="210" t="s">
        <v>67</v>
      </c>
      <c r="BH25" s="210"/>
      <c r="BI25" s="210" t="s">
        <v>58</v>
      </c>
      <c r="BJ25" s="210"/>
      <c r="BK25" s="210"/>
      <c r="BL25" s="210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3"/>
      <c r="CF25" s="93"/>
      <c r="CG25" s="93"/>
      <c r="CH25" s="93"/>
    </row>
    <row r="26" spans="1:86" s="212" customFormat="1" ht="36.75" customHeight="1" x14ac:dyDescent="0.25">
      <c r="A26" s="206"/>
      <c r="B26" s="305">
        <v>25</v>
      </c>
      <c r="C26" s="210" t="str">
        <f>LEFT(F26,3)</f>
        <v>BDG</v>
      </c>
      <c r="D26" s="210"/>
      <c r="E26" s="213" t="s">
        <v>118</v>
      </c>
      <c r="F26" s="83" t="s">
        <v>119</v>
      </c>
      <c r="G26" s="83" t="s">
        <v>120</v>
      </c>
      <c r="H26" s="207">
        <v>8</v>
      </c>
      <c r="I26" s="207">
        <v>3</v>
      </c>
      <c r="J26" s="207">
        <v>230803</v>
      </c>
      <c r="K26" s="207" t="s">
        <v>468</v>
      </c>
      <c r="L26" s="207" t="s">
        <v>469</v>
      </c>
      <c r="M26" s="83">
        <f t="shared" si="11"/>
        <v>32</v>
      </c>
      <c r="N26" s="210" t="s">
        <v>264</v>
      </c>
      <c r="O26" s="210">
        <v>18500</v>
      </c>
      <c r="P26" s="210">
        <v>41600</v>
      </c>
      <c r="Q26" s="210" t="s">
        <v>351</v>
      </c>
      <c r="R26" s="210">
        <f t="shared" si="2"/>
        <v>4.2699999999999996</v>
      </c>
      <c r="S26" s="210">
        <f t="shared" si="3"/>
        <v>4.62</v>
      </c>
      <c r="T26" s="210" t="s">
        <v>351</v>
      </c>
      <c r="U26" s="210">
        <v>5</v>
      </c>
      <c r="V26" s="210"/>
      <c r="W26" s="210"/>
      <c r="X26" s="210"/>
      <c r="Y26" s="210"/>
      <c r="Z26" s="210"/>
      <c r="AA26" s="210"/>
      <c r="AB26" s="210">
        <f>ROUNDUP('NHÓM QBL01'!$I$73,2)</f>
        <v>4.0599999999999996</v>
      </c>
      <c r="AC26" s="210">
        <f>ROUNDUP('NHÓM QBL 02'!$I$73,2)</f>
        <v>4.4799999999999995</v>
      </c>
      <c r="AD26" s="210" t="s">
        <v>246</v>
      </c>
      <c r="AE26" s="210">
        <f t="shared" si="4"/>
        <v>0.20999999999999996</v>
      </c>
      <c r="AF26" s="210">
        <f t="shared" si="5"/>
        <v>0.14000000000000057</v>
      </c>
      <c r="AG26" s="210">
        <v>0</v>
      </c>
      <c r="AH26" s="210">
        <f>ROUNDUP('NHÓM QBL01'!$I$74,2)</f>
        <v>0.33</v>
      </c>
      <c r="AI26" s="210">
        <f>ROUNDUP('NHÓM QBL 02'!$I$74,2)</f>
        <v>0.61</v>
      </c>
      <c r="AJ26" s="210">
        <v>0</v>
      </c>
      <c r="AK26" s="210">
        <f t="shared" si="6"/>
        <v>0.64</v>
      </c>
      <c r="AL26" s="210">
        <f t="shared" si="7"/>
        <v>0.23</v>
      </c>
      <c r="AM26" s="210">
        <v>0</v>
      </c>
      <c r="AN26" s="323">
        <f t="shared" si="8"/>
        <v>3</v>
      </c>
      <c r="AO26" s="323">
        <f t="shared" si="9"/>
        <v>3</v>
      </c>
      <c r="AP26" s="323">
        <v>3</v>
      </c>
      <c r="AQ26" s="210">
        <f t="shared" si="10"/>
        <v>9</v>
      </c>
      <c r="AR26" s="210">
        <f>ROUNDUP('HIEU XUAT'!$X$48,2)</f>
        <v>15.7</v>
      </c>
      <c r="AS26" s="210">
        <f>ROUNDUP('HIEU XUAT'!$X$50,2)</f>
        <v>3.3099999999999996</v>
      </c>
      <c r="AT26" s="210">
        <f>VLOOKUP(E26,'HIEU XUAT'!B:AF,23,0)</f>
        <v>18</v>
      </c>
      <c r="AU26" s="210">
        <f>VLOOKUP(E26,'HIEU XUAT'!B:AP,32,0)</f>
        <v>0.7</v>
      </c>
      <c r="AV26" s="210" t="s">
        <v>121</v>
      </c>
      <c r="AW26" s="210"/>
      <c r="AX26" s="210" t="s">
        <v>265</v>
      </c>
      <c r="AY26" s="210" t="s">
        <v>122</v>
      </c>
      <c r="AZ26" s="210"/>
      <c r="BA26" s="210" t="s">
        <v>123</v>
      </c>
      <c r="BB26" s="214" t="s">
        <v>104</v>
      </c>
      <c r="BC26" s="7" t="s">
        <v>297</v>
      </c>
      <c r="BD26" s="210"/>
      <c r="BE26" s="210"/>
      <c r="BF26" s="210" t="s">
        <v>478</v>
      </c>
      <c r="BG26" s="210"/>
      <c r="BH26" s="210"/>
      <c r="BI26" s="210"/>
      <c r="BJ26" s="210"/>
      <c r="BK26" s="210"/>
      <c r="BL26" s="210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</row>
    <row r="27" spans="1:86" s="212" customFormat="1" ht="36.75" customHeight="1" x14ac:dyDescent="0.25">
      <c r="A27" s="92"/>
      <c r="B27" s="305">
        <v>26</v>
      </c>
      <c r="C27" s="210" t="str">
        <f>LEFT(F27,3)</f>
        <v>HCM</v>
      </c>
      <c r="D27" s="210"/>
      <c r="E27" s="266" t="s">
        <v>331</v>
      </c>
      <c r="F27" s="215" t="s">
        <v>325</v>
      </c>
      <c r="G27" s="82" t="s">
        <v>332</v>
      </c>
      <c r="H27" s="207">
        <v>8</v>
      </c>
      <c r="I27" s="207">
        <v>3</v>
      </c>
      <c r="J27" s="207">
        <v>230803</v>
      </c>
      <c r="K27" s="207" t="s">
        <v>468</v>
      </c>
      <c r="L27" s="207" t="s">
        <v>469</v>
      </c>
      <c r="M27" s="82">
        <f t="shared" si="11"/>
        <v>32</v>
      </c>
      <c r="N27" s="210" t="s">
        <v>264</v>
      </c>
      <c r="O27" s="210">
        <v>5600</v>
      </c>
      <c r="P27" s="210">
        <v>3400</v>
      </c>
      <c r="Q27" s="210" t="s">
        <v>246</v>
      </c>
      <c r="R27" s="210">
        <f t="shared" si="2"/>
        <v>3.75</v>
      </c>
      <c r="S27" s="210">
        <f t="shared" si="3"/>
        <v>3.53</v>
      </c>
      <c r="T27" s="210" t="s">
        <v>246</v>
      </c>
      <c r="U27" s="210">
        <v>5</v>
      </c>
      <c r="V27" s="210"/>
      <c r="W27" s="210"/>
      <c r="X27" s="210"/>
      <c r="Y27" s="210"/>
      <c r="Z27" s="210"/>
      <c r="AA27" s="210"/>
      <c r="AB27" s="210">
        <f>ROUNDUP('NHÓM QBL01'!$I$73,2)</f>
        <v>4.0599999999999996</v>
      </c>
      <c r="AC27" s="210">
        <f>ROUNDUP('NHÓM QBL 02'!$I$73,2)</f>
        <v>4.4799999999999995</v>
      </c>
      <c r="AD27" s="210" t="s">
        <v>246</v>
      </c>
      <c r="AE27" s="210">
        <f t="shared" si="4"/>
        <v>-0.30999999999999961</v>
      </c>
      <c r="AF27" s="210">
        <f t="shared" si="5"/>
        <v>-0.94999999999999973</v>
      </c>
      <c r="AG27" s="210">
        <v>0</v>
      </c>
      <c r="AH27" s="210">
        <f>ROUNDUP('NHÓM QBL01'!$I$74,2)</f>
        <v>0.33</v>
      </c>
      <c r="AI27" s="210">
        <f>ROUNDUP('NHÓM QBL 02'!$I$74,2)</f>
        <v>0.61</v>
      </c>
      <c r="AJ27" s="210">
        <v>0</v>
      </c>
      <c r="AK27" s="210">
        <f t="shared" si="6"/>
        <v>-0.94</v>
      </c>
      <c r="AL27" s="210">
        <f t="shared" si="7"/>
        <v>-1.56</v>
      </c>
      <c r="AM27" s="210">
        <v>0</v>
      </c>
      <c r="AN27" s="323">
        <f t="shared" si="8"/>
        <v>3</v>
      </c>
      <c r="AO27" s="323">
        <f t="shared" si="9"/>
        <v>2</v>
      </c>
      <c r="AP27" s="323">
        <v>3</v>
      </c>
      <c r="AQ27" s="210">
        <f t="shared" si="10"/>
        <v>8</v>
      </c>
      <c r="AR27" s="210">
        <f>ROUNDUP('HIEU XUAT'!$X$48,2)</f>
        <v>15.7</v>
      </c>
      <c r="AS27" s="210">
        <f>ROUNDUP('HIEU XUAT'!$X$50,2)</f>
        <v>3.3099999999999996</v>
      </c>
      <c r="AT27" s="210">
        <f>VLOOKUP(E27,'HIEU XUAT'!B:AF,23,0)</f>
        <v>14</v>
      </c>
      <c r="AU27" s="210">
        <f>VLOOKUP(E27,'HIEU XUAT'!B:AP,32,0)</f>
        <v>-0.52</v>
      </c>
      <c r="AV27" s="210" t="s">
        <v>371</v>
      </c>
      <c r="AW27" s="210" t="s">
        <v>358</v>
      </c>
      <c r="AX27" s="210" t="s">
        <v>372</v>
      </c>
      <c r="AY27" s="210" t="s">
        <v>326</v>
      </c>
      <c r="AZ27" s="210" t="s">
        <v>327</v>
      </c>
      <c r="BA27" s="210" t="s">
        <v>328</v>
      </c>
      <c r="BB27" s="210" t="s">
        <v>143</v>
      </c>
      <c r="BC27" s="7" t="s">
        <v>297</v>
      </c>
      <c r="BD27" s="211" t="s">
        <v>470</v>
      </c>
      <c r="BE27" s="211" t="s">
        <v>470</v>
      </c>
      <c r="BF27" s="211"/>
      <c r="BG27" s="210" t="s">
        <v>329</v>
      </c>
      <c r="BH27" s="210" t="s">
        <v>330</v>
      </c>
      <c r="BI27" s="210" t="s">
        <v>58</v>
      </c>
      <c r="BJ27" s="210"/>
      <c r="BK27" s="210"/>
      <c r="BL27" s="210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93"/>
      <c r="CF27" s="93"/>
      <c r="CG27" s="93"/>
      <c r="CH27" s="93"/>
    </row>
    <row r="28" spans="1:86" s="212" customFormat="1" ht="36.75" customHeight="1" x14ac:dyDescent="0.25">
      <c r="A28" s="92"/>
      <c r="B28" s="305">
        <v>27</v>
      </c>
      <c r="C28" s="210"/>
      <c r="D28" s="210"/>
      <c r="E28" s="266" t="s">
        <v>408</v>
      </c>
      <c r="F28" s="215" t="s">
        <v>365</v>
      </c>
      <c r="G28" s="82" t="s">
        <v>407</v>
      </c>
      <c r="H28" s="207">
        <v>8</v>
      </c>
      <c r="I28" s="207">
        <v>3</v>
      </c>
      <c r="J28" s="207">
        <v>230803</v>
      </c>
      <c r="K28" s="207" t="s">
        <v>468</v>
      </c>
      <c r="L28" s="207" t="s">
        <v>469</v>
      </c>
      <c r="M28" s="82">
        <v>33</v>
      </c>
      <c r="N28" s="210" t="s">
        <v>264</v>
      </c>
      <c r="O28" s="210">
        <v>32124</v>
      </c>
      <c r="P28" s="210">
        <v>54353</v>
      </c>
      <c r="Q28" s="210" t="s">
        <v>246</v>
      </c>
      <c r="R28" s="210">
        <f t="shared" si="2"/>
        <v>4.51</v>
      </c>
      <c r="S28" s="210">
        <f t="shared" si="3"/>
        <v>4.74</v>
      </c>
      <c r="T28" s="210" t="s">
        <v>246</v>
      </c>
      <c r="U28" s="210">
        <v>5</v>
      </c>
      <c r="V28" s="210"/>
      <c r="W28" s="210"/>
      <c r="X28" s="210"/>
      <c r="Y28" s="210"/>
      <c r="Z28" s="210"/>
      <c r="AA28" s="210"/>
      <c r="AB28" s="210">
        <f>ROUNDUP('NHÓM QBL01'!$I$73,2)</f>
        <v>4.0599999999999996</v>
      </c>
      <c r="AC28" s="210">
        <f>ROUNDUP('NHÓM QBL 02'!$I$73,2)</f>
        <v>4.4799999999999995</v>
      </c>
      <c r="AD28" s="210" t="s">
        <v>246</v>
      </c>
      <c r="AE28" s="210">
        <f t="shared" si="4"/>
        <v>0.45000000000000018</v>
      </c>
      <c r="AF28" s="210">
        <f t="shared" si="5"/>
        <v>0.26000000000000068</v>
      </c>
      <c r="AG28" s="210">
        <v>0</v>
      </c>
      <c r="AH28" s="210">
        <f>ROUNDUP('NHÓM QBL01'!$I$74,2)</f>
        <v>0.33</v>
      </c>
      <c r="AI28" s="210">
        <f>ROUNDUP('NHÓM QBL 02'!$I$74,2)</f>
        <v>0.61</v>
      </c>
      <c r="AJ28" s="210">
        <v>0</v>
      </c>
      <c r="AK28" s="210">
        <f t="shared" si="6"/>
        <v>1.36</v>
      </c>
      <c r="AL28" s="210">
        <f t="shared" si="7"/>
        <v>0.43</v>
      </c>
      <c r="AM28" s="210">
        <v>0</v>
      </c>
      <c r="AN28" s="323">
        <f t="shared" si="8"/>
        <v>2</v>
      </c>
      <c r="AO28" s="323">
        <f t="shared" si="9"/>
        <v>3</v>
      </c>
      <c r="AP28" s="323">
        <v>3</v>
      </c>
      <c r="AQ28" s="210">
        <f t="shared" si="10"/>
        <v>8</v>
      </c>
      <c r="AR28" s="210">
        <f>ROUNDUP('HIEU XUAT'!$X$48,2)</f>
        <v>15.7</v>
      </c>
      <c r="AS28" s="210">
        <f>ROUNDUP('HIEU XUAT'!$X$50,2)</f>
        <v>3.3099999999999996</v>
      </c>
      <c r="AT28" s="210">
        <f>VLOOKUP(E28,'HIEU XUAT'!B:AF,23,0)</f>
        <v>17</v>
      </c>
      <c r="AU28" s="210">
        <f>VLOOKUP(E28,'HIEU XUAT'!B:AP,32,0)</f>
        <v>0.4</v>
      </c>
      <c r="AV28" s="210" t="s">
        <v>387</v>
      </c>
      <c r="AW28" s="210" t="s">
        <v>388</v>
      </c>
      <c r="AX28" s="210" t="s">
        <v>389</v>
      </c>
      <c r="AY28" s="210" t="s">
        <v>200</v>
      </c>
      <c r="AZ28" s="210" t="s">
        <v>390</v>
      </c>
      <c r="BA28" s="210" t="s">
        <v>391</v>
      </c>
      <c r="BB28" s="210" t="s">
        <v>83</v>
      </c>
      <c r="BC28" s="7" t="s">
        <v>297</v>
      </c>
      <c r="BD28" s="211" t="s">
        <v>470</v>
      </c>
      <c r="BE28" s="211" t="s">
        <v>480</v>
      </c>
      <c r="BF28" s="211" t="s">
        <v>481</v>
      </c>
      <c r="BG28" s="210" t="s">
        <v>392</v>
      </c>
      <c r="BH28" s="210">
        <v>10</v>
      </c>
      <c r="BI28" s="210" t="s">
        <v>58</v>
      </c>
      <c r="BJ28" s="210"/>
      <c r="BK28" s="210"/>
      <c r="BL28" s="210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93"/>
      <c r="CF28" s="93"/>
      <c r="CG28" s="93"/>
      <c r="CH28" s="93"/>
    </row>
    <row r="29" spans="1:86" s="84" customFormat="1" ht="36.75" customHeight="1" x14ac:dyDescent="0.25">
      <c r="A29" s="216"/>
      <c r="B29" s="306">
        <v>28</v>
      </c>
      <c r="C29" s="217" t="str">
        <f t="shared" si="0"/>
        <v>HCM</v>
      </c>
      <c r="D29" s="217" t="s">
        <v>78</v>
      </c>
      <c r="E29" s="218" t="s">
        <v>156</v>
      </c>
      <c r="F29" s="219" t="s">
        <v>157</v>
      </c>
      <c r="G29" s="217" t="s">
        <v>158</v>
      </c>
      <c r="H29" s="217">
        <v>8</v>
      </c>
      <c r="I29" s="217">
        <v>3</v>
      </c>
      <c r="J29" s="217">
        <v>230803</v>
      </c>
      <c r="K29" s="217" t="s">
        <v>468</v>
      </c>
      <c r="L29" s="217" t="s">
        <v>469</v>
      </c>
      <c r="M29" s="217">
        <f t="shared" ref="M29:M37" si="12">$N$46</f>
        <v>32</v>
      </c>
      <c r="N29" s="3" t="s">
        <v>264</v>
      </c>
      <c r="O29" s="3">
        <v>54000</v>
      </c>
      <c r="P29" s="3">
        <v>52700</v>
      </c>
      <c r="Q29" s="3" t="s">
        <v>443</v>
      </c>
      <c r="R29" s="3">
        <f t="shared" si="2"/>
        <v>4.7300000000000004</v>
      </c>
      <c r="S29" s="3">
        <f t="shared" si="3"/>
        <v>4.72</v>
      </c>
      <c r="T29" s="3" t="s">
        <v>443</v>
      </c>
      <c r="U29" s="3">
        <v>8.2100000000000009</v>
      </c>
      <c r="V29" s="3"/>
      <c r="W29" s="3"/>
      <c r="X29" s="3"/>
      <c r="Y29" s="3"/>
      <c r="Z29" s="3"/>
      <c r="AA29" s="3"/>
      <c r="AB29" s="3">
        <f>ROUNDUP('QBL01'!$J$52,2)</f>
        <v>4.38</v>
      </c>
      <c r="AC29" s="3">
        <f>ROUNDUP('QBL 02'!$J$52,2)</f>
        <v>4.5199999999999996</v>
      </c>
      <c r="AD29" s="3" t="s">
        <v>246</v>
      </c>
      <c r="AE29" s="3">
        <f t="shared" si="4"/>
        <v>0.35000000000000053</v>
      </c>
      <c r="AF29" s="3">
        <f t="shared" si="5"/>
        <v>0.20000000000000018</v>
      </c>
      <c r="AG29" s="3">
        <v>0</v>
      </c>
      <c r="AH29" s="3">
        <f>ROUNDUP('QBL01'!$J$53,2)</f>
        <v>0.36</v>
      </c>
      <c r="AI29" s="3">
        <f>ROUNDUP('QBL 02'!$J$53,2)</f>
        <v>0.3</v>
      </c>
      <c r="AJ29" s="3">
        <v>0</v>
      </c>
      <c r="AK29" s="3">
        <f t="shared" si="6"/>
        <v>0.97</v>
      </c>
      <c r="AL29" s="3">
        <f t="shared" si="7"/>
        <v>0.67</v>
      </c>
      <c r="AM29" s="3">
        <v>0</v>
      </c>
      <c r="AN29" s="324">
        <f t="shared" si="8"/>
        <v>3</v>
      </c>
      <c r="AO29" s="324">
        <f t="shared" si="9"/>
        <v>3</v>
      </c>
      <c r="AP29" s="324">
        <v>3</v>
      </c>
      <c r="AQ29" s="3">
        <f t="shared" si="10"/>
        <v>9</v>
      </c>
      <c r="AR29" s="3">
        <f>ROUNDUP('HIEU XUAT'!$X$48,2)</f>
        <v>15.7</v>
      </c>
      <c r="AS29" s="3">
        <f>ROUNDUP('HIEU XUAT'!$X$50,2)</f>
        <v>3.3099999999999996</v>
      </c>
      <c r="AT29" s="3">
        <f>VLOOKUP(E29,'HIEU XUAT'!B:AF,23,0)</f>
        <v>18</v>
      </c>
      <c r="AU29" s="3">
        <f>VLOOKUP(E29,'HIEU XUAT'!B:AP,32,0)</f>
        <v>0.7</v>
      </c>
      <c r="AV29" s="3"/>
      <c r="AW29" s="3"/>
      <c r="AX29" s="3"/>
      <c r="AY29" s="3" t="s">
        <v>159</v>
      </c>
      <c r="AZ29" s="3"/>
      <c r="BA29" s="3" t="s">
        <v>160</v>
      </c>
      <c r="BB29" s="220" t="s">
        <v>143</v>
      </c>
      <c r="BC29" s="220" t="s">
        <v>298</v>
      </c>
      <c r="BD29" s="3"/>
      <c r="BE29" s="3"/>
      <c r="BF29" s="221" t="s">
        <v>473</v>
      </c>
      <c r="BG29" s="3"/>
      <c r="BH29" s="3"/>
      <c r="BI29" s="3"/>
      <c r="BJ29" s="3"/>
      <c r="BK29" s="3"/>
      <c r="BL29" s="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  <c r="CD29" s="93"/>
      <c r="CE29" s="93"/>
      <c r="CF29" s="93"/>
      <c r="CG29" s="93"/>
      <c r="CH29" s="93"/>
    </row>
    <row r="30" spans="1:86" s="84" customFormat="1" ht="36.75" customHeight="1" x14ac:dyDescent="0.25">
      <c r="A30" s="216"/>
      <c r="B30" s="306">
        <v>29</v>
      </c>
      <c r="C30" s="217" t="str">
        <f t="shared" si="0"/>
        <v>HCM</v>
      </c>
      <c r="D30" s="217">
        <v>2</v>
      </c>
      <c r="E30" s="218" t="s">
        <v>161</v>
      </c>
      <c r="F30" s="219" t="s">
        <v>162</v>
      </c>
      <c r="G30" s="217" t="s">
        <v>163</v>
      </c>
      <c r="H30" s="217">
        <v>8</v>
      </c>
      <c r="I30" s="217">
        <v>3</v>
      </c>
      <c r="J30" s="217">
        <v>230803</v>
      </c>
      <c r="K30" s="217" t="s">
        <v>468</v>
      </c>
      <c r="L30" s="217" t="s">
        <v>469</v>
      </c>
      <c r="M30" s="217">
        <f t="shared" si="12"/>
        <v>32</v>
      </c>
      <c r="N30" s="3" t="s">
        <v>264</v>
      </c>
      <c r="O30" s="3">
        <v>2500</v>
      </c>
      <c r="P30" s="3">
        <v>7400</v>
      </c>
      <c r="Q30" s="3" t="s">
        <v>351</v>
      </c>
      <c r="R30" s="3">
        <f t="shared" si="2"/>
        <v>3.4</v>
      </c>
      <c r="S30" s="3">
        <f t="shared" si="3"/>
        <v>3.87</v>
      </c>
      <c r="T30" s="3" t="s">
        <v>351</v>
      </c>
      <c r="U30" s="3">
        <v>8.2100000000000009</v>
      </c>
      <c r="V30" s="3"/>
      <c r="W30" s="3"/>
      <c r="X30" s="3"/>
      <c r="Y30" s="3"/>
      <c r="Z30" s="3"/>
      <c r="AA30" s="3"/>
      <c r="AB30" s="3">
        <f>ROUNDUP('QBL01'!$J$52,2)</f>
        <v>4.38</v>
      </c>
      <c r="AC30" s="3">
        <f>ROUNDUP('QBL 02'!$J$52,2)</f>
        <v>4.5199999999999996</v>
      </c>
      <c r="AD30" s="3" t="s">
        <v>246</v>
      </c>
      <c r="AE30" s="3">
        <f t="shared" si="4"/>
        <v>-0.98</v>
      </c>
      <c r="AF30" s="3">
        <f t="shared" si="5"/>
        <v>-0.64999999999999947</v>
      </c>
      <c r="AG30" s="3">
        <v>0</v>
      </c>
      <c r="AH30" s="3">
        <f>ROUNDUP('QBL01'!$J$53,2)</f>
        <v>0.36</v>
      </c>
      <c r="AI30" s="3">
        <f>ROUNDUP('QBL 02'!$J$53,2)</f>
        <v>0.3</v>
      </c>
      <c r="AJ30" s="3">
        <v>0</v>
      </c>
      <c r="AK30" s="3">
        <f t="shared" si="6"/>
        <v>-2.72</v>
      </c>
      <c r="AL30" s="3">
        <f t="shared" si="7"/>
        <v>-2.17</v>
      </c>
      <c r="AM30" s="3">
        <v>0</v>
      </c>
      <c r="AN30" s="324">
        <f t="shared" si="8"/>
        <v>1</v>
      </c>
      <c r="AO30" s="324">
        <f t="shared" si="9"/>
        <v>1</v>
      </c>
      <c r="AP30" s="324">
        <v>3</v>
      </c>
      <c r="AQ30" s="3">
        <f t="shared" si="10"/>
        <v>5</v>
      </c>
      <c r="AR30" s="3">
        <f>ROUNDUP('HIEU XUAT'!$X$48,2)</f>
        <v>15.7</v>
      </c>
      <c r="AS30" s="3">
        <f>ROUNDUP('HIEU XUAT'!$X$50,2)</f>
        <v>3.3099999999999996</v>
      </c>
      <c r="AT30" s="3">
        <f>VLOOKUP(E30,'HIEU XUAT'!B:AF,23,0)</f>
        <v>12</v>
      </c>
      <c r="AU30" s="3">
        <f>VLOOKUP(E30,'HIEU XUAT'!B:AP,32,0)</f>
        <v>-1.1300000000000001</v>
      </c>
      <c r="AV30" s="3" t="s">
        <v>164</v>
      </c>
      <c r="AW30" s="3" t="s">
        <v>438</v>
      </c>
      <c r="AX30" s="3" t="s">
        <v>165</v>
      </c>
      <c r="AY30" s="3" t="s">
        <v>166</v>
      </c>
      <c r="AZ30" s="3" t="s">
        <v>167</v>
      </c>
      <c r="BA30" s="3" t="s">
        <v>168</v>
      </c>
      <c r="BB30" s="220" t="s">
        <v>168</v>
      </c>
      <c r="BC30" s="220" t="s">
        <v>298</v>
      </c>
      <c r="BD30" s="3" t="s">
        <v>477</v>
      </c>
      <c r="BE30" s="3" t="s">
        <v>478</v>
      </c>
      <c r="BF30" s="3" t="s">
        <v>479</v>
      </c>
      <c r="BG30" s="3" t="s">
        <v>67</v>
      </c>
      <c r="BH30" s="3"/>
      <c r="BI30" s="3"/>
      <c r="BJ30" s="3"/>
      <c r="BK30" s="3"/>
      <c r="BL30" s="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  <c r="CD30" s="93"/>
      <c r="CE30" s="93"/>
      <c r="CF30" s="93"/>
      <c r="CG30" s="93"/>
      <c r="CH30" s="93"/>
    </row>
    <row r="31" spans="1:86" s="227" customFormat="1" ht="36.75" customHeight="1" x14ac:dyDescent="0.25">
      <c r="A31" s="222"/>
      <c r="B31" s="307">
        <v>30</v>
      </c>
      <c r="C31" s="222" t="str">
        <f>LEFT(F31,3)</f>
        <v>DNI</v>
      </c>
      <c r="D31" s="222" t="s">
        <v>59</v>
      </c>
      <c r="E31" s="223" t="s">
        <v>341</v>
      </c>
      <c r="F31" s="224" t="s">
        <v>337</v>
      </c>
      <c r="G31" s="224" t="s">
        <v>338</v>
      </c>
      <c r="H31" s="225">
        <v>8</v>
      </c>
      <c r="I31" s="225">
        <v>3</v>
      </c>
      <c r="J31" s="225">
        <v>230803</v>
      </c>
      <c r="K31" s="225" t="s">
        <v>468</v>
      </c>
      <c r="L31" s="225" t="s">
        <v>469</v>
      </c>
      <c r="M31" s="224">
        <f t="shared" si="12"/>
        <v>32</v>
      </c>
      <c r="N31" s="222" t="s">
        <v>264</v>
      </c>
      <c r="O31" s="222">
        <v>10670</v>
      </c>
      <c r="P31" s="222">
        <v>13096</v>
      </c>
      <c r="Q31" s="222" t="s">
        <v>351</v>
      </c>
      <c r="R31" s="222">
        <f t="shared" si="2"/>
        <v>4.03</v>
      </c>
      <c r="S31" s="222">
        <f t="shared" si="3"/>
        <v>4.12</v>
      </c>
      <c r="T31" s="222" t="s">
        <v>351</v>
      </c>
      <c r="U31" s="222">
        <v>5.8</v>
      </c>
      <c r="V31" s="222"/>
      <c r="W31" s="222"/>
      <c r="X31" s="222"/>
      <c r="Y31" s="222"/>
      <c r="Z31" s="222"/>
      <c r="AA31" s="222"/>
      <c r="AB31" s="222">
        <f>ROUNDUP('QBL01'!$J$52,2)</f>
        <v>4.38</v>
      </c>
      <c r="AC31" s="222">
        <f>ROUNDUP('QBL 02'!$J$52,2)</f>
        <v>4.5199999999999996</v>
      </c>
      <c r="AD31" s="222" t="s">
        <v>246</v>
      </c>
      <c r="AE31" s="222">
        <f t="shared" si="4"/>
        <v>-0.34999999999999964</v>
      </c>
      <c r="AF31" s="222">
        <f t="shared" si="5"/>
        <v>-0.39999999999999947</v>
      </c>
      <c r="AG31" s="222">
        <v>0</v>
      </c>
      <c r="AH31" s="222">
        <f>ROUNDUP('QBL01'!$J$53,2)</f>
        <v>0.36</v>
      </c>
      <c r="AI31" s="222">
        <f>ROUNDUP('QBL 02'!$J$53,2)</f>
        <v>0.3</v>
      </c>
      <c r="AJ31" s="222">
        <v>0</v>
      </c>
      <c r="AK31" s="222">
        <f t="shared" si="6"/>
        <v>-0.97</v>
      </c>
      <c r="AL31" s="222">
        <f t="shared" si="7"/>
        <v>-1.33</v>
      </c>
      <c r="AM31" s="222">
        <v>0</v>
      </c>
      <c r="AN31" s="325">
        <f t="shared" si="8"/>
        <v>3</v>
      </c>
      <c r="AO31" s="325">
        <f t="shared" si="9"/>
        <v>2</v>
      </c>
      <c r="AP31" s="325">
        <v>3</v>
      </c>
      <c r="AQ31" s="222">
        <f t="shared" si="10"/>
        <v>8</v>
      </c>
      <c r="AR31" s="222">
        <f>ROUNDUP('HIEU XUAT'!$X$48,2)</f>
        <v>15.7</v>
      </c>
      <c r="AS31" s="222">
        <f>ROUNDUP('HIEU XUAT'!$X$50,2)</f>
        <v>3.3099999999999996</v>
      </c>
      <c r="AT31" s="222">
        <f>VLOOKUP(E31,'HIEU XUAT'!B:AF,23,0)</f>
        <v>17</v>
      </c>
      <c r="AU31" s="222">
        <f>VLOOKUP(E31,'HIEU XUAT'!B:AP,32,0)</f>
        <v>0.4</v>
      </c>
      <c r="AV31" s="222" t="s">
        <v>339</v>
      </c>
      <c r="AW31" s="222" t="s">
        <v>113</v>
      </c>
      <c r="AX31" s="222" t="s">
        <v>269</v>
      </c>
      <c r="AY31" s="222" t="s">
        <v>380</v>
      </c>
      <c r="AZ31" s="222" t="s">
        <v>167</v>
      </c>
      <c r="BA31" s="226" t="s">
        <v>381</v>
      </c>
      <c r="BB31" s="222" t="s">
        <v>382</v>
      </c>
      <c r="BC31" s="222" t="s">
        <v>377</v>
      </c>
      <c r="BD31" s="226" t="s">
        <v>470</v>
      </c>
      <c r="BE31" s="226" t="s">
        <v>471</v>
      </c>
      <c r="BF31" s="226" t="s">
        <v>479</v>
      </c>
      <c r="BG31" s="222"/>
      <c r="BH31" s="222"/>
      <c r="BI31" s="222"/>
      <c r="BJ31" s="222"/>
      <c r="BK31" s="222"/>
      <c r="BL31" s="222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</row>
    <row r="32" spans="1:86" s="227" customFormat="1" ht="36.75" customHeight="1" x14ac:dyDescent="0.25">
      <c r="A32" s="222"/>
      <c r="B32" s="307">
        <v>31</v>
      </c>
      <c r="C32" s="222" t="str">
        <f t="shared" si="0"/>
        <v>HCM</v>
      </c>
      <c r="D32" s="222"/>
      <c r="E32" s="223" t="s">
        <v>225</v>
      </c>
      <c r="F32" s="224" t="s">
        <v>226</v>
      </c>
      <c r="G32" s="224" t="s">
        <v>227</v>
      </c>
      <c r="H32" s="225">
        <v>8</v>
      </c>
      <c r="I32" s="225">
        <v>3</v>
      </c>
      <c r="J32" s="225">
        <v>230803</v>
      </c>
      <c r="K32" s="225" t="s">
        <v>468</v>
      </c>
      <c r="L32" s="225" t="s">
        <v>469</v>
      </c>
      <c r="M32" s="224">
        <f t="shared" si="12"/>
        <v>32</v>
      </c>
      <c r="N32" s="222" t="s">
        <v>264</v>
      </c>
      <c r="O32" s="222">
        <v>14854</v>
      </c>
      <c r="P32" s="222">
        <v>16041</v>
      </c>
      <c r="Q32" s="222" t="s">
        <v>351</v>
      </c>
      <c r="R32" s="222">
        <f t="shared" si="2"/>
        <v>4.17</v>
      </c>
      <c r="S32" s="222">
        <f t="shared" si="3"/>
        <v>4.21</v>
      </c>
      <c r="T32" s="222" t="s">
        <v>351</v>
      </c>
      <c r="U32" s="222">
        <v>5</v>
      </c>
      <c r="V32" s="222"/>
      <c r="W32" s="222"/>
      <c r="X32" s="222"/>
      <c r="Y32" s="222"/>
      <c r="Z32" s="222"/>
      <c r="AA32" s="222"/>
      <c r="AB32" s="222">
        <f>ROUNDUP('QBL01'!$J$52,2)</f>
        <v>4.38</v>
      </c>
      <c r="AC32" s="222">
        <f>ROUNDUP('QBL 02'!$J$52,2)</f>
        <v>4.5199999999999996</v>
      </c>
      <c r="AD32" s="222" t="s">
        <v>246</v>
      </c>
      <c r="AE32" s="222">
        <f t="shared" si="4"/>
        <v>-0.20999999999999996</v>
      </c>
      <c r="AF32" s="222">
        <f t="shared" si="5"/>
        <v>-0.30999999999999961</v>
      </c>
      <c r="AG32" s="222">
        <v>0</v>
      </c>
      <c r="AH32" s="222">
        <f>ROUNDUP('QBL01'!$J$53,2)</f>
        <v>0.36</v>
      </c>
      <c r="AI32" s="222">
        <f>ROUNDUP('QBL 02'!$J$53,2)</f>
        <v>0.3</v>
      </c>
      <c r="AJ32" s="222">
        <v>0</v>
      </c>
      <c r="AK32" s="222">
        <f t="shared" si="6"/>
        <v>-0.57999999999999996</v>
      </c>
      <c r="AL32" s="222">
        <f t="shared" si="7"/>
        <v>-1.03</v>
      </c>
      <c r="AM32" s="222">
        <v>0</v>
      </c>
      <c r="AN32" s="325">
        <f t="shared" si="8"/>
        <v>3</v>
      </c>
      <c r="AO32" s="325">
        <f t="shared" si="9"/>
        <v>2</v>
      </c>
      <c r="AP32" s="325">
        <v>3</v>
      </c>
      <c r="AQ32" s="222">
        <f t="shared" si="10"/>
        <v>8</v>
      </c>
      <c r="AR32" s="222">
        <f>ROUNDUP('HIEU XUAT'!$X$48,2)</f>
        <v>15.7</v>
      </c>
      <c r="AS32" s="222">
        <f>ROUNDUP('HIEU XUAT'!$X$50,2)</f>
        <v>3.3099999999999996</v>
      </c>
      <c r="AT32" s="222">
        <f>VLOOKUP(E32,'HIEU XUAT'!B:AF,23,0)</f>
        <v>16</v>
      </c>
      <c r="AU32" s="222">
        <f>VLOOKUP(E32,'HIEU XUAT'!B:AP,32,0)</f>
        <v>9.9999999999999992E-2</v>
      </c>
      <c r="AV32" s="222" t="s">
        <v>228</v>
      </c>
      <c r="AW32" s="222" t="s">
        <v>253</v>
      </c>
      <c r="AX32" s="222" t="s">
        <v>229</v>
      </c>
      <c r="AY32" s="222" t="s">
        <v>335</v>
      </c>
      <c r="AZ32" s="222" t="s">
        <v>167</v>
      </c>
      <c r="BA32" s="226" t="s">
        <v>336</v>
      </c>
      <c r="BB32" s="222" t="s">
        <v>252</v>
      </c>
      <c r="BC32" s="222" t="s">
        <v>377</v>
      </c>
      <c r="BD32" s="226" t="s">
        <v>470</v>
      </c>
      <c r="BE32" s="226" t="s">
        <v>473</v>
      </c>
      <c r="BF32" s="226" t="s">
        <v>480</v>
      </c>
      <c r="BG32" s="222" t="s">
        <v>255</v>
      </c>
      <c r="BH32" s="222" t="s">
        <v>58</v>
      </c>
      <c r="BI32" s="222" t="s">
        <v>58</v>
      </c>
      <c r="BJ32" s="222"/>
      <c r="BK32" s="222"/>
      <c r="BL32" s="222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3"/>
      <c r="CC32" s="93"/>
      <c r="CD32" s="93"/>
      <c r="CE32" s="93"/>
      <c r="CF32" s="93"/>
      <c r="CG32" s="93"/>
      <c r="CH32" s="93"/>
    </row>
    <row r="33" spans="1:86" s="227" customFormat="1" ht="36.75" customHeight="1" x14ac:dyDescent="0.25">
      <c r="A33" s="228"/>
      <c r="B33" s="307">
        <v>32</v>
      </c>
      <c r="C33" s="225"/>
      <c r="D33" s="225"/>
      <c r="E33" s="229" t="s">
        <v>404</v>
      </c>
      <c r="F33" s="230" t="s">
        <v>357</v>
      </c>
      <c r="G33" s="225" t="s">
        <v>359</v>
      </c>
      <c r="H33" s="225">
        <v>8</v>
      </c>
      <c r="I33" s="225">
        <v>3</v>
      </c>
      <c r="J33" s="225">
        <v>230803</v>
      </c>
      <c r="K33" s="225" t="s">
        <v>468</v>
      </c>
      <c r="L33" s="225" t="s">
        <v>469</v>
      </c>
      <c r="M33" s="225">
        <f t="shared" si="12"/>
        <v>32</v>
      </c>
      <c r="N33" s="222" t="s">
        <v>264</v>
      </c>
      <c r="O33" s="222">
        <v>16784</v>
      </c>
      <c r="P33" s="222">
        <v>23929</v>
      </c>
      <c r="Q33" s="222" t="s">
        <v>351</v>
      </c>
      <c r="R33" s="222">
        <f t="shared" si="2"/>
        <v>4.22</v>
      </c>
      <c r="S33" s="222">
        <f t="shared" si="3"/>
        <v>4.38</v>
      </c>
      <c r="T33" s="222" t="s">
        <v>351</v>
      </c>
      <c r="U33" s="222"/>
      <c r="V33" s="222"/>
      <c r="W33" s="222"/>
      <c r="X33" s="222"/>
      <c r="Y33" s="222"/>
      <c r="Z33" s="222"/>
      <c r="AA33" s="222"/>
      <c r="AB33" s="222">
        <f>ROUNDUP('QBL01'!$J$52,2)</f>
        <v>4.38</v>
      </c>
      <c r="AC33" s="222">
        <f>ROUNDUP('QBL 02'!$J$52,2)</f>
        <v>4.5199999999999996</v>
      </c>
      <c r="AD33" s="222" t="s">
        <v>246</v>
      </c>
      <c r="AE33" s="222">
        <f t="shared" si="4"/>
        <v>-0.16000000000000014</v>
      </c>
      <c r="AF33" s="222">
        <f t="shared" si="5"/>
        <v>-0.13999999999999968</v>
      </c>
      <c r="AG33" s="222">
        <v>0</v>
      </c>
      <c r="AH33" s="222">
        <f>ROUNDUP('QBL01'!$J$53,2)</f>
        <v>0.36</v>
      </c>
      <c r="AI33" s="222">
        <f>ROUNDUP('QBL 02'!$J$53,2)</f>
        <v>0.3</v>
      </c>
      <c r="AJ33" s="222">
        <v>0</v>
      </c>
      <c r="AK33" s="222">
        <f t="shared" si="6"/>
        <v>-0.44</v>
      </c>
      <c r="AL33" s="222">
        <f t="shared" si="7"/>
        <v>-0.47</v>
      </c>
      <c r="AM33" s="222">
        <v>0</v>
      </c>
      <c r="AN33" s="222">
        <f t="shared" si="8"/>
        <v>3</v>
      </c>
      <c r="AO33" s="222">
        <f t="shared" si="9"/>
        <v>3</v>
      </c>
      <c r="AP33" s="222">
        <v>3</v>
      </c>
      <c r="AQ33" s="222">
        <f t="shared" si="10"/>
        <v>9</v>
      </c>
      <c r="AR33" s="222">
        <f>ROUNDUP('HIEU XUAT'!$X$48,2)</f>
        <v>15.7</v>
      </c>
      <c r="AS33" s="222">
        <f>ROUNDUP('HIEU XUAT'!$X$50,2)</f>
        <v>3.3099999999999996</v>
      </c>
      <c r="AT33" s="222">
        <f>VLOOKUP(E33,'HIEU XUAT'!B:AF,23,0)</f>
        <v>18</v>
      </c>
      <c r="AU33" s="222">
        <f>VLOOKUP(E33,'HIEU XUAT'!B:AP,32,0)</f>
        <v>0.7</v>
      </c>
      <c r="AV33" s="222" t="s">
        <v>378</v>
      </c>
      <c r="AW33" s="222" t="s">
        <v>379</v>
      </c>
      <c r="AX33" s="222" t="s">
        <v>355</v>
      </c>
      <c r="AY33" s="222" t="s">
        <v>380</v>
      </c>
      <c r="AZ33" s="222" t="s">
        <v>167</v>
      </c>
      <c r="BA33" s="222" t="s">
        <v>381</v>
      </c>
      <c r="BB33" s="222" t="s">
        <v>382</v>
      </c>
      <c r="BC33" s="222" t="s">
        <v>377</v>
      </c>
      <c r="BD33" s="226" t="s">
        <v>470</v>
      </c>
      <c r="BE33" s="226" t="s">
        <v>474</v>
      </c>
      <c r="BF33" s="226" t="s">
        <v>468</v>
      </c>
      <c r="BG33" s="222" t="s">
        <v>67</v>
      </c>
      <c r="BH33" s="222">
        <v>6</v>
      </c>
      <c r="BI33" s="222" t="s">
        <v>58</v>
      </c>
      <c r="BJ33" s="222"/>
      <c r="BK33" s="222"/>
      <c r="BL33" s="222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  <c r="CD33" s="93"/>
      <c r="CE33" s="93"/>
      <c r="CF33" s="93"/>
      <c r="CG33" s="93"/>
      <c r="CH33" s="93"/>
    </row>
    <row r="34" spans="1:86" s="286" customFormat="1" ht="36.75" customHeight="1" x14ac:dyDescent="0.25">
      <c r="A34" s="281"/>
      <c r="B34" s="308">
        <v>33</v>
      </c>
      <c r="C34" s="281" t="str">
        <f t="shared" si="0"/>
        <v>DNG</v>
      </c>
      <c r="D34" s="281"/>
      <c r="E34" s="282" t="s">
        <v>449</v>
      </c>
      <c r="F34" s="283" t="s">
        <v>254</v>
      </c>
      <c r="G34" s="283" t="s">
        <v>266</v>
      </c>
      <c r="H34" s="284">
        <v>8</v>
      </c>
      <c r="I34" s="284">
        <v>3</v>
      </c>
      <c r="J34" s="284">
        <v>230803</v>
      </c>
      <c r="K34" s="284" t="s">
        <v>468</v>
      </c>
      <c r="L34" s="284" t="s">
        <v>469</v>
      </c>
      <c r="M34" s="283">
        <f t="shared" si="12"/>
        <v>32</v>
      </c>
      <c r="N34" s="281"/>
      <c r="O34" s="281"/>
      <c r="P34" s="281"/>
      <c r="Q34" s="281"/>
      <c r="R34" s="281" t="str">
        <f t="shared" si="2"/>
        <v/>
      </c>
      <c r="S34" s="281" t="str">
        <f t="shared" si="3"/>
        <v/>
      </c>
      <c r="T34" s="281"/>
      <c r="U34" s="281">
        <v>5</v>
      </c>
      <c r="V34" s="281"/>
      <c r="W34" s="281"/>
      <c r="X34" s="281"/>
      <c r="Y34" s="281"/>
      <c r="Z34" s="281"/>
      <c r="AA34" s="281"/>
      <c r="AB34" s="281">
        <f>ROUNDUP('QBL01'!$J$52,2)</f>
        <v>4.38</v>
      </c>
      <c r="AC34" s="281">
        <f>ROUNDUP('QBL 02'!$J$52,2)</f>
        <v>4.5199999999999996</v>
      </c>
      <c r="AD34" s="281" t="s">
        <v>246</v>
      </c>
      <c r="AE34" s="281" t="str">
        <f t="shared" si="4"/>
        <v/>
      </c>
      <c r="AF34" s="281" t="str">
        <f t="shared" si="5"/>
        <v/>
      </c>
      <c r="AG34" s="281">
        <v>0</v>
      </c>
      <c r="AH34" s="281">
        <f>ROUNDUP('QBL01'!$J$53,2)</f>
        <v>0.36</v>
      </c>
      <c r="AI34" s="281">
        <f>ROUNDUP('QBL 02'!$J$53,2)</f>
        <v>0.3</v>
      </c>
      <c r="AJ34" s="281">
        <v>0</v>
      </c>
      <c r="AK34" s="281" t="str">
        <f t="shared" si="6"/>
        <v/>
      </c>
      <c r="AL34" s="281" t="str">
        <f t="shared" si="7"/>
        <v/>
      </c>
      <c r="AM34" s="281">
        <v>0</v>
      </c>
      <c r="AN34" s="326" t="str">
        <f t="shared" si="8"/>
        <v/>
      </c>
      <c r="AO34" s="326" t="str">
        <f t="shared" si="9"/>
        <v/>
      </c>
      <c r="AP34" s="326"/>
      <c r="AQ34" s="281" t="str">
        <f t="shared" si="10"/>
        <v/>
      </c>
      <c r="AR34" s="281">
        <f>ROUNDUP('HIEU XUAT'!$X$48,2)</f>
        <v>15.7</v>
      </c>
      <c r="AS34" s="281">
        <f>ROUNDUP('HIEU XUAT'!$X$50,2)</f>
        <v>3.3099999999999996</v>
      </c>
      <c r="AT34" s="281" t="str">
        <f>VLOOKUP(E34,'HIEU XUAT'!B:AF,23,0)</f>
        <v>N/A</v>
      </c>
      <c r="AU34" s="281" t="str">
        <f>VLOOKUP(E34,'HIEU XUAT'!B:AP,32,0)</f>
        <v>N/A</v>
      </c>
      <c r="AV34" s="281" t="s">
        <v>267</v>
      </c>
      <c r="AW34" s="281" t="s">
        <v>268</v>
      </c>
      <c r="AX34" s="281" t="s">
        <v>269</v>
      </c>
      <c r="AY34" s="281" t="s">
        <v>270</v>
      </c>
      <c r="AZ34" s="281" t="s">
        <v>167</v>
      </c>
      <c r="BA34" s="281" t="s">
        <v>271</v>
      </c>
      <c r="BB34" s="281" t="s">
        <v>272</v>
      </c>
      <c r="BC34" s="281" t="s">
        <v>249</v>
      </c>
      <c r="BD34" s="285" t="s">
        <v>439</v>
      </c>
      <c r="BE34" s="285" t="s">
        <v>440</v>
      </c>
      <c r="BF34" s="285" t="s">
        <v>442</v>
      </c>
      <c r="BG34" s="281" t="s">
        <v>67</v>
      </c>
      <c r="BH34" s="281"/>
      <c r="BI34" s="281" t="s">
        <v>58</v>
      </c>
      <c r="BJ34" s="281"/>
      <c r="BK34" s="281"/>
      <c r="BL34" s="281"/>
      <c r="BM34" s="164"/>
      <c r="BN34" s="164"/>
      <c r="BO34" s="164"/>
      <c r="BP34" s="164"/>
      <c r="BQ34" s="164"/>
      <c r="BR34" s="164"/>
      <c r="BS34" s="164"/>
      <c r="BT34" s="164"/>
      <c r="BU34" s="164"/>
      <c r="BV34" s="164"/>
      <c r="BW34" s="164"/>
      <c r="BX34" s="164"/>
      <c r="BY34" s="164"/>
      <c r="BZ34" s="164"/>
      <c r="CA34" s="164"/>
      <c r="CB34" s="164"/>
      <c r="CC34" s="164"/>
      <c r="CD34" s="164"/>
      <c r="CE34" s="164"/>
      <c r="CF34" s="164"/>
      <c r="CG34" s="164"/>
      <c r="CH34" s="164"/>
    </row>
    <row r="35" spans="1:86" s="236" customFormat="1" ht="36.75" customHeight="1" x14ac:dyDescent="0.25">
      <c r="A35" s="237"/>
      <c r="B35" s="309">
        <v>34</v>
      </c>
      <c r="C35" s="231" t="str">
        <f t="shared" si="0"/>
        <v>DNG</v>
      </c>
      <c r="D35" s="231"/>
      <c r="E35" s="232" t="s">
        <v>450</v>
      </c>
      <c r="F35" s="233" t="s">
        <v>254</v>
      </c>
      <c r="G35" s="233" t="s">
        <v>266</v>
      </c>
      <c r="H35" s="234">
        <v>8</v>
      </c>
      <c r="I35" s="234">
        <v>3</v>
      </c>
      <c r="J35" s="234">
        <v>230803</v>
      </c>
      <c r="K35" s="234" t="s">
        <v>468</v>
      </c>
      <c r="L35" s="234" t="s">
        <v>469</v>
      </c>
      <c r="M35" s="233">
        <f t="shared" si="12"/>
        <v>32</v>
      </c>
      <c r="N35" s="231" t="s">
        <v>264</v>
      </c>
      <c r="O35" s="231"/>
      <c r="P35" s="231"/>
      <c r="Q35" s="231"/>
      <c r="R35" s="231" t="str">
        <f t="shared" si="2"/>
        <v/>
      </c>
      <c r="S35" s="231" t="str">
        <f t="shared" si="3"/>
        <v/>
      </c>
      <c r="T35" s="231"/>
      <c r="U35" s="231">
        <v>5</v>
      </c>
      <c r="V35" s="231"/>
      <c r="W35" s="231"/>
      <c r="X35" s="231"/>
      <c r="Y35" s="231"/>
      <c r="Z35" s="231"/>
      <c r="AA35" s="231"/>
      <c r="AB35" s="231">
        <f>ROUNDUP('QBL01'!$J$52,2)</f>
        <v>4.38</v>
      </c>
      <c r="AC35" s="231">
        <f>ROUNDUP('QBL 02'!$J$52,2)</f>
        <v>4.5199999999999996</v>
      </c>
      <c r="AD35" s="231" t="s">
        <v>246</v>
      </c>
      <c r="AE35" s="231" t="str">
        <f t="shared" si="4"/>
        <v/>
      </c>
      <c r="AF35" s="231" t="str">
        <f t="shared" si="5"/>
        <v/>
      </c>
      <c r="AG35" s="231">
        <v>0</v>
      </c>
      <c r="AH35" s="231">
        <f>ROUNDUP('QBL01'!$J$53,2)</f>
        <v>0.36</v>
      </c>
      <c r="AI35" s="231">
        <f>ROUNDUP('QBL 02'!$J$53,2)</f>
        <v>0.3</v>
      </c>
      <c r="AJ35" s="231">
        <v>0</v>
      </c>
      <c r="AK35" s="231" t="str">
        <f t="shared" si="6"/>
        <v/>
      </c>
      <c r="AL35" s="231" t="str">
        <f t="shared" si="7"/>
        <v/>
      </c>
      <c r="AM35" s="231">
        <v>0</v>
      </c>
      <c r="AN35" s="327" t="str">
        <f t="shared" si="8"/>
        <v/>
      </c>
      <c r="AO35" s="327" t="str">
        <f t="shared" si="9"/>
        <v/>
      </c>
      <c r="AP35" s="327"/>
      <c r="AQ35" s="231" t="str">
        <f t="shared" si="10"/>
        <v/>
      </c>
      <c r="AR35" s="231">
        <f>ROUNDUP('HIEU XUAT'!$X$48,2)</f>
        <v>15.7</v>
      </c>
      <c r="AS35" s="231">
        <f>ROUNDUP('HIEU XUAT'!$X$50,2)</f>
        <v>3.3099999999999996</v>
      </c>
      <c r="AT35" s="231">
        <f>VLOOKUP(E35,'HIEU XUAT'!B:AF,23,0)</f>
        <v>5</v>
      </c>
      <c r="AU35" s="231">
        <f>VLOOKUP(E35,'HIEU XUAT'!B:AP,32,0)</f>
        <v>-3.2399999999999998</v>
      </c>
      <c r="AV35" s="231" t="s">
        <v>267</v>
      </c>
      <c r="AW35" s="231" t="s">
        <v>268</v>
      </c>
      <c r="AX35" s="231" t="s">
        <v>269</v>
      </c>
      <c r="AY35" s="231" t="s">
        <v>270</v>
      </c>
      <c r="AZ35" s="231" t="s">
        <v>167</v>
      </c>
      <c r="BA35" s="231" t="s">
        <v>273</v>
      </c>
      <c r="BB35" s="231" t="s">
        <v>272</v>
      </c>
      <c r="BC35" s="231" t="s">
        <v>249</v>
      </c>
      <c r="BD35" s="235" t="s">
        <v>456</v>
      </c>
      <c r="BE35" s="235" t="s">
        <v>455</v>
      </c>
      <c r="BF35" s="235" t="s">
        <v>459</v>
      </c>
      <c r="BG35" s="231" t="s">
        <v>103</v>
      </c>
      <c r="BH35" s="231"/>
      <c r="BI35" s="231" t="s">
        <v>58</v>
      </c>
      <c r="BJ35" s="231"/>
      <c r="BK35" s="231"/>
      <c r="BL35" s="231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3"/>
      <c r="CC35" s="93"/>
      <c r="CD35" s="93"/>
      <c r="CE35" s="93"/>
      <c r="CF35" s="93"/>
      <c r="CG35" s="93"/>
      <c r="CH35" s="93"/>
    </row>
    <row r="36" spans="1:86" s="236" customFormat="1" ht="36.75" customHeight="1" x14ac:dyDescent="0.25">
      <c r="A36" s="237"/>
      <c r="B36" s="309">
        <v>34</v>
      </c>
      <c r="C36" s="231" t="str">
        <f t="shared" ref="C36" si="13">LEFT(F36,3)</f>
        <v>DNG</v>
      </c>
      <c r="D36" s="231"/>
      <c r="E36" s="232" t="s">
        <v>484</v>
      </c>
      <c r="F36" s="233" t="s">
        <v>254</v>
      </c>
      <c r="G36" s="233" t="s">
        <v>266</v>
      </c>
      <c r="H36" s="234">
        <v>8</v>
      </c>
      <c r="I36" s="234">
        <v>3</v>
      </c>
      <c r="J36" s="234">
        <v>230803</v>
      </c>
      <c r="K36" s="234" t="s">
        <v>468</v>
      </c>
      <c r="L36" s="234" t="s">
        <v>469</v>
      </c>
      <c r="M36" s="233">
        <f t="shared" si="12"/>
        <v>32</v>
      </c>
      <c r="N36" s="231" t="s">
        <v>264</v>
      </c>
      <c r="O36" s="231">
        <v>21000</v>
      </c>
      <c r="P36" s="231">
        <v>29200</v>
      </c>
      <c r="Q36" s="231" t="s">
        <v>246</v>
      </c>
      <c r="R36" s="231">
        <f t="shared" ref="R36" si="14">IF(O36&lt;&gt;0,ROUND(LOG10(O36),2),"")</f>
        <v>4.32</v>
      </c>
      <c r="S36" s="231">
        <f t="shared" ref="S36" si="15">IF(P36&lt;&gt;0,ROUND(LOG10(P36),2),"")</f>
        <v>4.47</v>
      </c>
      <c r="T36" s="231" t="s">
        <v>246</v>
      </c>
      <c r="U36" s="231">
        <v>5</v>
      </c>
      <c r="V36" s="231"/>
      <c r="W36" s="231"/>
      <c r="X36" s="231"/>
      <c r="Y36" s="231"/>
      <c r="Z36" s="231"/>
      <c r="AA36" s="231"/>
      <c r="AB36" s="231">
        <f>ROUNDUP('QBL01'!$J$52,2)</f>
        <v>4.38</v>
      </c>
      <c r="AC36" s="231">
        <f>ROUNDUP('QBL 02'!$J$52,2)</f>
        <v>4.5199999999999996</v>
      </c>
      <c r="AD36" s="231" t="s">
        <v>246</v>
      </c>
      <c r="AE36" s="231">
        <f t="shared" ref="AE36" si="16">IF(O36&lt;&gt;0,R36-AB36,"")</f>
        <v>-5.9999999999999609E-2</v>
      </c>
      <c r="AF36" s="231">
        <f t="shared" si="5"/>
        <v>-4.9999999999999822E-2</v>
      </c>
      <c r="AG36" s="231">
        <v>0</v>
      </c>
      <c r="AH36" s="231">
        <f>ROUNDUP('QBL01'!$J$53,2)</f>
        <v>0.36</v>
      </c>
      <c r="AI36" s="231">
        <f>ROUNDUP('QBL 02'!$J$53,2)</f>
        <v>0.3</v>
      </c>
      <c r="AJ36" s="231">
        <v>0</v>
      </c>
      <c r="AK36" s="231">
        <f t="shared" si="6"/>
        <v>-0.17</v>
      </c>
      <c r="AL36" s="231">
        <f t="shared" si="7"/>
        <v>-0.17</v>
      </c>
      <c r="AM36" s="231">
        <v>0</v>
      </c>
      <c r="AN36" s="327">
        <f t="shared" si="8"/>
        <v>3</v>
      </c>
      <c r="AO36" s="327">
        <f t="shared" si="9"/>
        <v>3</v>
      </c>
      <c r="AP36" s="327">
        <v>3</v>
      </c>
      <c r="AQ36" s="231">
        <f t="shared" ref="AQ36" si="17">IF(SUM(AN36:AP36)&lt;&gt;0,SUM(AN36:AP36),"")</f>
        <v>9</v>
      </c>
      <c r="AR36" s="231">
        <f>ROUNDUP('HIEU XUAT'!$X$48,2)</f>
        <v>15.7</v>
      </c>
      <c r="AS36" s="231">
        <f>ROUNDUP('HIEU XUAT'!$X$50,2)</f>
        <v>3.3099999999999996</v>
      </c>
      <c r="AT36" s="231" t="str">
        <f>VLOOKUP(E36,'HIEU XUAT'!B:AF,23,0)</f>
        <v>N/A</v>
      </c>
      <c r="AU36" s="231" t="str">
        <f>VLOOKUP(E36,'HIEU XUAT'!B:AP,32,0)</f>
        <v>N/A</v>
      </c>
      <c r="AV36" s="231" t="s">
        <v>267</v>
      </c>
      <c r="AW36" s="231" t="s">
        <v>268</v>
      </c>
      <c r="AX36" s="231" t="s">
        <v>269</v>
      </c>
      <c r="AY36" s="231" t="s">
        <v>270</v>
      </c>
      <c r="AZ36" s="231" t="s">
        <v>167</v>
      </c>
      <c r="BA36" s="231" t="s">
        <v>381</v>
      </c>
      <c r="BB36" s="231" t="s">
        <v>382</v>
      </c>
      <c r="BC36" s="231" t="s">
        <v>249</v>
      </c>
      <c r="BD36" s="235" t="s">
        <v>470</v>
      </c>
      <c r="BE36" s="235" t="s">
        <v>476</v>
      </c>
      <c r="BF36" s="235" t="s">
        <v>474</v>
      </c>
      <c r="BG36" s="231" t="s">
        <v>103</v>
      </c>
      <c r="BH36" s="231"/>
      <c r="BI36" s="231" t="s">
        <v>58</v>
      </c>
      <c r="BJ36" s="231"/>
      <c r="BK36" s="231"/>
      <c r="BL36" s="231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</row>
    <row r="37" spans="1:86" s="236" customFormat="1" ht="36.75" customHeight="1" x14ac:dyDescent="0.25">
      <c r="A37" s="237"/>
      <c r="B37" s="309">
        <v>35</v>
      </c>
      <c r="C37" s="234" t="str">
        <f t="shared" si="0"/>
        <v>KHA</v>
      </c>
      <c r="D37" s="234">
        <v>1</v>
      </c>
      <c r="E37" s="238" t="s">
        <v>87</v>
      </c>
      <c r="F37" s="234" t="s">
        <v>88</v>
      </c>
      <c r="G37" s="234" t="s">
        <v>89</v>
      </c>
      <c r="H37" s="234">
        <v>8</v>
      </c>
      <c r="I37" s="234">
        <v>3</v>
      </c>
      <c r="J37" s="234">
        <v>230803</v>
      </c>
      <c r="K37" s="234" t="s">
        <v>468</v>
      </c>
      <c r="L37" s="234" t="s">
        <v>469</v>
      </c>
      <c r="M37" s="234">
        <f t="shared" si="12"/>
        <v>32</v>
      </c>
      <c r="N37" s="231" t="s">
        <v>264</v>
      </c>
      <c r="O37" s="231">
        <v>14000</v>
      </c>
      <c r="P37" s="231">
        <v>39000</v>
      </c>
      <c r="Q37" s="231" t="s">
        <v>246</v>
      </c>
      <c r="R37" s="231">
        <f t="shared" si="2"/>
        <v>4.1500000000000004</v>
      </c>
      <c r="S37" s="231">
        <f t="shared" si="3"/>
        <v>4.59</v>
      </c>
      <c r="T37" s="231" t="s">
        <v>246</v>
      </c>
      <c r="U37" s="231">
        <v>5</v>
      </c>
      <c r="V37" s="231"/>
      <c r="W37" s="231"/>
      <c r="X37" s="231"/>
      <c r="Y37" s="231"/>
      <c r="Z37" s="231"/>
      <c r="AA37" s="231"/>
      <c r="AB37" s="231">
        <f>ROUNDUP('QBL01'!$J$52,2)</f>
        <v>4.38</v>
      </c>
      <c r="AC37" s="231">
        <f>ROUNDUP('QBL 02'!$J$52,2)</f>
        <v>4.5199999999999996</v>
      </c>
      <c r="AD37" s="231" t="s">
        <v>246</v>
      </c>
      <c r="AE37" s="231">
        <f t="shared" si="4"/>
        <v>-0.22999999999999954</v>
      </c>
      <c r="AF37" s="231">
        <f t="shared" si="5"/>
        <v>7.0000000000000284E-2</v>
      </c>
      <c r="AG37" s="231">
        <v>0</v>
      </c>
      <c r="AH37" s="231">
        <f>ROUNDUP('QBL01'!$J$53,2)</f>
        <v>0.36</v>
      </c>
      <c r="AI37" s="231">
        <f>ROUNDUP('QBL 02'!$J$53,2)</f>
        <v>0.3</v>
      </c>
      <c r="AJ37" s="231">
        <v>0</v>
      </c>
      <c r="AK37" s="231">
        <f t="shared" si="6"/>
        <v>-0.64</v>
      </c>
      <c r="AL37" s="231">
        <f t="shared" si="7"/>
        <v>0.23</v>
      </c>
      <c r="AM37" s="231">
        <v>0</v>
      </c>
      <c r="AN37" s="327">
        <f t="shared" si="8"/>
        <v>3</v>
      </c>
      <c r="AO37" s="327">
        <f t="shared" si="9"/>
        <v>3</v>
      </c>
      <c r="AP37" s="327">
        <v>3</v>
      </c>
      <c r="AQ37" s="231">
        <f t="shared" si="10"/>
        <v>9</v>
      </c>
      <c r="AR37" s="231">
        <f>ROUNDUP('HIEU XUAT'!$X$48,2)</f>
        <v>15.7</v>
      </c>
      <c r="AS37" s="231">
        <f>ROUNDUP('HIEU XUAT'!$X$50,2)</f>
        <v>3.3099999999999996</v>
      </c>
      <c r="AT37" s="231">
        <f>VLOOKUP(E37,'HIEU XUAT'!B:AF,23,0)</f>
        <v>18</v>
      </c>
      <c r="AU37" s="231">
        <f>VLOOKUP(E37,'HIEU XUAT'!B:AP,32,0)</f>
        <v>0.7</v>
      </c>
      <c r="AV37" s="231"/>
      <c r="AW37" s="231"/>
      <c r="AX37" s="231"/>
      <c r="AY37" s="231" t="s">
        <v>293</v>
      </c>
      <c r="AZ37" s="231"/>
      <c r="BA37" s="231" t="s">
        <v>90</v>
      </c>
      <c r="BB37" s="240" t="s">
        <v>83</v>
      </c>
      <c r="BC37" s="231" t="s">
        <v>249</v>
      </c>
      <c r="BD37" s="235" t="s">
        <v>470</v>
      </c>
      <c r="BE37" s="235" t="s">
        <v>471</v>
      </c>
      <c r="BF37" s="235" t="s">
        <v>479</v>
      </c>
      <c r="BG37" s="231" t="s">
        <v>67</v>
      </c>
      <c r="BH37" s="231"/>
      <c r="BI37" s="231"/>
      <c r="BJ37" s="231"/>
      <c r="BK37" s="231"/>
      <c r="BL37" s="231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</row>
    <row r="38" spans="1:86" s="93" customFormat="1" ht="36.75" customHeight="1" x14ac:dyDescent="0.25">
      <c r="A38" s="267"/>
      <c r="B38" s="310">
        <v>36</v>
      </c>
      <c r="C38" s="242" t="s">
        <v>69</v>
      </c>
      <c r="D38" s="242" t="s">
        <v>78</v>
      </c>
      <c r="E38" s="315" t="s">
        <v>458</v>
      </c>
      <c r="F38" s="242" t="s">
        <v>85</v>
      </c>
      <c r="G38" s="242" t="s">
        <v>86</v>
      </c>
      <c r="H38" s="242">
        <v>8</v>
      </c>
      <c r="I38" s="242">
        <v>3</v>
      </c>
      <c r="J38" s="242">
        <v>230803</v>
      </c>
      <c r="K38" s="242" t="s">
        <v>468</v>
      </c>
      <c r="L38" s="242" t="s">
        <v>469</v>
      </c>
      <c r="M38" s="242">
        <v>33</v>
      </c>
      <c r="N38" s="267" t="s">
        <v>264</v>
      </c>
      <c r="O38" s="267">
        <v>8140</v>
      </c>
      <c r="P38" s="267">
        <v>10300</v>
      </c>
      <c r="Q38" s="267" t="s">
        <v>351</v>
      </c>
      <c r="R38" s="267">
        <f t="shared" si="2"/>
        <v>3.91</v>
      </c>
      <c r="S38" s="267">
        <f t="shared" si="3"/>
        <v>4.01</v>
      </c>
      <c r="T38" s="267" t="s">
        <v>351</v>
      </c>
      <c r="U38" s="267">
        <v>1.7</v>
      </c>
      <c r="V38" s="267"/>
      <c r="W38" s="267"/>
      <c r="X38" s="267"/>
      <c r="Y38" s="267"/>
      <c r="Z38" s="267"/>
      <c r="AA38" s="267"/>
      <c r="AB38" s="267">
        <f>ROUNDUP('QBL01'!$J$52,2)</f>
        <v>4.38</v>
      </c>
      <c r="AC38" s="267">
        <f>ROUNDUP('QBL 02'!$J$52,2)</f>
        <v>4.5199999999999996</v>
      </c>
      <c r="AD38" s="267" t="s">
        <v>246</v>
      </c>
      <c r="AE38" s="267">
        <f t="shared" ref="AE38" si="18">IF(O38&lt;&gt;0,R38-AB38,"")</f>
        <v>-0.46999999999999975</v>
      </c>
      <c r="AF38" s="267">
        <f t="shared" si="5"/>
        <v>-0.50999999999999979</v>
      </c>
      <c r="AG38" s="267">
        <v>0</v>
      </c>
      <c r="AH38" s="267">
        <f>ROUNDUP('QBL01'!$J$53,2)</f>
        <v>0.36</v>
      </c>
      <c r="AI38" s="267">
        <f>ROUNDUP('QBL 02'!$J$53,2)</f>
        <v>0.3</v>
      </c>
      <c r="AJ38" s="267">
        <v>0</v>
      </c>
      <c r="AK38" s="267">
        <f t="shared" si="6"/>
        <v>-1.31</v>
      </c>
      <c r="AL38" s="267">
        <f t="shared" si="7"/>
        <v>-1.7</v>
      </c>
      <c r="AM38" s="267">
        <v>0</v>
      </c>
      <c r="AN38" s="267">
        <f t="shared" si="8"/>
        <v>2</v>
      </c>
      <c r="AO38" s="267">
        <f t="shared" si="9"/>
        <v>2</v>
      </c>
      <c r="AP38" s="267">
        <v>3</v>
      </c>
      <c r="AQ38" s="267">
        <f t="shared" si="10"/>
        <v>7</v>
      </c>
      <c r="AR38" s="267">
        <f>ROUNDUP('HIEU XUAT'!$X$48,2)</f>
        <v>15.7</v>
      </c>
      <c r="AS38" s="267">
        <f>ROUNDUP('HIEU XUAT'!$X$50,2)</f>
        <v>3.3099999999999996</v>
      </c>
      <c r="AT38" s="267">
        <f>VLOOKUP(E38,'HIEU XUAT'!B:AF,23,0)</f>
        <v>0</v>
      </c>
      <c r="AU38" s="267">
        <f>VLOOKUP(E38,'HIEU XUAT'!B:AP,32,0)</f>
        <v>0</v>
      </c>
      <c r="AV38" s="267" t="s">
        <v>446</v>
      </c>
      <c r="AW38" s="267" t="s">
        <v>113</v>
      </c>
      <c r="AX38" s="267" t="s">
        <v>444</v>
      </c>
      <c r="AY38" s="267" t="s">
        <v>446</v>
      </c>
      <c r="AZ38" s="267" t="s">
        <v>167</v>
      </c>
      <c r="BA38" s="267" t="s">
        <v>444</v>
      </c>
      <c r="BB38" s="267" t="s">
        <v>356</v>
      </c>
      <c r="BC38" s="267" t="s">
        <v>356</v>
      </c>
      <c r="BD38" s="267"/>
      <c r="BE38" s="267"/>
      <c r="BF38" s="267" t="s">
        <v>472</v>
      </c>
      <c r="BG38" s="267"/>
      <c r="BH38" s="267"/>
      <c r="BI38" s="267"/>
      <c r="BJ38" s="267"/>
      <c r="BK38" s="267"/>
      <c r="BL38" s="267"/>
    </row>
    <row r="39" spans="1:86" s="93" customFormat="1" ht="36.75" customHeight="1" x14ac:dyDescent="0.25">
      <c r="A39" s="241"/>
      <c r="B39" s="310">
        <v>37</v>
      </c>
      <c r="C39" s="242"/>
      <c r="D39" s="242"/>
      <c r="E39" s="243" t="s">
        <v>405</v>
      </c>
      <c r="F39" s="244" t="s">
        <v>251</v>
      </c>
      <c r="G39" s="242" t="s">
        <v>158</v>
      </c>
      <c r="H39" s="242">
        <v>8</v>
      </c>
      <c r="I39" s="242">
        <v>3</v>
      </c>
      <c r="J39" s="242">
        <v>230803</v>
      </c>
      <c r="K39" s="242" t="s">
        <v>468</v>
      </c>
      <c r="L39" s="242" t="s">
        <v>469</v>
      </c>
      <c r="M39" s="242">
        <f t="shared" ref="M39:M44" si="19">$N$46</f>
        <v>32</v>
      </c>
      <c r="N39" s="267" t="s">
        <v>264</v>
      </c>
      <c r="O39" s="267">
        <v>22291</v>
      </c>
      <c r="P39" s="267">
        <v>21165</v>
      </c>
      <c r="Q39" s="267" t="s">
        <v>246</v>
      </c>
      <c r="R39" s="267">
        <f t="shared" si="2"/>
        <v>4.3499999999999996</v>
      </c>
      <c r="S39" s="267">
        <f t="shared" si="3"/>
        <v>4.33</v>
      </c>
      <c r="T39" s="267" t="s">
        <v>246</v>
      </c>
      <c r="U39" s="267">
        <v>5.3</v>
      </c>
      <c r="V39" s="267"/>
      <c r="W39" s="267"/>
      <c r="X39" s="267"/>
      <c r="Y39" s="267"/>
      <c r="Z39" s="267"/>
      <c r="AA39" s="267"/>
      <c r="AB39" s="267">
        <f>ROUNDUP('QBL01'!$J$52,2)</f>
        <v>4.38</v>
      </c>
      <c r="AC39" s="267">
        <f>ROUNDUP('QBL 02'!$J$52,2)</f>
        <v>4.5199999999999996</v>
      </c>
      <c r="AD39" s="267" t="s">
        <v>246</v>
      </c>
      <c r="AE39" s="267">
        <f t="shared" si="4"/>
        <v>-3.0000000000000249E-2</v>
      </c>
      <c r="AF39" s="267">
        <f t="shared" si="5"/>
        <v>-0.1899999999999995</v>
      </c>
      <c r="AG39" s="267">
        <v>0</v>
      </c>
      <c r="AH39" s="267">
        <f>ROUNDUP('QBL01'!$J$53,2)</f>
        <v>0.36</v>
      </c>
      <c r="AI39" s="267">
        <f>ROUNDUP('QBL 02'!$J$53,2)</f>
        <v>0.3</v>
      </c>
      <c r="AJ39" s="267">
        <v>0</v>
      </c>
      <c r="AK39" s="267">
        <f t="shared" si="6"/>
        <v>-0.08</v>
      </c>
      <c r="AL39" s="267">
        <f t="shared" si="7"/>
        <v>-0.63</v>
      </c>
      <c r="AM39" s="267">
        <v>0</v>
      </c>
      <c r="AN39" s="267">
        <f t="shared" si="8"/>
        <v>3</v>
      </c>
      <c r="AO39" s="267">
        <f t="shared" si="9"/>
        <v>3</v>
      </c>
      <c r="AP39" s="267">
        <v>3</v>
      </c>
      <c r="AQ39" s="267">
        <f t="shared" si="10"/>
        <v>9</v>
      </c>
      <c r="AR39" s="267">
        <f>ROUNDUP('HIEU XUAT'!$X$48,2)</f>
        <v>15.7</v>
      </c>
      <c r="AS39" s="267">
        <f>ROUNDUP('HIEU XUAT'!$X$50,2)</f>
        <v>3.3099999999999996</v>
      </c>
      <c r="AT39" s="267" t="str">
        <f>VLOOKUP(E39,'HIEU XUAT'!B:AF,23,0)</f>
        <v>N/A</v>
      </c>
      <c r="AU39" s="267" t="str">
        <f>VLOOKUP(E39,'HIEU XUAT'!B:AP,32,0)</f>
        <v>N/A</v>
      </c>
      <c r="AV39" s="267" t="s">
        <v>383</v>
      </c>
      <c r="AW39" s="267" t="s">
        <v>113</v>
      </c>
      <c r="AX39" s="267" t="s">
        <v>356</v>
      </c>
      <c r="AY39" s="267" t="s">
        <v>383</v>
      </c>
      <c r="AZ39" s="267" t="s">
        <v>113</v>
      </c>
      <c r="BA39" s="267" t="s">
        <v>356</v>
      </c>
      <c r="BB39" s="267" t="s">
        <v>356</v>
      </c>
      <c r="BC39" s="267" t="s">
        <v>356</v>
      </c>
      <c r="BD39" s="267" t="s">
        <v>470</v>
      </c>
      <c r="BE39" s="267" t="s">
        <v>476</v>
      </c>
      <c r="BF39" s="267" t="s">
        <v>480</v>
      </c>
      <c r="BG39" s="267" t="s">
        <v>67</v>
      </c>
      <c r="BH39" s="267" t="s">
        <v>58</v>
      </c>
      <c r="BI39" s="267" t="s">
        <v>58</v>
      </c>
      <c r="BJ39" s="267"/>
      <c r="BK39" s="267"/>
      <c r="BL39" s="267"/>
    </row>
    <row r="40" spans="1:86" s="250" customFormat="1" ht="36.75" customHeight="1" x14ac:dyDescent="0.25">
      <c r="A40" s="246"/>
      <c r="B40" s="311">
        <v>38</v>
      </c>
      <c r="C40" s="247" t="str">
        <f>LEFT(F40,3)</f>
        <v>BDG</v>
      </c>
      <c r="D40" s="247"/>
      <c r="E40" s="248" t="s">
        <v>451</v>
      </c>
      <c r="F40" s="247" t="s">
        <v>257</v>
      </c>
      <c r="G40" s="247" t="s">
        <v>258</v>
      </c>
      <c r="H40" s="245">
        <v>8</v>
      </c>
      <c r="I40" s="245">
        <v>3</v>
      </c>
      <c r="J40" s="245">
        <v>230803</v>
      </c>
      <c r="K40" s="245" t="s">
        <v>468</v>
      </c>
      <c r="L40" s="245" t="s">
        <v>469</v>
      </c>
      <c r="M40" s="247">
        <f t="shared" si="19"/>
        <v>32</v>
      </c>
      <c r="N40" s="246"/>
      <c r="O40" s="246"/>
      <c r="P40" s="246"/>
      <c r="Q40" s="246"/>
      <c r="R40" s="246" t="str">
        <f t="shared" si="2"/>
        <v/>
      </c>
      <c r="S40" s="246" t="str">
        <f t="shared" si="3"/>
        <v/>
      </c>
      <c r="T40" s="246"/>
      <c r="U40" s="246"/>
      <c r="V40" s="246"/>
      <c r="W40" s="246"/>
      <c r="X40" s="246"/>
      <c r="Y40" s="246"/>
      <c r="Z40" s="246"/>
      <c r="AA40" s="246"/>
      <c r="AB40" s="246">
        <f>ROUNDUP('QBL01'!$J$52,2)</f>
        <v>4.38</v>
      </c>
      <c r="AC40" s="246">
        <f>ROUNDUP('QBL 02'!$J$52,2)</f>
        <v>4.5199999999999996</v>
      </c>
      <c r="AD40" s="246" t="s">
        <v>246</v>
      </c>
      <c r="AE40" s="246" t="str">
        <f t="shared" si="4"/>
        <v/>
      </c>
      <c r="AF40" s="246" t="str">
        <f t="shared" si="5"/>
        <v/>
      </c>
      <c r="AG40" s="246">
        <v>0</v>
      </c>
      <c r="AH40" s="246">
        <f>ROUNDUP('QBL01'!$J$53,2)</f>
        <v>0.36</v>
      </c>
      <c r="AI40" s="246">
        <f>ROUNDUP('QBL 02'!$J$53,2)</f>
        <v>0.3</v>
      </c>
      <c r="AJ40" s="246">
        <v>0</v>
      </c>
      <c r="AK40" s="246" t="str">
        <f t="shared" si="6"/>
        <v/>
      </c>
      <c r="AL40" s="246" t="str">
        <f t="shared" si="7"/>
        <v/>
      </c>
      <c r="AM40" s="246">
        <v>0</v>
      </c>
      <c r="AN40" s="246" t="str">
        <f t="shared" si="8"/>
        <v/>
      </c>
      <c r="AO40" s="246" t="str">
        <f t="shared" si="9"/>
        <v/>
      </c>
      <c r="AP40" s="246"/>
      <c r="AQ40" s="246" t="str">
        <f t="shared" si="10"/>
        <v/>
      </c>
      <c r="AR40" s="246">
        <f>ROUNDUP('HIEU XUAT'!$X$48,2)</f>
        <v>15.7</v>
      </c>
      <c r="AS40" s="246">
        <f>ROUNDUP('HIEU XUAT'!$X$50,2)</f>
        <v>3.3099999999999996</v>
      </c>
      <c r="AT40" s="246" t="str">
        <f>VLOOKUP(E40,'HIEU XUAT'!B:AF,23,0)</f>
        <v>N/A</v>
      </c>
      <c r="AU40" s="246" t="str">
        <f>VLOOKUP(E40,'HIEU XUAT'!B:AP,32,0)</f>
        <v>N/A</v>
      </c>
      <c r="AV40" s="246" t="s">
        <v>259</v>
      </c>
      <c r="AW40" s="246" t="s">
        <v>260</v>
      </c>
      <c r="AX40" s="246" t="s">
        <v>261</v>
      </c>
      <c r="AY40" s="246" t="s">
        <v>294</v>
      </c>
      <c r="AZ40" s="246" t="s">
        <v>262</v>
      </c>
      <c r="BA40" s="246" t="s">
        <v>263</v>
      </c>
      <c r="BB40" s="249" t="s">
        <v>104</v>
      </c>
      <c r="BC40" s="249" t="s">
        <v>340</v>
      </c>
      <c r="BD40" s="246"/>
      <c r="BE40" s="246"/>
      <c r="BF40" s="246"/>
      <c r="BG40" s="246" t="s">
        <v>67</v>
      </c>
      <c r="BH40" s="246"/>
      <c r="BI40" s="246"/>
      <c r="BJ40" s="246"/>
      <c r="BK40" s="246"/>
      <c r="BL40" s="246"/>
      <c r="BM40" s="164"/>
      <c r="BN40" s="164"/>
      <c r="BO40" s="164"/>
      <c r="BP40" s="164"/>
      <c r="BQ40" s="164"/>
      <c r="BR40" s="164"/>
      <c r="BS40" s="164"/>
      <c r="BT40" s="164"/>
      <c r="BU40" s="164"/>
      <c r="BV40" s="164"/>
      <c r="BW40" s="164"/>
      <c r="BX40" s="164"/>
      <c r="BY40" s="164"/>
      <c r="BZ40" s="164"/>
      <c r="CA40" s="164"/>
      <c r="CB40" s="164"/>
      <c r="CC40" s="164"/>
      <c r="CD40" s="164"/>
      <c r="CE40" s="164"/>
      <c r="CF40" s="164"/>
      <c r="CG40" s="164"/>
      <c r="CH40" s="164"/>
    </row>
    <row r="41" spans="1:86" s="258" customFormat="1" ht="36.75" customHeight="1" x14ac:dyDescent="0.25">
      <c r="A41" s="251"/>
      <c r="B41" s="312">
        <v>39</v>
      </c>
      <c r="C41" s="252" t="str">
        <f t="shared" ref="C41" si="20">LEFT(F41,3)</f>
        <v>QNI</v>
      </c>
      <c r="D41" s="252" t="s">
        <v>59</v>
      </c>
      <c r="E41" s="253" t="s">
        <v>99</v>
      </c>
      <c r="F41" s="252" t="s">
        <v>100</v>
      </c>
      <c r="G41" s="252" t="s">
        <v>101</v>
      </c>
      <c r="H41" s="254">
        <v>8</v>
      </c>
      <c r="I41" s="254">
        <v>3</v>
      </c>
      <c r="J41" s="254">
        <v>230803</v>
      </c>
      <c r="K41" s="254" t="s">
        <v>468</v>
      </c>
      <c r="L41" s="254" t="s">
        <v>469</v>
      </c>
      <c r="M41" s="252">
        <f t="shared" si="19"/>
        <v>32</v>
      </c>
      <c r="N41" s="251"/>
      <c r="O41" s="251"/>
      <c r="P41" s="251"/>
      <c r="Q41" s="251"/>
      <c r="R41" s="251" t="str">
        <f t="shared" si="2"/>
        <v/>
      </c>
      <c r="S41" s="251" t="str">
        <f t="shared" si="3"/>
        <v/>
      </c>
      <c r="T41" s="251"/>
      <c r="U41" s="251">
        <v>6</v>
      </c>
      <c r="V41" s="251"/>
      <c r="W41" s="251"/>
      <c r="X41" s="251"/>
      <c r="Y41" s="251"/>
      <c r="Z41" s="251"/>
      <c r="AA41" s="251"/>
      <c r="AB41" s="251">
        <f>ROUNDUP('QBL01'!$J$52,2)</f>
        <v>4.38</v>
      </c>
      <c r="AC41" s="251">
        <f>ROUNDUP('QBL 02'!$J$52,2)</f>
        <v>4.5199999999999996</v>
      </c>
      <c r="AD41" s="251" t="s">
        <v>246</v>
      </c>
      <c r="AE41" s="251" t="str">
        <f t="shared" si="4"/>
        <v/>
      </c>
      <c r="AF41" s="251" t="str">
        <f t="shared" si="5"/>
        <v/>
      </c>
      <c r="AG41" s="251">
        <v>0</v>
      </c>
      <c r="AH41" s="251">
        <f>ROUNDUP('QBL01'!$J$53,2)</f>
        <v>0.36</v>
      </c>
      <c r="AI41" s="251">
        <f>ROUNDUP('QBL 02'!$J$53,2)</f>
        <v>0.3</v>
      </c>
      <c r="AJ41" s="251">
        <v>0</v>
      </c>
      <c r="AK41" s="251" t="str">
        <f t="shared" si="6"/>
        <v/>
      </c>
      <c r="AL41" s="251" t="str">
        <f t="shared" si="7"/>
        <v/>
      </c>
      <c r="AM41" s="251">
        <v>0</v>
      </c>
      <c r="AN41" s="328" t="str">
        <f t="shared" si="8"/>
        <v/>
      </c>
      <c r="AO41" s="328" t="str">
        <f t="shared" si="9"/>
        <v/>
      </c>
      <c r="AP41" s="328"/>
      <c r="AQ41" s="251" t="str">
        <f t="shared" si="10"/>
        <v/>
      </c>
      <c r="AR41" s="251">
        <f>ROUNDUP('HIEU XUAT'!$X$48,2)</f>
        <v>15.7</v>
      </c>
      <c r="AS41" s="251">
        <f>ROUNDUP('HIEU XUAT'!$X$50,2)</f>
        <v>3.3099999999999996</v>
      </c>
      <c r="AT41" s="251" t="str">
        <f>VLOOKUP(E41,'HIEU XUAT'!B:AF,23,0)</f>
        <v>N/A</v>
      </c>
      <c r="AU41" s="251" t="str">
        <f>VLOOKUP(E41,'HIEU XUAT'!B:AP,32,0)</f>
        <v>N/A</v>
      </c>
      <c r="AV41" s="251"/>
      <c r="AW41" s="251"/>
      <c r="AX41" s="251" t="s">
        <v>275</v>
      </c>
      <c r="AY41" s="251" t="s">
        <v>275</v>
      </c>
      <c r="AZ41" s="251"/>
      <c r="BA41" s="251" t="s">
        <v>102</v>
      </c>
      <c r="BB41" s="255" t="s">
        <v>83</v>
      </c>
      <c r="BC41" s="255" t="s">
        <v>324</v>
      </c>
      <c r="BD41" s="251"/>
      <c r="BE41" s="251"/>
      <c r="BF41" s="256"/>
      <c r="BG41" s="251"/>
      <c r="BH41" s="251"/>
      <c r="BI41" s="251"/>
      <c r="BJ41" s="251"/>
      <c r="BK41" s="251"/>
      <c r="BL41" s="251"/>
      <c r="BM41" s="257"/>
      <c r="BN41" s="257"/>
      <c r="BO41" s="257"/>
      <c r="BP41" s="257"/>
      <c r="BQ41" s="257"/>
      <c r="BR41" s="257"/>
      <c r="BS41" s="257"/>
      <c r="BT41" s="257"/>
      <c r="BU41" s="257"/>
      <c r="BV41" s="257"/>
      <c r="BW41" s="257"/>
      <c r="BX41" s="257"/>
      <c r="BY41" s="257"/>
      <c r="BZ41" s="257"/>
      <c r="CA41" s="257"/>
      <c r="CB41" s="257"/>
      <c r="CC41" s="257"/>
      <c r="CD41" s="257"/>
      <c r="CE41" s="257"/>
      <c r="CF41" s="257"/>
      <c r="CG41" s="257"/>
      <c r="CH41" s="257"/>
    </row>
    <row r="42" spans="1:86" s="258" customFormat="1" ht="36.75" customHeight="1" x14ac:dyDescent="0.25">
      <c r="A42" s="251"/>
      <c r="B42" s="312">
        <v>40</v>
      </c>
      <c r="C42" s="252" t="str">
        <f>LEFT(F42,3)</f>
        <v>AGG</v>
      </c>
      <c r="D42" s="252">
        <v>1</v>
      </c>
      <c r="E42" s="259" t="s">
        <v>202</v>
      </c>
      <c r="F42" s="252" t="s">
        <v>203</v>
      </c>
      <c r="G42" s="252" t="s">
        <v>204</v>
      </c>
      <c r="H42" s="254">
        <v>8</v>
      </c>
      <c r="I42" s="254">
        <v>3</v>
      </c>
      <c r="J42" s="254">
        <v>230803</v>
      </c>
      <c r="K42" s="254" t="s">
        <v>468</v>
      </c>
      <c r="L42" s="254" t="s">
        <v>469</v>
      </c>
      <c r="M42" s="252">
        <f t="shared" si="19"/>
        <v>32</v>
      </c>
      <c r="N42" s="251"/>
      <c r="O42" s="251"/>
      <c r="P42" s="251"/>
      <c r="Q42" s="251"/>
      <c r="R42" s="251" t="str">
        <f t="shared" si="2"/>
        <v/>
      </c>
      <c r="S42" s="251" t="str">
        <f t="shared" si="3"/>
        <v/>
      </c>
      <c r="T42" s="251"/>
      <c r="U42" s="251">
        <v>5</v>
      </c>
      <c r="V42" s="251"/>
      <c r="W42" s="251"/>
      <c r="X42" s="251"/>
      <c r="Y42" s="251"/>
      <c r="Z42" s="251"/>
      <c r="AA42" s="251"/>
      <c r="AB42" s="251">
        <f>ROUNDUP('QBL01'!$J$52,2)</f>
        <v>4.38</v>
      </c>
      <c r="AC42" s="251">
        <f>ROUNDUP('QBL 02'!$J$52,2)</f>
        <v>4.5199999999999996</v>
      </c>
      <c r="AD42" s="251" t="s">
        <v>246</v>
      </c>
      <c r="AE42" s="251" t="str">
        <f t="shared" si="4"/>
        <v/>
      </c>
      <c r="AF42" s="251" t="str">
        <f t="shared" si="5"/>
        <v/>
      </c>
      <c r="AG42" s="251">
        <v>0</v>
      </c>
      <c r="AH42" s="251">
        <f>ROUNDUP('QBL01'!$J$53,2)</f>
        <v>0.36</v>
      </c>
      <c r="AI42" s="251">
        <f>ROUNDUP('QBL 02'!$J$53,2)</f>
        <v>0.3</v>
      </c>
      <c r="AJ42" s="251">
        <v>0</v>
      </c>
      <c r="AK42" s="251" t="str">
        <f t="shared" si="6"/>
        <v/>
      </c>
      <c r="AL42" s="251" t="str">
        <f t="shared" si="7"/>
        <v/>
      </c>
      <c r="AM42" s="251">
        <v>0</v>
      </c>
      <c r="AN42" s="328" t="str">
        <f t="shared" si="8"/>
        <v/>
      </c>
      <c r="AO42" s="328" t="str">
        <f t="shared" si="9"/>
        <v/>
      </c>
      <c r="AP42" s="328"/>
      <c r="AQ42" s="251" t="str">
        <f t="shared" si="10"/>
        <v/>
      </c>
      <c r="AR42" s="251">
        <f>ROUNDUP('HIEU XUAT'!$X$48,2)</f>
        <v>15.7</v>
      </c>
      <c r="AS42" s="251">
        <f>ROUNDUP('HIEU XUAT'!$X$50,2)</f>
        <v>3.3099999999999996</v>
      </c>
      <c r="AT42" s="251" t="str">
        <f>VLOOKUP(E42,'HIEU XUAT'!B:AF,23,0)</f>
        <v>N/A</v>
      </c>
      <c r="AU42" s="251" t="str">
        <f>VLOOKUP(E42,'HIEU XUAT'!B:AP,32,0)</f>
        <v>N/A</v>
      </c>
      <c r="AV42" s="251" t="s">
        <v>205</v>
      </c>
      <c r="AW42" s="251" t="s">
        <v>81</v>
      </c>
      <c r="AX42" s="251" t="s">
        <v>121</v>
      </c>
      <c r="AY42" s="251" t="s">
        <v>206</v>
      </c>
      <c r="AZ42" s="251" t="s">
        <v>167</v>
      </c>
      <c r="BA42" s="251" t="s">
        <v>207</v>
      </c>
      <c r="BB42" s="255" t="s">
        <v>195</v>
      </c>
      <c r="BC42" s="255" t="s">
        <v>297</v>
      </c>
      <c r="BD42" s="256"/>
      <c r="BE42" s="256"/>
      <c r="BF42" s="256"/>
      <c r="BG42" s="251" t="s">
        <v>84</v>
      </c>
      <c r="BH42" s="251" t="s">
        <v>208</v>
      </c>
      <c r="BI42" s="251" t="s">
        <v>58</v>
      </c>
      <c r="BJ42" s="251"/>
      <c r="BK42" s="251"/>
      <c r="BL42" s="251"/>
      <c r="BM42" s="257"/>
      <c r="BN42" s="257"/>
      <c r="BO42" s="257"/>
      <c r="BP42" s="257"/>
      <c r="BQ42" s="257"/>
      <c r="BR42" s="257"/>
      <c r="BS42" s="257"/>
      <c r="BT42" s="257"/>
      <c r="BU42" s="257"/>
      <c r="BV42" s="257"/>
      <c r="BW42" s="257"/>
      <c r="BX42" s="257"/>
      <c r="BY42" s="257"/>
      <c r="BZ42" s="257"/>
      <c r="CA42" s="257"/>
      <c r="CB42" s="257"/>
      <c r="CC42" s="257"/>
      <c r="CD42" s="257"/>
      <c r="CE42" s="257"/>
      <c r="CF42" s="257"/>
      <c r="CG42" s="257"/>
      <c r="CH42" s="257"/>
    </row>
    <row r="43" spans="1:86" s="258" customFormat="1" ht="36.75" customHeight="1" x14ac:dyDescent="0.25">
      <c r="A43" s="251"/>
      <c r="B43" s="312">
        <v>41</v>
      </c>
      <c r="C43" s="251" t="str">
        <f>LEFT(F43,3)</f>
        <v>BDG</v>
      </c>
      <c r="D43" s="251"/>
      <c r="E43" s="253" t="s">
        <v>310</v>
      </c>
      <c r="F43" s="260" t="s">
        <v>311</v>
      </c>
      <c r="G43" s="260" t="s">
        <v>312</v>
      </c>
      <c r="H43" s="254">
        <v>8</v>
      </c>
      <c r="I43" s="254">
        <v>3</v>
      </c>
      <c r="J43" s="254">
        <v>230803</v>
      </c>
      <c r="K43" s="254" t="s">
        <v>468</v>
      </c>
      <c r="L43" s="254" t="s">
        <v>469</v>
      </c>
      <c r="M43" s="260">
        <f t="shared" si="19"/>
        <v>32</v>
      </c>
      <c r="N43" s="251"/>
      <c r="O43" s="251"/>
      <c r="P43" s="251"/>
      <c r="Q43" s="251"/>
      <c r="R43" s="251" t="str">
        <f t="shared" si="2"/>
        <v/>
      </c>
      <c r="S43" s="251" t="str">
        <f t="shared" si="3"/>
        <v/>
      </c>
      <c r="T43" s="251"/>
      <c r="U43" s="251" t="s">
        <v>334</v>
      </c>
      <c r="V43" s="251"/>
      <c r="W43" s="251"/>
      <c r="X43" s="251"/>
      <c r="Y43" s="251"/>
      <c r="Z43" s="251"/>
      <c r="AA43" s="251"/>
      <c r="AB43" s="251">
        <f>ROUNDUP('QBL01'!$J$52,2)</f>
        <v>4.38</v>
      </c>
      <c r="AC43" s="251">
        <f>ROUNDUP('QBL 02'!$J$52,2)</f>
        <v>4.5199999999999996</v>
      </c>
      <c r="AD43" s="251" t="s">
        <v>246</v>
      </c>
      <c r="AE43" s="251" t="str">
        <f t="shared" si="4"/>
        <v/>
      </c>
      <c r="AF43" s="251" t="str">
        <f t="shared" si="5"/>
        <v/>
      </c>
      <c r="AG43" s="251">
        <v>0</v>
      </c>
      <c r="AH43" s="251">
        <f>ROUNDUP('QBL01'!$J$53,2)</f>
        <v>0.36</v>
      </c>
      <c r="AI43" s="251">
        <f>ROUNDUP('QBL 02'!$J$53,2)</f>
        <v>0.3</v>
      </c>
      <c r="AJ43" s="251">
        <v>0</v>
      </c>
      <c r="AK43" s="251" t="str">
        <f t="shared" si="6"/>
        <v/>
      </c>
      <c r="AL43" s="251" t="str">
        <f t="shared" si="7"/>
        <v/>
      </c>
      <c r="AM43" s="251">
        <v>0</v>
      </c>
      <c r="AN43" s="328" t="str">
        <f t="shared" si="8"/>
        <v/>
      </c>
      <c r="AO43" s="328" t="str">
        <f t="shared" si="9"/>
        <v/>
      </c>
      <c r="AP43" s="328"/>
      <c r="AQ43" s="251" t="str">
        <f t="shared" si="10"/>
        <v/>
      </c>
      <c r="AR43" s="251">
        <f>ROUNDUP('HIEU XUAT'!$X$48,2)</f>
        <v>15.7</v>
      </c>
      <c r="AS43" s="251">
        <f>ROUNDUP('HIEU XUAT'!$X$50,2)</f>
        <v>3.3099999999999996</v>
      </c>
      <c r="AT43" s="251" t="str">
        <f>VLOOKUP(E43,'HIEU XUAT'!B:AF,23,0)</f>
        <v>N/A</v>
      </c>
      <c r="AU43" s="251" t="str">
        <f>VLOOKUP(E43,'HIEU XUAT'!B:AP,32,0)</f>
        <v>N/A</v>
      </c>
      <c r="AV43" s="251" t="s">
        <v>313</v>
      </c>
      <c r="AW43" s="251" t="s">
        <v>314</v>
      </c>
      <c r="AX43" s="251" t="s">
        <v>315</v>
      </c>
      <c r="AY43" s="251" t="s">
        <v>316</v>
      </c>
      <c r="AZ43" s="251" t="s">
        <v>167</v>
      </c>
      <c r="BA43" s="251" t="s">
        <v>317</v>
      </c>
      <c r="BB43" s="255" t="s">
        <v>321</v>
      </c>
      <c r="BC43" s="255" t="s">
        <v>297</v>
      </c>
      <c r="BD43" s="261"/>
      <c r="BE43" s="261"/>
      <c r="BF43" s="261"/>
      <c r="BG43" s="251" t="s">
        <v>67</v>
      </c>
      <c r="BH43" s="251" t="s">
        <v>318</v>
      </c>
      <c r="BI43" s="251" t="s">
        <v>58</v>
      </c>
      <c r="BJ43" s="251"/>
      <c r="BK43" s="251"/>
      <c r="BL43" s="251"/>
      <c r="BM43" s="262"/>
      <c r="BN43" s="257"/>
      <c r="BO43" s="257"/>
      <c r="BP43" s="257"/>
      <c r="BQ43" s="257"/>
      <c r="BR43" s="257"/>
      <c r="BS43" s="257"/>
      <c r="BT43" s="257"/>
      <c r="BU43" s="257"/>
      <c r="BV43" s="257"/>
      <c r="BW43" s="257"/>
      <c r="BX43" s="257"/>
      <c r="BY43" s="257"/>
      <c r="BZ43" s="257"/>
      <c r="CA43" s="257"/>
      <c r="CB43" s="257"/>
      <c r="CC43" s="257"/>
      <c r="CD43" s="257"/>
      <c r="CE43" s="257"/>
      <c r="CF43" s="257"/>
      <c r="CG43" s="257"/>
      <c r="CH43" s="257"/>
    </row>
    <row r="44" spans="1:86" s="258" customFormat="1" ht="36.75" customHeight="1" x14ac:dyDescent="0.25">
      <c r="A44" s="263"/>
      <c r="B44" s="312">
        <v>42</v>
      </c>
      <c r="C44" s="251" t="str">
        <f>LEFT(F44,3)</f>
        <v>LDG</v>
      </c>
      <c r="D44" s="251"/>
      <c r="E44" s="268" t="s">
        <v>230</v>
      </c>
      <c r="F44" s="264" t="s">
        <v>231</v>
      </c>
      <c r="G44" s="264" t="s">
        <v>232</v>
      </c>
      <c r="H44" s="254">
        <v>8</v>
      </c>
      <c r="I44" s="254">
        <v>3</v>
      </c>
      <c r="J44" s="254">
        <v>230803</v>
      </c>
      <c r="K44" s="254" t="s">
        <v>468</v>
      </c>
      <c r="L44" s="254" t="s">
        <v>469</v>
      </c>
      <c r="M44" s="264">
        <f t="shared" si="19"/>
        <v>32</v>
      </c>
      <c r="N44" s="251"/>
      <c r="O44" s="251"/>
      <c r="P44" s="251"/>
      <c r="Q44" s="251"/>
      <c r="R44" s="251" t="str">
        <f t="shared" si="2"/>
        <v/>
      </c>
      <c r="S44" s="251" t="str">
        <f t="shared" si="3"/>
        <v/>
      </c>
      <c r="T44" s="251"/>
      <c r="U44" s="251">
        <v>5</v>
      </c>
      <c r="V44" s="251"/>
      <c r="W44" s="251"/>
      <c r="X44" s="251"/>
      <c r="Y44" s="251"/>
      <c r="Z44" s="251"/>
      <c r="AA44" s="251"/>
      <c r="AB44" s="251">
        <f>ROUNDUP('QBL01'!$J$52,2)</f>
        <v>4.38</v>
      </c>
      <c r="AC44" s="251">
        <f>ROUNDUP('QBL 02'!$J$52,2)</f>
        <v>4.5199999999999996</v>
      </c>
      <c r="AD44" s="251" t="s">
        <v>246</v>
      </c>
      <c r="AE44" s="251" t="str">
        <f t="shared" si="4"/>
        <v/>
      </c>
      <c r="AF44" s="251" t="str">
        <f t="shared" si="5"/>
        <v/>
      </c>
      <c r="AG44" s="251">
        <v>0</v>
      </c>
      <c r="AH44" s="251">
        <f>ROUNDUP('QBL01'!$J$53,2)</f>
        <v>0.36</v>
      </c>
      <c r="AI44" s="251">
        <f>ROUNDUP('QBL 02'!$J$53,2)</f>
        <v>0.3</v>
      </c>
      <c r="AJ44" s="251">
        <v>0</v>
      </c>
      <c r="AK44" s="251" t="str">
        <f t="shared" si="6"/>
        <v/>
      </c>
      <c r="AL44" s="251" t="str">
        <f t="shared" si="7"/>
        <v/>
      </c>
      <c r="AM44" s="251">
        <v>0</v>
      </c>
      <c r="AN44" s="328" t="str">
        <f t="shared" si="8"/>
        <v/>
      </c>
      <c r="AO44" s="328" t="str">
        <f t="shared" si="9"/>
        <v/>
      </c>
      <c r="AP44" s="328"/>
      <c r="AQ44" s="251" t="str">
        <f t="shared" si="10"/>
        <v/>
      </c>
      <c r="AR44" s="251">
        <f>ROUNDUP('HIEU XUAT'!$X$48,2)</f>
        <v>15.7</v>
      </c>
      <c r="AS44" s="251">
        <f>ROUNDUP('HIEU XUAT'!$X$50,2)</f>
        <v>3.3099999999999996</v>
      </c>
      <c r="AT44" s="251" t="str">
        <f>VLOOKUP(E44,'HIEU XUAT'!B:AF,23,0)</f>
        <v>N/A</v>
      </c>
      <c r="AU44" s="251" t="str">
        <f>VLOOKUP(E44,'HIEU XUAT'!B:AP,32,0)</f>
        <v>N/A</v>
      </c>
      <c r="AV44" s="251" t="s">
        <v>306</v>
      </c>
      <c r="AW44" s="251" t="s">
        <v>307</v>
      </c>
      <c r="AX44" s="251"/>
      <c r="AY44" s="251" t="s">
        <v>308</v>
      </c>
      <c r="AZ44" s="251"/>
      <c r="BA44" s="251" t="s">
        <v>309</v>
      </c>
      <c r="BB44" s="251" t="s">
        <v>83</v>
      </c>
      <c r="BC44" s="255" t="s">
        <v>297</v>
      </c>
      <c r="BD44" s="256"/>
      <c r="BE44" s="256"/>
      <c r="BF44" s="256"/>
      <c r="BG44" s="251"/>
      <c r="BH44" s="251"/>
      <c r="BI44" s="251">
        <v>-25</v>
      </c>
      <c r="BJ44" s="251"/>
      <c r="BK44" s="251"/>
      <c r="BL44" s="251"/>
      <c r="BM44" s="257"/>
      <c r="BN44" s="257"/>
      <c r="BO44" s="257"/>
      <c r="BP44" s="257"/>
      <c r="BQ44" s="257"/>
      <c r="BR44" s="257"/>
      <c r="BS44" s="257"/>
      <c r="BT44" s="257"/>
      <c r="BU44" s="257"/>
      <c r="BV44" s="257"/>
      <c r="BW44" s="257"/>
      <c r="BX44" s="257"/>
      <c r="BY44" s="257"/>
      <c r="BZ44" s="257"/>
      <c r="CA44" s="257"/>
      <c r="CB44" s="257"/>
      <c r="CC44" s="257"/>
      <c r="CD44" s="257"/>
      <c r="CE44" s="257"/>
      <c r="CF44" s="257"/>
      <c r="CG44" s="257"/>
      <c r="CH44" s="257"/>
    </row>
    <row r="46" spans="1:86" ht="37.5" customHeight="1" x14ac:dyDescent="0.25">
      <c r="N46" s="8">
        <f>COUNTA(O2:O44)</f>
        <v>32</v>
      </c>
    </row>
  </sheetData>
  <autoFilter ref="A1:CH44" xr:uid="{00000000-0001-0000-0600-000000000000}"/>
  <phoneticPr fontId="23" type="noConversion"/>
  <conditionalFormatting sqref="E2:E44">
    <cfRule type="duplicateValues" dxfId="0" priority="4"/>
  </conditionalFormatting>
  <dataValidations count="1">
    <dataValidation type="list" allowBlank="1" showInputMessage="1" showErrorMessage="1" sqref="BN2" xr:uid="{00000000-0002-0000-0600-000000000000}">
      <formula1>$E$2:$E$44</formula1>
    </dataValidation>
  </dataValidations>
  <hyperlinks>
    <hyperlink ref="AV32" r:id="rId1" xr:uid="{00000000-0004-0000-0600-000000000000}"/>
    <hyperlink ref="AV31" r:id="rId2" xr:uid="{00000000-0004-0000-06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6"/>
  <sheetViews>
    <sheetView topLeftCell="A5" workbookViewId="0">
      <selection activeCell="AL28" sqref="AL28"/>
    </sheetView>
  </sheetViews>
  <sheetFormatPr defaultRowHeight="15.75" x14ac:dyDescent="0.25"/>
  <cols>
    <col min="1" max="1" width="4.125" customWidth="1"/>
    <col min="2" max="2" width="11.25" customWidth="1"/>
    <col min="4" max="4" width="29.875" bestFit="1" customWidth="1"/>
    <col min="5" max="6" width="9.25" bestFit="1" customWidth="1"/>
    <col min="7" max="7" width="9.5" bestFit="1" customWidth="1"/>
    <col min="8" max="10" width="11.375" bestFit="1" customWidth="1"/>
  </cols>
  <sheetData>
    <row r="1" spans="1:10" ht="31.5" x14ac:dyDescent="0.25">
      <c r="E1" s="4"/>
      <c r="F1" s="12" t="s">
        <v>277</v>
      </c>
      <c r="G1" s="12" t="s">
        <v>278</v>
      </c>
      <c r="H1" s="12" t="s">
        <v>279</v>
      </c>
      <c r="I1" s="12" t="s">
        <v>280</v>
      </c>
      <c r="J1" s="12" t="s">
        <v>281</v>
      </c>
    </row>
    <row r="2" spans="1:10" x14ac:dyDescent="0.25">
      <c r="E2" s="4"/>
      <c r="F2" s="60">
        <f>E52-E51</f>
        <v>3.8494874999999995</v>
      </c>
      <c r="G2" s="12"/>
      <c r="H2" s="12">
        <f>G52-G51</f>
        <v>3.8506542348470552</v>
      </c>
      <c r="I2" s="12">
        <f>H52-H51</f>
        <v>3.8510152782857641</v>
      </c>
      <c r="J2" s="12">
        <f>I52-I51</f>
        <v>3.8511460813966747</v>
      </c>
    </row>
    <row r="3" spans="1:10" x14ac:dyDescent="0.25">
      <c r="E3" s="4"/>
      <c r="F3" s="60">
        <f>E52+E51</f>
        <v>4.8505124999999998</v>
      </c>
      <c r="G3" s="12"/>
      <c r="H3" s="12">
        <f>G52+G51</f>
        <v>4.9063154621226408</v>
      </c>
      <c r="I3" s="12">
        <f>H51+H52</f>
        <v>4.9061354916864275</v>
      </c>
      <c r="J3" s="12">
        <f t="shared" ref="J3" si="0">I51+I52</f>
        <v>4.9060703328370989</v>
      </c>
    </row>
    <row r="4" spans="1:10" ht="21" x14ac:dyDescent="0.25">
      <c r="B4" s="6" t="s">
        <v>3</v>
      </c>
      <c r="C4" s="6" t="s">
        <v>4</v>
      </c>
      <c r="D4" s="6" t="s">
        <v>5</v>
      </c>
      <c r="E4" s="61" t="s">
        <v>320</v>
      </c>
      <c r="F4" s="12"/>
      <c r="G4" s="12"/>
      <c r="H4" s="12"/>
      <c r="I4" s="12"/>
      <c r="J4" s="12"/>
    </row>
    <row r="5" spans="1:10" x14ac:dyDescent="0.25">
      <c r="A5">
        <v>1</v>
      </c>
      <c r="B5" s="161" t="s">
        <v>50</v>
      </c>
      <c r="C5" s="160" t="s">
        <v>51</v>
      </c>
      <c r="D5" s="160" t="s">
        <v>52</v>
      </c>
      <c r="E5" s="4" t="str">
        <f>IF(VLOOKUP(B5,'HBV ĐL HC'!E:AA,14,0)&lt;&gt;"",VLOOKUP(B5,'HBV ĐL HC'!E:AA,14,0),"")</f>
        <v/>
      </c>
      <c r="F5" s="12" t="str">
        <f>IF(VLOOKUP(B5,'HBV ĐL HC'!E:AA,14,0)&lt;&gt;"",ABS(E5-$E$52),"")</f>
        <v/>
      </c>
      <c r="G5" s="59" t="str">
        <f>IF(VLOOKUP(B5,'HBV ĐL HC'!E:AA,10,0)&lt;&gt;0,IF(E5&lt;$F$2,$F$2,IF(E5&gt;$F$3,$F$3,E5)),"")</f>
        <v/>
      </c>
      <c r="H5" s="59" t="str">
        <f>IF(VLOOKUP(B5,'HBV ĐL HC'!E:AA,10,0)&lt;&gt;0,IF(G5&lt;$H$2,$H$2,IF(G5&gt;$H$3,$H$3,G5)),"")</f>
        <v/>
      </c>
      <c r="I5" s="59" t="str">
        <f>IF(VLOOKUP(B5,'HBV ĐL HC'!E:AA,10,0)&lt;&gt;0,IF(H5&lt;$I$2,$I$2,IF(H5&gt;$I$3,$I$3,H5)),"")</f>
        <v/>
      </c>
      <c r="J5" s="59" t="str">
        <f>IF(VLOOKUP(B5,'HBV ĐL HC'!E:AA,10,0)&lt;&gt;0,IF(I5&lt;$J$2,$J$2,IF(I5&gt;$J$3,$J$3,I5)),"")</f>
        <v/>
      </c>
    </row>
    <row r="6" spans="1:10" ht="25.5" x14ac:dyDescent="0.25">
      <c r="A6">
        <v>2</v>
      </c>
      <c r="B6" s="170" t="s">
        <v>60</v>
      </c>
      <c r="C6" s="171" t="s">
        <v>61</v>
      </c>
      <c r="D6" s="169" t="s">
        <v>62</v>
      </c>
      <c r="E6" s="4">
        <f>IF(VLOOKUP(B6,'HBV ĐL HC'!E:AA,14,0)&lt;&gt;"",VLOOKUP(B6,'HBV ĐL HC'!E:AA,14,0),"")</f>
        <v>4.53</v>
      </c>
      <c r="F6" s="12">
        <f>IF(VLOOKUP(B6,'HBV ĐL HC'!E:AA,14,0)&lt;&gt;"",ABS(E6-$E$52),"")</f>
        <v>0.1800000000000006</v>
      </c>
      <c r="G6" s="59">
        <f>IF(VLOOKUP(B6,'HBV ĐL HC'!E:AA,10,0)&lt;&gt;0,IF(E6&lt;$F$2,$F$2,IF(E6&gt;$F$3,$F$3,E6)),"")</f>
        <v>4.53</v>
      </c>
      <c r="H6" s="59">
        <f>IF(VLOOKUP(B6,'HBV ĐL HC'!E:AA,10,0)&lt;&gt;0,IF(G6&lt;$H$2,$H$2,IF(G6&gt;$H$3,$H$3,G6)),"")</f>
        <v>4.53</v>
      </c>
      <c r="I6" s="59">
        <f>IF(VLOOKUP(B6,'HBV ĐL HC'!E:AA,10,0)&lt;&gt;0,IF(H6&lt;$I$2,$I$2,IF(H6&gt;$I$3,$I$3,H6)),"")</f>
        <v>4.53</v>
      </c>
      <c r="J6" s="59">
        <f>IF(VLOOKUP(B6,'HBV ĐL HC'!E:AA,10,0)&lt;&gt;0,IF(I6&lt;$J$2,$J$2,IF(I6&gt;$J$3,$J$3,I6)),"")</f>
        <v>4.53</v>
      </c>
    </row>
    <row r="7" spans="1:10" ht="25.5" x14ac:dyDescent="0.25">
      <c r="A7">
        <v>3</v>
      </c>
      <c r="B7" s="176" t="s">
        <v>70</v>
      </c>
      <c r="C7" s="171" t="s">
        <v>71</v>
      </c>
      <c r="D7" s="169" t="s">
        <v>72</v>
      </c>
      <c r="E7" s="4">
        <f>IF(VLOOKUP(B7,'HBV ĐL HC'!E:AA,14,0)&lt;&gt;"",VLOOKUP(B7,'HBV ĐL HC'!E:AA,14,0),"")</f>
        <v>4.7699999999999996</v>
      </c>
      <c r="F7" s="12">
        <f>IF(VLOOKUP(B7,'HBV ĐL HC'!E:AA,14,0)&lt;&gt;"",ABS(E7-$E$52),"")</f>
        <v>0.41999999999999993</v>
      </c>
      <c r="G7" s="59">
        <f>IF(VLOOKUP(B7,'HBV ĐL HC'!E:AA,10,0)&lt;&gt;0,IF(E7&lt;$F$2,$F$2,IF(E7&gt;$F$3,$F$3,E7)),"")</f>
        <v>4.7699999999999996</v>
      </c>
      <c r="H7" s="59">
        <f>IF(VLOOKUP(B7,'HBV ĐL HC'!E:AA,10,0)&lt;&gt;0,IF(G7&lt;$H$2,$H$2,IF(G7&gt;$H$3,$H$3,G7)),"")</f>
        <v>4.7699999999999996</v>
      </c>
      <c r="I7" s="59">
        <f>IF(VLOOKUP(B7,'HBV ĐL HC'!E:AA,10,0)&lt;&gt;0,IF(H7&lt;$I$2,$I$2,IF(H7&gt;$I$3,$I$3,H7)),"")</f>
        <v>4.7699999999999996</v>
      </c>
      <c r="J7" s="59">
        <f>IF(VLOOKUP(B7,'HBV ĐL HC'!E:AA,10,0)&lt;&gt;0,IF(I7&lt;$J$2,$J$2,IF(I7&gt;$J$3,$J$3,I7)),"")</f>
        <v>4.7699999999999996</v>
      </c>
    </row>
    <row r="8" spans="1:10" ht="25.5" x14ac:dyDescent="0.25">
      <c r="A8">
        <v>4</v>
      </c>
      <c r="B8" s="177" t="s">
        <v>169</v>
      </c>
      <c r="C8" s="169" t="s">
        <v>170</v>
      </c>
      <c r="D8" s="169" t="s">
        <v>171</v>
      </c>
      <c r="E8" s="4">
        <f>IF(VLOOKUP(B8,'HBV ĐL HC'!E:AA,14,0)&lt;&gt;"",VLOOKUP(B8,'HBV ĐL HC'!E:AA,14,0),"")</f>
        <v>4.12</v>
      </c>
      <c r="F8" s="12">
        <f>IF(VLOOKUP(B8,'HBV ĐL HC'!E:AA,14,0)&lt;&gt;"",ABS(E8-$E$52),"")</f>
        <v>0.22999999999999954</v>
      </c>
      <c r="G8" s="59">
        <f>IF(VLOOKUP(B8,'HBV ĐL HC'!E:AA,10,0)&lt;&gt;0,IF(E8&lt;$F$2,$F$2,IF(E8&gt;$F$3,$F$3,E8)),"")</f>
        <v>4.12</v>
      </c>
      <c r="H8" s="59">
        <f>IF(VLOOKUP(B8,'HBV ĐL HC'!E:AA,10,0)&lt;&gt;0,IF(G8&lt;$H$2,$H$2,IF(G8&gt;$H$3,$H$3,G8)),"")</f>
        <v>4.12</v>
      </c>
      <c r="I8" s="59">
        <f>IF(VLOOKUP(B8,'HBV ĐL HC'!E:AA,10,0)&lt;&gt;0,IF(H8&lt;$I$2,$I$2,IF(H8&gt;$I$3,$I$3,H8)),"")</f>
        <v>4.12</v>
      </c>
      <c r="J8" s="59">
        <f>IF(VLOOKUP(B8,'HBV ĐL HC'!E:AA,10,0)&lt;&gt;0,IF(I8&lt;$J$2,$J$2,IF(I8&gt;$J$3,$J$3,I8)),"")</f>
        <v>4.12</v>
      </c>
    </row>
    <row r="9" spans="1:10" x14ac:dyDescent="0.25">
      <c r="A9">
        <v>5</v>
      </c>
      <c r="B9" s="179" t="s">
        <v>178</v>
      </c>
      <c r="C9" s="180" t="s">
        <v>179</v>
      </c>
      <c r="D9" s="169" t="s">
        <v>180</v>
      </c>
      <c r="E9" s="4">
        <f>IF(VLOOKUP(B9,'HBV ĐL HC'!E:AA,14,0)&lt;&gt;"",VLOOKUP(B9,'HBV ĐL HC'!E:AA,14,0),"")</f>
        <v>4.3499999999999996</v>
      </c>
      <c r="F9" s="12">
        <f>IF(VLOOKUP(B9,'HBV ĐL HC'!E:AA,14,0)&lt;&gt;"",ABS(E9-$E$52),"")</f>
        <v>0</v>
      </c>
      <c r="G9" s="59">
        <f>IF(VLOOKUP(B9,'HBV ĐL HC'!E:AA,10,0)&lt;&gt;0,IF(E9&lt;$F$2,$F$2,IF(E9&gt;$F$3,$F$3,E9)),"")</f>
        <v>4.3499999999999996</v>
      </c>
      <c r="H9" s="59">
        <f>IF(VLOOKUP(B9,'HBV ĐL HC'!E:AA,10,0)&lt;&gt;0,IF(G9&lt;$H$2,$H$2,IF(G9&gt;$H$3,$H$3,G9)),"")</f>
        <v>4.3499999999999996</v>
      </c>
      <c r="I9" s="59">
        <f>IF(VLOOKUP(B9,'HBV ĐL HC'!E:AA,10,0)&lt;&gt;0,IF(H9&lt;$I$2,$I$2,IF(H9&gt;$I$3,$I$3,H9)),"")</f>
        <v>4.3499999999999996</v>
      </c>
      <c r="J9" s="59">
        <f>IF(VLOOKUP(B9,'HBV ĐL HC'!E:AA,10,0)&lt;&gt;0,IF(I9&lt;$J$2,$J$2,IF(I9&gt;$J$3,$J$3,I9)),"")</f>
        <v>4.3499999999999996</v>
      </c>
    </row>
    <row r="10" spans="1:10" ht="25.5" x14ac:dyDescent="0.25">
      <c r="A10">
        <v>6</v>
      </c>
      <c r="B10" s="179" t="s">
        <v>189</v>
      </c>
      <c r="C10" s="171" t="s">
        <v>190</v>
      </c>
      <c r="D10" s="169" t="s">
        <v>191</v>
      </c>
      <c r="E10" s="4">
        <f>IF(VLOOKUP(B10,'HBV ĐL HC'!E:AA,14,0)&lt;&gt;"",VLOOKUP(B10,'HBV ĐL HC'!E:AA,14,0),"")</f>
        <v>4.7300000000000004</v>
      </c>
      <c r="F10" s="12">
        <f>IF(VLOOKUP(B10,'HBV ĐL HC'!E:AA,14,0)&lt;&gt;"",ABS(E10-$E$52),"")</f>
        <v>0.38000000000000078</v>
      </c>
      <c r="G10" s="59">
        <f>IF(VLOOKUP(B10,'HBV ĐL HC'!E:AA,10,0)&lt;&gt;0,IF(E10&lt;$F$2,$F$2,IF(E10&gt;$F$3,$F$3,E10)),"")</f>
        <v>4.7300000000000004</v>
      </c>
      <c r="H10" s="59">
        <f>IF(VLOOKUP(B10,'HBV ĐL HC'!E:AA,10,0)&lt;&gt;0,IF(G10&lt;$H$2,$H$2,IF(G10&gt;$H$3,$H$3,G10)),"")</f>
        <v>4.7300000000000004</v>
      </c>
      <c r="I10" s="59">
        <f>IF(VLOOKUP(B10,'HBV ĐL HC'!E:AA,10,0)&lt;&gt;0,IF(H10&lt;$I$2,$I$2,IF(H10&gt;$I$3,$I$3,H10)),"")</f>
        <v>4.7300000000000004</v>
      </c>
      <c r="J10" s="59">
        <f>IF(VLOOKUP(B10,'HBV ĐL HC'!E:AA,10,0)&lt;&gt;0,IF(I10&lt;$J$2,$J$2,IF(I10&gt;$J$3,$J$3,I10)),"")</f>
        <v>4.7300000000000004</v>
      </c>
    </row>
    <row r="11" spans="1:10" ht="25.5" x14ac:dyDescent="0.25">
      <c r="A11">
        <v>7</v>
      </c>
      <c r="B11" s="179" t="s">
        <v>447</v>
      </c>
      <c r="C11" s="171" t="s">
        <v>79</v>
      </c>
      <c r="D11" s="169" t="s">
        <v>80</v>
      </c>
      <c r="E11" s="4">
        <f>IF(VLOOKUP(B11,'HBV ĐL HC'!E:AA,14,0)&lt;&gt;"",VLOOKUP(B11,'HBV ĐL HC'!E:AA,14,0),"")</f>
        <v>4.53</v>
      </c>
      <c r="F11" s="12">
        <f>IF(VLOOKUP(B11,'HBV ĐL HC'!E:AA,14,0)&lt;&gt;"",ABS(E11-$E$52),"")</f>
        <v>0.1800000000000006</v>
      </c>
      <c r="G11" s="59">
        <f>IF(VLOOKUP(B11,'HBV ĐL HC'!E:AA,10,0)&lt;&gt;0,IF(E11&lt;$F$2,$F$2,IF(E11&gt;$F$3,$F$3,E11)),"")</f>
        <v>4.53</v>
      </c>
      <c r="H11" s="59">
        <f>IF(VLOOKUP(B11,'HBV ĐL HC'!E:AA,10,0)&lt;&gt;0,IF(G11&lt;$H$2,$H$2,IF(G11&gt;$H$3,$H$3,G11)),"")</f>
        <v>4.53</v>
      </c>
      <c r="I11" s="59">
        <f>IF(VLOOKUP(B11,'HBV ĐL HC'!E:AA,10,0)&lt;&gt;0,IF(H11&lt;$I$2,$I$2,IF(H11&gt;$I$3,$I$3,H11)),"")</f>
        <v>4.53</v>
      </c>
      <c r="J11" s="59">
        <f>IF(VLOOKUP(B11,'HBV ĐL HC'!E:AA,10,0)&lt;&gt;0,IF(I11&lt;$J$2,$J$2,IF(I11&gt;$J$3,$J$3,I11)),"")</f>
        <v>4.53</v>
      </c>
    </row>
    <row r="12" spans="1:10" ht="25.5" x14ac:dyDescent="0.25">
      <c r="A12">
        <v>8</v>
      </c>
      <c r="B12" s="179" t="s">
        <v>212</v>
      </c>
      <c r="C12" s="171" t="s">
        <v>213</v>
      </c>
      <c r="D12" s="169" t="s">
        <v>214</v>
      </c>
      <c r="E12" s="4">
        <f>IF(VLOOKUP(B12,'HBV ĐL HC'!E:AA,14,0)&lt;&gt;"",VLOOKUP(B12,'HBV ĐL HC'!E:AA,14,0),"")</f>
        <v>4.8</v>
      </c>
      <c r="F12" s="12">
        <f>IF(VLOOKUP(B12,'HBV ĐL HC'!E:AA,14,0)&lt;&gt;"",ABS(E12-$E$52),"")</f>
        <v>0.45000000000000018</v>
      </c>
      <c r="G12" s="59">
        <f>IF(VLOOKUP(B12,'HBV ĐL HC'!E:AA,10,0)&lt;&gt;0,IF(E12&lt;$F$2,$F$2,IF(E12&gt;$F$3,$F$3,E12)),"")</f>
        <v>4.8</v>
      </c>
      <c r="H12" s="59">
        <f>IF(VLOOKUP(B12,'HBV ĐL HC'!E:AA,10,0)&lt;&gt;0,IF(G12&lt;$H$2,$H$2,IF(G12&gt;$H$3,$H$3,G12)),"")</f>
        <v>4.8</v>
      </c>
      <c r="I12" s="59">
        <f>IF(VLOOKUP(B12,'HBV ĐL HC'!E:AA,10,0)&lt;&gt;0,IF(H12&lt;$I$2,$I$2,IF(H12&gt;$I$3,$I$3,H12)),"")</f>
        <v>4.8</v>
      </c>
      <c r="J12" s="59">
        <f>IF(VLOOKUP(B12,'HBV ĐL HC'!E:AA,10,0)&lt;&gt;0,IF(I12&lt;$J$2,$J$2,IF(I12&gt;$J$3,$J$3,I12)),"")</f>
        <v>4.8</v>
      </c>
    </row>
    <row r="13" spans="1:10" x14ac:dyDescent="0.25">
      <c r="A13">
        <v>9</v>
      </c>
      <c r="B13" s="179" t="s">
        <v>218</v>
      </c>
      <c r="C13" s="171" t="s">
        <v>219</v>
      </c>
      <c r="D13" s="169" t="s">
        <v>220</v>
      </c>
      <c r="E13" s="4">
        <f>IF(VLOOKUP(B13,'HBV ĐL HC'!E:AA,14,0)&lt;&gt;"",VLOOKUP(B13,'HBV ĐL HC'!E:AA,14,0),"")</f>
        <v>4.5599999999999996</v>
      </c>
      <c r="F13" s="12">
        <f>IF(VLOOKUP(B13,'HBV ĐL HC'!E:AA,14,0)&lt;&gt;"",ABS(E13-$E$52),"")</f>
        <v>0.20999999999999996</v>
      </c>
      <c r="G13" s="59">
        <f>IF(VLOOKUP(B13,'HBV ĐL HC'!E:AA,10,0)&lt;&gt;0,IF(E13&lt;$F$2,$F$2,IF(E13&gt;$F$3,$F$3,E13)),"")</f>
        <v>4.5599999999999996</v>
      </c>
      <c r="H13" s="59">
        <f>IF(VLOOKUP(B13,'HBV ĐL HC'!E:AA,10,0)&lt;&gt;0,IF(G13&lt;$H$2,$H$2,IF(G13&gt;$H$3,$H$3,G13)),"")</f>
        <v>4.5599999999999996</v>
      </c>
      <c r="I13" s="59">
        <f>IF(VLOOKUP(B13,'HBV ĐL HC'!E:AA,10,0)&lt;&gt;0,IF(H13&lt;$I$2,$I$2,IF(H13&gt;$I$3,$I$3,H13)),"")</f>
        <v>4.5599999999999996</v>
      </c>
      <c r="J13" s="59">
        <f>IF(VLOOKUP(B13,'HBV ĐL HC'!E:AA,10,0)&lt;&gt;0,IF(I13&lt;$J$2,$J$2,IF(I13&gt;$J$3,$J$3,I13)),"")</f>
        <v>4.5599999999999996</v>
      </c>
    </row>
    <row r="14" spans="1:10" x14ac:dyDescent="0.25">
      <c r="A14">
        <v>10</v>
      </c>
      <c r="B14" s="179" t="s">
        <v>448</v>
      </c>
      <c r="C14" s="171" t="s">
        <v>85</v>
      </c>
      <c r="D14" s="169" t="s">
        <v>86</v>
      </c>
      <c r="E14" s="4" t="str">
        <f>IF(VLOOKUP(B14,'HBV ĐL HC'!E:AA,14,0)&lt;&gt;"",VLOOKUP(B14,'HBV ĐL HC'!E:AA,14,0),"")</f>
        <v/>
      </c>
      <c r="F14" s="12" t="str">
        <f>IF(VLOOKUP(B14,'HBV ĐL HC'!E:AA,14,0)&lt;&gt;"",ABS(E14-$E$52),"")</f>
        <v/>
      </c>
      <c r="G14" s="59" t="str">
        <f>IF(VLOOKUP(B14,'HBV ĐL HC'!E:AA,10,0)&lt;&gt;0,IF(E14&lt;$F$2,$F$2,IF(E14&gt;$F$3,$F$3,E14)),"")</f>
        <v/>
      </c>
      <c r="H14" s="59" t="str">
        <f>IF(VLOOKUP(B14,'HBV ĐL HC'!E:AA,10,0)&lt;&gt;0,IF(G14&lt;$H$2,$H$2,IF(G14&gt;$H$3,$H$3,G14)),"")</f>
        <v/>
      </c>
      <c r="I14" s="59" t="str">
        <f>IF(VLOOKUP(B14,'HBV ĐL HC'!E:AA,10,0)&lt;&gt;0,IF(H14&lt;$I$2,$I$2,IF(H14&gt;$I$3,$I$3,H14)),"")</f>
        <v/>
      </c>
      <c r="J14" s="59" t="str">
        <f>IF(VLOOKUP(B14,'HBV ĐL HC'!E:AA,10,0)&lt;&gt;0,IF(I14&lt;$J$2,$J$2,IF(I14&gt;$J$3,$J$3,I14)),"")</f>
        <v/>
      </c>
    </row>
    <row r="15" spans="1:10" x14ac:dyDescent="0.25">
      <c r="A15">
        <v>11</v>
      </c>
      <c r="B15" s="185" t="s">
        <v>413</v>
      </c>
      <c r="C15" s="186" t="s">
        <v>250</v>
      </c>
      <c r="D15" s="184" t="s">
        <v>406</v>
      </c>
      <c r="E15" s="4">
        <f>IF(VLOOKUP(B15,'HBV ĐL HC'!E:AA,14,0)&lt;&gt;"",VLOOKUP(B15,'HBV ĐL HC'!E:AA,14,0),"")</f>
        <v>4.55</v>
      </c>
      <c r="F15" s="12">
        <f>IF(VLOOKUP(B15,'HBV ĐL HC'!E:AA,14,0)&lt;&gt;"",ABS(E15-$E$52),"")</f>
        <v>0.20000000000000018</v>
      </c>
      <c r="G15" s="59">
        <f>IF(VLOOKUP(B15,'HBV ĐL HC'!E:AA,10,0)&lt;&gt;0,IF(E15&lt;$F$2,$F$2,IF(E15&gt;$F$3,$F$3,E15)),"")</f>
        <v>4.55</v>
      </c>
      <c r="H15" s="59">
        <f>IF(VLOOKUP(B15,'HBV ĐL HC'!E:AA,10,0)&lt;&gt;0,IF(G15&lt;$H$2,$H$2,IF(G15&gt;$H$3,$H$3,G15)),"")</f>
        <v>4.55</v>
      </c>
      <c r="I15" s="59">
        <f>IF(VLOOKUP(B15,'HBV ĐL HC'!E:AA,10,0)&lt;&gt;0,IF(H15&lt;$I$2,$I$2,IF(H15&gt;$I$3,$I$3,H15)),"")</f>
        <v>4.55</v>
      </c>
      <c r="J15" s="59">
        <f>IF(VLOOKUP(B15,'HBV ĐL HC'!E:AA,10,0)&lt;&gt;0,IF(I15&lt;$J$2,$J$2,IF(I15&gt;$J$3,$J$3,I15)),"")</f>
        <v>4.55</v>
      </c>
    </row>
    <row r="16" spans="1:10" ht="25.5" x14ac:dyDescent="0.25">
      <c r="A16">
        <v>12</v>
      </c>
      <c r="B16" s="185" t="s">
        <v>410</v>
      </c>
      <c r="C16" s="186" t="s">
        <v>366</v>
      </c>
      <c r="D16" s="184" t="s">
        <v>409</v>
      </c>
      <c r="E16" s="4">
        <f>IF(VLOOKUP(B16,'HBV ĐL HC'!E:AA,14,0)&lt;&gt;"",VLOOKUP(B16,'HBV ĐL HC'!E:AA,14,0),"")</f>
        <v>4.57</v>
      </c>
      <c r="F16" s="12">
        <f>IF(VLOOKUP(B16,'HBV ĐL HC'!E:AA,14,0)&lt;&gt;"",ABS(E16-$E$52),"")</f>
        <v>0.22000000000000064</v>
      </c>
      <c r="G16" s="59">
        <f>IF(VLOOKUP(B16,'HBV ĐL HC'!E:AA,10,0)&lt;&gt;0,IF(E16&lt;$F$2,$F$2,IF(E16&gt;$F$3,$F$3,E16)),"")</f>
        <v>4.57</v>
      </c>
      <c r="H16" s="59">
        <f>IF(VLOOKUP(B16,'HBV ĐL HC'!E:AA,10,0)&lt;&gt;0,IF(G16&lt;$H$2,$H$2,IF(G16&gt;$H$3,$H$3,G16)),"")</f>
        <v>4.57</v>
      </c>
      <c r="I16" s="59">
        <f>IF(VLOOKUP(B16,'HBV ĐL HC'!E:AA,10,0)&lt;&gt;0,IF(H16&lt;$I$2,$I$2,IF(H16&gt;$I$3,$I$3,H16)),"")</f>
        <v>4.57</v>
      </c>
      <c r="J16" s="59">
        <f>IF(VLOOKUP(B16,'HBV ĐL HC'!E:AA,10,0)&lt;&gt;0,IF(I16&lt;$J$2,$J$2,IF(I16&gt;$J$3,$J$3,I16)),"")</f>
        <v>4.57</v>
      </c>
    </row>
    <row r="17" spans="1:10" x14ac:dyDescent="0.25">
      <c r="A17">
        <v>13</v>
      </c>
      <c r="B17" s="188" t="s">
        <v>105</v>
      </c>
      <c r="C17" s="186" t="s">
        <v>106</v>
      </c>
      <c r="D17" s="184" t="s">
        <v>107</v>
      </c>
      <c r="E17" s="4">
        <f>IF(VLOOKUP(B17,'HBV ĐL HC'!E:AA,14,0)&lt;&gt;"",VLOOKUP(B17,'HBV ĐL HC'!E:AA,14,0),"")</f>
        <v>4.3099999999999996</v>
      </c>
      <c r="F17" s="12">
        <f>IF(VLOOKUP(B17,'HBV ĐL HC'!E:AA,14,0)&lt;&gt;"",ABS(E17-$E$52),"")</f>
        <v>4.0000000000000036E-2</v>
      </c>
      <c r="G17" s="59">
        <f>IF(VLOOKUP(B17,'HBV ĐL HC'!E:AA,10,0)&lt;&gt;0,IF(E17&lt;$F$2,$F$2,IF(E17&gt;$F$3,$F$3,E17)),"")</f>
        <v>4.3099999999999996</v>
      </c>
      <c r="H17" s="59">
        <f>IF(VLOOKUP(B17,'HBV ĐL HC'!E:AA,10,0)&lt;&gt;0,IF(G17&lt;$H$2,$H$2,IF(G17&gt;$H$3,$H$3,G17)),"")</f>
        <v>4.3099999999999996</v>
      </c>
      <c r="I17" s="59">
        <f>IF(VLOOKUP(B17,'HBV ĐL HC'!E:AA,10,0)&lt;&gt;0,IF(H17&lt;$I$2,$I$2,IF(H17&gt;$I$3,$I$3,H17)),"")</f>
        <v>4.3099999999999996</v>
      </c>
      <c r="J17" s="59">
        <f>IF(VLOOKUP(B17,'HBV ĐL HC'!E:AA,10,0)&lt;&gt;0,IF(I17&lt;$J$2,$J$2,IF(I17&gt;$J$3,$J$3,I17)),"")</f>
        <v>4.3099999999999996</v>
      </c>
    </row>
    <row r="18" spans="1:10" x14ac:dyDescent="0.25">
      <c r="A18">
        <v>14</v>
      </c>
      <c r="B18" s="188" t="s">
        <v>109</v>
      </c>
      <c r="C18" s="186" t="s">
        <v>110</v>
      </c>
      <c r="D18" s="184" t="s">
        <v>111</v>
      </c>
      <c r="E18" s="4" t="str">
        <f>IF(VLOOKUP(B18,'HBV ĐL HC'!E:AA,14,0)&lt;&gt;"",VLOOKUP(B18,'HBV ĐL HC'!E:AA,14,0),"")</f>
        <v/>
      </c>
      <c r="F18" s="12" t="str">
        <f>IF(VLOOKUP(B18,'HBV ĐL HC'!E:AA,14,0)&lt;&gt;"",ABS(E18-$E$52),"")</f>
        <v/>
      </c>
      <c r="G18" s="59" t="str">
        <f>IF(VLOOKUP(B18,'HBV ĐL HC'!E:AA,10,0)&lt;&gt;0,IF(E18&lt;$F$2,$F$2,IF(E18&gt;$F$3,$F$3,E18)),"")</f>
        <v/>
      </c>
      <c r="H18" s="59" t="str">
        <f>IF(VLOOKUP(B18,'HBV ĐL HC'!E:AA,10,0)&lt;&gt;0,IF(G18&lt;$H$2,$H$2,IF(G18&gt;$H$3,$H$3,G18)),"")</f>
        <v/>
      </c>
      <c r="I18" s="59" t="str">
        <f>IF(VLOOKUP(B18,'HBV ĐL HC'!E:AA,10,0)&lt;&gt;0,IF(H18&lt;$I$2,$I$2,IF(H18&gt;$I$3,$I$3,H18)),"")</f>
        <v/>
      </c>
      <c r="J18" s="59" t="str">
        <f>IF(VLOOKUP(B18,'HBV ĐL HC'!E:AA,10,0)&lt;&gt;0,IF(I18&lt;$J$2,$J$2,IF(I18&gt;$J$3,$J$3,I18)),"")</f>
        <v/>
      </c>
    </row>
    <row r="19" spans="1:10" x14ac:dyDescent="0.25">
      <c r="A19">
        <v>15</v>
      </c>
      <c r="B19" s="193" t="s">
        <v>124</v>
      </c>
      <c r="C19" s="273" t="s">
        <v>125</v>
      </c>
      <c r="D19" s="273" t="s">
        <v>126</v>
      </c>
      <c r="E19" s="4">
        <f>IF(VLOOKUP(B19,'HBV ĐL HC'!E:AA,14,0)&lt;&gt;"",VLOOKUP(B19,'HBV ĐL HC'!E:AA,14,0),"")</f>
        <v>4.68</v>
      </c>
      <c r="F19" s="12">
        <f>IF(VLOOKUP(B19,'HBV ĐL HC'!E:AA,14,0)&lt;&gt;"",ABS(E19-$E$52),"")</f>
        <v>0.33000000000000007</v>
      </c>
      <c r="G19" s="59">
        <f>IF(VLOOKUP(B19,'HBV ĐL HC'!E:AA,10,0)&lt;&gt;0,IF(E19&lt;$F$2,$F$2,IF(E19&gt;$F$3,$F$3,E19)),"")</f>
        <v>4.68</v>
      </c>
      <c r="H19" s="59">
        <f>IF(VLOOKUP(B19,'HBV ĐL HC'!E:AA,10,0)&lt;&gt;0,IF(G19&lt;$H$2,$H$2,IF(G19&gt;$H$3,$H$3,G19)),"")</f>
        <v>4.68</v>
      </c>
      <c r="I19" s="59">
        <f>IF(VLOOKUP(B19,'HBV ĐL HC'!E:AA,10,0)&lt;&gt;0,IF(H19&lt;$I$2,$I$2,IF(H19&gt;$I$3,$I$3,H19)),"")</f>
        <v>4.68</v>
      </c>
      <c r="J19" s="59">
        <f>IF(VLOOKUP(B19,'HBV ĐL HC'!E:AA,10,0)&lt;&gt;0,IF(I19&lt;$J$2,$J$2,IF(I19&gt;$J$3,$J$3,I19)),"")</f>
        <v>4.68</v>
      </c>
    </row>
    <row r="20" spans="1:10" x14ac:dyDescent="0.25">
      <c r="A20">
        <v>16</v>
      </c>
      <c r="B20" s="185" t="s">
        <v>132</v>
      </c>
      <c r="C20" s="186" t="s">
        <v>133</v>
      </c>
      <c r="D20" s="186" t="s">
        <v>134</v>
      </c>
      <c r="E20" s="4">
        <f>IF(VLOOKUP(B20,'HBV ĐL HC'!E:AA,14,0)&lt;&gt;"",VLOOKUP(B20,'HBV ĐL HC'!E:AA,14,0),"")</f>
        <v>4.38</v>
      </c>
      <c r="F20" s="12">
        <f>IF(VLOOKUP(B20,'HBV ĐL HC'!E:AA,14,0)&lt;&gt;"",ABS(E20-$E$52),"")</f>
        <v>3.0000000000000249E-2</v>
      </c>
      <c r="G20" s="59">
        <f>IF(VLOOKUP(B20,'HBV ĐL HC'!E:AA,10,0)&lt;&gt;0,IF(E20&lt;$F$2,$F$2,IF(E20&gt;$F$3,$F$3,E20)),"")</f>
        <v>4.38</v>
      </c>
      <c r="H20" s="59">
        <f>IF(VLOOKUP(B20,'HBV ĐL HC'!E:AA,10,0)&lt;&gt;0,IF(G20&lt;$H$2,$H$2,IF(G20&gt;$H$3,$H$3,G20)),"")</f>
        <v>4.38</v>
      </c>
      <c r="I20" s="59">
        <f>IF(VLOOKUP(B20,'HBV ĐL HC'!E:AA,10,0)&lt;&gt;0,IF(H20&lt;$I$2,$I$2,IF(H20&gt;$I$3,$I$3,H20)),"")</f>
        <v>4.38</v>
      </c>
      <c r="J20" s="59">
        <f>IF(VLOOKUP(B20,'HBV ĐL HC'!E:AA,10,0)&lt;&gt;0,IF(I20&lt;$J$2,$J$2,IF(I20&gt;$J$3,$J$3,I20)),"")</f>
        <v>4.38</v>
      </c>
    </row>
    <row r="21" spans="1:10" x14ac:dyDescent="0.25">
      <c r="A21">
        <v>17</v>
      </c>
      <c r="B21" s="185" t="s">
        <v>457</v>
      </c>
      <c r="C21" s="186" t="s">
        <v>85</v>
      </c>
      <c r="D21" s="186" t="s">
        <v>86</v>
      </c>
      <c r="E21" s="4" t="str">
        <f>IF(VLOOKUP(B21,'HBV ĐL HC'!E:AA,14,0)&lt;&gt;"",VLOOKUP(B21,'HBV ĐL HC'!E:AA,14,0),"")</f>
        <v/>
      </c>
      <c r="F21" s="12" t="str">
        <f>IF(VLOOKUP(B21,'HBV ĐL HC'!E:AA,14,0)&lt;&gt;"",ABS(E21-$E$52),"")</f>
        <v/>
      </c>
      <c r="G21" s="59" t="str">
        <f>IF(VLOOKUP(B21,'HBV ĐL HC'!E:AA,10,0)&lt;&gt;0,IF(E21&lt;$F$2,$F$2,IF(E21&gt;$F$3,$F$3,E21)),"")</f>
        <v/>
      </c>
      <c r="H21" s="59" t="str">
        <f>IF(VLOOKUP(B21,'HBV ĐL HC'!E:AA,10,0)&lt;&gt;0,IF(G21&lt;$H$2,$H$2,IF(G21&gt;$H$3,$H$3,G21)),"")</f>
        <v/>
      </c>
      <c r="I21" s="59" t="str">
        <f>IF(VLOOKUP(B21,'HBV ĐL HC'!E:AA,10,0)&lt;&gt;0,IF(H21&lt;$I$2,$I$2,IF(H21&gt;$I$3,$I$3,H21)),"")</f>
        <v/>
      </c>
      <c r="J21" s="59" t="str">
        <f>IF(VLOOKUP(B21,'HBV ĐL HC'!E:AA,10,0)&lt;&gt;0,IF(I21&lt;$J$2,$J$2,IF(I21&gt;$J$3,$J$3,I21)),"")</f>
        <v/>
      </c>
    </row>
    <row r="22" spans="1:10" ht="25.5" x14ac:dyDescent="0.25">
      <c r="A22">
        <v>18</v>
      </c>
      <c r="B22" s="198" t="s">
        <v>138</v>
      </c>
      <c r="C22" s="199" t="s">
        <v>139</v>
      </c>
      <c r="D22" s="197" t="s">
        <v>140</v>
      </c>
      <c r="E22" s="4">
        <f>IF(VLOOKUP(B22,'HBV ĐL HC'!E:AA,14,0)&lt;&gt;"",VLOOKUP(B22,'HBV ĐL HC'!E:AA,14,0),"")</f>
        <v>5.97</v>
      </c>
      <c r="F22" s="12">
        <f>IF(VLOOKUP(B22,'HBV ĐL HC'!E:AA,14,0)&lt;&gt;"",ABS(E22-$E$52),"")</f>
        <v>1.62</v>
      </c>
      <c r="G22" s="59">
        <f>IF(VLOOKUP(B22,'HBV ĐL HC'!E:AA,10,0)&lt;&gt;0,IF(E22&lt;$F$2,$F$2,IF(E22&gt;$F$3,$F$3,E22)),"")</f>
        <v>4.8505124999999998</v>
      </c>
      <c r="H22" s="59">
        <f>IF(VLOOKUP(B22,'HBV ĐL HC'!E:AA,10,0)&lt;&gt;0,IF(G22&lt;$H$2,$H$2,IF(G22&gt;$H$3,$H$3,G22)),"")</f>
        <v>4.8505124999999998</v>
      </c>
      <c r="I22" s="59">
        <f>IF(VLOOKUP(B22,'HBV ĐL HC'!E:AA,10,0)&lt;&gt;0,IF(H22&lt;$I$2,$I$2,IF(H22&gt;$I$3,$I$3,H22)),"")</f>
        <v>4.8505124999999998</v>
      </c>
      <c r="J22" s="59">
        <f>IF(VLOOKUP(B22,'HBV ĐL HC'!E:AA,10,0)&lt;&gt;0,IF(I22&lt;$J$2,$J$2,IF(I22&gt;$J$3,$J$3,I22)),"")</f>
        <v>4.8505124999999998</v>
      </c>
    </row>
    <row r="23" spans="1:10" ht="25.5" x14ac:dyDescent="0.25">
      <c r="A23">
        <v>19</v>
      </c>
      <c r="B23" s="204" t="s">
        <v>147</v>
      </c>
      <c r="C23" s="205" t="s">
        <v>148</v>
      </c>
      <c r="D23" s="205" t="s">
        <v>149</v>
      </c>
      <c r="E23" s="4">
        <f>IF(VLOOKUP(B23,'HBV ĐL HC'!E:AA,14,0)&lt;&gt;"",VLOOKUP(B23,'HBV ĐL HC'!E:AA,14,0),"")</f>
        <v>4.6399999999999997</v>
      </c>
      <c r="F23" s="12">
        <f>IF(VLOOKUP(B23,'HBV ĐL HC'!E:AA,14,0)&lt;&gt;"",ABS(E23-$E$52),"")</f>
        <v>0.29000000000000004</v>
      </c>
      <c r="G23" s="59">
        <f>IF(VLOOKUP(B23,'HBV ĐL HC'!E:AA,10,0)&lt;&gt;0,IF(E23&lt;$F$2,$F$2,IF(E23&gt;$F$3,$F$3,E23)),"")</f>
        <v>4.6399999999999997</v>
      </c>
      <c r="H23" s="59">
        <f>IF(VLOOKUP(B23,'HBV ĐL HC'!E:AA,10,0)&lt;&gt;0,IF(G23&lt;$H$2,$H$2,IF(G23&gt;$H$3,$H$3,G23)),"")</f>
        <v>4.6399999999999997</v>
      </c>
      <c r="I23" s="59">
        <f>IF(VLOOKUP(B23,'HBV ĐL HC'!E:AA,10,0)&lt;&gt;0,IF(H23&lt;$I$2,$I$2,IF(H23&gt;$I$3,$I$3,H23)),"")</f>
        <v>4.6399999999999997</v>
      </c>
      <c r="J23" s="59">
        <f>IF(VLOOKUP(B23,'HBV ĐL HC'!E:AA,10,0)&lt;&gt;0,IF(I23&lt;$J$2,$J$2,IF(I23&gt;$J$3,$J$3,I23)),"")</f>
        <v>4.6399999999999997</v>
      </c>
    </row>
    <row r="24" spans="1:10" x14ac:dyDescent="0.25">
      <c r="A24">
        <v>20</v>
      </c>
      <c r="B24" s="279" t="s">
        <v>92</v>
      </c>
      <c r="C24" s="278" t="s">
        <v>93</v>
      </c>
      <c r="D24" s="278" t="s">
        <v>94</v>
      </c>
      <c r="E24" s="4">
        <f>IF(VLOOKUP(B24,'HBV ĐL HC'!E:AA,14,0)&lt;&gt;"",VLOOKUP(B24,'HBV ĐL HC'!E:AA,14,0),"")</f>
        <v>4.0999999999999996</v>
      </c>
      <c r="F24" s="12">
        <f>IF(VLOOKUP(B24,'HBV ĐL HC'!E:AA,14,0)&lt;&gt;"",ABS(E24-$E$52),"")</f>
        <v>0.25</v>
      </c>
      <c r="G24" s="59">
        <f>IF(VLOOKUP(B24,'HBV ĐL HC'!E:AA,10,0)&lt;&gt;0,IF(E24&lt;$F$2,$F$2,IF(E24&gt;$F$3,$F$3,E24)),"")</f>
        <v>4.0999999999999996</v>
      </c>
      <c r="H24" s="59">
        <f>IF(VLOOKUP(B24,'HBV ĐL HC'!E:AA,10,0)&lt;&gt;0,IF(G24&lt;$H$2,$H$2,IF(G24&gt;$H$3,$H$3,G24)),"")</f>
        <v>4.0999999999999996</v>
      </c>
      <c r="I24" s="59">
        <f>IF(VLOOKUP(B24,'HBV ĐL HC'!E:AA,10,0)&lt;&gt;0,IF(H24&lt;$I$2,$I$2,IF(H24&gt;$I$3,$I$3,H24)),"")</f>
        <v>4.0999999999999996</v>
      </c>
      <c r="J24" s="59">
        <f>IF(VLOOKUP(B24,'HBV ĐL HC'!E:AA,10,0)&lt;&gt;0,IF(I24&lt;$J$2,$J$2,IF(I24&gt;$J$3,$J$3,I24)),"")</f>
        <v>4.0999999999999996</v>
      </c>
    </row>
    <row r="25" spans="1:10" ht="25.5" x14ac:dyDescent="0.25">
      <c r="A25">
        <v>21</v>
      </c>
      <c r="B25" s="204" t="s">
        <v>403</v>
      </c>
      <c r="C25" s="199" t="s">
        <v>364</v>
      </c>
      <c r="D25" s="199" t="s">
        <v>402</v>
      </c>
      <c r="E25" s="4">
        <f>IF(VLOOKUP(B25,'HBV ĐL HC'!E:AA,14,0)&lt;&gt;"",VLOOKUP(B25,'HBV ĐL HC'!E:AA,14,0),"")</f>
        <v>4.32</v>
      </c>
      <c r="F25" s="12">
        <f>IF(VLOOKUP(B25,'HBV ĐL HC'!E:AA,14,0)&lt;&gt;"",ABS(E25-$E$52),"")</f>
        <v>2.9999999999999361E-2</v>
      </c>
      <c r="G25" s="59">
        <f>IF(VLOOKUP(B25,'HBV ĐL HC'!E:AA,10,0)&lt;&gt;0,IF(E25&lt;$F$2,$F$2,IF(E25&gt;$F$3,$F$3,E25)),"")</f>
        <v>4.32</v>
      </c>
      <c r="H25" s="59">
        <f>IF(VLOOKUP(B25,'HBV ĐL HC'!E:AA,10,0)&lt;&gt;0,IF(G25&lt;$H$2,$H$2,IF(G25&gt;$H$3,$H$3,G25)),"")</f>
        <v>4.32</v>
      </c>
      <c r="I25" s="59">
        <f>IF(VLOOKUP(B25,'HBV ĐL HC'!E:AA,10,0)&lt;&gt;0,IF(H25&lt;$I$2,$I$2,IF(H25&gt;$I$3,$I$3,H25)),"")</f>
        <v>4.32</v>
      </c>
      <c r="J25" s="59">
        <f>IF(VLOOKUP(B25,'HBV ĐL HC'!E:AA,10,0)&lt;&gt;0,IF(I25&lt;$J$2,$J$2,IF(I25&gt;$J$3,$J$3,I25)),"")</f>
        <v>4.32</v>
      </c>
    </row>
    <row r="26" spans="1:10" ht="25.5" x14ac:dyDescent="0.25">
      <c r="A26">
        <v>22</v>
      </c>
      <c r="B26" s="198" t="s">
        <v>209</v>
      </c>
      <c r="C26" s="199" t="s">
        <v>210</v>
      </c>
      <c r="D26" s="197" t="s">
        <v>211</v>
      </c>
      <c r="E26" s="4">
        <f>IF(VLOOKUP(B26,'HBV ĐL HC'!E:AA,14,0)&lt;&gt;"",VLOOKUP(B26,'HBV ĐL HC'!E:AA,14,0),"")</f>
        <v>4.68</v>
      </c>
      <c r="F26" s="12">
        <f>IF(VLOOKUP(B26,'HBV ĐL HC'!E:AA,14,0)&lt;&gt;"",ABS(E26-$E$52),"")</f>
        <v>0.33000000000000007</v>
      </c>
      <c r="G26" s="59">
        <f>IF(VLOOKUP(B26,'HBV ĐL HC'!E:AA,10,0)&lt;&gt;0,IF(E26&lt;$F$2,$F$2,IF(E26&gt;$F$3,$F$3,E26)),"")</f>
        <v>4.68</v>
      </c>
      <c r="H26" s="59">
        <f>IF(VLOOKUP(B26,'HBV ĐL HC'!E:AA,10,0)&lt;&gt;0,IF(G26&lt;$H$2,$H$2,IF(G26&gt;$H$3,$H$3,G26)),"")</f>
        <v>4.68</v>
      </c>
      <c r="I26" s="59">
        <f>IF(VLOOKUP(B26,'HBV ĐL HC'!E:AA,10,0)&lt;&gt;0,IF(H26&lt;$I$2,$I$2,IF(H26&gt;$I$3,$I$3,H26)),"")</f>
        <v>4.68</v>
      </c>
      <c r="J26" s="59">
        <f>IF(VLOOKUP(B26,'HBV ĐL HC'!E:AA,10,0)&lt;&gt;0,IF(I26&lt;$J$2,$J$2,IF(I26&gt;$J$3,$J$3,I26)),"")</f>
        <v>4.68</v>
      </c>
    </row>
    <row r="27" spans="1:10" ht="25.5" x14ac:dyDescent="0.25">
      <c r="A27">
        <v>23</v>
      </c>
      <c r="B27" s="208" t="s">
        <v>196</v>
      </c>
      <c r="C27" s="209" t="s">
        <v>197</v>
      </c>
      <c r="D27" s="207" t="s">
        <v>198</v>
      </c>
      <c r="E27" s="4">
        <f>IF(VLOOKUP(B27,'HBV ĐL HC'!E:AA,14,0)&lt;&gt;"",VLOOKUP(B27,'HBV ĐL HC'!E:AA,14,0),"")</f>
        <v>3.96</v>
      </c>
      <c r="F27" s="12">
        <f>IF(VLOOKUP(B27,'HBV ĐL HC'!E:AA,14,0)&lt;&gt;"",ABS(E27-$E$52),"")</f>
        <v>0.38999999999999968</v>
      </c>
      <c r="G27" s="59">
        <f>IF(VLOOKUP(B27,'HBV ĐL HC'!E:AA,10,0)&lt;&gt;0,IF(E27&lt;$F$2,$F$2,IF(E27&gt;$F$3,$F$3,E27)),"")</f>
        <v>3.96</v>
      </c>
      <c r="H27" s="59">
        <f>IF(VLOOKUP(B27,'HBV ĐL HC'!E:AA,10,0)&lt;&gt;0,IF(G27&lt;$H$2,$H$2,IF(G27&gt;$H$3,$H$3,G27)),"")</f>
        <v>3.96</v>
      </c>
      <c r="I27" s="59">
        <f>IF(VLOOKUP(B27,'HBV ĐL HC'!E:AA,10,0)&lt;&gt;0,IF(H27&lt;$I$2,$I$2,IF(H27&gt;$I$3,$I$3,H27)),"")</f>
        <v>3.96</v>
      </c>
      <c r="J27" s="59">
        <f>IF(VLOOKUP(B27,'HBV ĐL HC'!E:AA,10,0)&lt;&gt;0,IF(I27&lt;$J$2,$J$2,IF(I27&gt;$J$3,$J$3,I27)),"")</f>
        <v>3.96</v>
      </c>
    </row>
    <row r="28" spans="1:10" ht="25.5" x14ac:dyDescent="0.25">
      <c r="A28">
        <v>24</v>
      </c>
      <c r="B28" s="213" t="s">
        <v>412</v>
      </c>
      <c r="C28" s="209" t="s">
        <v>367</v>
      </c>
      <c r="D28" s="207" t="s">
        <v>411</v>
      </c>
      <c r="E28" s="4">
        <f>IF(VLOOKUP(B28,'HBV ĐL HC'!E:AA,14,0)&lt;&gt;"",VLOOKUP(B28,'HBV ĐL HC'!E:AA,14,0),"")</f>
        <v>3.85</v>
      </c>
      <c r="F28" s="12">
        <f>IF(VLOOKUP(B28,'HBV ĐL HC'!E:AA,14,0)&lt;&gt;"",ABS(E28-$E$52),"")</f>
        <v>0.49999999999999956</v>
      </c>
      <c r="G28" s="59">
        <f>IF(VLOOKUP(B28,'HBV ĐL HC'!E:AA,10,0)&lt;&gt;0,IF(E28&lt;$F$2,$F$2,IF(E28&gt;$F$3,$F$3,E28)),"")</f>
        <v>3.85</v>
      </c>
      <c r="H28" s="59">
        <f>IF(VLOOKUP(B28,'HBV ĐL HC'!E:AA,10,0)&lt;&gt;0,IF(G28&lt;$H$2,$H$2,IF(G28&gt;$H$3,$H$3,G28)),"")</f>
        <v>3.8506542348470552</v>
      </c>
      <c r="I28" s="59">
        <f>IF(VLOOKUP(B28,'HBV ĐL HC'!E:AA,10,0)&lt;&gt;0,IF(H28&lt;$I$2,$I$2,IF(H28&gt;$I$3,$I$3,H28)),"")</f>
        <v>3.8510152782857641</v>
      </c>
      <c r="J28" s="59">
        <f>IF(VLOOKUP(B28,'HBV ĐL HC'!E:AA,10,0)&lt;&gt;0,IF(I28&lt;$J$2,$J$2,IF(I28&gt;$J$3,$J$3,I28)),"")</f>
        <v>3.8511460813966747</v>
      </c>
    </row>
    <row r="29" spans="1:10" x14ac:dyDescent="0.25">
      <c r="A29">
        <v>25</v>
      </c>
      <c r="B29" s="213" t="s">
        <v>118</v>
      </c>
      <c r="C29" s="83" t="s">
        <v>119</v>
      </c>
      <c r="D29" s="83" t="s">
        <v>120</v>
      </c>
      <c r="E29" s="4">
        <f>IF(VLOOKUP(B29,'HBV ĐL HC'!E:AA,14,0)&lt;&gt;"",VLOOKUP(B29,'HBV ĐL HC'!E:AA,14,0),"")</f>
        <v>4.2699999999999996</v>
      </c>
      <c r="F29" s="12">
        <f>IF(VLOOKUP(B29,'HBV ĐL HC'!E:AA,14,0)&lt;&gt;"",ABS(E29-$E$52),"")</f>
        <v>8.0000000000000071E-2</v>
      </c>
      <c r="G29" s="59">
        <f>IF(VLOOKUP(B29,'HBV ĐL HC'!E:AA,10,0)&lt;&gt;0,IF(E29&lt;$F$2,$F$2,IF(E29&gt;$F$3,$F$3,E29)),"")</f>
        <v>4.2699999999999996</v>
      </c>
      <c r="H29" s="59">
        <f>IF(VLOOKUP(B29,'HBV ĐL HC'!E:AA,10,0)&lt;&gt;0,IF(G29&lt;$H$2,$H$2,IF(G29&gt;$H$3,$H$3,G29)),"")</f>
        <v>4.2699999999999996</v>
      </c>
      <c r="I29" s="59">
        <f>IF(VLOOKUP(B29,'HBV ĐL HC'!E:AA,10,0)&lt;&gt;0,IF(H29&lt;$I$2,$I$2,IF(H29&gt;$I$3,$I$3,H29)),"")</f>
        <v>4.2699999999999996</v>
      </c>
      <c r="J29" s="59">
        <f>IF(VLOOKUP(B29,'HBV ĐL HC'!E:AA,10,0)&lt;&gt;0,IF(I29&lt;$J$2,$J$2,IF(I29&gt;$J$3,$J$3,I29)),"")</f>
        <v>4.2699999999999996</v>
      </c>
    </row>
    <row r="30" spans="1:10" x14ac:dyDescent="0.25">
      <c r="A30">
        <v>26</v>
      </c>
      <c r="B30" s="266" t="s">
        <v>331</v>
      </c>
      <c r="C30" s="215" t="s">
        <v>325</v>
      </c>
      <c r="D30" s="82" t="s">
        <v>332</v>
      </c>
      <c r="E30" s="4">
        <f>IF(VLOOKUP(B30,'HBV ĐL HC'!E:AA,14,0)&lt;&gt;"",VLOOKUP(B30,'HBV ĐL HC'!E:AA,14,0),"")</f>
        <v>3.75</v>
      </c>
      <c r="F30" s="12">
        <f>IF(VLOOKUP(B30,'HBV ĐL HC'!E:AA,14,0)&lt;&gt;"",ABS(E30-$E$52),"")</f>
        <v>0.59999999999999964</v>
      </c>
      <c r="G30" s="59">
        <f>IF(VLOOKUP(B30,'HBV ĐL HC'!E:AA,10,0)&lt;&gt;0,IF(E30&lt;$F$2,$F$2,IF(E30&gt;$F$3,$F$3,E30)),"")</f>
        <v>3.8494874999999995</v>
      </c>
      <c r="H30" s="59">
        <f>IF(VLOOKUP(B30,'HBV ĐL HC'!E:AA,10,0)&lt;&gt;0,IF(G30&lt;$H$2,$H$2,IF(G30&gt;$H$3,$H$3,G30)),"")</f>
        <v>3.8506542348470552</v>
      </c>
      <c r="I30" s="59">
        <f>IF(VLOOKUP(B30,'HBV ĐL HC'!E:AA,10,0)&lt;&gt;0,IF(H30&lt;$I$2,$I$2,IF(H30&gt;$I$3,$I$3,H30)),"")</f>
        <v>3.8510152782857641</v>
      </c>
      <c r="J30" s="59">
        <f>IF(VLOOKUP(B30,'HBV ĐL HC'!E:AA,10,0)&lt;&gt;0,IF(I30&lt;$J$2,$J$2,IF(I30&gt;$J$3,$J$3,I30)),"")</f>
        <v>3.8511460813966747</v>
      </c>
    </row>
    <row r="31" spans="1:10" ht="25.5" x14ac:dyDescent="0.25">
      <c r="A31">
        <v>27</v>
      </c>
      <c r="B31" s="266" t="s">
        <v>408</v>
      </c>
      <c r="C31" s="215" t="s">
        <v>365</v>
      </c>
      <c r="D31" s="82" t="s">
        <v>407</v>
      </c>
      <c r="E31" s="4">
        <f>IF(VLOOKUP(B31,'HBV ĐL HC'!E:AA,14,0)&lt;&gt;"",VLOOKUP(B31,'HBV ĐL HC'!E:AA,14,0),"")</f>
        <v>4.51</v>
      </c>
      <c r="F31" s="12">
        <f>IF(VLOOKUP(B31,'HBV ĐL HC'!E:AA,14,0)&lt;&gt;"",ABS(E31-$E$52),"")</f>
        <v>0.16000000000000014</v>
      </c>
      <c r="G31" s="59">
        <f>IF(VLOOKUP(B31,'HBV ĐL HC'!E:AA,10,0)&lt;&gt;0,IF(E31&lt;$F$2,$F$2,IF(E31&gt;$F$3,$F$3,E31)),"")</f>
        <v>4.51</v>
      </c>
      <c r="H31" s="59">
        <f>IF(VLOOKUP(B31,'HBV ĐL HC'!E:AA,10,0)&lt;&gt;0,IF(G31&lt;$H$2,$H$2,IF(G31&gt;$H$3,$H$3,G31)),"")</f>
        <v>4.51</v>
      </c>
      <c r="I31" s="59">
        <f>IF(VLOOKUP(B31,'HBV ĐL HC'!E:AA,10,0)&lt;&gt;0,IF(H31&lt;$I$2,$I$2,IF(H31&gt;$I$3,$I$3,H31)),"")</f>
        <v>4.51</v>
      </c>
      <c r="J31" s="59">
        <f>IF(VLOOKUP(B31,'HBV ĐL HC'!E:AA,10,0)&lt;&gt;0,IF(I31&lt;$J$2,$J$2,IF(I31&gt;$J$3,$J$3,I31)),"")</f>
        <v>4.51</v>
      </c>
    </row>
    <row r="32" spans="1:10" x14ac:dyDescent="0.25">
      <c r="A32">
        <v>28</v>
      </c>
      <c r="B32" s="218" t="s">
        <v>156</v>
      </c>
      <c r="C32" s="219" t="s">
        <v>157</v>
      </c>
      <c r="D32" s="217" t="s">
        <v>158</v>
      </c>
      <c r="E32" s="4">
        <f>IF(VLOOKUP(B32,'HBV ĐL HC'!E:AA,14,0)&lt;&gt;"",VLOOKUP(B32,'HBV ĐL HC'!E:AA,14,0),"")</f>
        <v>4.7300000000000004</v>
      </c>
      <c r="F32" s="12">
        <f>IF(VLOOKUP(B32,'HBV ĐL HC'!E:AA,14,0)&lt;&gt;"",ABS(E32-$E$52),"")</f>
        <v>0.38000000000000078</v>
      </c>
      <c r="G32" s="59">
        <f>IF(VLOOKUP(B32,'HBV ĐL HC'!E:AA,10,0)&lt;&gt;0,IF(E32&lt;$F$2,$F$2,IF(E32&gt;$F$3,$F$3,E32)),"")</f>
        <v>4.7300000000000004</v>
      </c>
      <c r="H32" s="59">
        <f>IF(VLOOKUP(B32,'HBV ĐL HC'!E:AA,10,0)&lt;&gt;0,IF(G32&lt;$H$2,$H$2,IF(G32&gt;$H$3,$H$3,G32)),"")</f>
        <v>4.7300000000000004</v>
      </c>
      <c r="I32" s="59">
        <f>IF(VLOOKUP(B32,'HBV ĐL HC'!E:AA,10,0)&lt;&gt;0,IF(H32&lt;$I$2,$I$2,IF(H32&gt;$I$3,$I$3,H32)),"")</f>
        <v>4.7300000000000004</v>
      </c>
      <c r="J32" s="59">
        <f>IF(VLOOKUP(B32,'HBV ĐL HC'!E:AA,10,0)&lt;&gt;0,IF(I32&lt;$J$2,$J$2,IF(I32&gt;$J$3,$J$3,I32)),"")</f>
        <v>4.7300000000000004</v>
      </c>
    </row>
    <row r="33" spans="1:10" x14ac:dyDescent="0.25">
      <c r="A33">
        <v>29</v>
      </c>
      <c r="B33" s="218" t="s">
        <v>161</v>
      </c>
      <c r="C33" s="219" t="s">
        <v>162</v>
      </c>
      <c r="D33" s="217" t="s">
        <v>163</v>
      </c>
      <c r="E33" s="4">
        <f>IF(VLOOKUP(B33,'HBV ĐL HC'!E:AA,14,0)&lt;&gt;"",VLOOKUP(B33,'HBV ĐL HC'!E:AA,14,0),"")</f>
        <v>3.4</v>
      </c>
      <c r="F33" s="12">
        <f>IF(VLOOKUP(B33,'HBV ĐL HC'!E:AA,14,0)&lt;&gt;"",ABS(E33-$E$52),"")</f>
        <v>0.94999999999999973</v>
      </c>
      <c r="G33" s="59">
        <f>IF(VLOOKUP(B33,'HBV ĐL HC'!E:AA,10,0)&lt;&gt;0,IF(E33&lt;$F$2,$F$2,IF(E33&gt;$F$3,$F$3,E33)),"")</f>
        <v>3.8494874999999995</v>
      </c>
      <c r="H33" s="59">
        <f>IF(VLOOKUP(B33,'HBV ĐL HC'!E:AA,10,0)&lt;&gt;0,IF(G33&lt;$H$2,$H$2,IF(G33&gt;$H$3,$H$3,G33)),"")</f>
        <v>3.8506542348470552</v>
      </c>
      <c r="I33" s="59">
        <f>IF(VLOOKUP(B33,'HBV ĐL HC'!E:AA,10,0)&lt;&gt;0,IF(H33&lt;$I$2,$I$2,IF(H33&gt;$I$3,$I$3,H33)),"")</f>
        <v>3.8510152782857641</v>
      </c>
      <c r="J33" s="59">
        <f>IF(VLOOKUP(B33,'HBV ĐL HC'!E:AA,10,0)&lt;&gt;0,IF(I33&lt;$J$2,$J$2,IF(I33&gt;$J$3,$J$3,I33)),"")</f>
        <v>3.8511460813966747</v>
      </c>
    </row>
    <row r="34" spans="1:10" ht="25.5" x14ac:dyDescent="0.25">
      <c r="A34">
        <v>30</v>
      </c>
      <c r="B34" s="223" t="s">
        <v>341</v>
      </c>
      <c r="C34" s="224" t="s">
        <v>337</v>
      </c>
      <c r="D34" s="224" t="s">
        <v>338</v>
      </c>
      <c r="E34" s="4">
        <f>IF(VLOOKUP(B34,'HBV ĐL HC'!E:AA,14,0)&lt;&gt;"",VLOOKUP(B34,'HBV ĐL HC'!E:AA,14,0),"")</f>
        <v>4.03</v>
      </c>
      <c r="F34" s="12">
        <f>IF(VLOOKUP(B34,'HBV ĐL HC'!E:AA,14,0)&lt;&gt;"",ABS(E34-$E$52),"")</f>
        <v>0.3199999999999994</v>
      </c>
      <c r="G34" s="59">
        <f>IF(VLOOKUP(B34,'HBV ĐL HC'!E:AA,10,0)&lt;&gt;0,IF(E34&lt;$F$2,$F$2,IF(E34&gt;$F$3,$F$3,E34)),"")</f>
        <v>4.03</v>
      </c>
      <c r="H34" s="59">
        <f>IF(VLOOKUP(B34,'HBV ĐL HC'!E:AA,10,0)&lt;&gt;0,IF(G34&lt;$H$2,$H$2,IF(G34&gt;$H$3,$H$3,G34)),"")</f>
        <v>4.03</v>
      </c>
      <c r="I34" s="59">
        <f>IF(VLOOKUP(B34,'HBV ĐL HC'!E:AA,10,0)&lt;&gt;0,IF(H34&lt;$I$2,$I$2,IF(H34&gt;$I$3,$I$3,H34)),"")</f>
        <v>4.03</v>
      </c>
      <c r="J34" s="59">
        <f>IF(VLOOKUP(B34,'HBV ĐL HC'!E:AA,10,0)&lt;&gt;0,IF(I34&lt;$J$2,$J$2,IF(I34&gt;$J$3,$J$3,I34)),"")</f>
        <v>4.03</v>
      </c>
    </row>
    <row r="35" spans="1:10" x14ac:dyDescent="0.25">
      <c r="A35">
        <v>31</v>
      </c>
      <c r="B35" s="223" t="s">
        <v>225</v>
      </c>
      <c r="C35" s="224" t="s">
        <v>226</v>
      </c>
      <c r="D35" s="224" t="s">
        <v>227</v>
      </c>
      <c r="E35" s="4">
        <f>IF(VLOOKUP(B35,'HBV ĐL HC'!E:AA,14,0)&lt;&gt;"",VLOOKUP(B35,'HBV ĐL HC'!E:AA,14,0),"")</f>
        <v>4.17</v>
      </c>
      <c r="F35" s="12">
        <f>IF(VLOOKUP(B35,'HBV ĐL HC'!E:AA,14,0)&lt;&gt;"",ABS(E35-$E$52),"")</f>
        <v>0.17999999999999972</v>
      </c>
      <c r="G35" s="59">
        <f>IF(VLOOKUP(B35,'HBV ĐL HC'!E:AA,10,0)&lt;&gt;0,IF(E35&lt;$F$2,$F$2,IF(E35&gt;$F$3,$F$3,E35)),"")</f>
        <v>4.17</v>
      </c>
      <c r="H35" s="59">
        <f>IF(VLOOKUP(B35,'HBV ĐL HC'!E:AA,10,0)&lt;&gt;0,IF(G35&lt;$H$2,$H$2,IF(G35&gt;$H$3,$H$3,G35)),"")</f>
        <v>4.17</v>
      </c>
      <c r="I35" s="59">
        <f>IF(VLOOKUP(B35,'HBV ĐL HC'!E:AA,10,0)&lt;&gt;0,IF(H35&lt;$I$2,$I$2,IF(H35&gt;$I$3,$I$3,H35)),"")</f>
        <v>4.17</v>
      </c>
      <c r="J35" s="59">
        <f>IF(VLOOKUP(B35,'HBV ĐL HC'!E:AA,10,0)&lt;&gt;0,IF(I35&lt;$J$2,$J$2,IF(I35&gt;$J$3,$J$3,I35)),"")</f>
        <v>4.17</v>
      </c>
    </row>
    <row r="36" spans="1:10" ht="25.5" x14ac:dyDescent="0.25">
      <c r="A36">
        <v>32</v>
      </c>
      <c r="B36" s="229" t="s">
        <v>404</v>
      </c>
      <c r="C36" s="230" t="s">
        <v>357</v>
      </c>
      <c r="D36" s="225" t="s">
        <v>359</v>
      </c>
      <c r="E36" s="4">
        <f>IF(VLOOKUP(B36,'HBV ĐL HC'!E:AA,14,0)&lt;&gt;"",VLOOKUP(B36,'HBV ĐL HC'!E:AA,14,0),"")</f>
        <v>4.22</v>
      </c>
      <c r="F36" s="12">
        <f>IF(VLOOKUP(B36,'HBV ĐL HC'!E:AA,14,0)&lt;&gt;"",ABS(E36-$E$52),"")</f>
        <v>0.12999999999999989</v>
      </c>
      <c r="G36" s="59">
        <f>IF(VLOOKUP(B36,'HBV ĐL HC'!E:AA,10,0)&lt;&gt;0,IF(E36&lt;$F$2,$F$2,IF(E36&gt;$F$3,$F$3,E36)),"")</f>
        <v>4.22</v>
      </c>
      <c r="H36" s="59">
        <f>IF(VLOOKUP(B36,'HBV ĐL HC'!E:AA,10,0)&lt;&gt;0,IF(G36&lt;$H$2,$H$2,IF(G36&gt;$H$3,$H$3,G36)),"")</f>
        <v>4.22</v>
      </c>
      <c r="I36" s="59">
        <f>IF(VLOOKUP(B36,'HBV ĐL HC'!E:AA,10,0)&lt;&gt;0,IF(H36&lt;$I$2,$I$2,IF(H36&gt;$I$3,$I$3,H36)),"")</f>
        <v>4.22</v>
      </c>
      <c r="J36" s="59">
        <f>IF(VLOOKUP(B36,'HBV ĐL HC'!E:AA,10,0)&lt;&gt;0,IF(I36&lt;$J$2,$J$2,IF(I36&gt;$J$3,$J$3,I36)),"")</f>
        <v>4.22</v>
      </c>
    </row>
    <row r="37" spans="1:10" x14ac:dyDescent="0.25">
      <c r="A37">
        <v>33</v>
      </c>
      <c r="B37" s="282" t="s">
        <v>449</v>
      </c>
      <c r="C37" s="283" t="s">
        <v>254</v>
      </c>
      <c r="D37" s="283" t="s">
        <v>266</v>
      </c>
      <c r="E37" s="4" t="str">
        <f>IF(VLOOKUP(B37,'HBV ĐL HC'!E:AA,14,0)&lt;&gt;"",VLOOKUP(B37,'HBV ĐL HC'!E:AA,14,0),"")</f>
        <v/>
      </c>
      <c r="F37" s="12" t="str">
        <f>IF(VLOOKUP(B37,'HBV ĐL HC'!E:AA,14,0)&lt;&gt;"",ABS(E37-$E$52),"")</f>
        <v/>
      </c>
      <c r="G37" s="59" t="str">
        <f>IF(VLOOKUP(B37,'HBV ĐL HC'!E:AA,10,0)&lt;&gt;0,IF(E37&lt;$F$2,$F$2,IF(E37&gt;$F$3,$F$3,E37)),"")</f>
        <v/>
      </c>
      <c r="H37" s="59" t="str">
        <f>IF(VLOOKUP(B37,'HBV ĐL HC'!E:AA,10,0)&lt;&gt;0,IF(G37&lt;$H$2,$H$2,IF(G37&gt;$H$3,$H$3,G37)),"")</f>
        <v/>
      </c>
      <c r="I37" s="59" t="str">
        <f>IF(VLOOKUP(B37,'HBV ĐL HC'!E:AA,10,0)&lt;&gt;0,IF(H37&lt;$I$2,$I$2,IF(H37&gt;$I$3,$I$3,H37)),"")</f>
        <v/>
      </c>
      <c r="J37" s="59" t="str">
        <f>IF(VLOOKUP(B37,'HBV ĐL HC'!E:AA,10,0)&lt;&gt;0,IF(I37&lt;$J$2,$J$2,IF(I37&gt;$J$3,$J$3,I37)),"")</f>
        <v/>
      </c>
    </row>
    <row r="38" spans="1:10" x14ac:dyDescent="0.25">
      <c r="A38">
        <v>34</v>
      </c>
      <c r="B38" s="232" t="s">
        <v>450</v>
      </c>
      <c r="C38" s="233" t="s">
        <v>254</v>
      </c>
      <c r="D38" s="233" t="s">
        <v>266</v>
      </c>
      <c r="E38" s="4" t="str">
        <f>IF(VLOOKUP(B38,'HBV ĐL HC'!E:AA,14,0)&lt;&gt;"",VLOOKUP(B38,'HBV ĐL HC'!E:AA,14,0),"")</f>
        <v/>
      </c>
      <c r="F38" s="12" t="str">
        <f>IF(VLOOKUP(B38,'HBV ĐL HC'!E:AA,14,0)&lt;&gt;"",ABS(E38-$E$52),"")</f>
        <v/>
      </c>
      <c r="G38" s="59">
        <f>IF(VLOOKUP(B38,'HBV ĐL HC'!E:AA,10,0)&lt;&gt;0,IF(E38&lt;$F$2,$F$2,IF(E38&gt;$F$3,$F$3,E38)),"")</f>
        <v>4.8505124999999998</v>
      </c>
      <c r="H38" s="59">
        <f>IF(VLOOKUP(B38,'HBV ĐL HC'!E:AA,10,0)&lt;&gt;0,IF(G38&lt;$H$2,$H$2,IF(G38&gt;$H$3,$H$3,G38)),"")</f>
        <v>4.8505124999999998</v>
      </c>
      <c r="I38" s="59">
        <f>IF(VLOOKUP(B38,'HBV ĐL HC'!E:AA,10,0)&lt;&gt;0,IF(H38&lt;$I$2,$I$2,IF(H38&gt;$I$3,$I$3,H38)),"")</f>
        <v>4.8505124999999998</v>
      </c>
      <c r="J38" s="59">
        <f>IF(VLOOKUP(B38,'HBV ĐL HC'!E:AA,10,0)&lt;&gt;0,IF(I38&lt;$J$2,$J$2,IF(I38&gt;$J$3,$J$3,I38)),"")</f>
        <v>4.8505124999999998</v>
      </c>
    </row>
    <row r="39" spans="1:10" x14ac:dyDescent="0.25">
      <c r="B39" s="232" t="s">
        <v>484</v>
      </c>
      <c r="C39" s="233" t="s">
        <v>254</v>
      </c>
      <c r="D39" s="233" t="s">
        <v>266</v>
      </c>
      <c r="E39" s="4">
        <f>IF(VLOOKUP(B39,'HBV ĐL HC'!E:AA,14,0)&lt;&gt;"",VLOOKUP(B39,'HBV ĐL HC'!E:AA,14,0),"")</f>
        <v>4.32</v>
      </c>
      <c r="F39" s="12">
        <f>IF(VLOOKUP(B39,'HBV ĐL HC'!E:AA,14,0)&lt;&gt;"",ABS(E39-$E$52),"")</f>
        <v>2.9999999999999361E-2</v>
      </c>
      <c r="G39" s="59">
        <f>IF(VLOOKUP(B39,'HBV ĐL HC'!E:AA,10,0)&lt;&gt;0,IF(E39&lt;$F$2,$F$2,IF(E39&gt;$F$3,$F$3,E39)),"")</f>
        <v>4.32</v>
      </c>
      <c r="H39" s="59">
        <f>IF(VLOOKUP(B39,'HBV ĐL HC'!E:AA,10,0)&lt;&gt;0,IF(G39&lt;$H$2,$H$2,IF(G39&gt;$H$3,$H$3,G39)),"")</f>
        <v>4.32</v>
      </c>
      <c r="I39" s="59">
        <f>IF(VLOOKUP(B39,'HBV ĐL HC'!E:AA,10,0)&lt;&gt;0,IF(H39&lt;$I$2,$I$2,IF(H39&gt;$I$3,$I$3,H39)),"")</f>
        <v>4.32</v>
      </c>
      <c r="J39" s="59">
        <f>IF(VLOOKUP(B39,'HBV ĐL HC'!E:AA,10,0)&lt;&gt;0,IF(I39&lt;$J$2,$J$2,IF(I39&gt;$J$3,$J$3,I39)),"")</f>
        <v>4.32</v>
      </c>
    </row>
    <row r="40" spans="1:10" ht="25.5" x14ac:dyDescent="0.25">
      <c r="A40">
        <v>35</v>
      </c>
      <c r="B40" s="238" t="s">
        <v>87</v>
      </c>
      <c r="C40" s="239" t="s">
        <v>88</v>
      </c>
      <c r="D40" s="234" t="s">
        <v>89</v>
      </c>
      <c r="E40" s="4">
        <f>IF(VLOOKUP(B40,'HBV ĐL HC'!E:AA,14,0)&lt;&gt;"",VLOOKUP(B40,'HBV ĐL HC'!E:AA,14,0),"")</f>
        <v>4.1500000000000004</v>
      </c>
      <c r="F40" s="12">
        <f>IF(VLOOKUP(B40,'HBV ĐL HC'!E:AA,14,0)&lt;&gt;"",ABS(E40-$E$52),"")</f>
        <v>0.19999999999999929</v>
      </c>
      <c r="G40" s="59">
        <f>IF(VLOOKUP(B40,'HBV ĐL HC'!E:AA,10,0)&lt;&gt;0,IF(E40&lt;$F$2,$F$2,IF(E40&gt;$F$3,$F$3,E40)),"")</f>
        <v>4.1500000000000004</v>
      </c>
      <c r="H40" s="59">
        <f>IF(VLOOKUP(B40,'HBV ĐL HC'!E:AA,10,0)&lt;&gt;0,IF(G40&lt;$H$2,$H$2,IF(G40&gt;$H$3,$H$3,G40)),"")</f>
        <v>4.1500000000000004</v>
      </c>
      <c r="I40" s="59">
        <f>IF(VLOOKUP(B40,'HBV ĐL HC'!E:AA,10,0)&lt;&gt;0,IF(H40&lt;$I$2,$I$2,IF(H40&gt;$I$3,$I$3,H40)),"")</f>
        <v>4.1500000000000004</v>
      </c>
      <c r="J40" s="59">
        <f>IF(VLOOKUP(B40,'HBV ĐL HC'!E:AA,10,0)&lt;&gt;0,IF(I40&lt;$J$2,$J$2,IF(I40&gt;$J$3,$J$3,I40)),"")</f>
        <v>4.1500000000000004</v>
      </c>
    </row>
    <row r="41" spans="1:10" x14ac:dyDescent="0.25">
      <c r="A41">
        <v>36</v>
      </c>
      <c r="B41" s="243" t="s">
        <v>458</v>
      </c>
      <c r="C41" s="244" t="s">
        <v>85</v>
      </c>
      <c r="D41" s="242" t="s">
        <v>86</v>
      </c>
      <c r="E41" s="4">
        <f>IF(VLOOKUP(B41,'HBV ĐL HC'!E:AA,14,0)&lt;&gt;"",VLOOKUP(B41,'HBV ĐL HC'!E:AA,14,0),"")</f>
        <v>3.91</v>
      </c>
      <c r="F41" s="12">
        <f>IF(VLOOKUP(B41,'HBV ĐL HC'!E:AA,14,0)&lt;&gt;"",ABS(E41-$E$52),"")</f>
        <v>0.4399999999999995</v>
      </c>
      <c r="G41" s="59">
        <f>IF(VLOOKUP(B41,'HBV ĐL HC'!E:AA,10,0)&lt;&gt;0,IF(E41&lt;$F$2,$F$2,IF(E41&gt;$F$3,$F$3,E41)),"")</f>
        <v>3.91</v>
      </c>
      <c r="H41" s="59">
        <f>IF(VLOOKUP(B41,'HBV ĐL HC'!E:AA,10,0)&lt;&gt;0,IF(G41&lt;$H$2,$H$2,IF(G41&gt;$H$3,$H$3,G41)),"")</f>
        <v>3.91</v>
      </c>
      <c r="I41" s="59">
        <f>IF(VLOOKUP(B41,'HBV ĐL HC'!E:AA,10,0)&lt;&gt;0,IF(H41&lt;$I$2,$I$2,IF(H41&gt;$I$3,$I$3,H41)),"")</f>
        <v>3.91</v>
      </c>
      <c r="J41" s="59">
        <f>IF(VLOOKUP(B41,'HBV ĐL HC'!E:AA,10,0)&lt;&gt;0,IF(I41&lt;$J$2,$J$2,IF(I41&gt;$J$3,$J$3,I41)),"")</f>
        <v>3.91</v>
      </c>
    </row>
    <row r="42" spans="1:10" x14ac:dyDescent="0.25">
      <c r="A42">
        <v>37</v>
      </c>
      <c r="B42" s="243" t="s">
        <v>405</v>
      </c>
      <c r="C42" s="244" t="s">
        <v>251</v>
      </c>
      <c r="D42" s="242" t="s">
        <v>158</v>
      </c>
      <c r="E42" s="4">
        <f>IF(VLOOKUP(B42,'HBV ĐL HC'!E:AA,14,0)&lt;&gt;"",VLOOKUP(B42,'HBV ĐL HC'!E:AA,14,0),"")</f>
        <v>4.3499999999999996</v>
      </c>
      <c r="F42" s="12">
        <f>IF(VLOOKUP(B42,'HBV ĐL HC'!E:AA,14,0)&lt;&gt;"",ABS(E42-$E$52),"")</f>
        <v>0</v>
      </c>
      <c r="G42" s="59">
        <f>IF(VLOOKUP(B42,'HBV ĐL HC'!E:AA,10,0)&lt;&gt;0,IF(E42&lt;$F$2,$F$2,IF(E42&gt;$F$3,$F$3,E42)),"")</f>
        <v>4.3499999999999996</v>
      </c>
      <c r="H42" s="59">
        <f>IF(VLOOKUP(B42,'HBV ĐL HC'!E:AA,10,0)&lt;&gt;0,IF(G42&lt;$H$2,$H$2,IF(G42&gt;$H$3,$H$3,G42)),"")</f>
        <v>4.3499999999999996</v>
      </c>
      <c r="I42" s="59">
        <f>IF(VLOOKUP(B42,'HBV ĐL HC'!E:AA,10,0)&lt;&gt;0,IF(H42&lt;$I$2,$I$2,IF(H42&gt;$I$3,$I$3,H42)),"")</f>
        <v>4.3499999999999996</v>
      </c>
      <c r="J42" s="59">
        <f>IF(VLOOKUP(B42,'HBV ĐL HC'!E:AA,10,0)&lt;&gt;0,IF(I42&lt;$J$2,$J$2,IF(I42&gt;$J$3,$J$3,I42)),"")</f>
        <v>4.3499999999999996</v>
      </c>
    </row>
    <row r="43" spans="1:10" x14ac:dyDescent="0.25">
      <c r="A43">
        <v>38</v>
      </c>
      <c r="B43" s="248" t="s">
        <v>451</v>
      </c>
      <c r="C43" s="247" t="s">
        <v>257</v>
      </c>
      <c r="D43" s="247" t="s">
        <v>258</v>
      </c>
      <c r="E43" s="4" t="str">
        <f>IF(VLOOKUP(B43,'HBV ĐL HC'!E:AA,14,0)&lt;&gt;"",VLOOKUP(B43,'HBV ĐL HC'!E:AA,14,0),"")</f>
        <v/>
      </c>
      <c r="F43" s="12" t="str">
        <f>IF(VLOOKUP(B43,'HBV ĐL HC'!E:AA,14,0)&lt;&gt;"",ABS(E43-$E$52),"")</f>
        <v/>
      </c>
      <c r="G43" s="59" t="str">
        <f>IF(VLOOKUP(B43,'HBV ĐL HC'!E:AA,10,0)&lt;&gt;0,IF(E43&lt;$F$2,$F$2,IF(E43&gt;$F$3,$F$3,E43)),"")</f>
        <v/>
      </c>
      <c r="H43" s="59" t="str">
        <f>IF(VLOOKUP(B43,'HBV ĐL HC'!E:AA,10,0)&lt;&gt;0,IF(G43&lt;$H$2,$H$2,IF(G43&gt;$H$3,$H$3,G43)),"")</f>
        <v/>
      </c>
      <c r="I43" s="59" t="str">
        <f>IF(VLOOKUP(B43,'HBV ĐL HC'!E:AA,10,0)&lt;&gt;0,IF(H43&lt;$I$2,$I$2,IF(H43&gt;$I$3,$I$3,H43)),"")</f>
        <v/>
      </c>
      <c r="J43" s="59" t="str">
        <f>IF(VLOOKUP(B43,'HBV ĐL HC'!E:AA,10,0)&lt;&gt;0,IF(I43&lt;$J$2,$J$2,IF(I43&gt;$J$3,$J$3,I43)),"")</f>
        <v/>
      </c>
    </row>
    <row r="44" spans="1:10" ht="25.5" x14ac:dyDescent="0.25">
      <c r="A44">
        <v>39</v>
      </c>
      <c r="B44" s="253" t="s">
        <v>99</v>
      </c>
      <c r="C44" s="252" t="s">
        <v>100</v>
      </c>
      <c r="D44" s="252" t="s">
        <v>101</v>
      </c>
      <c r="E44" s="4" t="str">
        <f>IF(VLOOKUP(B44,'HBV ĐL HC'!E:AA,14,0)&lt;&gt;"",VLOOKUP(B44,'HBV ĐL HC'!E:AA,14,0),"")</f>
        <v/>
      </c>
      <c r="F44" s="12" t="str">
        <f>IF(VLOOKUP(B44,'HBV ĐL HC'!E:AA,14,0)&lt;&gt;"",ABS(E44-$E$52),"")</f>
        <v/>
      </c>
      <c r="G44" s="59" t="str">
        <f>IF(VLOOKUP(B44,'HBV ĐL HC'!E:AA,10,0)&lt;&gt;0,IF(E44&lt;$F$2,$F$2,IF(E44&gt;$F$3,$F$3,E44)),"")</f>
        <v/>
      </c>
      <c r="H44" s="59" t="str">
        <f>IF(VLOOKUP(B44,'HBV ĐL HC'!E:AA,10,0)&lt;&gt;0,IF(G44&lt;$H$2,$H$2,IF(G44&gt;$H$3,$H$3,G44)),"")</f>
        <v/>
      </c>
      <c r="I44" s="59" t="str">
        <f>IF(VLOOKUP(B44,'HBV ĐL HC'!E:AA,10,0)&lt;&gt;0,IF(H44&lt;$I$2,$I$2,IF(H44&gt;$I$3,$I$3,H44)),"")</f>
        <v/>
      </c>
      <c r="J44" s="59" t="str">
        <f>IF(VLOOKUP(B44,'HBV ĐL HC'!E:AA,10,0)&lt;&gt;0,IF(I44&lt;$J$2,$J$2,IF(I44&gt;$J$3,$J$3,I44)),"")</f>
        <v/>
      </c>
    </row>
    <row r="45" spans="1:10" ht="25.5" x14ac:dyDescent="0.25">
      <c r="A45">
        <v>40</v>
      </c>
      <c r="B45" s="259" t="s">
        <v>202</v>
      </c>
      <c r="C45" s="252" t="s">
        <v>203</v>
      </c>
      <c r="D45" s="252" t="s">
        <v>204</v>
      </c>
      <c r="E45" s="4" t="str">
        <f>IF(VLOOKUP(B45,'HBV ĐL HC'!E:AA,14,0)&lt;&gt;"",VLOOKUP(B45,'HBV ĐL HC'!E:AA,14,0),"")</f>
        <v/>
      </c>
      <c r="F45" s="12" t="str">
        <f>IF(VLOOKUP(B45,'HBV ĐL HC'!E:AA,14,0)&lt;&gt;"",ABS(E45-$E$52),"")</f>
        <v/>
      </c>
      <c r="G45" s="59" t="str">
        <f>IF(VLOOKUP(B45,'HBV ĐL HC'!E:AA,10,0)&lt;&gt;0,IF(E45&lt;$F$2,$F$2,IF(E45&gt;$F$3,$F$3,E45)),"")</f>
        <v/>
      </c>
      <c r="H45" s="59" t="str">
        <f>IF(VLOOKUP(B45,'HBV ĐL HC'!E:AA,10,0)&lt;&gt;0,IF(G45&lt;$H$2,$H$2,IF(G45&gt;$H$3,$H$3,G45)),"")</f>
        <v/>
      </c>
      <c r="I45" s="59" t="str">
        <f>IF(VLOOKUP(B45,'HBV ĐL HC'!E:AA,10,0)&lt;&gt;0,IF(H45&lt;$I$2,$I$2,IF(H45&gt;$I$3,$I$3,H45)),"")</f>
        <v/>
      </c>
      <c r="J45" s="59" t="str">
        <f>IF(VLOOKUP(B45,'HBV ĐL HC'!E:AA,10,0)&lt;&gt;0,IF(I45&lt;$J$2,$J$2,IF(I45&gt;$J$3,$J$3,I45)),"")</f>
        <v/>
      </c>
    </row>
    <row r="46" spans="1:10" ht="25.5" x14ac:dyDescent="0.25">
      <c r="A46">
        <v>41</v>
      </c>
      <c r="B46" s="253" t="s">
        <v>310</v>
      </c>
      <c r="C46" s="260" t="s">
        <v>311</v>
      </c>
      <c r="D46" s="260" t="s">
        <v>312</v>
      </c>
      <c r="E46" s="4" t="str">
        <f>IF(VLOOKUP(B46,'HBV ĐL HC'!E:AA,14,0)&lt;&gt;"",VLOOKUP(B46,'HBV ĐL HC'!E:AA,14,0),"")</f>
        <v/>
      </c>
      <c r="F46" s="12" t="str">
        <f>IF(VLOOKUP(B46,'HBV ĐL HC'!E:AA,14,0)&lt;&gt;"",ABS(E46-$E$52),"")</f>
        <v/>
      </c>
      <c r="G46" s="59" t="str">
        <f>IF(VLOOKUP(B46,'HBV ĐL HC'!E:AA,10,0)&lt;&gt;0,IF(E46&lt;$F$2,$F$2,IF(E46&gt;$F$3,$F$3,E46)),"")</f>
        <v/>
      </c>
      <c r="H46" s="59" t="str">
        <f>IF(VLOOKUP(B46,'HBV ĐL HC'!E:AA,10,0)&lt;&gt;0,IF(G46&lt;$H$2,$H$2,IF(G46&gt;$H$3,$H$3,G46)),"")</f>
        <v/>
      </c>
      <c r="I46" s="59" t="str">
        <f>IF(VLOOKUP(B46,'HBV ĐL HC'!E:AA,10,0)&lt;&gt;0,IF(H46&lt;$I$2,$I$2,IF(H46&gt;$I$3,$I$3,H46)),"")</f>
        <v/>
      </c>
      <c r="J46" s="59" t="str">
        <f>IF(VLOOKUP(B46,'HBV ĐL HC'!E:AA,10,0)&lt;&gt;0,IF(I46&lt;$J$2,$J$2,IF(I46&gt;$J$3,$J$3,I46)),"")</f>
        <v/>
      </c>
    </row>
    <row r="47" spans="1:10" x14ac:dyDescent="0.25">
      <c r="A47">
        <v>42</v>
      </c>
      <c r="B47" s="268" t="s">
        <v>230</v>
      </c>
      <c r="C47" s="264" t="s">
        <v>231</v>
      </c>
      <c r="D47" s="264" t="s">
        <v>232</v>
      </c>
      <c r="E47" s="4" t="str">
        <f>IF(VLOOKUP(B47,'HBV ĐL HC'!E:AA,14,0)&lt;&gt;"",VLOOKUP(B47,'HBV ĐL HC'!E:AA,14,0),"")</f>
        <v/>
      </c>
      <c r="F47" s="12" t="str">
        <f>IF(VLOOKUP(B47,'HBV ĐL HC'!E:AA,14,0)&lt;&gt;"",ABS(E47-$E$52),"")</f>
        <v/>
      </c>
      <c r="G47" s="59" t="str">
        <f>IF(VLOOKUP(B47,'HBV ĐL HC'!E:AA,10,0)&lt;&gt;0,IF(E47&lt;$F$2,$F$2,IF(E47&gt;$F$3,$F$3,E47)),"")</f>
        <v/>
      </c>
      <c r="H47" s="59" t="str">
        <f>IF(VLOOKUP(B47,'HBV ĐL HC'!E:AA,10,0)&lt;&gt;0,IF(G47&lt;$H$2,$H$2,IF(G47&gt;$H$3,$H$3,G47)),"")</f>
        <v/>
      </c>
      <c r="I47" s="59" t="str">
        <f>IF(VLOOKUP(B47,'HBV ĐL HC'!E:AA,10,0)&lt;&gt;0,IF(H47&lt;$I$2,$I$2,IF(H47&gt;$I$3,$I$3,H47)),"")</f>
        <v/>
      </c>
      <c r="J47" s="59" t="str">
        <f>IF(VLOOKUP(B47,'HBV ĐL HC'!E:AA,10,0)&lt;&gt;0,IF(I47&lt;$J$2,$J$2,IF(I47&gt;$J$3,$J$3,I47)),"")</f>
        <v/>
      </c>
    </row>
    <row r="48" spans="1:10" x14ac:dyDescent="0.25">
      <c r="E48" s="4"/>
      <c r="F48" s="4"/>
      <c r="G48" s="4"/>
      <c r="H48" s="4"/>
      <c r="I48" s="4"/>
      <c r="J48" s="4"/>
    </row>
    <row r="49" spans="3:10" x14ac:dyDescent="0.25">
      <c r="C49" s="18" t="s">
        <v>282</v>
      </c>
      <c r="D49" s="18"/>
      <c r="E49" s="62">
        <f>AVERAGE(E5:E47)</f>
        <v>4.3815625000000002</v>
      </c>
      <c r="F49" s="4"/>
      <c r="G49" s="62">
        <f>AVERAGE(G5:G47)</f>
        <v>4.378484848484848</v>
      </c>
      <c r="H49" s="62">
        <f>AVERAGE(H5:H47)</f>
        <v>4.378575384986096</v>
      </c>
      <c r="I49" s="62">
        <f>AVERAGE(I5:I47)</f>
        <v>4.378608207116887</v>
      </c>
      <c r="J49" s="62">
        <f>AVERAGE(J5:J47)</f>
        <v>4.3786200983087884</v>
      </c>
    </row>
    <row r="50" spans="3:10" x14ac:dyDescent="0.25">
      <c r="C50" s="19" t="s">
        <v>243</v>
      </c>
      <c r="D50" s="20"/>
      <c r="E50" s="62">
        <f>_xlfn.STDEV.S(E5:E47)</f>
        <v>0.43851000926524636</v>
      </c>
      <c r="F50" s="4"/>
      <c r="G50" s="62">
        <f>_xlfn.STDEV.S(G5:G47)</f>
        <v>0.3103060632791258</v>
      </c>
      <c r="H50" s="62">
        <f>_xlfn.STDEV.S(H5:H47)</f>
        <v>0.31014703509719688</v>
      </c>
      <c r="I50" s="62">
        <f>_xlfn.STDEV.S(I5:I47)</f>
        <v>0.3100894331100601</v>
      </c>
      <c r="J50" s="62">
        <f>_xlfn.STDEV.S(J5:J47)</f>
        <v>0.31006857057816778</v>
      </c>
    </row>
    <row r="51" spans="3:10" x14ac:dyDescent="0.25">
      <c r="C51" s="19" t="s">
        <v>283</v>
      </c>
      <c r="D51" s="20"/>
      <c r="E51" s="63">
        <f>1.5*E53</f>
        <v>0.50051250000000025</v>
      </c>
      <c r="F51" s="4"/>
      <c r="G51" s="62">
        <f>1.5*G53</f>
        <v>0.52783061363779293</v>
      </c>
      <c r="H51" s="62">
        <f t="shared" ref="H51:J51" si="1">1.5*H53</f>
        <v>0.52756010670033182</v>
      </c>
      <c r="I51" s="62">
        <f t="shared" si="1"/>
        <v>0.52746212572021223</v>
      </c>
      <c r="J51" s="62">
        <f t="shared" si="1"/>
        <v>0.52742663855346339</v>
      </c>
    </row>
    <row r="52" spans="3:10" x14ac:dyDescent="0.25">
      <c r="C52" s="19" t="s">
        <v>284</v>
      </c>
      <c r="D52" s="20"/>
      <c r="E52" s="62">
        <f>MEDIAN(E5:E47)</f>
        <v>4.3499999999999996</v>
      </c>
      <c r="F52" s="4">
        <f>MEDIAN(F5:F47)</f>
        <v>0.22500000000000009</v>
      </c>
      <c r="G52" s="64">
        <f>AVERAGE(G5:G47)</f>
        <v>4.378484848484848</v>
      </c>
      <c r="H52" s="64">
        <f t="shared" ref="H52:J52" si="2">AVERAGE(H5:H47)</f>
        <v>4.378575384986096</v>
      </c>
      <c r="I52" s="64">
        <f t="shared" si="2"/>
        <v>4.378608207116887</v>
      </c>
      <c r="J52" s="64">
        <f t="shared" si="2"/>
        <v>4.3786200983087884</v>
      </c>
    </row>
    <row r="53" spans="3:10" x14ac:dyDescent="0.25">
      <c r="C53" s="19" t="s">
        <v>285</v>
      </c>
      <c r="D53" s="20"/>
      <c r="E53" s="62">
        <f>1.483*MEDIAN(F5:F47)</f>
        <v>0.33367500000000017</v>
      </c>
      <c r="F53" s="63">
        <f>1.483*F52</f>
        <v>0.33367500000000017</v>
      </c>
      <c r="G53" s="64">
        <f>1.134*_xlfn.STDEV.S(G5:G47)</f>
        <v>0.35188707575852862</v>
      </c>
      <c r="H53" s="64">
        <f t="shared" ref="H53:J53" si="3">1.134*_xlfn.STDEV.S(H5:H47)</f>
        <v>0.35170673780022121</v>
      </c>
      <c r="I53" s="64">
        <f t="shared" si="3"/>
        <v>0.35164141714680813</v>
      </c>
      <c r="J53" s="64">
        <f t="shared" si="3"/>
        <v>0.35161775903564224</v>
      </c>
    </row>
    <row r="54" spans="3:10" x14ac:dyDescent="0.25">
      <c r="E54" s="4"/>
      <c r="F54" s="4"/>
      <c r="G54" s="4"/>
      <c r="H54" s="4"/>
      <c r="I54" s="4"/>
      <c r="J54" s="4"/>
    </row>
    <row r="55" spans="3:10" x14ac:dyDescent="0.25">
      <c r="E55" s="4"/>
      <c r="F55" s="4"/>
      <c r="G55" s="4"/>
      <c r="H55" s="4"/>
      <c r="I55" s="4"/>
      <c r="J55" s="4"/>
    </row>
    <row r="56" spans="3:10" x14ac:dyDescent="0.25">
      <c r="E56" s="4"/>
      <c r="F56" s="4"/>
      <c r="G56" s="4"/>
      <c r="H56" s="4"/>
      <c r="I56" s="4"/>
      <c r="J56" s="4"/>
    </row>
  </sheetData>
  <conditionalFormatting sqref="B5:B47">
    <cfRule type="duplicateValues" dxfId="23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"/>
  <sheetViews>
    <sheetView topLeftCell="A54" zoomScaleNormal="100" workbookViewId="0">
      <selection activeCell="AL28" sqref="AL28"/>
    </sheetView>
  </sheetViews>
  <sheetFormatPr defaultRowHeight="12.75" x14ac:dyDescent="0.2"/>
  <cols>
    <col min="1" max="2" width="9" style="38"/>
    <col min="3" max="3" width="25.25" style="39" customWidth="1"/>
    <col min="4" max="4" width="10.25" style="38" bestFit="1" customWidth="1"/>
    <col min="5" max="5" width="9.375" style="38" bestFit="1" customWidth="1"/>
    <col min="6" max="6" width="10.25" style="38" bestFit="1" customWidth="1"/>
    <col min="7" max="8" width="11.375" style="38" bestFit="1" customWidth="1"/>
    <col min="9" max="12" width="9" style="38"/>
    <col min="13" max="13" width="19.25" style="39" customWidth="1"/>
    <col min="14" max="16384" width="9" style="38"/>
  </cols>
  <sheetData>
    <row r="1" spans="1:18" x14ac:dyDescent="0.2">
      <c r="E1" s="39" t="s">
        <v>277</v>
      </c>
      <c r="F1" s="39" t="s">
        <v>286</v>
      </c>
      <c r="G1" s="39" t="s">
        <v>279</v>
      </c>
      <c r="H1" s="39" t="s">
        <v>280</v>
      </c>
      <c r="I1" s="39" t="s">
        <v>281</v>
      </c>
      <c r="O1" s="39"/>
      <c r="P1" s="39"/>
      <c r="Q1" s="39"/>
      <c r="R1" s="39"/>
    </row>
    <row r="2" spans="1:18" x14ac:dyDescent="0.2">
      <c r="E2" s="39">
        <f t="shared" ref="E2:I2" si="0">D20-D19</f>
        <v>4.2740800000000005</v>
      </c>
      <c r="F2" s="39"/>
      <c r="G2" s="39">
        <f>F20-F19</f>
        <v>4.2702434165351377</v>
      </c>
      <c r="H2" s="39">
        <f t="shared" si="0"/>
        <v>4.2702434165351377</v>
      </c>
      <c r="I2" s="39">
        <f t="shared" si="0"/>
        <v>4.2702434165351377</v>
      </c>
      <c r="O2" s="39"/>
      <c r="P2" s="39"/>
      <c r="Q2" s="39"/>
      <c r="R2" s="39"/>
    </row>
    <row r="3" spans="1:18" x14ac:dyDescent="0.2">
      <c r="E3" s="39">
        <f t="shared" ref="E3:I3" si="1">D20+D19</f>
        <v>4.9859199999999992</v>
      </c>
      <c r="F3" s="39"/>
      <c r="G3" s="39">
        <f>F20+F19</f>
        <v>5.0347565834648638</v>
      </c>
      <c r="H3" s="39">
        <f t="shared" si="1"/>
        <v>5.0347565834648638</v>
      </c>
      <c r="I3" s="39">
        <f t="shared" si="1"/>
        <v>5.0347565834648638</v>
      </c>
      <c r="O3" s="39"/>
      <c r="P3" s="39"/>
      <c r="Q3" s="39"/>
      <c r="R3" s="39"/>
    </row>
    <row r="4" spans="1:18" ht="25.5" x14ac:dyDescent="0.2">
      <c r="A4" s="40" t="s">
        <v>3</v>
      </c>
      <c r="B4" s="40" t="s">
        <v>4</v>
      </c>
      <c r="C4" s="40" t="s">
        <v>5</v>
      </c>
      <c r="D4" s="41" t="s">
        <v>320</v>
      </c>
      <c r="E4" s="39"/>
      <c r="F4" s="42"/>
      <c r="G4" s="42"/>
      <c r="H4" s="42"/>
      <c r="K4" s="43"/>
      <c r="L4" s="43"/>
      <c r="M4" s="43"/>
      <c r="N4" s="44"/>
      <c r="O4" s="39"/>
      <c r="P4" s="42"/>
      <c r="Q4" s="42"/>
      <c r="R4" s="42"/>
    </row>
    <row r="5" spans="1:18" ht="25.5" x14ac:dyDescent="0.2">
      <c r="A5" s="127" t="s">
        <v>50</v>
      </c>
      <c r="B5" s="126" t="s">
        <v>51</v>
      </c>
      <c r="C5" s="126" t="s">
        <v>52</v>
      </c>
      <c r="D5" s="65" t="str">
        <f>IF(VLOOKUP(A5,'HBV ĐL HC'!E:AA,15,0)&lt;&gt;"",VLOOKUP(A5,'HBV ĐL HC'!E:AA,15,0),"")</f>
        <v/>
      </c>
      <c r="E5" s="45" t="str">
        <f>IF(VLOOKUP(A5,'HBV ĐL HC'!E:AA,10,0)&lt;&gt;"",ABS(D5-$D$20),"")</f>
        <v/>
      </c>
      <c r="F5" s="45" t="str">
        <f>IF(VLOOKUP(A5,'HBV ĐL HC'!E:AA,10,0)&lt;&gt;0,IF(D5&lt;$E$2,$E$2,IF(D5&gt;$E$3,$E$3,D5)),"")</f>
        <v/>
      </c>
      <c r="G5" s="45" t="str">
        <f>IF(VLOOKUP(A5,'HBV ĐL HC'!E:AA,10,0)&lt;&gt;0,IF(F5&lt;$G$2,$G$2,IF(F5&gt;$G$3,$G$3,F5)),"")</f>
        <v/>
      </c>
      <c r="H5" s="45" t="str">
        <f>IF(VLOOKUP(A5,'HBV ĐL HC'!E:AA,10,0)&lt;&gt;0,IF(G5&lt;$H$2,$H$2,IF(G5&gt;$H$3,$H$3,G5)),"")</f>
        <v/>
      </c>
      <c r="I5" s="45" t="str">
        <f>IF(VLOOKUP(A5,'HBV ĐL HC'!E:AA,10,0)&lt;&gt;0,IF(H5&lt;$I$2,$I$2,IF(H5&gt;$I$3,$I$3,H5)),"")</f>
        <v/>
      </c>
      <c r="K5" s="46"/>
      <c r="L5" s="34"/>
      <c r="M5" s="35"/>
      <c r="O5" s="39"/>
      <c r="P5" s="42"/>
      <c r="Q5" s="42"/>
      <c r="R5" s="42"/>
    </row>
    <row r="6" spans="1:18" ht="25.5" x14ac:dyDescent="0.2">
      <c r="A6" s="129" t="s">
        <v>60</v>
      </c>
      <c r="B6" s="130" t="s">
        <v>61</v>
      </c>
      <c r="C6" s="128" t="s">
        <v>62</v>
      </c>
      <c r="D6" s="65">
        <f>IF(VLOOKUP(A6,'HBV ĐL HC'!E:AA,15,0)&lt;&gt;"",VLOOKUP(A6,'HBV ĐL HC'!E:AA,15,0),"")</f>
        <v>4.5599999999999996</v>
      </c>
      <c r="E6" s="45">
        <f>IF(VLOOKUP(A6,'HBV ĐL HC'!E:AA,10,0)&lt;&gt;"",ABS(D6-$D$20),"")</f>
        <v>7.0000000000000284E-2</v>
      </c>
      <c r="F6" s="45">
        <f>IF(VLOOKUP(A6,'HBV ĐL HC'!E:AA,10,0)&lt;&gt;0,IF(D6&lt;$E$2,$E$2,IF(D6&gt;$E$3,$E$3,D6)),"")</f>
        <v>4.5599999999999996</v>
      </c>
      <c r="G6" s="45">
        <f>IF(VLOOKUP(A6,'HBV ĐL HC'!E:AA,10,0)&lt;&gt;0,IF(F6&lt;$G$2,$G$2,IF(F6&gt;$G$3,$G$3,F6)),"")</f>
        <v>4.5599999999999996</v>
      </c>
      <c r="H6" s="45">
        <f>IF(VLOOKUP(A6,'HBV ĐL HC'!E:AA,10,0)&lt;&gt;0,IF(G6&lt;$H$2,$H$2,IF(G6&gt;$H$3,$H$3,G6)),"")</f>
        <v>4.5599999999999996</v>
      </c>
      <c r="I6" s="45">
        <f>IF(VLOOKUP(A6,'HBV ĐL HC'!E:AA,10,0)&lt;&gt;0,IF(H6&lt;$I$2,$I$2,IF(H6&gt;$I$3,$I$3,H6)),"")</f>
        <v>4.5599999999999996</v>
      </c>
      <c r="K6" s="47"/>
      <c r="L6" s="34"/>
      <c r="M6" s="35"/>
      <c r="O6" s="39"/>
      <c r="P6" s="42"/>
      <c r="Q6" s="42"/>
      <c r="R6" s="42"/>
    </row>
    <row r="7" spans="1:18" ht="25.5" x14ac:dyDescent="0.2">
      <c r="A7" s="131" t="s">
        <v>70</v>
      </c>
      <c r="B7" s="130" t="s">
        <v>71</v>
      </c>
      <c r="C7" s="128" t="s">
        <v>72</v>
      </c>
      <c r="D7" s="65">
        <f>IF(VLOOKUP(A7,'HBV ĐL HC'!E:AA,15,0)&lt;&gt;"",VLOOKUP(A7,'HBV ĐL HC'!E:AA,15,0),"")</f>
        <v>4.67</v>
      </c>
      <c r="E7" s="45">
        <f>IF(VLOOKUP(A7,'HBV ĐL HC'!E:AA,10,0)&lt;&gt;"",ABS(D7-$D$20),"")</f>
        <v>4.0000000000000036E-2</v>
      </c>
      <c r="F7" s="45">
        <f>IF(VLOOKUP(A7,'HBV ĐL HC'!E:AA,10,0)&lt;&gt;0,IF(D7&lt;$E$2,$E$2,IF(D7&gt;$E$3,$E$3,D7)),"")</f>
        <v>4.67</v>
      </c>
      <c r="G7" s="45">
        <f>IF(VLOOKUP(A7,'HBV ĐL HC'!E:AA,10,0)&lt;&gt;0,IF(F7&lt;$G$2,$G$2,IF(F7&gt;$G$3,$G$3,F7)),"")</f>
        <v>4.67</v>
      </c>
      <c r="H7" s="45">
        <f>IF(VLOOKUP(A7,'HBV ĐL HC'!E:AA,10,0)&lt;&gt;0,IF(G7&lt;$H$2,$H$2,IF(G7&gt;$H$3,$H$3,G7)),"")</f>
        <v>4.67</v>
      </c>
      <c r="I7" s="45">
        <f>IF(VLOOKUP(A7,'HBV ĐL HC'!E:AA,10,0)&lt;&gt;0,IF(H7&lt;$I$2,$I$2,IF(H7&gt;$I$3,$I$3,H7)),"")</f>
        <v>4.67</v>
      </c>
      <c r="K7" s="48"/>
      <c r="L7" s="34"/>
      <c r="M7" s="35"/>
      <c r="O7" s="39"/>
      <c r="P7" s="42"/>
      <c r="Q7" s="42"/>
      <c r="R7" s="42"/>
    </row>
    <row r="8" spans="1:18" ht="25.5" x14ac:dyDescent="0.2">
      <c r="A8" s="127" t="s">
        <v>169</v>
      </c>
      <c r="B8" s="126" t="s">
        <v>170</v>
      </c>
      <c r="C8" s="126" t="s">
        <v>171</v>
      </c>
      <c r="D8" s="65">
        <f>IF(VLOOKUP(A8,'HBV ĐL HC'!E:AA,15,0)&lt;&gt;"",VLOOKUP(A8,'HBV ĐL HC'!E:AA,15,0),"")</f>
        <v>4.24</v>
      </c>
      <c r="E8" s="45">
        <f>IF(VLOOKUP(A8,'HBV ĐL HC'!E:AA,10,0)&lt;&gt;"",ABS(D8-$D$20),"")</f>
        <v>0.38999999999999968</v>
      </c>
      <c r="F8" s="45">
        <f>IF(VLOOKUP(A8,'HBV ĐL HC'!E:AA,10,0)&lt;&gt;0,IF(D8&lt;$E$2,$E$2,IF(D8&gt;$E$3,$E$3,D8)),"")</f>
        <v>4.2740800000000005</v>
      </c>
      <c r="G8" s="45">
        <f>IF(VLOOKUP(A8,'HBV ĐL HC'!E:AA,10,0)&lt;&gt;0,IF(F8&lt;$G$2,$G$2,IF(F8&gt;$G$3,$G$3,F8)),"")</f>
        <v>4.2740800000000005</v>
      </c>
      <c r="H8" s="45">
        <f>IF(VLOOKUP(A8,'HBV ĐL HC'!E:AA,10,0)&lt;&gt;0,IF(G8&lt;$H$2,$H$2,IF(G8&gt;$H$3,$H$3,G8)),"")</f>
        <v>4.2740800000000005</v>
      </c>
      <c r="I8" s="45">
        <f>IF(VLOOKUP(A8,'HBV ĐL HC'!E:AA,10,0)&lt;&gt;0,IF(H8&lt;$I$2,$I$2,IF(H8&gt;$I$3,$I$3,H8)),"")</f>
        <v>4.2740800000000005</v>
      </c>
      <c r="K8" s="46"/>
      <c r="L8" s="34"/>
      <c r="M8" s="35"/>
      <c r="O8" s="39"/>
      <c r="P8" s="42"/>
      <c r="Q8" s="42"/>
      <c r="R8" s="42"/>
    </row>
    <row r="9" spans="1:18" x14ac:dyDescent="0.2">
      <c r="A9" s="132" t="s">
        <v>178</v>
      </c>
      <c r="B9" s="133" t="s">
        <v>179</v>
      </c>
      <c r="C9" s="128" t="s">
        <v>180</v>
      </c>
      <c r="D9" s="65">
        <f>IF(VLOOKUP(A9,'HBV ĐL HC'!E:AA,15,0)&lt;&gt;"",VLOOKUP(A9,'HBV ĐL HC'!E:AA,15,0),"")</f>
        <v>4.49</v>
      </c>
      <c r="E9" s="45">
        <f>IF(VLOOKUP(A9,'HBV ĐL HC'!E:AA,10,0)&lt;&gt;"",ABS(D9-$D$20),"")</f>
        <v>0.13999999999999968</v>
      </c>
      <c r="F9" s="45">
        <f>IF(VLOOKUP(A9,'HBV ĐL HC'!E:AA,10,0)&lt;&gt;0,IF(D9&lt;$E$2,$E$2,IF(D9&gt;$E$3,$E$3,D9)),"")</f>
        <v>4.49</v>
      </c>
      <c r="G9" s="45">
        <f>IF(VLOOKUP(A9,'HBV ĐL HC'!E:AA,10,0)&lt;&gt;0,IF(F9&lt;$G$2,$G$2,IF(F9&gt;$G$3,$G$3,F9)),"")</f>
        <v>4.49</v>
      </c>
      <c r="H9" s="45">
        <f>IF(VLOOKUP(A9,'HBV ĐL HC'!E:AA,10,0)&lt;&gt;0,IF(G9&lt;$H$2,$H$2,IF(G9&gt;$H$3,$H$3,G9)),"")</f>
        <v>4.49</v>
      </c>
      <c r="I9" s="45">
        <f>IF(VLOOKUP(A9,'HBV ĐL HC'!E:AA,10,0)&lt;&gt;0,IF(H9&lt;$I$2,$I$2,IF(H9&gt;$I$3,$I$3,H9)),"")</f>
        <v>4.49</v>
      </c>
      <c r="K9" s="46"/>
      <c r="L9" s="49"/>
      <c r="M9" s="35"/>
      <c r="O9" s="39"/>
      <c r="P9" s="42"/>
      <c r="Q9" s="42"/>
      <c r="R9" s="42"/>
    </row>
    <row r="10" spans="1:18" ht="25.5" x14ac:dyDescent="0.2">
      <c r="A10" s="132" t="s">
        <v>189</v>
      </c>
      <c r="B10" s="130" t="s">
        <v>190</v>
      </c>
      <c r="C10" s="128" t="s">
        <v>191</v>
      </c>
      <c r="D10" s="65">
        <f>IF(VLOOKUP(A10,'HBV ĐL HC'!E:AA,15,0)&lt;&gt;"",VLOOKUP(A10,'HBV ĐL HC'!E:AA,15,0),"")</f>
        <v>4.84</v>
      </c>
      <c r="E10" s="45">
        <f>IF(VLOOKUP(A10,'HBV ĐL HC'!E:AA,10,0)&lt;&gt;"",ABS(D10-$D$20),"")</f>
        <v>0.20999999999999996</v>
      </c>
      <c r="F10" s="45">
        <f>IF(VLOOKUP(A10,'HBV ĐL HC'!E:AA,10,0)&lt;&gt;0,IF(D10&lt;$E$2,$E$2,IF(D10&gt;$E$3,$E$3,D10)),"")</f>
        <v>4.84</v>
      </c>
      <c r="G10" s="45">
        <f>IF(VLOOKUP(A10,'HBV ĐL HC'!E:AA,10,0)&lt;&gt;0,IF(F10&lt;$G$2,$G$2,IF(F10&gt;$G$3,$G$3,F10)),"")</f>
        <v>4.84</v>
      </c>
      <c r="H10" s="45">
        <f>IF(VLOOKUP(A10,'HBV ĐL HC'!E:AA,10,0)&lt;&gt;0,IF(G10&lt;$H$2,$H$2,IF(G10&gt;$H$3,$H$3,G10)),"")</f>
        <v>4.84</v>
      </c>
      <c r="I10" s="45">
        <f>IF(VLOOKUP(A10,'HBV ĐL HC'!E:AA,10,0)&lt;&gt;0,IF(H10&lt;$I$2,$I$2,IF(H10&gt;$I$3,$I$3,H10)),"")</f>
        <v>4.84</v>
      </c>
      <c r="K10" s="46"/>
      <c r="L10" s="34"/>
      <c r="M10" s="35"/>
      <c r="O10" s="39"/>
      <c r="P10" s="42"/>
      <c r="Q10" s="42"/>
      <c r="R10" s="42"/>
    </row>
    <row r="11" spans="1:18" ht="38.25" x14ac:dyDescent="0.2">
      <c r="A11" s="132" t="s">
        <v>447</v>
      </c>
      <c r="B11" s="130" t="s">
        <v>79</v>
      </c>
      <c r="C11" s="128" t="s">
        <v>80</v>
      </c>
      <c r="D11" s="65">
        <f>IF(VLOOKUP(A11,'HBV ĐL HC'!E:AA,15,0)&lt;&gt;"",VLOOKUP(A11,'HBV ĐL HC'!E:AA,15,0),"")</f>
        <v>4.59</v>
      </c>
      <c r="E11" s="45">
        <f>IF(VLOOKUP(A11,'HBV ĐL HC'!E:AA,10,0)&lt;&gt;"",ABS(D11-$D$20),"")</f>
        <v>4.0000000000000036E-2</v>
      </c>
      <c r="F11" s="45">
        <f>IF(VLOOKUP(A11,'HBV ĐL HC'!E:AA,10,0)&lt;&gt;0,IF(D11&lt;$E$2,$E$2,IF(D11&gt;$E$3,$E$3,D11)),"")</f>
        <v>4.59</v>
      </c>
      <c r="G11" s="45">
        <f>IF(VLOOKUP(A11,'HBV ĐL HC'!E:AA,10,0)&lt;&gt;0,IF(F11&lt;$G$2,$G$2,IF(F11&gt;$G$3,$G$3,F11)),"")</f>
        <v>4.59</v>
      </c>
      <c r="H11" s="45">
        <f>IF(VLOOKUP(A11,'HBV ĐL HC'!E:AA,10,0)&lt;&gt;0,IF(G11&lt;$H$2,$H$2,IF(G11&gt;$H$3,$H$3,G11)),"")</f>
        <v>4.59</v>
      </c>
      <c r="I11" s="45">
        <f>IF(VLOOKUP(A11,'HBV ĐL HC'!E:AA,10,0)&lt;&gt;0,IF(H11&lt;$I$2,$I$2,IF(H11&gt;$I$3,$I$3,H11)),"")</f>
        <v>4.59</v>
      </c>
      <c r="K11" s="46"/>
      <c r="L11" s="34"/>
      <c r="M11" s="35"/>
      <c r="O11" s="39"/>
      <c r="P11" s="42"/>
      <c r="Q11" s="42"/>
      <c r="R11" s="42"/>
    </row>
    <row r="12" spans="1:18" ht="25.5" x14ac:dyDescent="0.2">
      <c r="A12" s="132" t="s">
        <v>212</v>
      </c>
      <c r="B12" s="130" t="s">
        <v>213</v>
      </c>
      <c r="C12" s="128" t="s">
        <v>214</v>
      </c>
      <c r="D12" s="65">
        <f>IF(VLOOKUP(A12,'HBV ĐL HC'!E:AA,15,0)&lt;&gt;"",VLOOKUP(A12,'HBV ĐL HC'!E:AA,15,0),"")</f>
        <v>4.99</v>
      </c>
      <c r="E12" s="45">
        <f>IF(VLOOKUP(A12,'HBV ĐL HC'!E:AA,10,0)&lt;&gt;"",ABS(D12-$D$20),"")</f>
        <v>0.36000000000000032</v>
      </c>
      <c r="F12" s="45">
        <f>IF(VLOOKUP(A12,'HBV ĐL HC'!E:AA,10,0)&lt;&gt;0,IF(D12&lt;$E$2,$E$2,IF(D12&gt;$E$3,$E$3,D12)),"")</f>
        <v>4.9859199999999992</v>
      </c>
      <c r="G12" s="45">
        <f>IF(VLOOKUP(A12,'HBV ĐL HC'!E:AA,10,0)&lt;&gt;0,IF(F12&lt;$G$2,$G$2,IF(F12&gt;$G$3,$G$3,F12)),"")</f>
        <v>4.9859199999999992</v>
      </c>
      <c r="H12" s="45">
        <f>IF(VLOOKUP(A12,'HBV ĐL HC'!E:AA,10,0)&lt;&gt;0,IF(G12&lt;$H$2,$H$2,IF(G12&gt;$H$3,$H$3,G12)),"")</f>
        <v>4.9859199999999992</v>
      </c>
      <c r="I12" s="45">
        <f>IF(VLOOKUP(A12,'HBV ĐL HC'!E:AA,10,0)&lt;&gt;0,IF(H12&lt;$I$2,$I$2,IF(H12&gt;$I$3,$I$3,H12)),"")</f>
        <v>4.9859199999999992</v>
      </c>
      <c r="K12" s="46"/>
      <c r="L12" s="34"/>
      <c r="M12" s="35"/>
      <c r="O12" s="39"/>
      <c r="P12" s="42"/>
      <c r="Q12" s="42"/>
      <c r="R12" s="42"/>
    </row>
    <row r="13" spans="1:18" x14ac:dyDescent="0.2">
      <c r="A13" s="132" t="s">
        <v>218</v>
      </c>
      <c r="B13" s="130" t="s">
        <v>219</v>
      </c>
      <c r="C13" s="128" t="s">
        <v>220</v>
      </c>
      <c r="D13" s="65">
        <f>IF(VLOOKUP(A13,'HBV ĐL HC'!E:AA,15,0)&lt;&gt;"",VLOOKUP(A13,'HBV ĐL HC'!E:AA,15,0),"")</f>
        <v>4.8099999999999996</v>
      </c>
      <c r="E13" s="45">
        <f>IF(VLOOKUP(A13,'HBV ĐL HC'!E:AA,10,0)&lt;&gt;"",ABS(D13-$D$20),"")</f>
        <v>0.17999999999999972</v>
      </c>
      <c r="F13" s="45">
        <f>IF(VLOOKUP(A13,'HBV ĐL HC'!E:AA,10,0)&lt;&gt;0,IF(D13&lt;$E$2,$E$2,IF(D13&gt;$E$3,$E$3,D13)),"")</f>
        <v>4.8099999999999996</v>
      </c>
      <c r="G13" s="45">
        <f>IF(VLOOKUP(A13,'HBV ĐL HC'!E:AA,10,0)&lt;&gt;0,IF(F13&lt;$G$2,$G$2,IF(F13&gt;$G$3,$G$3,F13)),"")</f>
        <v>4.8099999999999996</v>
      </c>
      <c r="H13" s="45">
        <f>IF(VLOOKUP(A13,'HBV ĐL HC'!E:AA,10,0)&lt;&gt;0,IF(G13&lt;$H$2,$H$2,IF(G13&gt;$H$3,$H$3,G13)),"")</f>
        <v>4.8099999999999996</v>
      </c>
      <c r="I13" s="45">
        <f>IF(VLOOKUP(A13,'HBV ĐL HC'!E:AA,10,0)&lt;&gt;0,IF(H13&lt;$I$2,$I$2,IF(H13&gt;$I$3,$I$3,H13)),"")</f>
        <v>4.8099999999999996</v>
      </c>
      <c r="K13" s="46"/>
      <c r="L13" s="34"/>
      <c r="M13" s="35"/>
      <c r="O13" s="39"/>
      <c r="P13" s="42"/>
      <c r="Q13" s="42"/>
      <c r="R13" s="42"/>
    </row>
    <row r="14" spans="1:18" x14ac:dyDescent="0.2">
      <c r="A14" s="132" t="s">
        <v>448</v>
      </c>
      <c r="B14" s="130" t="s">
        <v>85</v>
      </c>
      <c r="C14" s="128" t="s">
        <v>86</v>
      </c>
      <c r="D14" s="65" t="str">
        <f>IF(VLOOKUP(A14,'HBV ĐL HC'!E:AA,15,0)&lt;&gt;"",VLOOKUP(A14,'HBV ĐL HC'!E:AA,15,0),"")</f>
        <v/>
      </c>
      <c r="E14" s="45" t="str">
        <f>IF(VLOOKUP(A14,'HBV ĐL HC'!E:AA,10,0)&lt;&gt;"",ABS(D14-$D$20),"")</f>
        <v/>
      </c>
      <c r="F14" s="45" t="str">
        <f>IF(VLOOKUP(A14,'HBV ĐL HC'!E:AA,10,0)&lt;&gt;0,IF(D14&lt;$E$2,$E$2,IF(D14&gt;$E$3,$E$3,D14)),"")</f>
        <v/>
      </c>
      <c r="G14" s="45" t="str">
        <f>IF(VLOOKUP(A14,'HBV ĐL HC'!E:AA,10,0)&lt;&gt;0,IF(F14&lt;$G$2,$G$2,IF(F14&gt;$G$3,$G$3,F14)),"")</f>
        <v/>
      </c>
      <c r="H14" s="45" t="str">
        <f>IF(VLOOKUP(A14,'HBV ĐL HC'!E:AA,10,0)&lt;&gt;0,IF(G14&lt;$H$2,$H$2,IF(G14&gt;$H$3,$H$3,G14)),"")</f>
        <v/>
      </c>
      <c r="I14" s="45" t="str">
        <f>IF(VLOOKUP(A14,'HBV ĐL HC'!E:AA,10,0)&lt;&gt;0,IF(H14&lt;$I$2,$I$2,IF(H14&gt;$I$3,$I$3,H14)),"")</f>
        <v/>
      </c>
    </row>
    <row r="15" spans="1:18" s="52" customFormat="1" x14ac:dyDescent="0.2">
      <c r="A15" s="51"/>
      <c r="B15" s="36"/>
      <c r="C15" s="37"/>
      <c r="E15" s="53"/>
      <c r="F15" s="54"/>
      <c r="G15" s="54"/>
      <c r="H15" s="54"/>
      <c r="K15" s="51"/>
      <c r="L15" s="36"/>
      <c r="M15" s="37"/>
      <c r="O15" s="53"/>
      <c r="P15" s="54"/>
      <c r="Q15" s="54"/>
      <c r="R15" s="54"/>
    </row>
    <row r="16" spans="1:18" s="52" customFormat="1" x14ac:dyDescent="0.2">
      <c r="A16" s="51"/>
      <c r="B16" s="36"/>
      <c r="C16" s="37"/>
      <c r="E16" s="53"/>
      <c r="F16" s="54"/>
      <c r="G16" s="54"/>
      <c r="H16" s="54"/>
      <c r="K16" s="51"/>
      <c r="L16" s="36"/>
      <c r="M16" s="37"/>
      <c r="O16" s="53"/>
      <c r="P16" s="54"/>
      <c r="Q16" s="54"/>
      <c r="R16" s="54"/>
    </row>
    <row r="17" spans="1:18" ht="15.75" x14ac:dyDescent="0.25">
      <c r="C17" s="21" t="s">
        <v>282</v>
      </c>
      <c r="D17" s="66">
        <f>AVERAGE(D5:D14)</f>
        <v>4.6487500000000006</v>
      </c>
      <c r="E17" s="67"/>
      <c r="F17" s="66">
        <f>AVERAGE(F5:F14)</f>
        <v>4.6525000000000007</v>
      </c>
      <c r="G17" s="66">
        <f t="shared" ref="G17:I17" si="2">AVERAGE(G5:G14)</f>
        <v>4.6525000000000007</v>
      </c>
      <c r="H17" s="66">
        <f t="shared" si="2"/>
        <v>4.6525000000000007</v>
      </c>
      <c r="I17" s="66">
        <f t="shared" si="2"/>
        <v>4.6525000000000007</v>
      </c>
      <c r="M17" s="55"/>
      <c r="N17" s="56"/>
      <c r="P17" s="56"/>
      <c r="Q17" s="56"/>
      <c r="R17" s="56"/>
    </row>
    <row r="18" spans="1:18" ht="15.75" x14ac:dyDescent="0.2">
      <c r="C18" s="24" t="s">
        <v>243</v>
      </c>
      <c r="D18" s="66">
        <f>_xlfn.STDEV.S(D5:D14)</f>
        <v>0.23393756798403648</v>
      </c>
      <c r="E18" s="67"/>
      <c r="F18" s="66">
        <f>_xlfn.STDEV.S(F5:F14)</f>
        <v>0.22472462284824413</v>
      </c>
      <c r="G18" s="66">
        <f t="shared" ref="G18:I18" si="3">_xlfn.STDEV.S(G5:G14)</f>
        <v>0.22472462284824413</v>
      </c>
      <c r="H18" s="66">
        <f t="shared" si="3"/>
        <v>0.22472462284824413</v>
      </c>
      <c r="I18" s="66">
        <f t="shared" si="3"/>
        <v>0.22472462284824413</v>
      </c>
      <c r="M18" s="57"/>
      <c r="N18" s="58"/>
      <c r="P18" s="58"/>
      <c r="Q18" s="58"/>
      <c r="R18" s="58"/>
    </row>
    <row r="19" spans="1:18" ht="15.75" x14ac:dyDescent="0.2">
      <c r="C19" s="24" t="s">
        <v>283</v>
      </c>
      <c r="D19" s="67">
        <f>1.5*D21</f>
        <v>0.35591999999999935</v>
      </c>
      <c r="E19" s="67"/>
      <c r="F19" s="66">
        <f>1.5*F21</f>
        <v>0.38225658346486324</v>
      </c>
      <c r="G19" s="66">
        <f t="shared" ref="G19:I19" si="4">1.5*G21</f>
        <v>0.38225658346486324</v>
      </c>
      <c r="H19" s="66">
        <f t="shared" si="4"/>
        <v>0.38225658346486324</v>
      </c>
      <c r="I19" s="66">
        <f t="shared" si="4"/>
        <v>0.38225658346486324</v>
      </c>
      <c r="M19" s="57"/>
      <c r="N19" s="58"/>
      <c r="P19" s="58"/>
      <c r="Q19" s="58"/>
      <c r="R19" s="58"/>
    </row>
    <row r="20" spans="1:18" ht="15.75" x14ac:dyDescent="0.2">
      <c r="C20" s="24" t="s">
        <v>284</v>
      </c>
      <c r="D20" s="66">
        <f>MEDIAN(D5:D14)</f>
        <v>4.63</v>
      </c>
      <c r="E20" s="67">
        <f>MEDIAN(E5:E14)</f>
        <v>0.1599999999999997</v>
      </c>
      <c r="F20" s="68">
        <f>AVERAGE(F5:F14)</f>
        <v>4.6525000000000007</v>
      </c>
      <c r="G20" s="68">
        <f t="shared" ref="G20:I20" si="5">AVERAGE(G5:G14)</f>
        <v>4.6525000000000007</v>
      </c>
      <c r="H20" s="68">
        <f t="shared" si="5"/>
        <v>4.6525000000000007</v>
      </c>
      <c r="I20" s="68">
        <f t="shared" si="5"/>
        <v>4.6525000000000007</v>
      </c>
      <c r="M20" s="57"/>
      <c r="N20" s="58"/>
      <c r="P20" s="58"/>
      <c r="Q20" s="58"/>
      <c r="R20" s="58"/>
    </row>
    <row r="21" spans="1:18" ht="15.75" x14ac:dyDescent="0.2">
      <c r="C21" s="24" t="s">
        <v>285</v>
      </c>
      <c r="D21" s="66">
        <f>1.483*MEDIAN(E5:E14)</f>
        <v>0.23727999999999957</v>
      </c>
      <c r="E21" s="67">
        <f>1.483*E20</f>
        <v>0.23727999999999957</v>
      </c>
      <c r="F21" s="68">
        <f>1.134*_xlfn.STDEV.S(F5:F14)</f>
        <v>0.25483772230990881</v>
      </c>
      <c r="G21" s="68">
        <f t="shared" ref="G21:I21" si="6">1.134*_xlfn.STDEV.S(G5:G14)</f>
        <v>0.25483772230990881</v>
      </c>
      <c r="H21" s="68">
        <f t="shared" si="6"/>
        <v>0.25483772230990881</v>
      </c>
      <c r="I21" s="68">
        <f t="shared" si="6"/>
        <v>0.25483772230990881</v>
      </c>
      <c r="M21" s="57"/>
      <c r="N21" s="58"/>
      <c r="P21" s="58"/>
      <c r="Q21" s="58"/>
      <c r="R21" s="58"/>
    </row>
    <row r="22" spans="1:18" x14ac:dyDescent="0.2">
      <c r="D22" s="39"/>
    </row>
    <row r="23" spans="1:18" x14ac:dyDescent="0.2">
      <c r="D23" s="39"/>
    </row>
    <row r="24" spans="1:18" x14ac:dyDescent="0.2">
      <c r="D24" s="39"/>
      <c r="E24" s="39" t="s">
        <v>277</v>
      </c>
      <c r="F24" s="39" t="s">
        <v>286</v>
      </c>
      <c r="G24" s="39" t="s">
        <v>279</v>
      </c>
      <c r="H24" s="39" t="s">
        <v>279</v>
      </c>
    </row>
    <row r="25" spans="1:18" x14ac:dyDescent="0.2">
      <c r="D25" s="39"/>
      <c r="E25" s="39">
        <f t="shared" ref="E25:I25" si="7">D39-D38</f>
        <v>4.4320399999999998</v>
      </c>
      <c r="F25" s="39"/>
      <c r="G25" s="39">
        <f t="shared" si="7"/>
        <v>4.3551926271226886</v>
      </c>
      <c r="H25" s="39">
        <f t="shared" si="7"/>
        <v>4.3551926271226886</v>
      </c>
      <c r="I25" s="39">
        <f t="shared" si="7"/>
        <v>4.3551926271226886</v>
      </c>
    </row>
    <row r="26" spans="1:18" x14ac:dyDescent="0.2">
      <c r="D26" s="39"/>
      <c r="E26" s="39">
        <f t="shared" ref="E26:I26" si="8">D39+D38</f>
        <v>4.7879600000000009</v>
      </c>
      <c r="F26" s="39"/>
      <c r="G26" s="39">
        <f t="shared" si="8"/>
        <v>4.7856233728773123</v>
      </c>
      <c r="H26" s="39">
        <f t="shared" si="8"/>
        <v>4.7856233728773123</v>
      </c>
      <c r="I26" s="39">
        <f t="shared" si="8"/>
        <v>4.7856233728773123</v>
      </c>
    </row>
    <row r="27" spans="1:18" ht="25.5" x14ac:dyDescent="0.2">
      <c r="A27" s="185" t="s">
        <v>413</v>
      </c>
      <c r="B27" s="186" t="s">
        <v>250</v>
      </c>
      <c r="C27" s="184" t="s">
        <v>406</v>
      </c>
      <c r="D27" s="65">
        <f>IF(VLOOKUP(A27,'HBV ĐL HC'!E:AA,15,0)&lt;&gt;0,VLOOKUP(A27,'HBV ĐL HC'!E:AA,15,0),"")</f>
        <v>4.6100000000000003</v>
      </c>
      <c r="E27" s="45">
        <f>IF(VLOOKUP(A27,'HBV ĐL HC'!E:AA,10,0)&lt;&gt;0,ABS(D27-$D$39),"")</f>
        <v>0</v>
      </c>
      <c r="F27" s="45">
        <f>IF(VLOOKUP(A27,'HBV ĐL HC'!E:AA,10,0)&lt;&gt;0,IF(D27&lt;$E$25,$E$25,IF(D27&gt;$E$26,$E$26,D27)),"")</f>
        <v>4.6100000000000003</v>
      </c>
      <c r="G27" s="45">
        <f>IF(VLOOKUP(A27,'HBV ĐL HC'!E:AA,10,0)&lt;&gt;0,IF(F27&lt;$G$25,$G$25,IF(F27&gt;$G$26,$G$26,F27)),"")</f>
        <v>4.6100000000000003</v>
      </c>
      <c r="H27" s="45">
        <f>IF(VLOOKUP(A27,'HBV ĐL HC'!E:AA,10,0)&lt;&gt;0,IF(G27&lt;$H$25,$H$25,IF(G27&gt;$H$26,$H$26,G27)),"")</f>
        <v>4.6100000000000003</v>
      </c>
      <c r="I27" s="45">
        <f>IF(VLOOKUP(A27,'HBV ĐL HC'!E:AA,10,0)&lt;&gt;0,IF(H27&lt;$I$25,$I$25,IF(H27&gt;$I$26,$I$26,H27)),"")</f>
        <v>4.6100000000000003</v>
      </c>
    </row>
    <row r="28" spans="1:18" ht="25.5" x14ac:dyDescent="0.2">
      <c r="A28" s="185" t="s">
        <v>410</v>
      </c>
      <c r="B28" s="186" t="s">
        <v>366</v>
      </c>
      <c r="C28" s="184" t="s">
        <v>409</v>
      </c>
      <c r="D28" s="65">
        <f>IF(VLOOKUP(A28,'HBV ĐL HC'!E:AA,15,0)&lt;&gt;0,VLOOKUP(A28,'HBV ĐL HC'!E:AA,15,0),"")</f>
        <v>4.6900000000000004</v>
      </c>
      <c r="E28" s="45">
        <f>IF(VLOOKUP(A28,'HBV ĐL HC'!E:AA,10,0)&lt;&gt;0,ABS(D28-$D$39),"")</f>
        <v>8.0000000000000071E-2</v>
      </c>
      <c r="F28" s="45">
        <f>IF(VLOOKUP(A28,'HBV ĐL HC'!E:AA,10,0)&lt;&gt;0,IF(D28&lt;$E$25,$E$25,IF(D28&gt;$E$26,$E$26,D28)),"")</f>
        <v>4.6900000000000004</v>
      </c>
      <c r="G28" s="45">
        <f>IF(VLOOKUP(A28,'HBV ĐL HC'!E:AA,10,0)&lt;&gt;0,IF(F28&lt;$G$25,$G$25,IF(F28&gt;$G$26,$G$26,F28)),"")</f>
        <v>4.6900000000000004</v>
      </c>
      <c r="H28" s="45">
        <f>IF(VLOOKUP(A28,'HBV ĐL HC'!E:AA,10,0)&lt;&gt;0,IF(G28&lt;$H$25,$H$25,IF(G28&gt;$H$26,$H$26,G28)),"")</f>
        <v>4.6900000000000004</v>
      </c>
      <c r="I28" s="45">
        <f>IF(VLOOKUP(A28,'HBV ĐL HC'!E:AA,10,0)&lt;&gt;0,IF(H28&lt;$I$25,$I$25,IF(H28&gt;$I$26,$I$26,H28)),"")</f>
        <v>4.6900000000000004</v>
      </c>
    </row>
    <row r="29" spans="1:18" x14ac:dyDescent="0.2">
      <c r="A29" s="188" t="s">
        <v>105</v>
      </c>
      <c r="B29" s="186" t="s">
        <v>106</v>
      </c>
      <c r="C29" s="184" t="s">
        <v>107</v>
      </c>
      <c r="D29" s="65">
        <f>IF(VLOOKUP(A29,'HBV ĐL HC'!E:AA,15,0)&lt;&gt;0,VLOOKUP(A29,'HBV ĐL HC'!E:AA,15,0),"")</f>
        <v>4.4400000000000004</v>
      </c>
      <c r="E29" s="45">
        <f>IF(VLOOKUP(A29,'HBV ĐL HC'!E:AA,10,0)&lt;&gt;0,ABS(D29-$D$39),"")</f>
        <v>0.16999999999999993</v>
      </c>
      <c r="F29" s="45">
        <f>IF(VLOOKUP(A29,'HBV ĐL HC'!E:AA,10,0)&lt;&gt;0,IF(D29&lt;$E$25,$E$25,IF(D29&gt;$E$26,$E$26,D29)),"")</f>
        <v>4.4400000000000004</v>
      </c>
      <c r="G29" s="45">
        <f>IF(VLOOKUP(A29,'HBV ĐL HC'!E:AA,10,0)&lt;&gt;0,IF(F29&lt;$G$25,$G$25,IF(F29&gt;$G$26,$G$26,F29)),"")</f>
        <v>4.4400000000000004</v>
      </c>
      <c r="H29" s="45">
        <f>IF(VLOOKUP(A29,'HBV ĐL HC'!E:AA,10,0)&lt;&gt;0,IF(G29&lt;$H$25,$H$25,IF(G29&gt;$H$26,$H$26,G29)),"")</f>
        <v>4.4400000000000004</v>
      </c>
      <c r="I29" s="45">
        <f>IF(VLOOKUP(A29,'HBV ĐL HC'!E:AA,10,0)&lt;&gt;0,IF(H29&lt;$I$25,$I$25,IF(H29&gt;$I$26,$I$26,H29)),"")</f>
        <v>4.4400000000000004</v>
      </c>
    </row>
    <row r="30" spans="1:18" x14ac:dyDescent="0.2">
      <c r="A30" s="188" t="s">
        <v>109</v>
      </c>
      <c r="B30" s="186" t="s">
        <v>110</v>
      </c>
      <c r="C30" s="184" t="s">
        <v>111</v>
      </c>
      <c r="D30" s="65" t="str">
        <f>IF(VLOOKUP(A30,'HBV ĐL HC'!E:AA,15,0)&lt;&gt;0,VLOOKUP(A30,'HBV ĐL HC'!E:AA,15,0),"")</f>
        <v/>
      </c>
      <c r="E30" s="45" t="str">
        <f>IF(VLOOKUP(A30,'HBV ĐL HC'!E:AA,10,0)&lt;&gt;0,ABS(D30-$D$39),"")</f>
        <v/>
      </c>
      <c r="F30" s="45" t="str">
        <f>IF(VLOOKUP(A30,'HBV ĐL HC'!E:AA,10,0)&lt;&gt;0,IF(D30&lt;$E$25,$E$25,IF(D30&gt;$E$26,$E$26,D30)),"")</f>
        <v/>
      </c>
      <c r="G30" s="45" t="str">
        <f>IF(VLOOKUP(A30,'HBV ĐL HC'!E:AA,10,0)&lt;&gt;0,IF(F30&lt;$G$25,$G$25,IF(F30&gt;$G$26,$G$26,F30)),"")</f>
        <v/>
      </c>
      <c r="H30" s="45" t="str">
        <f>IF(VLOOKUP(A30,'HBV ĐL HC'!E:AA,10,0)&lt;&gt;0,IF(G30&lt;$H$25,$H$25,IF(G30&gt;$H$26,$H$26,G30)),"")</f>
        <v/>
      </c>
      <c r="I30" s="45" t="str">
        <f>IF(VLOOKUP(A30,'HBV ĐL HC'!E:AA,10,0)&lt;&gt;0,IF(H30&lt;$I$25,$I$25,IF(H30&gt;$I$26,$I$26,H30)),"")</f>
        <v/>
      </c>
    </row>
    <row r="31" spans="1:18" x14ac:dyDescent="0.2">
      <c r="A31" s="193" t="s">
        <v>124</v>
      </c>
      <c r="B31" s="273" t="s">
        <v>125</v>
      </c>
      <c r="C31" s="273" t="s">
        <v>126</v>
      </c>
      <c r="D31" s="65">
        <f>IF(VLOOKUP(A31,'HBV ĐL HC'!E:AA,15,0)&lt;&gt;0,VLOOKUP(A31,'HBV ĐL HC'!E:AA,15,0),"")</f>
        <v>4.68</v>
      </c>
      <c r="E31" s="45">
        <f>IF(VLOOKUP(A31,'HBV ĐL HC'!E:AA,10,0)&lt;&gt;0,ABS(D31-$D$39),"")</f>
        <v>6.9999999999999396E-2</v>
      </c>
      <c r="F31" s="45">
        <f>IF(VLOOKUP(A31,'HBV ĐL HC'!E:AA,10,0)&lt;&gt;0,IF(D31&lt;$E$25,$E$25,IF(D31&gt;$E$26,$E$26,D31)),"")</f>
        <v>4.68</v>
      </c>
      <c r="G31" s="45">
        <f>IF(VLOOKUP(A31,'HBV ĐL HC'!E:AA,10,0)&lt;&gt;0,IF(F31&lt;$G$25,$G$25,IF(F31&gt;$G$26,$G$26,F31)),"")</f>
        <v>4.68</v>
      </c>
      <c r="H31" s="45">
        <f>IF(VLOOKUP(A31,'HBV ĐL HC'!E:AA,10,0)&lt;&gt;0,IF(G31&lt;$H$25,$H$25,IF(G31&gt;$H$26,$H$26,G31)),"")</f>
        <v>4.68</v>
      </c>
      <c r="I31" s="45">
        <f>IF(VLOOKUP(A31,'HBV ĐL HC'!E:AA,10,0)&lt;&gt;0,IF(H31&lt;$I$25,$I$25,IF(H31&gt;$I$26,$I$26,H31)),"")</f>
        <v>4.68</v>
      </c>
    </row>
    <row r="32" spans="1:18" ht="25.5" x14ac:dyDescent="0.2">
      <c r="A32" s="185" t="s">
        <v>132</v>
      </c>
      <c r="B32" s="186" t="s">
        <v>133</v>
      </c>
      <c r="C32" s="186" t="s">
        <v>134</v>
      </c>
      <c r="D32" s="65">
        <f>IF(VLOOKUP(A32,'HBV ĐL HC'!E:AA,15,0)&lt;&gt;0,VLOOKUP(A32,'HBV ĐL HC'!E:AA,15,0),"")</f>
        <v>4.42</v>
      </c>
      <c r="E32" s="45">
        <f>IF(VLOOKUP(A32,'HBV ĐL HC'!E:AA,10,0)&lt;&gt;0,ABS(D32-$D$39),"")</f>
        <v>0.19000000000000039</v>
      </c>
      <c r="F32" s="45">
        <f>IF(VLOOKUP(A32,'HBV ĐL HC'!E:AA,10,0)&lt;&gt;0,IF(D32&lt;$E$25,$E$25,IF(D32&gt;$E$26,$E$26,D32)),"")</f>
        <v>4.4320399999999998</v>
      </c>
      <c r="G32" s="45">
        <f>IF(VLOOKUP(A32,'HBV ĐL HC'!E:AA,10,0)&lt;&gt;0,IF(F32&lt;$G$25,$G$25,IF(F32&gt;$G$26,$G$26,F32)),"")</f>
        <v>4.4320399999999998</v>
      </c>
      <c r="H32" s="45">
        <f>IF(VLOOKUP(A32,'HBV ĐL HC'!E:AA,10,0)&lt;&gt;0,IF(G32&lt;$H$25,$H$25,IF(G32&gt;$H$26,$H$26,G32)),"")</f>
        <v>4.4320399999999998</v>
      </c>
      <c r="I32" s="45">
        <f>IF(VLOOKUP(A32,'HBV ĐL HC'!E:AA,10,0)&lt;&gt;0,IF(H32&lt;$I$25,$I$25,IF(H32&gt;$I$26,$I$26,H32)),"")</f>
        <v>4.4320399999999998</v>
      </c>
    </row>
    <row r="33" spans="1:9" x14ac:dyDescent="0.2">
      <c r="A33" s="185" t="s">
        <v>457</v>
      </c>
      <c r="B33" s="186" t="s">
        <v>85</v>
      </c>
      <c r="C33" s="186" t="s">
        <v>86</v>
      </c>
      <c r="D33" s="65" t="str">
        <f>IF(VLOOKUP(A33,'HBV ĐL HC'!E:AA,15,0)&lt;&gt;0,VLOOKUP(A33,'HBV ĐL HC'!E:AA,15,0),"")</f>
        <v/>
      </c>
      <c r="E33" s="45" t="str">
        <f>IF(VLOOKUP(A33,'HBV ĐL HC'!E:AA,10,0)&lt;&gt;0,ABS(D33-$D$39),"")</f>
        <v/>
      </c>
      <c r="F33" s="45" t="str">
        <f>IF(VLOOKUP(A33,'HBV ĐL HC'!E:AA,10,0)&lt;&gt;0,IF(D33&lt;$E$25,$E$25,IF(D33&gt;$E$26,$E$26,D33)),"")</f>
        <v/>
      </c>
      <c r="G33" s="45" t="str">
        <f>IF(VLOOKUP(A33,'HBV ĐL HC'!E:AA,10,0)&lt;&gt;0,IF(F33&lt;$G$25,$G$25,IF(F33&gt;$G$26,$G$26,F33)),"")</f>
        <v/>
      </c>
      <c r="H33" s="45" t="str">
        <f>IF(VLOOKUP(A33,'HBV ĐL HC'!E:AA,10,0)&lt;&gt;0,IF(G33&lt;$H$25,$H$25,IF(G33&gt;$H$26,$H$26,G33)),"")</f>
        <v/>
      </c>
      <c r="I33" s="45" t="str">
        <f>IF(VLOOKUP(A33,'HBV ĐL HC'!E:AA,10,0)&lt;&gt;0,IF(H33&lt;$I$25,$I$25,IF(H33&gt;$I$26,$I$26,H33)),"")</f>
        <v/>
      </c>
    </row>
    <row r="34" spans="1:9" ht="15.75" x14ac:dyDescent="0.2">
      <c r="A34" s="69"/>
      <c r="B34" s="70"/>
      <c r="C34" s="71"/>
      <c r="D34" s="65"/>
      <c r="E34" s="42"/>
      <c r="F34" s="42"/>
      <c r="G34" s="42"/>
      <c r="H34" s="42"/>
      <c r="I34" s="42"/>
    </row>
    <row r="35" spans="1:9" x14ac:dyDescent="0.2">
      <c r="D35" s="39"/>
    </row>
    <row r="36" spans="1:9" ht="15.75" x14ac:dyDescent="0.25">
      <c r="C36" s="21" t="s">
        <v>282</v>
      </c>
      <c r="D36" s="66">
        <f>AVERAGE(D27:D33)</f>
        <v>4.5680000000000005</v>
      </c>
      <c r="E36" s="67"/>
      <c r="F36" s="66">
        <f>AVERAGE(F27:F33)</f>
        <v>4.5704080000000005</v>
      </c>
      <c r="G36" s="66">
        <f t="shared" ref="G36:I36" si="9">AVERAGE(G27:G33)</f>
        <v>4.5704080000000005</v>
      </c>
      <c r="H36" s="66">
        <f t="shared" si="9"/>
        <v>4.5704080000000005</v>
      </c>
      <c r="I36" s="66">
        <f t="shared" si="9"/>
        <v>4.5704080000000005</v>
      </c>
    </row>
    <row r="37" spans="1:9" ht="15.75" x14ac:dyDescent="0.2">
      <c r="C37" s="24" t="s">
        <v>243</v>
      </c>
      <c r="D37" s="66">
        <f>_xlfn.STDEV.S(D27:D33)</f>
        <v>0.12988456413292535</v>
      </c>
      <c r="E37" s="67"/>
      <c r="F37" s="66">
        <f>_xlfn.STDEV.S(F27:F33)</f>
        <v>0.12652285295550367</v>
      </c>
      <c r="G37" s="66">
        <f t="shared" ref="G37:I37" si="10">_xlfn.STDEV.S(G27:G33)</f>
        <v>0.12652285295550367</v>
      </c>
      <c r="H37" s="66">
        <f t="shared" si="10"/>
        <v>0.12652285295550367</v>
      </c>
      <c r="I37" s="66">
        <f t="shared" si="10"/>
        <v>0.12652285295550367</v>
      </c>
    </row>
    <row r="38" spans="1:9" ht="15.75" x14ac:dyDescent="0.2">
      <c r="C38" s="24" t="s">
        <v>283</v>
      </c>
      <c r="D38" s="67">
        <f>1.5*D40</f>
        <v>0.17796000000000017</v>
      </c>
      <c r="E38" s="67"/>
      <c r="F38" s="66">
        <f>1.5*F40</f>
        <v>0.21521537287731174</v>
      </c>
      <c r="G38" s="66">
        <f t="shared" ref="G38:I38" si="11">1.5*G40</f>
        <v>0.21521537287731174</v>
      </c>
      <c r="H38" s="66">
        <f t="shared" si="11"/>
        <v>0.21521537287731174</v>
      </c>
      <c r="I38" s="66">
        <f t="shared" si="11"/>
        <v>0.21521537287731174</v>
      </c>
    </row>
    <row r="39" spans="1:9" ht="15.75" x14ac:dyDescent="0.2">
      <c r="C39" s="24" t="s">
        <v>284</v>
      </c>
      <c r="D39" s="66">
        <f>MEDIAN(D27:D33)</f>
        <v>4.6100000000000003</v>
      </c>
      <c r="E39" s="67">
        <f>MEDIAN(E27:E33)</f>
        <v>8.0000000000000071E-2</v>
      </c>
      <c r="F39" s="68">
        <f>AVERAGE(F27:F33)</f>
        <v>4.5704080000000005</v>
      </c>
      <c r="G39" s="68">
        <f t="shared" ref="G39:I39" si="12">AVERAGE(G27:G33)</f>
        <v>4.5704080000000005</v>
      </c>
      <c r="H39" s="68">
        <f t="shared" si="12"/>
        <v>4.5704080000000005</v>
      </c>
      <c r="I39" s="68">
        <f t="shared" si="12"/>
        <v>4.5704080000000005</v>
      </c>
    </row>
    <row r="40" spans="1:9" ht="15.75" x14ac:dyDescent="0.2">
      <c r="C40" s="24" t="s">
        <v>285</v>
      </c>
      <c r="D40" s="66">
        <f>1.483*MEDIAN(E27:E33)</f>
        <v>0.11864000000000011</v>
      </c>
      <c r="E40" s="67">
        <f>1.483*E39</f>
        <v>0.11864000000000011</v>
      </c>
      <c r="F40" s="68">
        <f>1.134*_xlfn.STDEV.S(F27:F33)</f>
        <v>0.14347691525154116</v>
      </c>
      <c r="G40" s="68">
        <f t="shared" ref="G40:I40" si="13">1.134*_xlfn.STDEV.S(G27:G33)</f>
        <v>0.14347691525154116</v>
      </c>
      <c r="H40" s="68">
        <f t="shared" si="13"/>
        <v>0.14347691525154116</v>
      </c>
      <c r="I40" s="68">
        <f t="shared" si="13"/>
        <v>0.14347691525154116</v>
      </c>
    </row>
    <row r="43" spans="1:9" x14ac:dyDescent="0.2">
      <c r="D43" s="39"/>
      <c r="E43" s="39" t="s">
        <v>277</v>
      </c>
      <c r="F43" s="39" t="s">
        <v>286</v>
      </c>
      <c r="G43" s="39" t="s">
        <v>279</v>
      </c>
      <c r="H43" s="39" t="s">
        <v>279</v>
      </c>
    </row>
    <row r="44" spans="1:9" x14ac:dyDescent="0.2">
      <c r="D44" s="39"/>
      <c r="E44" s="39">
        <f t="shared" ref="E44" si="14">D56-D55</f>
        <v>4.0183649999999993</v>
      </c>
      <c r="F44" s="39"/>
      <c r="G44" s="39">
        <f t="shared" ref="G44:I44" si="15">F56-F55</f>
        <v>4.0027143317507559</v>
      </c>
      <c r="H44" s="39">
        <f t="shared" si="15"/>
        <v>4.0027143317507559</v>
      </c>
      <c r="I44" s="39">
        <f t="shared" si="15"/>
        <v>4.0027143317507559</v>
      </c>
    </row>
    <row r="45" spans="1:9" x14ac:dyDescent="0.2">
      <c r="D45" s="39"/>
      <c r="E45" s="39">
        <f t="shared" ref="E45" si="16">D56+D55</f>
        <v>5.0416350000000012</v>
      </c>
      <c r="F45" s="39"/>
      <c r="G45" s="39">
        <f t="shared" ref="G45:I45" si="17">F56+F55</f>
        <v>5.1099396682492451</v>
      </c>
      <c r="H45" s="39">
        <f t="shared" si="17"/>
        <v>5.1099396682492451</v>
      </c>
      <c r="I45" s="39">
        <f t="shared" si="17"/>
        <v>5.1099396682492451</v>
      </c>
    </row>
    <row r="46" spans="1:9" ht="25.5" x14ac:dyDescent="0.2">
      <c r="A46" s="135" t="s">
        <v>138</v>
      </c>
      <c r="B46" s="136" t="s">
        <v>139</v>
      </c>
      <c r="C46" s="134" t="s">
        <v>140</v>
      </c>
      <c r="D46" s="65">
        <f>IF(VLOOKUP(A46,'HBV ĐL HC'!E:AA,15,0)&lt;&gt;0,VLOOKUP(A46,'HBV ĐL HC'!E:AA,15,0),"")</f>
        <v>5.92</v>
      </c>
      <c r="E46" s="45">
        <f>IF(VLOOKUP(A46,'HBV ĐL HC'!E:AA,10,0)&lt;&gt;0,ABS(D46-$D$56),"")</f>
        <v>1.3899999999999997</v>
      </c>
      <c r="F46" s="45">
        <f>IF(VLOOKUP(A46,'HBV ĐL HC'!E:AA,10,0)&lt;&gt;0,IF(D46&lt;$E$44,$E$44,IF(D46&gt;$E$45,$E$45,D46)),"")</f>
        <v>5.0416350000000012</v>
      </c>
      <c r="G46" s="45">
        <f>IF(VLOOKUP(A46,'HBV ĐL HC'!E:AA,10,0)&lt;&gt;0,IF(F46&lt;$G$44,$G$44,IF(F46&gt;$G$45,$G$45,F46)),"")</f>
        <v>5.0416350000000012</v>
      </c>
      <c r="H46" s="45">
        <f>IF(VLOOKUP(A46,'HBV ĐL HC'!E:AA,10,0)&lt;&gt;0,IF(G46&lt;$H$44,$H$44,IF(G46&gt;$H$45,$H$45,G46)),"")</f>
        <v>5.0416350000000012</v>
      </c>
      <c r="I46" s="45">
        <f>IF(VLOOKUP(A46,'HBV ĐL HC'!E:AA,10,0)&lt;&gt;0,IF(H46&lt;$I$44,$I$44,IF(H46&gt;$I$45,$I$45,H46)),"")</f>
        <v>5.0416350000000012</v>
      </c>
    </row>
    <row r="47" spans="1:9" ht="25.5" x14ac:dyDescent="0.2">
      <c r="A47" s="137" t="s">
        <v>147</v>
      </c>
      <c r="B47" s="138" t="s">
        <v>148</v>
      </c>
      <c r="C47" s="138" t="s">
        <v>149</v>
      </c>
      <c r="D47" s="65">
        <f>IF(VLOOKUP(A47,'HBV ĐL HC'!E:AA,15,0)&lt;&gt;0,VLOOKUP(A47,'HBV ĐL HC'!E:AA,15,0),"")</f>
        <v>4.53</v>
      </c>
      <c r="E47" s="45">
        <f>IF(VLOOKUP(A47,'HBV ĐL HC'!E:AA,10,0)&lt;&gt;0,ABS(D47-$D$56),"")</f>
        <v>0</v>
      </c>
      <c r="F47" s="45">
        <f>IF(VLOOKUP(A47,'HBV ĐL HC'!E:AA,10,0)&lt;&gt;0,IF(D47&lt;$E$44,$E$44,IF(D47&gt;$E$45,$E$45,D47)),"")</f>
        <v>4.53</v>
      </c>
      <c r="G47" s="45">
        <f>IF(VLOOKUP(A47,'HBV ĐL HC'!E:AA,10,0)&lt;&gt;0,IF(F47&lt;$G$44,$G$44,IF(F47&gt;$G$45,$G$45,F47)),"")</f>
        <v>4.53</v>
      </c>
      <c r="H47" s="45">
        <f>IF(VLOOKUP(A47,'HBV ĐL HC'!E:AA,10,0)&lt;&gt;0,IF(G47&lt;$H$44,$H$44,IF(G47&gt;$H$45,$H$45,G47)),"")</f>
        <v>4.53</v>
      </c>
      <c r="I47" s="45">
        <f>IF(VLOOKUP(A47,'HBV ĐL HC'!E:AA,10,0)&lt;&gt;0,IF(H47&lt;$I$44,$I$44,IF(H47&gt;$I$45,$I$45,H47)),"")</f>
        <v>4.53</v>
      </c>
    </row>
    <row r="48" spans="1:9" ht="25.5" x14ac:dyDescent="0.2">
      <c r="A48" s="135" t="s">
        <v>92</v>
      </c>
      <c r="B48" s="136" t="s">
        <v>93</v>
      </c>
      <c r="C48" s="134" t="s">
        <v>94</v>
      </c>
      <c r="D48" s="65">
        <f>IF(VLOOKUP(A48,'HBV ĐL HC'!E:AA,15,0)&lt;&gt;0,VLOOKUP(A48,'HBV ĐL HC'!E:AA,15,0),"")</f>
        <v>4.2300000000000004</v>
      </c>
      <c r="E48" s="45">
        <f>IF(VLOOKUP(A48,'HBV ĐL HC'!E:AA,10,0)&lt;&gt;0,ABS(D48-$D$56),"")</f>
        <v>0.29999999999999982</v>
      </c>
      <c r="F48" s="45">
        <f>IF(VLOOKUP(A48,'HBV ĐL HC'!E:AA,10,0)&lt;&gt;0,IF(D48&lt;$E$44,$E$44,IF(D48&gt;$E$45,$E$45,D48)),"")</f>
        <v>4.2300000000000004</v>
      </c>
      <c r="G48" s="45">
        <f>IF(VLOOKUP(A48,'HBV ĐL HC'!E:AA,10,0)&lt;&gt;0,IF(F48&lt;$G$44,$G$44,IF(F48&gt;$G$45,$G$45,F48)),"")</f>
        <v>4.2300000000000004</v>
      </c>
      <c r="H48" s="45">
        <f>IF(VLOOKUP(A48,'HBV ĐL HC'!E:AA,10,0)&lt;&gt;0,IF(G48&lt;$H$44,$H$44,IF(G48&gt;$H$45,$H$45,G48)),"")</f>
        <v>4.2300000000000004</v>
      </c>
      <c r="I48" s="45">
        <f>IF(VLOOKUP(A48,'HBV ĐL HC'!E:AA,10,0)&lt;&gt;0,IF(H48&lt;$I$44,$I$44,IF(H48&gt;$I$45,$I$45,H48)),"")</f>
        <v>4.2300000000000004</v>
      </c>
    </row>
    <row r="49" spans="1:9" ht="38.25" x14ac:dyDescent="0.2">
      <c r="A49" s="137" t="s">
        <v>403</v>
      </c>
      <c r="B49" s="136" t="s">
        <v>364</v>
      </c>
      <c r="C49" s="134" t="s">
        <v>402</v>
      </c>
      <c r="D49" s="65">
        <f>IF(VLOOKUP(A49,'HBV ĐL HC'!E:AA,15,0)&lt;&gt;0,VLOOKUP(A49,'HBV ĐL HC'!E:AA,15,0),"")</f>
        <v>4.3</v>
      </c>
      <c r="E49" s="45">
        <f>IF(VLOOKUP(A49,'HBV ĐL HC'!E:AA,10,0)&lt;&gt;0,ABS(D49-$D$56),"")</f>
        <v>0.23000000000000043</v>
      </c>
      <c r="F49" s="45">
        <f>IF(VLOOKUP(A49,'HBV ĐL HC'!E:AA,10,0)&lt;&gt;0,IF(D49&lt;$E$44,$E$44,IF(D49&gt;$E$45,$E$45,D49)),"")</f>
        <v>4.3</v>
      </c>
      <c r="G49" s="45">
        <f>IF(VLOOKUP(A49,'HBV ĐL HC'!E:AA,10,0)&lt;&gt;0,IF(F49&lt;$G$44,$G$44,IF(F49&gt;$G$45,$G$45,F49)),"")</f>
        <v>4.3</v>
      </c>
      <c r="H49" s="45">
        <f>IF(VLOOKUP(A49,'HBV ĐL HC'!E:AA,10,0)&lt;&gt;0,IF(G49&lt;$H$44,$H$44,IF(G49&gt;$H$45,$H$45,G49)),"")</f>
        <v>4.3</v>
      </c>
      <c r="I49" s="45">
        <f>IF(VLOOKUP(A49,'HBV ĐL HC'!E:AA,10,0)&lt;&gt;0,IF(H49&lt;$I$44,$I$44,IF(H49&gt;$I$45,$I$45,H49)),"")</f>
        <v>4.3</v>
      </c>
    </row>
    <row r="50" spans="1:9" ht="25.5" x14ac:dyDescent="0.2">
      <c r="A50" s="135" t="s">
        <v>209</v>
      </c>
      <c r="B50" s="136" t="s">
        <v>210</v>
      </c>
      <c r="C50" s="134" t="s">
        <v>211</v>
      </c>
      <c r="D50" s="65">
        <f>IF(VLOOKUP(A50,'HBV ĐL HC'!E:AA,15,0)&lt;&gt;0,VLOOKUP(A50,'HBV ĐL HC'!E:AA,15,0),"")</f>
        <v>4.68</v>
      </c>
      <c r="E50" s="45">
        <f>IF(VLOOKUP(A50,'HBV ĐL HC'!E:AA,10,0)&lt;&gt;0,ABS(D50-$D$56),"")</f>
        <v>0.14999999999999947</v>
      </c>
      <c r="F50" s="45">
        <f>IF(VLOOKUP(A50,'HBV ĐL HC'!E:AA,10,0)&lt;&gt;0,IF(D50&lt;$E$44,$E$44,IF(D50&gt;$E$45,$E$45,D50)),"")</f>
        <v>4.68</v>
      </c>
      <c r="G50" s="45">
        <f>IF(VLOOKUP(A50,'HBV ĐL HC'!E:AA,10,0)&lt;&gt;0,IF(F50&lt;$G$44,$G$44,IF(F50&gt;$G$45,$G$45,F50)),"")</f>
        <v>4.68</v>
      </c>
      <c r="H50" s="45">
        <f>IF(VLOOKUP(A50,'HBV ĐL HC'!E:AA,10,0)&lt;&gt;0,IF(G50&lt;$H$44,$H$44,IF(G50&gt;$H$45,$H$45,G50)),"")</f>
        <v>4.68</v>
      </c>
      <c r="I50" s="45">
        <f>IF(VLOOKUP(A50,'HBV ĐL HC'!E:AA,10,0)&lt;&gt;0,IF(H50&lt;$I$44,$I$44,IF(H50&gt;$I$45,$I$45,H50)),"")</f>
        <v>4.68</v>
      </c>
    </row>
    <row r="51" spans="1:9" x14ac:dyDescent="0.2">
      <c r="C51" s="38"/>
      <c r="D51" s="65"/>
      <c r="E51" s="42"/>
      <c r="F51" s="42"/>
      <c r="G51" s="42"/>
      <c r="H51" s="42"/>
    </row>
    <row r="52" spans="1:9" x14ac:dyDescent="0.2">
      <c r="D52" s="39"/>
      <c r="E52" s="39"/>
      <c r="F52" s="42"/>
      <c r="G52" s="42"/>
      <c r="H52" s="42"/>
    </row>
    <row r="53" spans="1:9" x14ac:dyDescent="0.2">
      <c r="C53" s="144" t="s">
        <v>282</v>
      </c>
      <c r="D53" s="145">
        <f>AVERAGE(D46:D50)</f>
        <v>4.7320000000000002</v>
      </c>
      <c r="E53" s="146"/>
      <c r="F53" s="145">
        <f>AVERAGE(F46:F50)</f>
        <v>4.5563270000000005</v>
      </c>
      <c r="G53" s="145">
        <f t="shared" ref="G53:I53" si="18">AVERAGE(G46:G50)</f>
        <v>4.5563270000000005</v>
      </c>
      <c r="H53" s="145">
        <f t="shared" si="18"/>
        <v>4.5563270000000005</v>
      </c>
      <c r="I53" s="145">
        <f t="shared" si="18"/>
        <v>4.5563270000000005</v>
      </c>
    </row>
    <row r="54" spans="1:9" x14ac:dyDescent="0.2">
      <c r="C54" s="147" t="s">
        <v>243</v>
      </c>
      <c r="D54" s="148">
        <f>_xlfn.STDEV.S(D46:D50)</f>
        <v>0.6880188950893712</v>
      </c>
      <c r="E54" s="146"/>
      <c r="F54" s="148">
        <f>_xlfn.STDEV.S(F46:F50)</f>
        <v>0.32546306187492341</v>
      </c>
      <c r="G54" s="148">
        <f>_xlfn.STDEV.S(G46:G50)</f>
        <v>0.32546306187492341</v>
      </c>
      <c r="H54" s="148">
        <f>_xlfn.STDEV.S(H46:H50)</f>
        <v>0.32546306187492341</v>
      </c>
      <c r="I54" s="148">
        <f>_xlfn.STDEV.S(I46:I50)</f>
        <v>0.32546306187492341</v>
      </c>
    </row>
    <row r="55" spans="1:9" x14ac:dyDescent="0.2">
      <c r="C55" s="147" t="s">
        <v>283</v>
      </c>
      <c r="D55" s="148">
        <f t="shared" ref="D55" si="19">1.5*D57</f>
        <v>0.51163500000000095</v>
      </c>
      <c r="E55" s="146"/>
      <c r="F55" s="148">
        <f>1.5*F57</f>
        <v>0.55361266824924471</v>
      </c>
      <c r="G55" s="148">
        <f t="shared" ref="G55:I55" si="20">1.5*G57</f>
        <v>0.55361266824924471</v>
      </c>
      <c r="H55" s="148">
        <f>1.5*H57</f>
        <v>0.55361266824924471</v>
      </c>
      <c r="I55" s="148">
        <f t="shared" si="20"/>
        <v>0.55361266824924471</v>
      </c>
    </row>
    <row r="56" spans="1:9" x14ac:dyDescent="0.2">
      <c r="C56" s="147" t="s">
        <v>284</v>
      </c>
      <c r="D56" s="148">
        <f>MEDIAN(D46:D50)</f>
        <v>4.53</v>
      </c>
      <c r="E56" s="146">
        <f>MEDIAN(E46:E50)</f>
        <v>0.23000000000000043</v>
      </c>
      <c r="F56" s="149">
        <f>AVERAGE(F46:F50)</f>
        <v>4.5563270000000005</v>
      </c>
      <c r="G56" s="149">
        <f t="shared" ref="G56:I56" si="21">AVERAGE(G46:G50)</f>
        <v>4.5563270000000005</v>
      </c>
      <c r="H56" s="149">
        <f t="shared" si="21"/>
        <v>4.5563270000000005</v>
      </c>
      <c r="I56" s="149">
        <f t="shared" si="21"/>
        <v>4.5563270000000005</v>
      </c>
    </row>
    <row r="57" spans="1:9" ht="15.75" x14ac:dyDescent="0.2">
      <c r="C57" s="147" t="s">
        <v>285</v>
      </c>
      <c r="D57" s="148">
        <f>1.483*MEDIAN(E46:E50)</f>
        <v>0.34109000000000067</v>
      </c>
      <c r="E57" s="67">
        <f>1.483*E56</f>
        <v>0.34109000000000067</v>
      </c>
      <c r="F57" s="149">
        <f>1.134*STDEV(F46:F50)</f>
        <v>0.36907511216616312</v>
      </c>
      <c r="G57" s="149">
        <f t="shared" ref="G57:I57" si="22">1.134*STDEV(G46:G50)</f>
        <v>0.36907511216616312</v>
      </c>
      <c r="H57" s="149">
        <f t="shared" si="22"/>
        <v>0.36907511216616312</v>
      </c>
      <c r="I57" s="149">
        <f t="shared" si="22"/>
        <v>0.36907511216616312</v>
      </c>
    </row>
    <row r="58" spans="1:9" x14ac:dyDescent="0.2">
      <c r="C58" s="57"/>
    </row>
    <row r="60" spans="1:9" x14ac:dyDescent="0.2">
      <c r="D60" s="39"/>
      <c r="E60" s="39" t="s">
        <v>277</v>
      </c>
      <c r="F60" s="39" t="s">
        <v>286</v>
      </c>
      <c r="G60" s="39" t="s">
        <v>279</v>
      </c>
      <c r="H60" s="39" t="s">
        <v>279</v>
      </c>
    </row>
    <row r="61" spans="1:9" x14ac:dyDescent="0.2">
      <c r="D61" s="39"/>
      <c r="E61" s="39">
        <f t="shared" ref="E61" si="23">D73-D72</f>
        <v>3.7079549999999997</v>
      </c>
      <c r="F61" s="39"/>
      <c r="G61" s="39">
        <f t="shared" ref="G61:I61" si="24">F73-F72</f>
        <v>3.5673237819868744</v>
      </c>
      <c r="H61" s="39">
        <f t="shared" si="24"/>
        <v>3.5673237819868744</v>
      </c>
      <c r="I61" s="39">
        <f t="shared" si="24"/>
        <v>3.5673237819868744</v>
      </c>
    </row>
    <row r="62" spans="1:9" x14ac:dyDescent="0.2">
      <c r="D62" s="39"/>
      <c r="E62" s="39">
        <f t="shared" ref="E62" si="25">D73+D72</f>
        <v>5.5320450000000001</v>
      </c>
      <c r="F62" s="39"/>
      <c r="G62" s="39">
        <f t="shared" ref="G62:I62" si="26">F73+F72</f>
        <v>5.3838582180131249</v>
      </c>
      <c r="H62" s="39">
        <f t="shared" si="26"/>
        <v>5.3838582180131249</v>
      </c>
      <c r="I62" s="39">
        <f t="shared" si="26"/>
        <v>5.3838582180131249</v>
      </c>
    </row>
    <row r="63" spans="1:9" ht="25.5" x14ac:dyDescent="0.2">
      <c r="A63" s="208" t="s">
        <v>196</v>
      </c>
      <c r="B63" s="209" t="s">
        <v>197</v>
      </c>
      <c r="C63" s="207" t="s">
        <v>198</v>
      </c>
      <c r="D63" s="65">
        <f>IF(VLOOKUP(A63,'HBV ĐL HC'!E:AA,15,0)&lt;&gt;0,VLOOKUP(A63,'HBV ĐL HC'!E:AA,15,0),"")</f>
        <v>4.21</v>
      </c>
      <c r="E63" s="45">
        <f>IF(VLOOKUP(A63,'HBV ĐL HC'!E:AA,10,0)&lt;&gt;0,ABS(D63-$D$73),"")</f>
        <v>0.41000000000000014</v>
      </c>
      <c r="F63" s="45">
        <f>IF(VLOOKUP(A63,'HBV ĐL HC'!E:AA,10,0)&lt;&gt;0,IF(D63&lt;$E$61,$E$61,IF(D63&gt;$E$62,$E$62,D63)),"")</f>
        <v>4.21</v>
      </c>
      <c r="G63" s="45">
        <f>IF(VLOOKUP(A63,'HBV ĐL HC'!E:AA,10,0)&lt;&gt;0,IF(F63&lt;$G$61,$G$61,IF(F63&gt;$G$62,$G$62,F63)),"")</f>
        <v>4.21</v>
      </c>
      <c r="H63" s="45">
        <f>IF(VLOOKUP(A63,'HBV ĐL HC'!E:AA,10,0)&lt;&gt;0,IF(G63&lt;$H$61,$H$61,IF(G63&gt;$H$62,$H$62,G63)),"")</f>
        <v>4.21</v>
      </c>
      <c r="I63" s="45">
        <f>IF(VLOOKUP(A63,'HBV ĐL HC'!E:AA,10,0)&lt;&gt;0,IF(H63&lt;$I$61,$I$61,IF(H63&gt;$I$62,$I$62,H63)),"")</f>
        <v>4.21</v>
      </c>
    </row>
    <row r="64" spans="1:9" ht="25.5" x14ac:dyDescent="0.2">
      <c r="A64" s="213" t="s">
        <v>412</v>
      </c>
      <c r="B64" s="209" t="s">
        <v>367</v>
      </c>
      <c r="C64" s="207" t="s">
        <v>411</v>
      </c>
      <c r="D64" s="65">
        <f>IF(VLOOKUP(A64,'HBV ĐL HC'!E:AA,15,0)&lt;&gt;0,VLOOKUP(A64,'HBV ĐL HC'!E:AA,15,0),"")</f>
        <v>5.0999999999999996</v>
      </c>
      <c r="E64" s="45">
        <f>IF(VLOOKUP(A64,'HBV ĐL HC'!E:AA,10,0)&lt;&gt;0,ABS(D64-$D$73),"")</f>
        <v>0.47999999999999954</v>
      </c>
      <c r="F64" s="45">
        <f>IF(VLOOKUP(A64,'HBV ĐL HC'!E:AA,10,0)&lt;&gt;0,IF(D64&lt;$E$61,$E$61,IF(D64&gt;$E$62,$E$62,D64)),"")</f>
        <v>5.0999999999999996</v>
      </c>
      <c r="G64" s="45">
        <f>IF(VLOOKUP(A64,'HBV ĐL HC'!E:AA,10,0)&lt;&gt;0,IF(F64&lt;$G$61,$G$61,IF(F64&gt;$G$62,$G$62,F64)),"")</f>
        <v>5.0999999999999996</v>
      </c>
      <c r="H64" s="45">
        <f>IF(VLOOKUP(A64,'HBV ĐL HC'!E:AA,10,0)&lt;&gt;0,IF(G64&lt;$H$61,$H$61,IF(G64&gt;$H$62,$H$62,G64)),"")</f>
        <v>5.0999999999999996</v>
      </c>
      <c r="I64" s="45">
        <f>IF(VLOOKUP(A64,'HBV ĐL HC'!E:AA,10,0)&lt;&gt;0,IF(H64&lt;$I$61,$I$61,IF(H64&gt;$I$62,$I$62,H64)),"")</f>
        <v>5.0999999999999996</v>
      </c>
    </row>
    <row r="65" spans="1:9" ht="25.5" x14ac:dyDescent="0.2">
      <c r="A65" s="213" t="s">
        <v>118</v>
      </c>
      <c r="B65" s="83" t="s">
        <v>119</v>
      </c>
      <c r="C65" s="83" t="s">
        <v>120</v>
      </c>
      <c r="D65" s="65">
        <f>IF(VLOOKUP(A65,'HBV ĐL HC'!E:AA,15,0)&lt;&gt;0,VLOOKUP(A65,'HBV ĐL HC'!E:AA,15,0),"")</f>
        <v>4.62</v>
      </c>
      <c r="E65" s="45">
        <f>IF(VLOOKUP(A65,'HBV ĐL HC'!E:AA,10,0)&lt;&gt;0,ABS(D65-$D$73),"")</f>
        <v>0</v>
      </c>
      <c r="F65" s="45">
        <f>IF(VLOOKUP(A65,'HBV ĐL HC'!E:AA,10,0)&lt;&gt;0,IF(D65&lt;$E$61,$E$61,IF(D65&gt;$E$62,$E$62,D65)),"")</f>
        <v>4.62</v>
      </c>
      <c r="G65" s="45">
        <f>IF(VLOOKUP(A65,'HBV ĐL HC'!E:AA,10,0)&lt;&gt;0,IF(F65&lt;$G$61,$G$61,IF(F65&gt;$G$62,$G$62,F65)),"")</f>
        <v>4.62</v>
      </c>
      <c r="H65" s="45">
        <f>IF(VLOOKUP(A65,'HBV ĐL HC'!E:AA,10,0)&lt;&gt;0,IF(G65&lt;$H$61,$H$61,IF(G65&gt;$H$62,$H$62,G65)),"")</f>
        <v>4.62</v>
      </c>
      <c r="I65" s="45">
        <f>IF(VLOOKUP(A65,'HBV ĐL HC'!E:AA,10,0)&lt;&gt;0,IF(H65&lt;$I$61,$I$61,IF(H65&gt;$I$62,$I$62,H65)),"")</f>
        <v>4.62</v>
      </c>
    </row>
    <row r="66" spans="1:9" x14ac:dyDescent="0.2">
      <c r="A66" s="266" t="s">
        <v>331</v>
      </c>
      <c r="B66" s="215" t="s">
        <v>325</v>
      </c>
      <c r="C66" s="82" t="s">
        <v>332</v>
      </c>
      <c r="D66" s="65">
        <f>IF(VLOOKUP(A66,'HBV ĐL HC'!E:AA,15,0)&lt;&gt;0,VLOOKUP(A66,'HBV ĐL HC'!E:AA,15,0),"")</f>
        <v>3.53</v>
      </c>
      <c r="E66" s="45">
        <f>IF(VLOOKUP(A66,'HBV ĐL HC'!E:AA,10,0)&lt;&gt;0,ABS(D66-$D$73),"")</f>
        <v>1.0900000000000003</v>
      </c>
      <c r="F66" s="45">
        <f>IF(VLOOKUP(A66,'HBV ĐL HC'!E:AA,10,0)&lt;&gt;0,IF(D66&lt;$E$61,$E$61,IF(D66&gt;$E$62,$E$62,D66)),"")</f>
        <v>3.7079549999999997</v>
      </c>
      <c r="G66" s="45">
        <f>IF(VLOOKUP(A66,'HBV ĐL HC'!E:AA,10,0)&lt;&gt;0,IF(F66&lt;$G$61,$G$61,IF(F66&gt;$G$62,$G$62,F66)),"")</f>
        <v>3.7079549999999997</v>
      </c>
      <c r="H66" s="45">
        <f>IF(VLOOKUP(A66,'HBV ĐL HC'!E:AA,10,0)&lt;&gt;0,IF(G66&lt;$H$61,$H$61,IF(G66&gt;$H$62,$H$62,G66)),"")</f>
        <v>3.7079549999999997</v>
      </c>
      <c r="I66" s="45">
        <f>IF(VLOOKUP(A66,'HBV ĐL HC'!E:AA,10,0)&lt;&gt;0,IF(H66&lt;$I$61,$I$61,IF(H66&gt;$I$62,$I$62,H66)),"")</f>
        <v>3.7079549999999997</v>
      </c>
    </row>
    <row r="67" spans="1:9" ht="25.5" x14ac:dyDescent="0.2">
      <c r="A67" s="266" t="s">
        <v>408</v>
      </c>
      <c r="B67" s="215" t="s">
        <v>365</v>
      </c>
      <c r="C67" s="82" t="s">
        <v>407</v>
      </c>
      <c r="D67" s="65">
        <f>IF(VLOOKUP(A67,'HBV ĐL HC'!E:AA,15,0)&lt;&gt;0,VLOOKUP(A67,'HBV ĐL HC'!E:AA,15,0),"")</f>
        <v>4.74</v>
      </c>
      <c r="E67" s="45">
        <f>IF(VLOOKUP(A67,'HBV ĐL HC'!E:AA,10,0)&lt;&gt;0,ABS(D67-$D$73),"")</f>
        <v>0.12000000000000011</v>
      </c>
      <c r="F67" s="45">
        <f>IF(VLOOKUP(A67,'HBV ĐL HC'!E:AA,10,0)&lt;&gt;0,IF(D67&lt;$E$61,$E$61,IF(D67&gt;$E$62,$E$62,D67)),"")</f>
        <v>4.74</v>
      </c>
      <c r="G67" s="45">
        <f>IF(VLOOKUP(A67,'HBV ĐL HC'!E:AA,10,0)&lt;&gt;0,IF(F67&lt;$G$61,$G$61,IF(F67&gt;$G$62,$G$62,F67)),"")</f>
        <v>4.74</v>
      </c>
      <c r="H67" s="45">
        <f>IF(VLOOKUP(A67,'HBV ĐL HC'!E:AA,10,0)&lt;&gt;0,IF(G67&lt;$H$61,$H$61,IF(G67&gt;$H$62,$H$62,G67)),"")</f>
        <v>4.74</v>
      </c>
      <c r="I67" s="45">
        <f>IF(VLOOKUP(A67,'HBV ĐL HC'!E:AA,10,0)&lt;&gt;0,IF(H67&lt;$I$61,$I$61,IF(H67&gt;$I$62,$I$62,H67)),"")</f>
        <v>4.74</v>
      </c>
    </row>
    <row r="68" spans="1:9" x14ac:dyDescent="0.2">
      <c r="C68" s="38"/>
      <c r="D68" s="65"/>
      <c r="E68" s="42"/>
      <c r="F68" s="42"/>
      <c r="G68" s="42"/>
      <c r="H68" s="42"/>
    </row>
    <row r="69" spans="1:9" x14ac:dyDescent="0.2">
      <c r="D69" s="39"/>
      <c r="E69" s="39"/>
      <c r="F69" s="42"/>
      <c r="G69" s="42"/>
      <c r="H69" s="42"/>
    </row>
    <row r="70" spans="1:9" x14ac:dyDescent="0.2">
      <c r="C70" s="144" t="s">
        <v>282</v>
      </c>
      <c r="D70" s="145">
        <f>AVERAGE(D63:D67)</f>
        <v>4.4400000000000004</v>
      </c>
      <c r="E70" s="146"/>
      <c r="F70" s="145">
        <f>AVERAGE(F63:F67)</f>
        <v>4.4755909999999997</v>
      </c>
      <c r="G70" s="145">
        <f t="shared" ref="G70:I70" si="27">AVERAGE(G63:G67)</f>
        <v>4.4755909999999997</v>
      </c>
      <c r="H70" s="145">
        <f t="shared" si="27"/>
        <v>4.4755909999999997</v>
      </c>
      <c r="I70" s="145">
        <f t="shared" si="27"/>
        <v>4.4755909999999997</v>
      </c>
    </row>
    <row r="71" spans="1:9" x14ac:dyDescent="0.2">
      <c r="C71" s="147" t="s">
        <v>243</v>
      </c>
      <c r="D71" s="148">
        <f>_xlfn.STDEV.S(D63:D67)</f>
        <v>0.59979163048511364</v>
      </c>
      <c r="E71" s="146"/>
      <c r="F71" s="148">
        <f>_xlfn.STDEV.S(F63:F67)</f>
        <v>0.53396073957267787</v>
      </c>
      <c r="G71" s="148">
        <f>_xlfn.STDEV.S(G63:G67)</f>
        <v>0.53396073957267787</v>
      </c>
      <c r="H71" s="148">
        <f>_xlfn.STDEV.S(H63:H67)</f>
        <v>0.53396073957267787</v>
      </c>
      <c r="I71" s="148">
        <f>_xlfn.STDEV.S(I63:I67)</f>
        <v>0.53396073957267787</v>
      </c>
    </row>
    <row r="72" spans="1:9" x14ac:dyDescent="0.2">
      <c r="C72" s="147" t="s">
        <v>283</v>
      </c>
      <c r="D72" s="148">
        <f t="shared" ref="D72" si="28">1.5*D74</f>
        <v>0.91204500000000044</v>
      </c>
      <c r="E72" s="146"/>
      <c r="F72" s="148">
        <f>1.5*F74</f>
        <v>0.90826721801312504</v>
      </c>
      <c r="G72" s="148">
        <f t="shared" ref="G72" si="29">1.5*G74</f>
        <v>0.90826721801312504</v>
      </c>
      <c r="H72" s="148">
        <f>1.5*H74</f>
        <v>0.90826721801312504</v>
      </c>
      <c r="I72" s="148">
        <f t="shared" ref="I72" si="30">1.5*I74</f>
        <v>0.90826721801312504</v>
      </c>
    </row>
    <row r="73" spans="1:9" x14ac:dyDescent="0.2">
      <c r="C73" s="147" t="s">
        <v>284</v>
      </c>
      <c r="D73" s="148">
        <f>MEDIAN(D63:D67)</f>
        <v>4.62</v>
      </c>
      <c r="E73" s="146">
        <f>MEDIAN(E63:E67)</f>
        <v>0.41000000000000014</v>
      </c>
      <c r="F73" s="149">
        <f>AVERAGE(F63:F67)</f>
        <v>4.4755909999999997</v>
      </c>
      <c r="G73" s="149">
        <f t="shared" ref="G73:I73" si="31">AVERAGE(G63:G67)</f>
        <v>4.4755909999999997</v>
      </c>
      <c r="H73" s="149">
        <f t="shared" si="31"/>
        <v>4.4755909999999997</v>
      </c>
      <c r="I73" s="149">
        <f t="shared" si="31"/>
        <v>4.4755909999999997</v>
      </c>
    </row>
    <row r="74" spans="1:9" ht="15.75" x14ac:dyDescent="0.2">
      <c r="C74" s="147" t="s">
        <v>285</v>
      </c>
      <c r="D74" s="148">
        <f>1.483*MEDIAN(E63:E67)</f>
        <v>0.60803000000000029</v>
      </c>
      <c r="E74" s="67">
        <f>1.483*E73</f>
        <v>0.60803000000000029</v>
      </c>
      <c r="F74" s="149">
        <f>1.134*STDEV(F63:F67)</f>
        <v>0.60551147867541666</v>
      </c>
      <c r="G74" s="149">
        <f t="shared" ref="G74:I74" si="32">1.134*STDEV(G63:G67)</f>
        <v>0.60551147867541666</v>
      </c>
      <c r="H74" s="149">
        <f t="shared" si="32"/>
        <v>0.60551147867541666</v>
      </c>
      <c r="I74" s="149">
        <f t="shared" si="32"/>
        <v>0.60551147867541666</v>
      </c>
    </row>
  </sheetData>
  <conditionalFormatting sqref="A27:A33">
    <cfRule type="duplicateValues" dxfId="22" priority="2"/>
  </conditionalFormatting>
  <conditionalFormatting sqref="A63:A67">
    <cfRule type="duplicateValues" dxfId="2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4"/>
  <sheetViews>
    <sheetView topLeftCell="A43" workbookViewId="0">
      <selection activeCell="AL28" sqref="AL28"/>
    </sheetView>
  </sheetViews>
  <sheetFormatPr defaultRowHeight="15.75" x14ac:dyDescent="0.25"/>
  <cols>
    <col min="4" max="4" width="30.375" style="11" customWidth="1"/>
  </cols>
  <sheetData>
    <row r="1" spans="1:10" ht="30" x14ac:dyDescent="0.25">
      <c r="F1" s="16" t="s">
        <v>277</v>
      </c>
      <c r="G1" s="16" t="s">
        <v>278</v>
      </c>
      <c r="H1" s="16" t="s">
        <v>279</v>
      </c>
      <c r="I1" s="16" t="s">
        <v>280</v>
      </c>
      <c r="J1" s="16" t="s">
        <v>281</v>
      </c>
    </row>
    <row r="2" spans="1:10" x14ac:dyDescent="0.25">
      <c r="F2" s="17">
        <f>E52-E51</f>
        <v>4.1334675000000001</v>
      </c>
      <c r="G2" s="16"/>
      <c r="H2" s="16">
        <f>G52-G51</f>
        <v>4.0763306368846024</v>
      </c>
      <c r="I2" s="16">
        <f>H52-H51</f>
        <v>4.0771817868645819</v>
      </c>
      <c r="J2" s="16">
        <f>I52-I51</f>
        <v>4.0774994940382481</v>
      </c>
    </row>
    <row r="3" spans="1:10" x14ac:dyDescent="0.25">
      <c r="F3" s="17">
        <f>E52+E51</f>
        <v>4.9565324999999998</v>
      </c>
      <c r="G3" s="16"/>
      <c r="H3" s="16">
        <f>G52+G51</f>
        <v>4.9520110818653951</v>
      </c>
      <c r="I3" s="16">
        <f>H51+H52</f>
        <v>4.9503121659851779</v>
      </c>
      <c r="J3" s="16">
        <f t="shared" ref="J3" si="0">I51+I52</f>
        <v>4.949675912083972</v>
      </c>
    </row>
    <row r="4" spans="1:10" ht="21" x14ac:dyDescent="0.25">
      <c r="A4" t="s">
        <v>0</v>
      </c>
      <c r="B4" s="26" t="s">
        <v>3</v>
      </c>
      <c r="C4" s="26" t="s">
        <v>4</v>
      </c>
      <c r="D4" s="26" t="s">
        <v>5</v>
      </c>
      <c r="E4" s="32" t="s">
        <v>320</v>
      </c>
      <c r="F4" s="16"/>
      <c r="G4" s="16"/>
      <c r="H4" s="16"/>
      <c r="I4" s="16"/>
      <c r="J4" s="16"/>
    </row>
    <row r="5" spans="1:10" x14ac:dyDescent="0.25">
      <c r="A5">
        <v>1</v>
      </c>
      <c r="B5" s="161" t="s">
        <v>50</v>
      </c>
      <c r="C5" s="160" t="s">
        <v>51</v>
      </c>
      <c r="D5" s="160" t="s">
        <v>52</v>
      </c>
      <c r="E5" s="4" t="str">
        <f>IF(VLOOKUP(B5,'HBV ĐL HC'!E:AA,15,0)&lt;&gt;0,VLOOKUP(B5,'HBV ĐL HC'!E:AA,15,0),"")</f>
        <v/>
      </c>
      <c r="F5" s="12" t="str">
        <f>IF(VLOOKUP(B5,'HBV ĐL HC'!E:AA,15,0)&lt;&gt;"",ABS(E5-$E$52),"")</f>
        <v/>
      </c>
      <c r="G5" s="59" t="str">
        <f>IF(VLOOKUP(B5,'HBV ĐL HC'!E:AA,11,0)&lt;&gt;0,IF(E5&lt;$F$2,$F$2,IF(E5&gt;$F$3,$F$3,E5)),"")</f>
        <v/>
      </c>
      <c r="H5" s="59" t="str">
        <f>IF(VLOOKUP(B5,'HBV ĐL HC'!E:AA,11,0)&lt;&gt;0,IF(G5&lt;$H$2,$H$2,IF(G5&gt;$H$3,$H$3,G5)),"")</f>
        <v/>
      </c>
      <c r="I5" s="59" t="str">
        <f>IF(VLOOKUP(B5,'HBV ĐL HC'!E:AA,11,0)&lt;&gt;0,IF(H5&lt;$I$2,$I$2,IF(H5&gt;$I$3,$I$3,H5)),"")</f>
        <v/>
      </c>
      <c r="J5" s="59" t="str">
        <f>IF(VLOOKUP(B5,'HBV ĐL HC'!E:AA,11,0)&lt;&gt;0,IF(I5&lt;$J$2,$J$2,IF(I5&gt;$J$3,$J$3,I5)),"")</f>
        <v/>
      </c>
    </row>
    <row r="6" spans="1:10" ht="25.5" x14ac:dyDescent="0.25">
      <c r="A6">
        <v>2</v>
      </c>
      <c r="B6" s="170" t="s">
        <v>60</v>
      </c>
      <c r="C6" s="171" t="s">
        <v>61</v>
      </c>
      <c r="D6" s="169" t="s">
        <v>62</v>
      </c>
      <c r="E6" s="4">
        <f>IF(VLOOKUP(B6,'HBV ĐL HC'!E:AA,15,0)&lt;&gt;0,VLOOKUP(B6,'HBV ĐL HC'!E:AA,15,0),"")</f>
        <v>4.5599999999999996</v>
      </c>
      <c r="F6" s="12">
        <f>IF(VLOOKUP(B6,'HBV ĐL HC'!E:AA,15,0)&lt;&gt;"",ABS(E6-$E$52),"")</f>
        <v>1.499999999999968E-2</v>
      </c>
      <c r="G6" s="59">
        <f>IF(VLOOKUP(B6,'HBV ĐL HC'!E:AA,11,0)&lt;&gt;0,IF(E6&lt;$F$2,$F$2,IF(E6&gt;$F$3,$F$3,E6)),"")</f>
        <v>4.5599999999999996</v>
      </c>
      <c r="H6" s="59">
        <f>IF(VLOOKUP(B6,'HBV ĐL HC'!E:AA,11,0)&lt;&gt;0,IF(G6&lt;$H$2,$H$2,IF(G6&gt;$H$3,$H$3,G6)),"")</f>
        <v>4.5599999999999996</v>
      </c>
      <c r="I6" s="59">
        <f>IF(VLOOKUP(B6,'HBV ĐL HC'!E:AA,11,0)&lt;&gt;0,IF(H6&lt;$I$2,$I$2,IF(H6&gt;$I$3,$I$3,H6)),"")</f>
        <v>4.5599999999999996</v>
      </c>
      <c r="J6" s="59">
        <f>IF(VLOOKUP(B6,'HBV ĐL HC'!E:AA,11,0)&lt;&gt;0,IF(I6&lt;$J$2,$J$2,IF(I6&gt;$J$3,$J$3,I6)),"")</f>
        <v>4.5599999999999996</v>
      </c>
    </row>
    <row r="7" spans="1:10" ht="25.5" x14ac:dyDescent="0.25">
      <c r="A7">
        <v>3</v>
      </c>
      <c r="B7" s="176" t="s">
        <v>70</v>
      </c>
      <c r="C7" s="171" t="s">
        <v>71</v>
      </c>
      <c r="D7" s="169" t="s">
        <v>72</v>
      </c>
      <c r="E7" s="4">
        <f>IF(VLOOKUP(B7,'HBV ĐL HC'!E:AA,15,0)&lt;&gt;0,VLOOKUP(B7,'HBV ĐL HC'!E:AA,15,0),"")</f>
        <v>4.67</v>
      </c>
      <c r="F7" s="12">
        <f>IF(VLOOKUP(B7,'HBV ĐL HC'!E:AA,15,0)&lt;&gt;"",ABS(E7-$E$52),"")</f>
        <v>0.125</v>
      </c>
      <c r="G7" s="59">
        <f>IF(VLOOKUP(B7,'HBV ĐL HC'!E:AA,11,0)&lt;&gt;0,IF(E7&lt;$F$2,$F$2,IF(E7&gt;$F$3,$F$3,E7)),"")</f>
        <v>4.67</v>
      </c>
      <c r="H7" s="59">
        <f>IF(VLOOKUP(B7,'HBV ĐL HC'!E:AA,11,0)&lt;&gt;0,IF(G7&lt;$H$2,$H$2,IF(G7&gt;$H$3,$H$3,G7)),"")</f>
        <v>4.67</v>
      </c>
      <c r="I7" s="59">
        <f>IF(VLOOKUP(B7,'HBV ĐL HC'!E:AA,11,0)&lt;&gt;0,IF(H7&lt;$I$2,$I$2,IF(H7&gt;$I$3,$I$3,H7)),"")</f>
        <v>4.67</v>
      </c>
      <c r="J7" s="59">
        <f>IF(VLOOKUP(B7,'HBV ĐL HC'!E:AA,11,0)&lt;&gt;0,IF(I7&lt;$J$2,$J$2,IF(I7&gt;$J$3,$J$3,I7)),"")</f>
        <v>4.67</v>
      </c>
    </row>
    <row r="8" spans="1:10" ht="25.5" x14ac:dyDescent="0.25">
      <c r="A8">
        <v>4</v>
      </c>
      <c r="B8" s="177" t="s">
        <v>169</v>
      </c>
      <c r="C8" s="169" t="s">
        <v>170</v>
      </c>
      <c r="D8" s="169" t="s">
        <v>171</v>
      </c>
      <c r="E8" s="4">
        <f>IF(VLOOKUP(B8,'HBV ĐL HC'!E:AA,15,0)&lt;&gt;0,VLOOKUP(B8,'HBV ĐL HC'!E:AA,15,0),"")</f>
        <v>4.24</v>
      </c>
      <c r="F8" s="12">
        <f>IF(VLOOKUP(B8,'HBV ĐL HC'!E:AA,15,0)&lt;&gt;"",ABS(E8-$E$52),"")</f>
        <v>0.30499999999999972</v>
      </c>
      <c r="G8" s="59">
        <f>IF(VLOOKUP(B8,'HBV ĐL HC'!E:AA,11,0)&lt;&gt;0,IF(E8&lt;$F$2,$F$2,IF(E8&gt;$F$3,$F$3,E8)),"")</f>
        <v>4.24</v>
      </c>
      <c r="H8" s="59">
        <f>IF(VLOOKUP(B8,'HBV ĐL HC'!E:AA,11,0)&lt;&gt;0,IF(G8&lt;$H$2,$H$2,IF(G8&gt;$H$3,$H$3,G8)),"")</f>
        <v>4.24</v>
      </c>
      <c r="I8" s="59">
        <f>IF(VLOOKUP(B8,'HBV ĐL HC'!E:AA,11,0)&lt;&gt;0,IF(H8&lt;$I$2,$I$2,IF(H8&gt;$I$3,$I$3,H8)),"")</f>
        <v>4.24</v>
      </c>
      <c r="J8" s="59">
        <f>IF(VLOOKUP(B8,'HBV ĐL HC'!E:AA,11,0)&lt;&gt;0,IF(I8&lt;$J$2,$J$2,IF(I8&gt;$J$3,$J$3,I8)),"")</f>
        <v>4.24</v>
      </c>
    </row>
    <row r="9" spans="1:10" x14ac:dyDescent="0.25">
      <c r="A9">
        <v>5</v>
      </c>
      <c r="B9" s="179" t="s">
        <v>178</v>
      </c>
      <c r="C9" s="180" t="s">
        <v>179</v>
      </c>
      <c r="D9" s="169" t="s">
        <v>180</v>
      </c>
      <c r="E9" s="4">
        <f>IF(VLOOKUP(B9,'HBV ĐL HC'!E:AA,15,0)&lt;&gt;0,VLOOKUP(B9,'HBV ĐL HC'!E:AA,15,0),"")</f>
        <v>4.49</v>
      </c>
      <c r="F9" s="12">
        <f>IF(VLOOKUP(B9,'HBV ĐL HC'!E:AA,15,0)&lt;&gt;"",ABS(E9-$E$52),"")</f>
        <v>5.4999999999999716E-2</v>
      </c>
      <c r="G9" s="59">
        <f>IF(VLOOKUP(B9,'HBV ĐL HC'!E:AA,11,0)&lt;&gt;0,IF(E9&lt;$F$2,$F$2,IF(E9&gt;$F$3,$F$3,E9)),"")</f>
        <v>4.49</v>
      </c>
      <c r="H9" s="59">
        <f>IF(VLOOKUP(B9,'HBV ĐL HC'!E:AA,11,0)&lt;&gt;0,IF(G9&lt;$H$2,$H$2,IF(G9&gt;$H$3,$H$3,G9)),"")</f>
        <v>4.49</v>
      </c>
      <c r="I9" s="59">
        <f>IF(VLOOKUP(B9,'HBV ĐL HC'!E:AA,11,0)&lt;&gt;0,IF(H9&lt;$I$2,$I$2,IF(H9&gt;$I$3,$I$3,H9)),"")</f>
        <v>4.49</v>
      </c>
      <c r="J9" s="59">
        <f>IF(VLOOKUP(B9,'HBV ĐL HC'!E:AA,11,0)&lt;&gt;0,IF(I9&lt;$J$2,$J$2,IF(I9&gt;$J$3,$J$3,I9)),"")</f>
        <v>4.49</v>
      </c>
    </row>
    <row r="10" spans="1:10" ht="25.5" x14ac:dyDescent="0.25">
      <c r="A10">
        <v>6</v>
      </c>
      <c r="B10" s="179" t="s">
        <v>189</v>
      </c>
      <c r="C10" s="171" t="s">
        <v>190</v>
      </c>
      <c r="D10" s="169" t="s">
        <v>191</v>
      </c>
      <c r="E10" s="4">
        <f>IF(VLOOKUP(B10,'HBV ĐL HC'!E:AA,15,0)&lt;&gt;0,VLOOKUP(B10,'HBV ĐL HC'!E:AA,15,0),"")</f>
        <v>4.84</v>
      </c>
      <c r="F10" s="12">
        <f>IF(VLOOKUP(B10,'HBV ĐL HC'!E:AA,15,0)&lt;&gt;"",ABS(E10-$E$52),"")</f>
        <v>0.29499999999999993</v>
      </c>
      <c r="G10" s="59">
        <f>IF(VLOOKUP(B10,'HBV ĐL HC'!E:AA,11,0)&lt;&gt;0,IF(E10&lt;$F$2,$F$2,IF(E10&gt;$F$3,$F$3,E10)),"")</f>
        <v>4.84</v>
      </c>
      <c r="H10" s="59">
        <f>IF(VLOOKUP(B10,'HBV ĐL HC'!E:AA,11,0)&lt;&gt;0,IF(G10&lt;$H$2,$H$2,IF(G10&gt;$H$3,$H$3,G10)),"")</f>
        <v>4.84</v>
      </c>
      <c r="I10" s="59">
        <f>IF(VLOOKUP(B10,'HBV ĐL HC'!E:AA,11,0)&lt;&gt;0,IF(H10&lt;$I$2,$I$2,IF(H10&gt;$I$3,$I$3,H10)),"")</f>
        <v>4.84</v>
      </c>
      <c r="J10" s="59">
        <f>IF(VLOOKUP(B10,'HBV ĐL HC'!E:AA,11,0)&lt;&gt;0,IF(I10&lt;$J$2,$J$2,IF(I10&gt;$J$3,$J$3,I10)),"")</f>
        <v>4.84</v>
      </c>
    </row>
    <row r="11" spans="1:10" ht="25.5" x14ac:dyDescent="0.25">
      <c r="A11">
        <v>7</v>
      </c>
      <c r="B11" s="179" t="s">
        <v>447</v>
      </c>
      <c r="C11" s="171" t="s">
        <v>79</v>
      </c>
      <c r="D11" s="169" t="s">
        <v>80</v>
      </c>
      <c r="E11" s="4">
        <f>IF(VLOOKUP(B11,'HBV ĐL HC'!E:AA,15,0)&lt;&gt;0,VLOOKUP(B11,'HBV ĐL HC'!E:AA,15,0),"")</f>
        <v>4.59</v>
      </c>
      <c r="F11" s="12">
        <f>IF(VLOOKUP(B11,'HBV ĐL HC'!E:AA,15,0)&lt;&gt;"",ABS(E11-$E$52),"")</f>
        <v>4.4999999999999929E-2</v>
      </c>
      <c r="G11" s="59">
        <f>IF(VLOOKUP(B11,'HBV ĐL HC'!E:AA,11,0)&lt;&gt;0,IF(E11&lt;$F$2,$F$2,IF(E11&gt;$F$3,$F$3,E11)),"")</f>
        <v>4.59</v>
      </c>
      <c r="H11" s="59">
        <f>IF(VLOOKUP(B11,'HBV ĐL HC'!E:AA,11,0)&lt;&gt;0,IF(G11&lt;$H$2,$H$2,IF(G11&gt;$H$3,$H$3,G11)),"")</f>
        <v>4.59</v>
      </c>
      <c r="I11" s="59">
        <f>IF(VLOOKUP(B11,'HBV ĐL HC'!E:AA,11,0)&lt;&gt;0,IF(H11&lt;$I$2,$I$2,IF(H11&gt;$I$3,$I$3,H11)),"")</f>
        <v>4.59</v>
      </c>
      <c r="J11" s="59">
        <f>IF(VLOOKUP(B11,'HBV ĐL HC'!E:AA,11,0)&lt;&gt;0,IF(I11&lt;$J$2,$J$2,IF(I11&gt;$J$3,$J$3,I11)),"")</f>
        <v>4.59</v>
      </c>
    </row>
    <row r="12" spans="1:10" ht="25.5" x14ac:dyDescent="0.25">
      <c r="A12">
        <v>8</v>
      </c>
      <c r="B12" s="179" t="s">
        <v>212</v>
      </c>
      <c r="C12" s="171" t="s">
        <v>213</v>
      </c>
      <c r="D12" s="169" t="s">
        <v>214</v>
      </c>
      <c r="E12" s="4">
        <f>IF(VLOOKUP(B12,'HBV ĐL HC'!E:AA,15,0)&lt;&gt;0,VLOOKUP(B12,'HBV ĐL HC'!E:AA,15,0),"")</f>
        <v>4.99</v>
      </c>
      <c r="F12" s="12">
        <f>IF(VLOOKUP(B12,'HBV ĐL HC'!E:AA,15,0)&lt;&gt;"",ABS(E12-$E$52),"")</f>
        <v>0.44500000000000028</v>
      </c>
      <c r="G12" s="59">
        <f>IF(VLOOKUP(B12,'HBV ĐL HC'!E:AA,11,0)&lt;&gt;0,IF(E12&lt;$F$2,$F$2,IF(E12&gt;$F$3,$F$3,E12)),"")</f>
        <v>4.9565324999999998</v>
      </c>
      <c r="H12" s="59">
        <f>IF(VLOOKUP(B12,'HBV ĐL HC'!E:AA,11,0)&lt;&gt;0,IF(G12&lt;$H$2,$H$2,IF(G12&gt;$H$3,$H$3,G12)),"")</f>
        <v>4.9520110818653951</v>
      </c>
      <c r="I12" s="59">
        <f>IF(VLOOKUP(B12,'HBV ĐL HC'!E:AA,11,0)&lt;&gt;0,IF(H12&lt;$I$2,$I$2,IF(H12&gt;$I$3,$I$3,H12)),"")</f>
        <v>4.9503121659851779</v>
      </c>
      <c r="J12" s="59">
        <f>IF(VLOOKUP(B12,'HBV ĐL HC'!E:AA,11,0)&lt;&gt;0,IF(I12&lt;$J$2,$J$2,IF(I12&gt;$J$3,$J$3,I12)),"")</f>
        <v>4.949675912083972</v>
      </c>
    </row>
    <row r="13" spans="1:10" x14ac:dyDescent="0.25">
      <c r="A13">
        <v>9</v>
      </c>
      <c r="B13" s="179" t="s">
        <v>218</v>
      </c>
      <c r="C13" s="171" t="s">
        <v>219</v>
      </c>
      <c r="D13" s="169" t="s">
        <v>220</v>
      </c>
      <c r="E13" s="4">
        <f>IF(VLOOKUP(B13,'HBV ĐL HC'!E:AA,15,0)&lt;&gt;0,VLOOKUP(B13,'HBV ĐL HC'!E:AA,15,0),"")</f>
        <v>4.8099999999999996</v>
      </c>
      <c r="F13" s="12">
        <f>IF(VLOOKUP(B13,'HBV ĐL HC'!E:AA,15,0)&lt;&gt;"",ABS(E13-$E$52),"")</f>
        <v>0.26499999999999968</v>
      </c>
      <c r="G13" s="59">
        <f>IF(VLOOKUP(B13,'HBV ĐL HC'!E:AA,11,0)&lt;&gt;0,IF(E13&lt;$F$2,$F$2,IF(E13&gt;$F$3,$F$3,E13)),"")</f>
        <v>4.8099999999999996</v>
      </c>
      <c r="H13" s="59">
        <f>IF(VLOOKUP(B13,'HBV ĐL HC'!E:AA,11,0)&lt;&gt;0,IF(G13&lt;$H$2,$H$2,IF(G13&gt;$H$3,$H$3,G13)),"")</f>
        <v>4.8099999999999996</v>
      </c>
      <c r="I13" s="59">
        <f>IF(VLOOKUP(B13,'HBV ĐL HC'!E:AA,11,0)&lt;&gt;0,IF(H13&lt;$I$2,$I$2,IF(H13&gt;$I$3,$I$3,H13)),"")</f>
        <v>4.8099999999999996</v>
      </c>
      <c r="J13" s="59">
        <f>IF(VLOOKUP(B13,'HBV ĐL HC'!E:AA,11,0)&lt;&gt;0,IF(I13&lt;$J$2,$J$2,IF(I13&gt;$J$3,$J$3,I13)),"")</f>
        <v>4.8099999999999996</v>
      </c>
    </row>
    <row r="14" spans="1:10" x14ac:dyDescent="0.25">
      <c r="A14">
        <v>10</v>
      </c>
      <c r="B14" s="179" t="s">
        <v>448</v>
      </c>
      <c r="C14" s="171" t="s">
        <v>85</v>
      </c>
      <c r="D14" s="169" t="s">
        <v>86</v>
      </c>
      <c r="E14" s="4" t="str">
        <f>IF(VLOOKUP(B14,'HBV ĐL HC'!E:AA,15,0)&lt;&gt;0,VLOOKUP(B14,'HBV ĐL HC'!E:AA,15,0),"")</f>
        <v/>
      </c>
      <c r="F14" s="12" t="str">
        <f>IF(VLOOKUP(B14,'HBV ĐL HC'!E:AA,15,0)&lt;&gt;"",ABS(E14-$E$52),"")</f>
        <v/>
      </c>
      <c r="G14" s="59" t="str">
        <f>IF(VLOOKUP(B14,'HBV ĐL HC'!E:AA,11,0)&lt;&gt;0,IF(E14&lt;$F$2,$F$2,IF(E14&gt;$F$3,$F$3,E14)),"")</f>
        <v/>
      </c>
      <c r="H14" s="59" t="str">
        <f>IF(VLOOKUP(B14,'HBV ĐL HC'!E:AA,11,0)&lt;&gt;0,IF(G14&lt;$H$2,$H$2,IF(G14&gt;$H$3,$H$3,G14)),"")</f>
        <v/>
      </c>
      <c r="I14" s="59" t="str">
        <f>IF(VLOOKUP(B14,'HBV ĐL HC'!E:AA,11,0)&lt;&gt;0,IF(H14&lt;$I$2,$I$2,IF(H14&gt;$I$3,$I$3,H14)),"")</f>
        <v/>
      </c>
      <c r="J14" s="59" t="str">
        <f>IF(VLOOKUP(B14,'HBV ĐL HC'!E:AA,11,0)&lt;&gt;0,IF(I14&lt;$J$2,$J$2,IF(I14&gt;$J$3,$J$3,I14)),"")</f>
        <v/>
      </c>
    </row>
    <row r="15" spans="1:10" x14ac:dyDescent="0.25">
      <c r="A15">
        <v>11</v>
      </c>
      <c r="B15" s="185" t="s">
        <v>413</v>
      </c>
      <c r="C15" s="186" t="s">
        <v>250</v>
      </c>
      <c r="D15" s="184" t="s">
        <v>406</v>
      </c>
      <c r="E15" s="4">
        <f>IF(VLOOKUP(B15,'HBV ĐL HC'!E:AA,15,0)&lt;&gt;0,VLOOKUP(B15,'HBV ĐL HC'!E:AA,15,0),"")</f>
        <v>4.6100000000000003</v>
      </c>
      <c r="F15" s="12">
        <f>IF(VLOOKUP(B15,'HBV ĐL HC'!E:AA,15,0)&lt;&gt;"",ABS(E15-$E$52),"")</f>
        <v>6.5000000000000391E-2</v>
      </c>
      <c r="G15" s="59">
        <f>IF(VLOOKUP(B15,'HBV ĐL HC'!E:AA,11,0)&lt;&gt;0,IF(E15&lt;$F$2,$F$2,IF(E15&gt;$F$3,$F$3,E15)),"")</f>
        <v>4.6100000000000003</v>
      </c>
      <c r="H15" s="59">
        <f>IF(VLOOKUP(B15,'HBV ĐL HC'!E:AA,11,0)&lt;&gt;0,IF(G15&lt;$H$2,$H$2,IF(G15&gt;$H$3,$H$3,G15)),"")</f>
        <v>4.6100000000000003</v>
      </c>
      <c r="I15" s="59">
        <f>IF(VLOOKUP(B15,'HBV ĐL HC'!E:AA,11,0)&lt;&gt;0,IF(H15&lt;$I$2,$I$2,IF(H15&gt;$I$3,$I$3,H15)),"")</f>
        <v>4.6100000000000003</v>
      </c>
      <c r="J15" s="59">
        <f>IF(VLOOKUP(B15,'HBV ĐL HC'!E:AA,11,0)&lt;&gt;0,IF(I15&lt;$J$2,$J$2,IF(I15&gt;$J$3,$J$3,I15)),"")</f>
        <v>4.6100000000000003</v>
      </c>
    </row>
    <row r="16" spans="1:10" ht="25.5" x14ac:dyDescent="0.25">
      <c r="A16">
        <v>12</v>
      </c>
      <c r="B16" s="185" t="s">
        <v>410</v>
      </c>
      <c r="C16" s="186" t="s">
        <v>366</v>
      </c>
      <c r="D16" s="184" t="s">
        <v>409</v>
      </c>
      <c r="E16" s="4">
        <f>IF(VLOOKUP(B16,'HBV ĐL HC'!E:AA,15,0)&lt;&gt;0,VLOOKUP(B16,'HBV ĐL HC'!E:AA,15,0),"")</f>
        <v>4.6900000000000004</v>
      </c>
      <c r="F16" s="12">
        <f>IF(VLOOKUP(B16,'HBV ĐL HC'!E:AA,15,0)&lt;&gt;"",ABS(E16-$E$52),"")</f>
        <v>0.14500000000000046</v>
      </c>
      <c r="G16" s="59">
        <f>IF(VLOOKUP(B16,'HBV ĐL HC'!E:AA,11,0)&lt;&gt;0,IF(E16&lt;$F$2,$F$2,IF(E16&gt;$F$3,$F$3,E16)),"")</f>
        <v>4.6900000000000004</v>
      </c>
      <c r="H16" s="59">
        <f>IF(VLOOKUP(B16,'HBV ĐL HC'!E:AA,11,0)&lt;&gt;0,IF(G16&lt;$H$2,$H$2,IF(G16&gt;$H$3,$H$3,G16)),"")</f>
        <v>4.6900000000000004</v>
      </c>
      <c r="I16" s="59">
        <f>IF(VLOOKUP(B16,'HBV ĐL HC'!E:AA,11,0)&lt;&gt;0,IF(H16&lt;$I$2,$I$2,IF(H16&gt;$I$3,$I$3,H16)),"")</f>
        <v>4.6900000000000004</v>
      </c>
      <c r="J16" s="59">
        <f>IF(VLOOKUP(B16,'HBV ĐL HC'!E:AA,11,0)&lt;&gt;0,IF(I16&lt;$J$2,$J$2,IF(I16&gt;$J$3,$J$3,I16)),"")</f>
        <v>4.6900000000000004</v>
      </c>
    </row>
    <row r="17" spans="1:10" x14ac:dyDescent="0.25">
      <c r="A17">
        <v>13</v>
      </c>
      <c r="B17" s="188" t="s">
        <v>105</v>
      </c>
      <c r="C17" s="186" t="s">
        <v>106</v>
      </c>
      <c r="D17" s="184" t="s">
        <v>107</v>
      </c>
      <c r="E17" s="4">
        <f>IF(VLOOKUP(B17,'HBV ĐL HC'!E:AA,15,0)&lt;&gt;0,VLOOKUP(B17,'HBV ĐL HC'!E:AA,15,0),"")</f>
        <v>4.4400000000000004</v>
      </c>
      <c r="F17" s="12">
        <f>IF(VLOOKUP(B17,'HBV ĐL HC'!E:AA,15,0)&lt;&gt;"",ABS(E17-$E$52),"")</f>
        <v>0.10499999999999954</v>
      </c>
      <c r="G17" s="59">
        <f>IF(VLOOKUP(B17,'HBV ĐL HC'!E:AA,11,0)&lt;&gt;0,IF(E17&lt;$F$2,$F$2,IF(E17&gt;$F$3,$F$3,E17)),"")</f>
        <v>4.4400000000000004</v>
      </c>
      <c r="H17" s="59">
        <f>IF(VLOOKUP(B17,'HBV ĐL HC'!E:AA,11,0)&lt;&gt;0,IF(G17&lt;$H$2,$H$2,IF(G17&gt;$H$3,$H$3,G17)),"")</f>
        <v>4.4400000000000004</v>
      </c>
      <c r="I17" s="59">
        <f>IF(VLOOKUP(B17,'HBV ĐL HC'!E:AA,11,0)&lt;&gt;0,IF(H17&lt;$I$2,$I$2,IF(H17&gt;$I$3,$I$3,H17)),"")</f>
        <v>4.4400000000000004</v>
      </c>
      <c r="J17" s="59">
        <f>IF(VLOOKUP(B17,'HBV ĐL HC'!E:AA,11,0)&lt;&gt;0,IF(I17&lt;$J$2,$J$2,IF(I17&gt;$J$3,$J$3,I17)),"")</f>
        <v>4.4400000000000004</v>
      </c>
    </row>
    <row r="18" spans="1:10" x14ac:dyDescent="0.25">
      <c r="A18">
        <v>14</v>
      </c>
      <c r="B18" s="188" t="s">
        <v>109</v>
      </c>
      <c r="C18" s="186" t="s">
        <v>110</v>
      </c>
      <c r="D18" s="184" t="s">
        <v>111</v>
      </c>
      <c r="E18" s="4" t="str">
        <f>IF(VLOOKUP(B18,'HBV ĐL HC'!E:AA,15,0)&lt;&gt;0,VLOOKUP(B18,'HBV ĐL HC'!E:AA,15,0),"")</f>
        <v/>
      </c>
      <c r="F18" s="12" t="str">
        <f>IF(VLOOKUP(B18,'HBV ĐL HC'!E:AA,15,0)&lt;&gt;"",ABS(E18-$E$52),"")</f>
        <v/>
      </c>
      <c r="G18" s="59" t="str">
        <f>IF(VLOOKUP(B18,'HBV ĐL HC'!E:AA,11,0)&lt;&gt;0,IF(E18&lt;$F$2,$F$2,IF(E18&gt;$F$3,$F$3,E18)),"")</f>
        <v/>
      </c>
      <c r="H18" s="59" t="str">
        <f>IF(VLOOKUP(B18,'HBV ĐL HC'!E:AA,11,0)&lt;&gt;0,IF(G18&lt;$H$2,$H$2,IF(G18&gt;$H$3,$H$3,G18)),"")</f>
        <v/>
      </c>
      <c r="I18" s="59" t="str">
        <f>IF(VLOOKUP(B18,'HBV ĐL HC'!E:AA,11,0)&lt;&gt;0,IF(H18&lt;$I$2,$I$2,IF(H18&gt;$I$3,$I$3,H18)),"")</f>
        <v/>
      </c>
      <c r="J18" s="59" t="str">
        <f>IF(VLOOKUP(B18,'HBV ĐL HC'!E:AA,11,0)&lt;&gt;0,IF(I18&lt;$J$2,$J$2,IF(I18&gt;$J$3,$J$3,I18)),"")</f>
        <v/>
      </c>
    </row>
    <row r="19" spans="1:10" x14ac:dyDescent="0.25">
      <c r="A19">
        <v>15</v>
      </c>
      <c r="B19" s="193" t="s">
        <v>124</v>
      </c>
      <c r="C19" s="273" t="s">
        <v>125</v>
      </c>
      <c r="D19" s="273" t="s">
        <v>126</v>
      </c>
      <c r="E19" s="4">
        <f>IF(VLOOKUP(B19,'HBV ĐL HC'!E:AA,15,0)&lt;&gt;0,VLOOKUP(B19,'HBV ĐL HC'!E:AA,15,0),"")</f>
        <v>4.68</v>
      </c>
      <c r="F19" s="12">
        <f>IF(VLOOKUP(B19,'HBV ĐL HC'!E:AA,15,0)&lt;&gt;"",ABS(E19-$E$52),"")</f>
        <v>0.13499999999999979</v>
      </c>
      <c r="G19" s="59">
        <f>IF(VLOOKUP(B19,'HBV ĐL HC'!E:AA,11,0)&lt;&gt;0,IF(E19&lt;$F$2,$F$2,IF(E19&gt;$F$3,$F$3,E19)),"")</f>
        <v>4.68</v>
      </c>
      <c r="H19" s="59">
        <f>IF(VLOOKUP(B19,'HBV ĐL HC'!E:AA,11,0)&lt;&gt;0,IF(G19&lt;$H$2,$H$2,IF(G19&gt;$H$3,$H$3,G19)),"")</f>
        <v>4.68</v>
      </c>
      <c r="I19" s="59">
        <f>IF(VLOOKUP(B19,'HBV ĐL HC'!E:AA,11,0)&lt;&gt;0,IF(H19&lt;$I$2,$I$2,IF(H19&gt;$I$3,$I$3,H19)),"")</f>
        <v>4.68</v>
      </c>
      <c r="J19" s="59">
        <f>IF(VLOOKUP(B19,'HBV ĐL HC'!E:AA,11,0)&lt;&gt;0,IF(I19&lt;$J$2,$J$2,IF(I19&gt;$J$3,$J$3,I19)),"")</f>
        <v>4.68</v>
      </c>
    </row>
    <row r="20" spans="1:10" x14ac:dyDescent="0.25">
      <c r="A20">
        <v>16</v>
      </c>
      <c r="B20" s="185" t="s">
        <v>132</v>
      </c>
      <c r="C20" s="186" t="s">
        <v>133</v>
      </c>
      <c r="D20" s="186" t="s">
        <v>134</v>
      </c>
      <c r="E20" s="4">
        <f>IF(VLOOKUP(B20,'HBV ĐL HC'!E:AA,15,0)&lt;&gt;0,VLOOKUP(B20,'HBV ĐL HC'!E:AA,15,0),"")</f>
        <v>4.42</v>
      </c>
      <c r="F20" s="12">
        <f>IF(VLOOKUP(B20,'HBV ĐL HC'!E:AA,15,0)&lt;&gt;"",ABS(E20-$E$52),"")</f>
        <v>0.125</v>
      </c>
      <c r="G20" s="59">
        <f>IF(VLOOKUP(B20,'HBV ĐL HC'!E:AA,11,0)&lt;&gt;0,IF(E20&lt;$F$2,$F$2,IF(E20&gt;$F$3,$F$3,E20)),"")</f>
        <v>4.42</v>
      </c>
      <c r="H20" s="59">
        <f>IF(VLOOKUP(B20,'HBV ĐL HC'!E:AA,11,0)&lt;&gt;0,IF(G20&lt;$H$2,$H$2,IF(G20&gt;$H$3,$H$3,G20)),"")</f>
        <v>4.42</v>
      </c>
      <c r="I20" s="59">
        <f>IF(VLOOKUP(B20,'HBV ĐL HC'!E:AA,11,0)&lt;&gt;0,IF(H20&lt;$I$2,$I$2,IF(H20&gt;$I$3,$I$3,H20)),"")</f>
        <v>4.42</v>
      </c>
      <c r="J20" s="59">
        <f>IF(VLOOKUP(B20,'HBV ĐL HC'!E:AA,11,0)&lt;&gt;0,IF(I20&lt;$J$2,$J$2,IF(I20&gt;$J$3,$J$3,I20)),"")</f>
        <v>4.42</v>
      </c>
    </row>
    <row r="21" spans="1:10" x14ac:dyDescent="0.25">
      <c r="A21">
        <v>17</v>
      </c>
      <c r="B21" s="185" t="s">
        <v>457</v>
      </c>
      <c r="C21" s="186" t="s">
        <v>85</v>
      </c>
      <c r="D21" s="186" t="s">
        <v>86</v>
      </c>
      <c r="E21" s="4" t="str">
        <f>IF(VLOOKUP(B21,'HBV ĐL HC'!E:AA,15,0)&lt;&gt;0,VLOOKUP(B21,'HBV ĐL HC'!E:AA,15,0),"")</f>
        <v/>
      </c>
      <c r="F21" s="12" t="str">
        <f>IF(VLOOKUP(B21,'HBV ĐL HC'!E:AA,15,0)&lt;&gt;"",ABS(E21-$E$52),"")</f>
        <v/>
      </c>
      <c r="G21" s="59" t="str">
        <f>IF(VLOOKUP(B21,'HBV ĐL HC'!E:AA,11,0)&lt;&gt;0,IF(E21&lt;$F$2,$F$2,IF(E21&gt;$F$3,$F$3,E21)),"")</f>
        <v/>
      </c>
      <c r="H21" s="59" t="str">
        <f>IF(VLOOKUP(B21,'HBV ĐL HC'!E:AA,11,0)&lt;&gt;0,IF(G21&lt;$H$2,$H$2,IF(G21&gt;$H$3,$H$3,G21)),"")</f>
        <v/>
      </c>
      <c r="I21" s="59" t="str">
        <f>IF(VLOOKUP(B21,'HBV ĐL HC'!E:AA,11,0)&lt;&gt;0,IF(H21&lt;$I$2,$I$2,IF(H21&gt;$I$3,$I$3,H21)),"")</f>
        <v/>
      </c>
      <c r="J21" s="59" t="str">
        <f>IF(VLOOKUP(B21,'HBV ĐL HC'!E:AA,11,0)&lt;&gt;0,IF(I21&lt;$J$2,$J$2,IF(I21&gt;$J$3,$J$3,I21)),"")</f>
        <v/>
      </c>
    </row>
    <row r="22" spans="1:10" ht="25.5" x14ac:dyDescent="0.25">
      <c r="A22">
        <v>18</v>
      </c>
      <c r="B22" s="198" t="s">
        <v>138</v>
      </c>
      <c r="C22" s="199" t="s">
        <v>139</v>
      </c>
      <c r="D22" s="197" t="s">
        <v>140</v>
      </c>
      <c r="E22" s="4">
        <f>IF(VLOOKUP(B22,'HBV ĐL HC'!E:AA,15,0)&lt;&gt;0,VLOOKUP(B22,'HBV ĐL HC'!E:AA,15,0),"")</f>
        <v>5.92</v>
      </c>
      <c r="F22" s="12">
        <f>IF(VLOOKUP(B22,'HBV ĐL HC'!E:AA,15,0)&lt;&gt;"",ABS(E22-$E$52),"")</f>
        <v>1.375</v>
      </c>
      <c r="G22" s="59">
        <f>IF(VLOOKUP(B22,'HBV ĐL HC'!E:AA,11,0)&lt;&gt;0,IF(E22&lt;$F$2,$F$2,IF(E22&gt;$F$3,$F$3,E22)),"")</f>
        <v>4.9565324999999998</v>
      </c>
      <c r="H22" s="59">
        <f>IF(VLOOKUP(B22,'HBV ĐL HC'!E:AA,11,0)&lt;&gt;0,IF(G22&lt;$H$2,$H$2,IF(G22&gt;$H$3,$H$3,G22)),"")</f>
        <v>4.9520110818653951</v>
      </c>
      <c r="I22" s="59">
        <f>IF(VLOOKUP(B22,'HBV ĐL HC'!E:AA,11,0)&lt;&gt;0,IF(H22&lt;$I$2,$I$2,IF(H22&gt;$I$3,$I$3,H22)),"")</f>
        <v>4.9503121659851779</v>
      </c>
      <c r="J22" s="59">
        <f>IF(VLOOKUP(B22,'HBV ĐL HC'!E:AA,11,0)&lt;&gt;0,IF(I22&lt;$J$2,$J$2,IF(I22&gt;$J$3,$J$3,I22)),"")</f>
        <v>4.949675912083972</v>
      </c>
    </row>
    <row r="23" spans="1:10" ht="25.5" x14ac:dyDescent="0.25">
      <c r="A23">
        <v>19</v>
      </c>
      <c r="B23" s="204" t="s">
        <v>147</v>
      </c>
      <c r="C23" s="205" t="s">
        <v>148</v>
      </c>
      <c r="D23" s="205" t="s">
        <v>149</v>
      </c>
      <c r="E23" s="4">
        <f>IF(VLOOKUP(B23,'HBV ĐL HC'!E:AA,15,0)&lt;&gt;0,VLOOKUP(B23,'HBV ĐL HC'!E:AA,15,0),"")</f>
        <v>4.53</v>
      </c>
      <c r="F23" s="12">
        <f>IF(VLOOKUP(B23,'HBV ĐL HC'!E:AA,15,0)&lt;&gt;"",ABS(E23-$E$52),"")</f>
        <v>1.499999999999968E-2</v>
      </c>
      <c r="G23" s="59">
        <f>IF(VLOOKUP(B23,'HBV ĐL HC'!E:AA,11,0)&lt;&gt;0,IF(E23&lt;$F$2,$F$2,IF(E23&gt;$F$3,$F$3,E23)),"")</f>
        <v>4.53</v>
      </c>
      <c r="H23" s="59">
        <f>IF(VLOOKUP(B23,'HBV ĐL HC'!E:AA,11,0)&lt;&gt;0,IF(G23&lt;$H$2,$H$2,IF(G23&gt;$H$3,$H$3,G23)),"")</f>
        <v>4.53</v>
      </c>
      <c r="I23" s="59">
        <f>IF(VLOOKUP(B23,'HBV ĐL HC'!E:AA,11,0)&lt;&gt;0,IF(H23&lt;$I$2,$I$2,IF(H23&gt;$I$3,$I$3,H23)),"")</f>
        <v>4.53</v>
      </c>
      <c r="J23" s="59">
        <f>IF(VLOOKUP(B23,'HBV ĐL HC'!E:AA,11,0)&lt;&gt;0,IF(I23&lt;$J$2,$J$2,IF(I23&gt;$J$3,$J$3,I23)),"")</f>
        <v>4.53</v>
      </c>
    </row>
    <row r="24" spans="1:10" x14ac:dyDescent="0.25">
      <c r="A24">
        <v>20</v>
      </c>
      <c r="B24" s="279" t="s">
        <v>92</v>
      </c>
      <c r="C24" s="278" t="s">
        <v>93</v>
      </c>
      <c r="D24" s="278" t="s">
        <v>94</v>
      </c>
      <c r="E24" s="4">
        <f>IF(VLOOKUP(B24,'HBV ĐL HC'!E:AA,15,0)&lt;&gt;0,VLOOKUP(B24,'HBV ĐL HC'!E:AA,15,0),"")</f>
        <v>4.2300000000000004</v>
      </c>
      <c r="F24" s="12">
        <f>IF(VLOOKUP(B24,'HBV ĐL HC'!E:AA,15,0)&lt;&gt;"",ABS(E24-$E$52),"")</f>
        <v>0.3149999999999995</v>
      </c>
      <c r="G24" s="59">
        <f>IF(VLOOKUP(B24,'HBV ĐL HC'!E:AA,11,0)&lt;&gt;0,IF(E24&lt;$F$2,$F$2,IF(E24&gt;$F$3,$F$3,E24)),"")</f>
        <v>4.2300000000000004</v>
      </c>
      <c r="H24" s="59">
        <f>IF(VLOOKUP(B24,'HBV ĐL HC'!E:AA,11,0)&lt;&gt;0,IF(G24&lt;$H$2,$H$2,IF(G24&gt;$H$3,$H$3,G24)),"")</f>
        <v>4.2300000000000004</v>
      </c>
      <c r="I24" s="59">
        <f>IF(VLOOKUP(B24,'HBV ĐL HC'!E:AA,11,0)&lt;&gt;0,IF(H24&lt;$I$2,$I$2,IF(H24&gt;$I$3,$I$3,H24)),"")</f>
        <v>4.2300000000000004</v>
      </c>
      <c r="J24" s="59">
        <f>IF(VLOOKUP(B24,'HBV ĐL HC'!E:AA,11,0)&lt;&gt;0,IF(I24&lt;$J$2,$J$2,IF(I24&gt;$J$3,$J$3,I24)),"")</f>
        <v>4.2300000000000004</v>
      </c>
    </row>
    <row r="25" spans="1:10" ht="25.5" x14ac:dyDescent="0.25">
      <c r="A25">
        <v>21</v>
      </c>
      <c r="B25" s="204" t="s">
        <v>403</v>
      </c>
      <c r="C25" s="199" t="s">
        <v>364</v>
      </c>
      <c r="D25" s="199" t="s">
        <v>402</v>
      </c>
      <c r="E25" s="4">
        <f>IF(VLOOKUP(B25,'HBV ĐL HC'!E:AA,15,0)&lt;&gt;0,VLOOKUP(B25,'HBV ĐL HC'!E:AA,15,0),"")</f>
        <v>4.3</v>
      </c>
      <c r="F25" s="12">
        <f>IF(VLOOKUP(B25,'HBV ĐL HC'!E:AA,15,0)&lt;&gt;"",ABS(E25-$E$52),"")</f>
        <v>0.24500000000000011</v>
      </c>
      <c r="G25" s="59">
        <f>IF(VLOOKUP(B25,'HBV ĐL HC'!E:AA,11,0)&lt;&gt;0,IF(E25&lt;$F$2,$F$2,IF(E25&gt;$F$3,$F$3,E25)),"")</f>
        <v>4.3</v>
      </c>
      <c r="H25" s="59">
        <f>IF(VLOOKUP(B25,'HBV ĐL HC'!E:AA,11,0)&lt;&gt;0,IF(G25&lt;$H$2,$H$2,IF(G25&gt;$H$3,$H$3,G25)),"")</f>
        <v>4.3</v>
      </c>
      <c r="I25" s="59">
        <f>IF(VLOOKUP(B25,'HBV ĐL HC'!E:AA,11,0)&lt;&gt;0,IF(H25&lt;$I$2,$I$2,IF(H25&gt;$I$3,$I$3,H25)),"")</f>
        <v>4.3</v>
      </c>
      <c r="J25" s="59">
        <f>IF(VLOOKUP(B25,'HBV ĐL HC'!E:AA,11,0)&lt;&gt;0,IF(I25&lt;$J$2,$J$2,IF(I25&gt;$J$3,$J$3,I25)),"")</f>
        <v>4.3</v>
      </c>
    </row>
    <row r="26" spans="1:10" ht="25.5" x14ac:dyDescent="0.25">
      <c r="A26">
        <v>22</v>
      </c>
      <c r="B26" s="198" t="s">
        <v>209</v>
      </c>
      <c r="C26" s="199" t="s">
        <v>210</v>
      </c>
      <c r="D26" s="197" t="s">
        <v>211</v>
      </c>
      <c r="E26" s="4">
        <f>IF(VLOOKUP(B26,'HBV ĐL HC'!E:AA,15,0)&lt;&gt;0,VLOOKUP(B26,'HBV ĐL HC'!E:AA,15,0),"")</f>
        <v>4.68</v>
      </c>
      <c r="F26" s="12">
        <f>IF(VLOOKUP(B26,'HBV ĐL HC'!E:AA,15,0)&lt;&gt;"",ABS(E26-$E$52),"")</f>
        <v>0.13499999999999979</v>
      </c>
      <c r="G26" s="59">
        <f>IF(VLOOKUP(B26,'HBV ĐL HC'!E:AA,11,0)&lt;&gt;0,IF(E26&lt;$F$2,$F$2,IF(E26&gt;$F$3,$F$3,E26)),"")</f>
        <v>4.68</v>
      </c>
      <c r="H26" s="59">
        <f>IF(VLOOKUP(B26,'HBV ĐL HC'!E:AA,11,0)&lt;&gt;0,IF(G26&lt;$H$2,$H$2,IF(G26&gt;$H$3,$H$3,G26)),"")</f>
        <v>4.68</v>
      </c>
      <c r="I26" s="59">
        <f>IF(VLOOKUP(B26,'HBV ĐL HC'!E:AA,11,0)&lt;&gt;0,IF(H26&lt;$I$2,$I$2,IF(H26&gt;$I$3,$I$3,H26)),"")</f>
        <v>4.68</v>
      </c>
      <c r="J26" s="59">
        <f>IF(VLOOKUP(B26,'HBV ĐL HC'!E:AA,11,0)&lt;&gt;0,IF(I26&lt;$J$2,$J$2,IF(I26&gt;$J$3,$J$3,I26)),"")</f>
        <v>4.68</v>
      </c>
    </row>
    <row r="27" spans="1:10" ht="25.5" x14ac:dyDescent="0.25">
      <c r="A27">
        <v>23</v>
      </c>
      <c r="B27" s="208" t="s">
        <v>196</v>
      </c>
      <c r="C27" s="209" t="s">
        <v>197</v>
      </c>
      <c r="D27" s="207" t="s">
        <v>198</v>
      </c>
      <c r="E27" s="4">
        <f>IF(VLOOKUP(B27,'HBV ĐL HC'!E:AA,15,0)&lt;&gt;0,VLOOKUP(B27,'HBV ĐL HC'!E:AA,15,0),"")</f>
        <v>4.21</v>
      </c>
      <c r="F27" s="12">
        <f>IF(VLOOKUP(B27,'HBV ĐL HC'!E:AA,15,0)&lt;&gt;"",ABS(E27-$E$52),"")</f>
        <v>0.33499999999999996</v>
      </c>
      <c r="G27" s="59">
        <f>IF(VLOOKUP(B27,'HBV ĐL HC'!E:AA,11,0)&lt;&gt;0,IF(E27&lt;$F$2,$F$2,IF(E27&gt;$F$3,$F$3,E27)),"")</f>
        <v>4.21</v>
      </c>
      <c r="H27" s="59">
        <f>IF(VLOOKUP(B27,'HBV ĐL HC'!E:AA,11,0)&lt;&gt;0,IF(G27&lt;$H$2,$H$2,IF(G27&gt;$H$3,$H$3,G27)),"")</f>
        <v>4.21</v>
      </c>
      <c r="I27" s="59">
        <f>IF(VLOOKUP(B27,'HBV ĐL HC'!E:AA,11,0)&lt;&gt;0,IF(H27&lt;$I$2,$I$2,IF(H27&gt;$I$3,$I$3,H27)),"")</f>
        <v>4.21</v>
      </c>
      <c r="J27" s="59">
        <f>IF(VLOOKUP(B27,'HBV ĐL HC'!E:AA,11,0)&lt;&gt;0,IF(I27&lt;$J$2,$J$2,IF(I27&gt;$J$3,$J$3,I27)),"")</f>
        <v>4.21</v>
      </c>
    </row>
    <row r="28" spans="1:10" ht="25.5" x14ac:dyDescent="0.25">
      <c r="A28">
        <v>24</v>
      </c>
      <c r="B28" s="213" t="s">
        <v>412</v>
      </c>
      <c r="C28" s="209" t="s">
        <v>367</v>
      </c>
      <c r="D28" s="207" t="s">
        <v>411</v>
      </c>
      <c r="E28" s="4">
        <f>IF(VLOOKUP(B28,'HBV ĐL HC'!E:AA,15,0)&lt;&gt;0,VLOOKUP(B28,'HBV ĐL HC'!E:AA,15,0),"")</f>
        <v>5.0999999999999996</v>
      </c>
      <c r="F28" s="12">
        <f>IF(VLOOKUP(B28,'HBV ĐL HC'!E:AA,15,0)&lt;&gt;"",ABS(E28-$E$52),"")</f>
        <v>0.55499999999999972</v>
      </c>
      <c r="G28" s="59">
        <f>IF(VLOOKUP(B28,'HBV ĐL HC'!E:AA,11,0)&lt;&gt;0,IF(E28&lt;$F$2,$F$2,IF(E28&gt;$F$3,$F$3,E28)),"")</f>
        <v>4.9565324999999998</v>
      </c>
      <c r="H28" s="59">
        <f>IF(VLOOKUP(B28,'HBV ĐL HC'!E:AA,11,0)&lt;&gt;0,IF(G28&lt;$H$2,$H$2,IF(G28&gt;$H$3,$H$3,G28)),"")</f>
        <v>4.9520110818653951</v>
      </c>
      <c r="I28" s="59">
        <f>IF(VLOOKUP(B28,'HBV ĐL HC'!E:AA,11,0)&lt;&gt;0,IF(H28&lt;$I$2,$I$2,IF(H28&gt;$I$3,$I$3,H28)),"")</f>
        <v>4.9503121659851779</v>
      </c>
      <c r="J28" s="59">
        <f>IF(VLOOKUP(B28,'HBV ĐL HC'!E:AA,11,0)&lt;&gt;0,IF(I28&lt;$J$2,$J$2,IF(I28&gt;$J$3,$J$3,I28)),"")</f>
        <v>4.949675912083972</v>
      </c>
    </row>
    <row r="29" spans="1:10" x14ac:dyDescent="0.25">
      <c r="A29">
        <v>25</v>
      </c>
      <c r="B29" s="213" t="s">
        <v>118</v>
      </c>
      <c r="C29" s="83" t="s">
        <v>119</v>
      </c>
      <c r="D29" s="83" t="s">
        <v>120</v>
      </c>
      <c r="E29" s="4">
        <f>IF(VLOOKUP(B29,'HBV ĐL HC'!E:AA,15,0)&lt;&gt;0,VLOOKUP(B29,'HBV ĐL HC'!E:AA,15,0),"")</f>
        <v>4.62</v>
      </c>
      <c r="F29" s="12">
        <f>IF(VLOOKUP(B29,'HBV ĐL HC'!E:AA,15,0)&lt;&gt;"",ABS(E29-$E$52),"")</f>
        <v>7.5000000000000178E-2</v>
      </c>
      <c r="G29" s="59">
        <f>IF(VLOOKUP(B29,'HBV ĐL HC'!E:AA,11,0)&lt;&gt;0,IF(E29&lt;$F$2,$F$2,IF(E29&gt;$F$3,$F$3,E29)),"")</f>
        <v>4.62</v>
      </c>
      <c r="H29" s="59">
        <f>IF(VLOOKUP(B29,'HBV ĐL HC'!E:AA,11,0)&lt;&gt;0,IF(G29&lt;$H$2,$H$2,IF(G29&gt;$H$3,$H$3,G29)),"")</f>
        <v>4.62</v>
      </c>
      <c r="I29" s="59">
        <f>IF(VLOOKUP(B29,'HBV ĐL HC'!E:AA,11,0)&lt;&gt;0,IF(H29&lt;$I$2,$I$2,IF(H29&gt;$I$3,$I$3,H29)),"")</f>
        <v>4.62</v>
      </c>
      <c r="J29" s="59">
        <f>IF(VLOOKUP(B29,'HBV ĐL HC'!E:AA,11,0)&lt;&gt;0,IF(I29&lt;$J$2,$J$2,IF(I29&gt;$J$3,$J$3,I29)),"")</f>
        <v>4.62</v>
      </c>
    </row>
    <row r="30" spans="1:10" x14ac:dyDescent="0.25">
      <c r="A30">
        <v>26</v>
      </c>
      <c r="B30" s="266" t="s">
        <v>331</v>
      </c>
      <c r="C30" s="215" t="s">
        <v>325</v>
      </c>
      <c r="D30" s="82" t="s">
        <v>332</v>
      </c>
      <c r="E30" s="4">
        <f>IF(VLOOKUP(B30,'HBV ĐL HC'!E:AA,15,0)&lt;&gt;0,VLOOKUP(B30,'HBV ĐL HC'!E:AA,15,0),"")</f>
        <v>3.53</v>
      </c>
      <c r="F30" s="12">
        <f>IF(VLOOKUP(B30,'HBV ĐL HC'!E:AA,15,0)&lt;&gt;"",ABS(E30-$E$52),"")</f>
        <v>1.0150000000000001</v>
      </c>
      <c r="G30" s="59">
        <f>IF(VLOOKUP(B30,'HBV ĐL HC'!E:AA,11,0)&lt;&gt;0,IF(E30&lt;$F$2,$F$2,IF(E30&gt;$F$3,$F$3,E30)),"")</f>
        <v>4.1334675000000001</v>
      </c>
      <c r="H30" s="59">
        <f>IF(VLOOKUP(B30,'HBV ĐL HC'!E:AA,11,0)&lt;&gt;0,IF(G30&lt;$H$2,$H$2,IF(G30&gt;$H$3,$H$3,G30)),"")</f>
        <v>4.1334675000000001</v>
      </c>
      <c r="I30" s="59">
        <f>IF(VLOOKUP(B30,'HBV ĐL HC'!E:AA,11,0)&lt;&gt;0,IF(H30&lt;$I$2,$I$2,IF(H30&gt;$I$3,$I$3,H30)),"")</f>
        <v>4.1334675000000001</v>
      </c>
      <c r="J30" s="59">
        <f>IF(VLOOKUP(B30,'HBV ĐL HC'!E:AA,11,0)&lt;&gt;0,IF(I30&lt;$J$2,$J$2,IF(I30&gt;$J$3,$J$3,I30)),"")</f>
        <v>4.1334675000000001</v>
      </c>
    </row>
    <row r="31" spans="1:10" ht="25.5" x14ac:dyDescent="0.25">
      <c r="A31">
        <v>27</v>
      </c>
      <c r="B31" s="266" t="s">
        <v>408</v>
      </c>
      <c r="C31" s="215" t="s">
        <v>365</v>
      </c>
      <c r="D31" s="82" t="s">
        <v>407</v>
      </c>
      <c r="E31" s="4">
        <f>IF(VLOOKUP(B31,'HBV ĐL HC'!E:AA,15,0)&lt;&gt;0,VLOOKUP(B31,'HBV ĐL HC'!E:AA,15,0),"")</f>
        <v>4.74</v>
      </c>
      <c r="F31" s="12">
        <f>IF(VLOOKUP(B31,'HBV ĐL HC'!E:AA,15,0)&lt;&gt;"",ABS(E31-$E$52),"")</f>
        <v>0.19500000000000028</v>
      </c>
      <c r="G31" s="59">
        <f>IF(VLOOKUP(B31,'HBV ĐL HC'!E:AA,11,0)&lt;&gt;0,IF(E31&lt;$F$2,$F$2,IF(E31&gt;$F$3,$F$3,E31)),"")</f>
        <v>4.74</v>
      </c>
      <c r="H31" s="59">
        <f>IF(VLOOKUP(B31,'HBV ĐL HC'!E:AA,11,0)&lt;&gt;0,IF(G31&lt;$H$2,$H$2,IF(G31&gt;$H$3,$H$3,G31)),"")</f>
        <v>4.74</v>
      </c>
      <c r="I31" s="59">
        <f>IF(VLOOKUP(B31,'HBV ĐL HC'!E:AA,11,0)&lt;&gt;0,IF(H31&lt;$I$2,$I$2,IF(H31&gt;$I$3,$I$3,H31)),"")</f>
        <v>4.74</v>
      </c>
      <c r="J31" s="59">
        <f>IF(VLOOKUP(B31,'HBV ĐL HC'!E:AA,11,0)&lt;&gt;0,IF(I31&lt;$J$2,$J$2,IF(I31&gt;$J$3,$J$3,I31)),"")</f>
        <v>4.74</v>
      </c>
    </row>
    <row r="32" spans="1:10" x14ac:dyDescent="0.25">
      <c r="A32">
        <v>28</v>
      </c>
      <c r="B32" s="218" t="s">
        <v>156</v>
      </c>
      <c r="C32" s="219" t="s">
        <v>157</v>
      </c>
      <c r="D32" s="217" t="s">
        <v>158</v>
      </c>
      <c r="E32" s="4">
        <f>IF(VLOOKUP(B32,'HBV ĐL HC'!E:AA,15,0)&lt;&gt;0,VLOOKUP(B32,'HBV ĐL HC'!E:AA,15,0),"")</f>
        <v>4.72</v>
      </c>
      <c r="F32" s="12">
        <f>IF(VLOOKUP(B32,'HBV ĐL HC'!E:AA,15,0)&lt;&gt;"",ABS(E32-$E$52),"")</f>
        <v>0.17499999999999982</v>
      </c>
      <c r="G32" s="59">
        <f>IF(VLOOKUP(B32,'HBV ĐL HC'!E:AA,11,0)&lt;&gt;0,IF(E32&lt;$F$2,$F$2,IF(E32&gt;$F$3,$F$3,E32)),"")</f>
        <v>4.72</v>
      </c>
      <c r="H32" s="59">
        <f>IF(VLOOKUP(B32,'HBV ĐL HC'!E:AA,11,0)&lt;&gt;0,IF(G32&lt;$H$2,$H$2,IF(G32&gt;$H$3,$H$3,G32)),"")</f>
        <v>4.72</v>
      </c>
      <c r="I32" s="59">
        <f>IF(VLOOKUP(B32,'HBV ĐL HC'!E:AA,11,0)&lt;&gt;0,IF(H32&lt;$I$2,$I$2,IF(H32&gt;$I$3,$I$3,H32)),"")</f>
        <v>4.72</v>
      </c>
      <c r="J32" s="59">
        <f>IF(VLOOKUP(B32,'HBV ĐL HC'!E:AA,11,0)&lt;&gt;0,IF(I32&lt;$J$2,$J$2,IF(I32&gt;$J$3,$J$3,I32)),"")</f>
        <v>4.72</v>
      </c>
    </row>
    <row r="33" spans="1:10" x14ac:dyDescent="0.25">
      <c r="A33">
        <v>29</v>
      </c>
      <c r="B33" s="218" t="s">
        <v>161</v>
      </c>
      <c r="C33" s="219" t="s">
        <v>162</v>
      </c>
      <c r="D33" s="217" t="s">
        <v>163</v>
      </c>
      <c r="E33" s="4">
        <f>IF(VLOOKUP(B33,'HBV ĐL HC'!E:AA,15,0)&lt;&gt;0,VLOOKUP(B33,'HBV ĐL HC'!E:AA,15,0),"")</f>
        <v>3.87</v>
      </c>
      <c r="F33" s="12">
        <f>IF(VLOOKUP(B33,'HBV ĐL HC'!E:AA,15,0)&lt;&gt;"",ABS(E33-$E$52),"")</f>
        <v>0.67499999999999982</v>
      </c>
      <c r="G33" s="59">
        <f>IF(VLOOKUP(B33,'HBV ĐL HC'!E:AA,11,0)&lt;&gt;0,IF(E33&lt;$F$2,$F$2,IF(E33&gt;$F$3,$F$3,E33)),"")</f>
        <v>4.1334675000000001</v>
      </c>
      <c r="H33" s="59">
        <f>IF(VLOOKUP(B33,'HBV ĐL HC'!E:AA,11,0)&lt;&gt;0,IF(G33&lt;$H$2,$H$2,IF(G33&gt;$H$3,$H$3,G33)),"")</f>
        <v>4.1334675000000001</v>
      </c>
      <c r="I33" s="59">
        <f>IF(VLOOKUP(B33,'HBV ĐL HC'!E:AA,11,0)&lt;&gt;0,IF(H33&lt;$I$2,$I$2,IF(H33&gt;$I$3,$I$3,H33)),"")</f>
        <v>4.1334675000000001</v>
      </c>
      <c r="J33" s="59">
        <f>IF(VLOOKUP(B33,'HBV ĐL HC'!E:AA,11,0)&lt;&gt;0,IF(I33&lt;$J$2,$J$2,IF(I33&gt;$J$3,$J$3,I33)),"")</f>
        <v>4.1334675000000001</v>
      </c>
    </row>
    <row r="34" spans="1:10" ht="25.5" x14ac:dyDescent="0.25">
      <c r="A34">
        <v>30</v>
      </c>
      <c r="B34" s="223" t="s">
        <v>341</v>
      </c>
      <c r="C34" s="224" t="s">
        <v>337</v>
      </c>
      <c r="D34" s="224" t="s">
        <v>338</v>
      </c>
      <c r="E34" s="4">
        <f>IF(VLOOKUP(B34,'HBV ĐL HC'!E:AA,15,0)&lt;&gt;0,VLOOKUP(B34,'HBV ĐL HC'!E:AA,15,0),"")</f>
        <v>4.12</v>
      </c>
      <c r="F34" s="12">
        <f>IF(VLOOKUP(B34,'HBV ĐL HC'!E:AA,15,0)&lt;&gt;"",ABS(E34-$E$52),"")</f>
        <v>0.42499999999999982</v>
      </c>
      <c r="G34" s="59">
        <f>IF(VLOOKUP(B34,'HBV ĐL HC'!E:AA,11,0)&lt;&gt;0,IF(E34&lt;$F$2,$F$2,IF(E34&gt;$F$3,$F$3,E34)),"")</f>
        <v>4.1334675000000001</v>
      </c>
      <c r="H34" s="59">
        <f>IF(VLOOKUP(B34,'HBV ĐL HC'!E:AA,11,0)&lt;&gt;0,IF(G34&lt;$H$2,$H$2,IF(G34&gt;$H$3,$H$3,G34)),"")</f>
        <v>4.1334675000000001</v>
      </c>
      <c r="I34" s="59">
        <f>IF(VLOOKUP(B34,'HBV ĐL HC'!E:AA,11,0)&lt;&gt;0,IF(H34&lt;$I$2,$I$2,IF(H34&gt;$I$3,$I$3,H34)),"")</f>
        <v>4.1334675000000001</v>
      </c>
      <c r="J34" s="59">
        <f>IF(VLOOKUP(B34,'HBV ĐL HC'!E:AA,11,0)&lt;&gt;0,IF(I34&lt;$J$2,$J$2,IF(I34&gt;$J$3,$J$3,I34)),"")</f>
        <v>4.1334675000000001</v>
      </c>
    </row>
    <row r="35" spans="1:10" x14ac:dyDescent="0.25">
      <c r="A35">
        <v>31</v>
      </c>
      <c r="B35" s="223" t="s">
        <v>225</v>
      </c>
      <c r="C35" s="224" t="s">
        <v>226</v>
      </c>
      <c r="D35" s="224" t="s">
        <v>227</v>
      </c>
      <c r="E35" s="4">
        <f>IF(VLOOKUP(B35,'HBV ĐL HC'!E:AA,15,0)&lt;&gt;0,VLOOKUP(B35,'HBV ĐL HC'!E:AA,15,0),"")</f>
        <v>4.21</v>
      </c>
      <c r="F35" s="12">
        <f>IF(VLOOKUP(B35,'HBV ĐL HC'!E:AA,15,0)&lt;&gt;"",ABS(E35-$E$52),"")</f>
        <v>0.33499999999999996</v>
      </c>
      <c r="G35" s="59">
        <f>IF(VLOOKUP(B35,'HBV ĐL HC'!E:AA,11,0)&lt;&gt;0,IF(E35&lt;$F$2,$F$2,IF(E35&gt;$F$3,$F$3,E35)),"")</f>
        <v>4.21</v>
      </c>
      <c r="H35" s="59">
        <f>IF(VLOOKUP(B35,'HBV ĐL HC'!E:AA,11,0)&lt;&gt;0,IF(G35&lt;$H$2,$H$2,IF(G35&gt;$H$3,$H$3,G35)),"")</f>
        <v>4.21</v>
      </c>
      <c r="I35" s="59">
        <f>IF(VLOOKUP(B35,'HBV ĐL HC'!E:AA,11,0)&lt;&gt;0,IF(H35&lt;$I$2,$I$2,IF(H35&gt;$I$3,$I$3,H35)),"")</f>
        <v>4.21</v>
      </c>
      <c r="J35" s="59">
        <f>IF(VLOOKUP(B35,'HBV ĐL HC'!E:AA,11,0)&lt;&gt;0,IF(I35&lt;$J$2,$J$2,IF(I35&gt;$J$3,$J$3,I35)),"")</f>
        <v>4.21</v>
      </c>
    </row>
    <row r="36" spans="1:10" ht="25.5" x14ac:dyDescent="0.25">
      <c r="A36">
        <v>32</v>
      </c>
      <c r="B36" s="229" t="s">
        <v>404</v>
      </c>
      <c r="C36" s="230" t="s">
        <v>357</v>
      </c>
      <c r="D36" s="225" t="s">
        <v>359</v>
      </c>
      <c r="E36" s="4">
        <f>IF(VLOOKUP(B36,'HBV ĐL HC'!E:AA,15,0)&lt;&gt;0,VLOOKUP(B36,'HBV ĐL HC'!E:AA,15,0),"")</f>
        <v>4.38</v>
      </c>
      <c r="F36" s="12">
        <f>IF(VLOOKUP(B36,'HBV ĐL HC'!E:AA,15,0)&lt;&gt;"",ABS(E36-$E$52),"")</f>
        <v>0.16500000000000004</v>
      </c>
      <c r="G36" s="59">
        <f>IF(VLOOKUP(B36,'HBV ĐL HC'!E:AA,11,0)&lt;&gt;0,IF(E36&lt;$F$2,$F$2,IF(E36&gt;$F$3,$F$3,E36)),"")</f>
        <v>4.38</v>
      </c>
      <c r="H36" s="59">
        <f>IF(VLOOKUP(B36,'HBV ĐL HC'!E:AA,11,0)&lt;&gt;0,IF(G36&lt;$H$2,$H$2,IF(G36&gt;$H$3,$H$3,G36)),"")</f>
        <v>4.38</v>
      </c>
      <c r="I36" s="59">
        <f>IF(VLOOKUP(B36,'HBV ĐL HC'!E:AA,11,0)&lt;&gt;0,IF(H36&lt;$I$2,$I$2,IF(H36&gt;$I$3,$I$3,H36)),"")</f>
        <v>4.38</v>
      </c>
      <c r="J36" s="59">
        <f>IF(VLOOKUP(B36,'HBV ĐL HC'!E:AA,11,0)&lt;&gt;0,IF(I36&lt;$J$2,$J$2,IF(I36&gt;$J$3,$J$3,I36)),"")</f>
        <v>4.38</v>
      </c>
    </row>
    <row r="37" spans="1:10" x14ac:dyDescent="0.25">
      <c r="A37">
        <v>33</v>
      </c>
      <c r="B37" s="282" t="s">
        <v>449</v>
      </c>
      <c r="C37" s="283" t="s">
        <v>254</v>
      </c>
      <c r="D37" s="283" t="s">
        <v>266</v>
      </c>
      <c r="E37" s="4" t="str">
        <f>IF(VLOOKUP(B37,'HBV ĐL HC'!E:AA,15,0)&lt;&gt;0,VLOOKUP(B37,'HBV ĐL HC'!E:AA,15,0),"")</f>
        <v/>
      </c>
      <c r="F37" s="12" t="str">
        <f>IF(VLOOKUP(B37,'HBV ĐL HC'!E:AA,15,0)&lt;&gt;"",ABS(E37-$E$52),"")</f>
        <v/>
      </c>
      <c r="G37" s="59" t="str">
        <f>IF(VLOOKUP(B37,'HBV ĐL HC'!E:AA,11,0)&lt;&gt;0,IF(E37&lt;$F$2,$F$2,IF(E37&gt;$F$3,$F$3,E37)),"")</f>
        <v/>
      </c>
      <c r="H37" s="59" t="str">
        <f>IF(VLOOKUP(B37,'HBV ĐL HC'!E:AA,11,0)&lt;&gt;0,IF(G37&lt;$H$2,$H$2,IF(G37&gt;$H$3,$H$3,G37)),"")</f>
        <v/>
      </c>
      <c r="I37" s="59" t="str">
        <f>IF(VLOOKUP(B37,'HBV ĐL HC'!E:AA,11,0)&lt;&gt;0,IF(H37&lt;$I$2,$I$2,IF(H37&gt;$I$3,$I$3,H37)),"")</f>
        <v/>
      </c>
      <c r="J37" s="59" t="str">
        <f>IF(VLOOKUP(B37,'HBV ĐL HC'!E:AA,11,0)&lt;&gt;0,IF(I37&lt;$J$2,$J$2,IF(I37&gt;$J$3,$J$3,I37)),"")</f>
        <v/>
      </c>
    </row>
    <row r="38" spans="1:10" x14ac:dyDescent="0.25">
      <c r="A38">
        <v>34</v>
      </c>
      <c r="B38" s="232" t="s">
        <v>450</v>
      </c>
      <c r="C38" s="233" t="s">
        <v>254</v>
      </c>
      <c r="D38" s="233" t="s">
        <v>266</v>
      </c>
      <c r="E38" s="4" t="str">
        <f>IF(VLOOKUP(B38,'HBV ĐL HC'!E:AA,15,0)&lt;&gt;0,VLOOKUP(B38,'HBV ĐL HC'!E:AA,15,0),"")</f>
        <v/>
      </c>
      <c r="F38" s="12" t="str">
        <f>IF(VLOOKUP(B38,'HBV ĐL HC'!E:AA,15,0)&lt;&gt;"",ABS(E38-$E$52),"")</f>
        <v/>
      </c>
      <c r="G38" s="59" t="str">
        <f>IF(VLOOKUP(B38,'HBV ĐL HC'!E:AA,11,0)&lt;&gt;0,IF(E38&lt;$F$2,$F$2,IF(E38&gt;$F$3,$F$3,E38)),"")</f>
        <v/>
      </c>
      <c r="H38" s="59" t="str">
        <f>IF(VLOOKUP(B38,'HBV ĐL HC'!E:AA,11,0)&lt;&gt;0,IF(G38&lt;$H$2,$H$2,IF(G38&gt;$H$3,$H$3,G38)),"")</f>
        <v/>
      </c>
      <c r="I38" s="59" t="str">
        <f>IF(VLOOKUP(B38,'HBV ĐL HC'!E:AA,11,0)&lt;&gt;0,IF(H38&lt;$I$2,$I$2,IF(H38&gt;$I$3,$I$3,H38)),"")</f>
        <v/>
      </c>
      <c r="J38" s="59" t="str">
        <f>IF(VLOOKUP(B38,'HBV ĐL HC'!E:AA,11,0)&lt;&gt;0,IF(I38&lt;$J$2,$J$2,IF(I38&gt;$J$3,$J$3,I38)),"")</f>
        <v/>
      </c>
    </row>
    <row r="39" spans="1:10" x14ac:dyDescent="0.25">
      <c r="B39" s="232" t="s">
        <v>484</v>
      </c>
      <c r="C39" s="233" t="s">
        <v>254</v>
      </c>
      <c r="D39" s="233" t="s">
        <v>266</v>
      </c>
      <c r="E39" s="4">
        <f>IF(VLOOKUP(B39,'HBV ĐL HC'!E:AA,15,0)&lt;&gt;0,VLOOKUP(B39,'HBV ĐL HC'!E:AA,15,0),"")</f>
        <v>4.47</v>
      </c>
      <c r="F39" s="12">
        <f>IF(VLOOKUP(B39,'HBV ĐL HC'!E:AA,15,0)&lt;&gt;"",ABS(E39-$E$52),"")</f>
        <v>7.5000000000000178E-2</v>
      </c>
      <c r="G39" s="59">
        <f>IF(VLOOKUP(B39,'HBV ĐL HC'!E:AA,11,0)&lt;&gt;0,IF(E39&lt;$F$2,$F$2,IF(E39&gt;$F$3,$F$3,E39)),"")</f>
        <v>4.47</v>
      </c>
      <c r="H39" s="59">
        <f>IF(VLOOKUP(B39,'HBV ĐL HC'!E:AA,11,0)&lt;&gt;0,IF(G39&lt;$H$2,$H$2,IF(G39&gt;$H$3,$H$3,G39)),"")</f>
        <v>4.47</v>
      </c>
      <c r="I39" s="59">
        <f>IF(VLOOKUP(B39,'HBV ĐL HC'!E:AA,11,0)&lt;&gt;0,IF(H39&lt;$I$2,$I$2,IF(H39&gt;$I$3,$I$3,H39)),"")</f>
        <v>4.47</v>
      </c>
      <c r="J39" s="59">
        <f>IF(VLOOKUP(B39,'HBV ĐL HC'!E:AA,11,0)&lt;&gt;0,IF(I39&lt;$J$2,$J$2,IF(I39&gt;$J$3,$J$3,I39)),"")</f>
        <v>4.47</v>
      </c>
    </row>
    <row r="40" spans="1:10" ht="25.5" x14ac:dyDescent="0.25">
      <c r="A40">
        <v>35</v>
      </c>
      <c r="B40" s="238" t="s">
        <v>87</v>
      </c>
      <c r="C40" s="239" t="s">
        <v>88</v>
      </c>
      <c r="D40" s="234" t="s">
        <v>89</v>
      </c>
      <c r="E40" s="4">
        <f>IF(VLOOKUP(B40,'HBV ĐL HC'!E:AA,15,0)&lt;&gt;0,VLOOKUP(B40,'HBV ĐL HC'!E:AA,15,0),"")</f>
        <v>4.59</v>
      </c>
      <c r="F40" s="12">
        <f>IF(VLOOKUP(B40,'HBV ĐL HC'!E:AA,15,0)&lt;&gt;"",ABS(E40-$E$52),"")</f>
        <v>4.4999999999999929E-2</v>
      </c>
      <c r="G40" s="59">
        <f>IF(VLOOKUP(B40,'HBV ĐL HC'!E:AA,11,0)&lt;&gt;0,IF(E40&lt;$F$2,$F$2,IF(E40&gt;$F$3,$F$3,E40)),"")</f>
        <v>4.59</v>
      </c>
      <c r="H40" s="59">
        <f>IF(VLOOKUP(B40,'HBV ĐL HC'!E:AA,11,0)&lt;&gt;0,IF(G40&lt;$H$2,$H$2,IF(G40&gt;$H$3,$H$3,G40)),"")</f>
        <v>4.59</v>
      </c>
      <c r="I40" s="59">
        <f>IF(VLOOKUP(B40,'HBV ĐL HC'!E:AA,11,0)&lt;&gt;0,IF(H40&lt;$I$2,$I$2,IF(H40&gt;$I$3,$I$3,H40)),"")</f>
        <v>4.59</v>
      </c>
      <c r="J40" s="59">
        <f>IF(VLOOKUP(B40,'HBV ĐL HC'!E:AA,11,0)&lt;&gt;0,IF(I40&lt;$J$2,$J$2,IF(I40&gt;$J$3,$J$3,I40)),"")</f>
        <v>4.59</v>
      </c>
    </row>
    <row r="41" spans="1:10" x14ac:dyDescent="0.25">
      <c r="A41">
        <v>36</v>
      </c>
      <c r="B41" s="243" t="s">
        <v>458</v>
      </c>
      <c r="C41" s="244" t="s">
        <v>85</v>
      </c>
      <c r="D41" s="242" t="s">
        <v>86</v>
      </c>
      <c r="E41" s="4">
        <f>IF(VLOOKUP(B41,'HBV ĐL HC'!E:AA,15,0)&lt;&gt;0,VLOOKUP(B41,'HBV ĐL HC'!E:AA,15,0),"")</f>
        <v>4.01</v>
      </c>
      <c r="F41" s="12">
        <f>IF(VLOOKUP(B41,'HBV ĐL HC'!E:AA,15,0)&lt;&gt;"",ABS(E41-$E$52),"")</f>
        <v>0.53500000000000014</v>
      </c>
      <c r="G41" s="59">
        <f>IF(VLOOKUP(B41,'HBV ĐL HC'!E:AA,11,0)&lt;&gt;0,IF(E41&lt;$F$2,$F$2,IF(E41&gt;$F$3,$F$3,E41)),"")</f>
        <v>4.1334675000000001</v>
      </c>
      <c r="H41" s="59">
        <f>IF(VLOOKUP(B41,'HBV ĐL HC'!E:AA,11,0)&lt;&gt;0,IF(G41&lt;$H$2,$H$2,IF(G41&gt;$H$3,$H$3,G41)),"")</f>
        <v>4.1334675000000001</v>
      </c>
      <c r="I41" s="59">
        <f>IF(VLOOKUP(B41,'HBV ĐL HC'!E:AA,11,0)&lt;&gt;0,IF(H41&lt;$I$2,$I$2,IF(H41&gt;$I$3,$I$3,H41)),"")</f>
        <v>4.1334675000000001</v>
      </c>
      <c r="J41" s="59">
        <f>IF(VLOOKUP(B41,'HBV ĐL HC'!E:AA,11,0)&lt;&gt;0,IF(I41&lt;$J$2,$J$2,IF(I41&gt;$J$3,$J$3,I41)),"")</f>
        <v>4.1334675000000001</v>
      </c>
    </row>
    <row r="42" spans="1:10" x14ac:dyDescent="0.25">
      <c r="A42">
        <v>37</v>
      </c>
      <c r="B42" s="243" t="s">
        <v>405</v>
      </c>
      <c r="C42" s="244" t="s">
        <v>251</v>
      </c>
      <c r="D42" s="242" t="s">
        <v>158</v>
      </c>
      <c r="E42" s="4">
        <f>IF(VLOOKUP(B42,'HBV ĐL HC'!E:AA,15,0)&lt;&gt;0,VLOOKUP(B42,'HBV ĐL HC'!E:AA,15,0),"")</f>
        <v>4.33</v>
      </c>
      <c r="F42" s="12">
        <f>IF(VLOOKUP(B42,'HBV ĐL HC'!E:AA,15,0)&lt;&gt;"",ABS(E42-$E$52),"")</f>
        <v>0.21499999999999986</v>
      </c>
      <c r="G42" s="59">
        <f>IF(VLOOKUP(B42,'HBV ĐL HC'!E:AA,11,0)&lt;&gt;0,IF(E42&lt;$F$2,$F$2,IF(E42&gt;$F$3,$F$3,E42)),"")</f>
        <v>4.33</v>
      </c>
      <c r="H42" s="59">
        <f>IF(VLOOKUP(B42,'HBV ĐL HC'!E:AA,11,0)&lt;&gt;0,IF(G42&lt;$H$2,$H$2,IF(G42&gt;$H$3,$H$3,G42)),"")</f>
        <v>4.33</v>
      </c>
      <c r="I42" s="59">
        <f>IF(VLOOKUP(B42,'HBV ĐL HC'!E:AA,11,0)&lt;&gt;0,IF(H42&lt;$I$2,$I$2,IF(H42&gt;$I$3,$I$3,H42)),"")</f>
        <v>4.33</v>
      </c>
      <c r="J42" s="59">
        <f>IF(VLOOKUP(B42,'HBV ĐL HC'!E:AA,11,0)&lt;&gt;0,IF(I42&lt;$J$2,$J$2,IF(I42&gt;$J$3,$J$3,I42)),"")</f>
        <v>4.33</v>
      </c>
    </row>
    <row r="43" spans="1:10" x14ac:dyDescent="0.25">
      <c r="A43">
        <v>38</v>
      </c>
      <c r="B43" s="248" t="s">
        <v>451</v>
      </c>
      <c r="C43" s="247" t="s">
        <v>257</v>
      </c>
      <c r="D43" s="247" t="s">
        <v>258</v>
      </c>
      <c r="E43" s="4" t="str">
        <f>IF(VLOOKUP(B43,'HBV ĐL HC'!E:AA,15,0)&lt;&gt;0,VLOOKUP(B43,'HBV ĐL HC'!E:AA,15,0),"")</f>
        <v/>
      </c>
      <c r="F43" s="12" t="str">
        <f>IF(VLOOKUP(B43,'HBV ĐL HC'!E:AA,15,0)&lt;&gt;"",ABS(E43-$E$52),"")</f>
        <v/>
      </c>
      <c r="G43" s="59" t="str">
        <f>IF(VLOOKUP(B43,'HBV ĐL HC'!E:AA,11,0)&lt;&gt;0,IF(E43&lt;$F$2,$F$2,IF(E43&gt;$F$3,$F$3,E43)),"")</f>
        <v/>
      </c>
      <c r="H43" s="59" t="str">
        <f>IF(VLOOKUP(B43,'HBV ĐL HC'!E:AA,11,0)&lt;&gt;0,IF(G43&lt;$H$2,$H$2,IF(G43&gt;$H$3,$H$3,G43)),"")</f>
        <v/>
      </c>
      <c r="I43" s="59" t="str">
        <f>IF(VLOOKUP(B43,'HBV ĐL HC'!E:AA,11,0)&lt;&gt;0,IF(H43&lt;$I$2,$I$2,IF(H43&gt;$I$3,$I$3,H43)),"")</f>
        <v/>
      </c>
      <c r="J43" s="59" t="str">
        <f>IF(VLOOKUP(B43,'HBV ĐL HC'!E:AA,11,0)&lt;&gt;0,IF(I43&lt;$J$2,$J$2,IF(I43&gt;$J$3,$J$3,I43)),"")</f>
        <v/>
      </c>
    </row>
    <row r="44" spans="1:10" ht="25.5" x14ac:dyDescent="0.25">
      <c r="A44">
        <v>39</v>
      </c>
      <c r="B44" s="253" t="s">
        <v>99</v>
      </c>
      <c r="C44" s="252" t="s">
        <v>100</v>
      </c>
      <c r="D44" s="252" t="s">
        <v>101</v>
      </c>
      <c r="E44" s="4" t="str">
        <f>IF(VLOOKUP(B44,'HBV ĐL HC'!E:AA,15,0)&lt;&gt;0,VLOOKUP(B44,'HBV ĐL HC'!E:AA,15,0),"")</f>
        <v/>
      </c>
      <c r="F44" s="12" t="str">
        <f>IF(VLOOKUP(B44,'HBV ĐL HC'!E:AA,15,0)&lt;&gt;"",ABS(E44-$E$52),"")</f>
        <v/>
      </c>
      <c r="G44" s="59" t="str">
        <f>IF(VLOOKUP(B44,'HBV ĐL HC'!E:AA,11,0)&lt;&gt;0,IF(E44&lt;$F$2,$F$2,IF(E44&gt;$F$3,$F$3,E44)),"")</f>
        <v/>
      </c>
      <c r="H44" s="59" t="str">
        <f>IF(VLOOKUP(B44,'HBV ĐL HC'!E:AA,11,0)&lt;&gt;0,IF(G44&lt;$H$2,$H$2,IF(G44&gt;$H$3,$H$3,G44)),"")</f>
        <v/>
      </c>
      <c r="I44" s="59" t="str">
        <f>IF(VLOOKUP(B44,'HBV ĐL HC'!E:AA,11,0)&lt;&gt;0,IF(H44&lt;$I$2,$I$2,IF(H44&gt;$I$3,$I$3,H44)),"")</f>
        <v/>
      </c>
      <c r="J44" s="59" t="str">
        <f>IF(VLOOKUP(B44,'HBV ĐL HC'!E:AA,11,0)&lt;&gt;0,IF(I44&lt;$J$2,$J$2,IF(I44&gt;$J$3,$J$3,I44)),"")</f>
        <v/>
      </c>
    </row>
    <row r="45" spans="1:10" ht="25.5" x14ac:dyDescent="0.25">
      <c r="A45">
        <v>40</v>
      </c>
      <c r="B45" s="259" t="s">
        <v>202</v>
      </c>
      <c r="C45" s="252" t="s">
        <v>203</v>
      </c>
      <c r="D45" s="252" t="s">
        <v>204</v>
      </c>
      <c r="E45" s="4" t="str">
        <f>IF(VLOOKUP(B45,'HBV ĐL HC'!E:AA,15,0)&lt;&gt;0,VLOOKUP(B45,'HBV ĐL HC'!E:AA,15,0),"")</f>
        <v/>
      </c>
      <c r="F45" s="12" t="str">
        <f>IF(VLOOKUP(B45,'HBV ĐL HC'!E:AA,15,0)&lt;&gt;"",ABS(E45-$E$52),"")</f>
        <v/>
      </c>
      <c r="G45" s="59" t="str">
        <f>IF(VLOOKUP(B45,'HBV ĐL HC'!E:AA,11,0)&lt;&gt;0,IF(E45&lt;$F$2,$F$2,IF(E45&gt;$F$3,$F$3,E45)),"")</f>
        <v/>
      </c>
      <c r="H45" s="59" t="str">
        <f>IF(VLOOKUP(B45,'HBV ĐL HC'!E:AA,11,0)&lt;&gt;0,IF(G45&lt;$H$2,$H$2,IF(G45&gt;$H$3,$H$3,G45)),"")</f>
        <v/>
      </c>
      <c r="I45" s="59" t="str">
        <f>IF(VLOOKUP(B45,'HBV ĐL HC'!E:AA,11,0)&lt;&gt;0,IF(H45&lt;$I$2,$I$2,IF(H45&gt;$I$3,$I$3,H45)),"")</f>
        <v/>
      </c>
      <c r="J45" s="59" t="str">
        <f>IF(VLOOKUP(B45,'HBV ĐL HC'!E:AA,11,0)&lt;&gt;0,IF(I45&lt;$J$2,$J$2,IF(I45&gt;$J$3,$J$3,I45)),"")</f>
        <v/>
      </c>
    </row>
    <row r="46" spans="1:10" ht="25.5" x14ac:dyDescent="0.25">
      <c r="A46">
        <v>41</v>
      </c>
      <c r="B46" s="253" t="s">
        <v>310</v>
      </c>
      <c r="C46" s="260" t="s">
        <v>311</v>
      </c>
      <c r="D46" s="260" t="s">
        <v>312</v>
      </c>
      <c r="E46" s="4" t="str">
        <f>IF(VLOOKUP(B46,'HBV ĐL HC'!E:AA,15,0)&lt;&gt;0,VLOOKUP(B46,'HBV ĐL HC'!E:AA,15,0),"")</f>
        <v/>
      </c>
      <c r="F46" s="12" t="str">
        <f>IF(VLOOKUP(B46,'HBV ĐL HC'!E:AA,15,0)&lt;&gt;"",ABS(E46-$E$52),"")</f>
        <v/>
      </c>
      <c r="G46" s="59" t="str">
        <f>IF(VLOOKUP(B46,'HBV ĐL HC'!E:AA,11,0)&lt;&gt;0,IF(E46&lt;$F$2,$F$2,IF(E46&gt;$F$3,$F$3,E46)),"")</f>
        <v/>
      </c>
      <c r="H46" s="59" t="str">
        <f>IF(VLOOKUP(B46,'HBV ĐL HC'!E:AA,11,0)&lt;&gt;0,IF(G46&lt;$H$2,$H$2,IF(G46&gt;$H$3,$H$3,G46)),"")</f>
        <v/>
      </c>
      <c r="I46" s="59" t="str">
        <f>IF(VLOOKUP(B46,'HBV ĐL HC'!E:AA,11,0)&lt;&gt;0,IF(H46&lt;$I$2,$I$2,IF(H46&gt;$I$3,$I$3,H46)),"")</f>
        <v/>
      </c>
      <c r="J46" s="59" t="str">
        <f>IF(VLOOKUP(B46,'HBV ĐL HC'!E:AA,11,0)&lt;&gt;0,IF(I46&lt;$J$2,$J$2,IF(I46&gt;$J$3,$J$3,I46)),"")</f>
        <v/>
      </c>
    </row>
    <row r="47" spans="1:10" x14ac:dyDescent="0.25">
      <c r="A47">
        <v>42</v>
      </c>
      <c r="B47" s="268" t="s">
        <v>230</v>
      </c>
      <c r="C47" s="264" t="s">
        <v>231</v>
      </c>
      <c r="D47" s="264" t="s">
        <v>232</v>
      </c>
      <c r="E47" s="4" t="str">
        <f>IF(VLOOKUP(B47,'HBV ĐL HC'!E:AA,15,0)&lt;&gt;0,VLOOKUP(B47,'HBV ĐL HC'!E:AA,15,0),"")</f>
        <v/>
      </c>
      <c r="F47" s="12" t="str">
        <f>IF(VLOOKUP(B47,'HBV ĐL HC'!E:AA,15,0)&lt;&gt;"",ABS(E47-$E$52),"")</f>
        <v/>
      </c>
      <c r="G47" s="59" t="str">
        <f>IF(VLOOKUP(B47,'HBV ĐL HC'!E:AA,11,0)&lt;&gt;0,IF(E47&lt;$F$2,$F$2,IF(E47&gt;$F$3,$F$3,E47)),"")</f>
        <v/>
      </c>
      <c r="H47" s="59" t="str">
        <f>IF(VLOOKUP(B47,'HBV ĐL HC'!E:AA,11,0)&lt;&gt;0,IF(G47&lt;$H$2,$H$2,IF(G47&gt;$H$3,$H$3,G47)),"")</f>
        <v/>
      </c>
      <c r="I47" s="59" t="str">
        <f>IF(VLOOKUP(B47,'HBV ĐL HC'!E:AA,11,0)&lt;&gt;0,IF(H47&lt;$I$2,$I$2,IF(H47&gt;$I$3,$I$3,H47)),"")</f>
        <v/>
      </c>
      <c r="J47" s="59" t="str">
        <f>IF(VLOOKUP(B47,'HBV ĐL HC'!E:AA,11,0)&lt;&gt;0,IF(I47&lt;$J$2,$J$2,IF(I47&gt;$J$3,$J$3,I47)),"")</f>
        <v/>
      </c>
    </row>
    <row r="49" spans="3:11" x14ac:dyDescent="0.25">
      <c r="C49" s="21" t="s">
        <v>282</v>
      </c>
      <c r="D49" s="27"/>
      <c r="E49" s="22">
        <f>AVERAGE(E5:E47)</f>
        <v>4.5184375000000001</v>
      </c>
      <c r="F49" s="23"/>
      <c r="G49" s="22">
        <f>AVERAGE(G5:G47)</f>
        <v>4.5141708593749987</v>
      </c>
      <c r="H49" s="22">
        <f t="shared" ref="H49:J49" si="1">AVERAGE(H5:H47)</f>
        <v>4.5137469764248799</v>
      </c>
      <c r="I49" s="22">
        <f t="shared" si="1"/>
        <v>4.51358770306111</v>
      </c>
      <c r="J49" s="22">
        <f t="shared" si="1"/>
        <v>4.513528054257872</v>
      </c>
    </row>
    <row r="50" spans="3:11" x14ac:dyDescent="0.25">
      <c r="C50" s="24" t="s">
        <v>243</v>
      </c>
      <c r="D50" s="28"/>
      <c r="E50" s="22">
        <f>_xlfn.STDEV.S(E5:E47)</f>
        <v>0.41057088009337089</v>
      </c>
      <c r="F50" s="23"/>
      <c r="G50" s="22">
        <f>_xlfn.STDEV.S(G5:G47)</f>
        <v>0.25740165931240211</v>
      </c>
      <c r="H50" s="22">
        <f t="shared" ref="H50:J50" si="2">_xlfn.STDEV.S(H5:H47)</f>
        <v>0.25665208087025154</v>
      </c>
      <c r="I50" s="22">
        <f t="shared" si="2"/>
        <v>0.25637166903166475</v>
      </c>
      <c r="J50" s="22">
        <f t="shared" si="2"/>
        <v>0.25626682842533166</v>
      </c>
    </row>
    <row r="51" spans="3:11" x14ac:dyDescent="0.25">
      <c r="C51" s="24" t="s">
        <v>283</v>
      </c>
      <c r="D51" s="28"/>
      <c r="E51" s="23">
        <f>1.5*E53</f>
        <v>0.41153250000000008</v>
      </c>
      <c r="F51" s="23"/>
      <c r="G51" s="22">
        <f>1.5*G53</f>
        <v>0.43784022249039595</v>
      </c>
      <c r="H51" s="22">
        <f t="shared" ref="H51:J51" si="3">1.5*H53</f>
        <v>0.43656518956029788</v>
      </c>
      <c r="I51" s="22">
        <f t="shared" si="3"/>
        <v>0.43608820902286172</v>
      </c>
      <c r="J51" s="22">
        <f t="shared" si="3"/>
        <v>0.43590987515148916</v>
      </c>
    </row>
    <row r="52" spans="3:11" x14ac:dyDescent="0.25">
      <c r="C52" s="24" t="s">
        <v>284</v>
      </c>
      <c r="D52" s="28"/>
      <c r="E52" s="22">
        <f>MEDIAN(E5:E47)</f>
        <v>4.5449999999999999</v>
      </c>
      <c r="F52" s="23">
        <f>MEDIAN(F5:F47)</f>
        <v>0.18500000000000005</v>
      </c>
      <c r="G52" s="25">
        <f>AVERAGE(G5:G47)</f>
        <v>4.5141708593749987</v>
      </c>
      <c r="H52" s="25">
        <f t="shared" ref="H52:J52" si="4">AVERAGE(H5:H47)</f>
        <v>4.5137469764248799</v>
      </c>
      <c r="I52" s="25">
        <f t="shared" si="4"/>
        <v>4.51358770306111</v>
      </c>
      <c r="J52" s="25">
        <f t="shared" si="4"/>
        <v>4.513528054257872</v>
      </c>
    </row>
    <row r="53" spans="3:11" x14ac:dyDescent="0.25">
      <c r="C53" s="24" t="s">
        <v>285</v>
      </c>
      <c r="D53" s="28"/>
      <c r="E53" s="22">
        <f>1.483*MEDIAN(F5:F47)</f>
        <v>0.27435500000000007</v>
      </c>
      <c r="F53" s="23">
        <f>1.483*F52</f>
        <v>0.27435500000000007</v>
      </c>
      <c r="G53" s="25">
        <f>1.134*_xlfn.STDEV.S(G5:G47)</f>
        <v>0.29189348166026396</v>
      </c>
      <c r="H53" s="25">
        <f t="shared" ref="H53:J53" si="5">1.134*_xlfn.STDEV.S(H5:H47)</f>
        <v>0.29104345970686524</v>
      </c>
      <c r="I53" s="25">
        <f t="shared" si="5"/>
        <v>0.29072547268190779</v>
      </c>
      <c r="J53" s="25">
        <f t="shared" si="5"/>
        <v>0.2906065834343261</v>
      </c>
    </row>
    <row r="54" spans="3:11" x14ac:dyDescent="0.25">
      <c r="K54" t="s">
        <v>301</v>
      </c>
    </row>
  </sheetData>
  <conditionalFormatting sqref="B5:B38 B40:B47">
    <cfRule type="duplicateValues" dxfId="20" priority="2"/>
  </conditionalFormatting>
  <conditionalFormatting sqref="B39">
    <cfRule type="duplicateValues" dxfId="1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4"/>
  <sheetViews>
    <sheetView topLeftCell="A39" workbookViewId="0">
      <selection activeCell="AL28" sqref="AL28"/>
    </sheetView>
  </sheetViews>
  <sheetFormatPr defaultRowHeight="12.75" x14ac:dyDescent="0.2"/>
  <cols>
    <col min="1" max="2" width="9" style="38"/>
    <col min="3" max="3" width="25.25" style="39" customWidth="1"/>
    <col min="4" max="4" width="10.25" style="38" bestFit="1" customWidth="1"/>
    <col min="5" max="5" width="9.375" style="38" bestFit="1" customWidth="1"/>
    <col min="6" max="6" width="10.25" style="38" bestFit="1" customWidth="1"/>
    <col min="7" max="8" width="11.375" style="38" bestFit="1" customWidth="1"/>
    <col min="9" max="12" width="9" style="38"/>
    <col min="13" max="13" width="19.25" style="39" customWidth="1"/>
    <col min="14" max="16384" width="9" style="38"/>
  </cols>
  <sheetData>
    <row r="1" spans="1:18" x14ac:dyDescent="0.2">
      <c r="E1" s="39" t="s">
        <v>277</v>
      </c>
      <c r="F1" s="39" t="s">
        <v>286</v>
      </c>
      <c r="G1" s="39" t="s">
        <v>279</v>
      </c>
      <c r="H1" s="39" t="s">
        <v>280</v>
      </c>
      <c r="I1" s="39" t="s">
        <v>281</v>
      </c>
      <c r="O1" s="39"/>
      <c r="P1" s="39"/>
      <c r="Q1" s="39"/>
      <c r="R1" s="39"/>
    </row>
    <row r="2" spans="1:18" x14ac:dyDescent="0.2">
      <c r="E2" s="39" t="e">
        <f t="shared" ref="E2:I2" si="0">D20-D19</f>
        <v>#NUM!</v>
      </c>
      <c r="F2" s="39"/>
      <c r="G2" s="39" t="e">
        <f>F20-F19</f>
        <v>#NUM!</v>
      </c>
      <c r="H2" s="39" t="e">
        <f t="shared" si="0"/>
        <v>#NUM!</v>
      </c>
      <c r="I2" s="39" t="e">
        <f t="shared" si="0"/>
        <v>#NUM!</v>
      </c>
      <c r="O2" s="39"/>
      <c r="P2" s="39"/>
      <c r="Q2" s="39"/>
      <c r="R2" s="39"/>
    </row>
    <row r="3" spans="1:18" x14ac:dyDescent="0.2">
      <c r="E3" s="39" t="e">
        <f t="shared" ref="E3:I3" si="1">D20+D19</f>
        <v>#NUM!</v>
      </c>
      <c r="F3" s="39"/>
      <c r="G3" s="39" t="e">
        <f>F20+F19</f>
        <v>#NUM!</v>
      </c>
      <c r="H3" s="39" t="e">
        <f t="shared" si="1"/>
        <v>#NUM!</v>
      </c>
      <c r="I3" s="39" t="e">
        <f t="shared" si="1"/>
        <v>#NUM!</v>
      </c>
      <c r="O3" s="39"/>
      <c r="P3" s="39"/>
      <c r="Q3" s="39"/>
      <c r="R3" s="39"/>
    </row>
    <row r="4" spans="1:18" ht="25.5" x14ac:dyDescent="0.2">
      <c r="A4" s="40" t="s">
        <v>3</v>
      </c>
      <c r="B4" s="40" t="s">
        <v>4</v>
      </c>
      <c r="C4" s="40" t="s">
        <v>5</v>
      </c>
      <c r="D4" s="41" t="s">
        <v>320</v>
      </c>
      <c r="E4" s="39"/>
      <c r="F4" s="42"/>
      <c r="G4" s="42"/>
      <c r="H4" s="42"/>
      <c r="K4" s="43"/>
      <c r="L4" s="43"/>
      <c r="M4" s="43"/>
      <c r="N4" s="44"/>
      <c r="O4" s="39"/>
      <c r="P4" s="42"/>
      <c r="Q4" s="42"/>
      <c r="R4" s="42"/>
    </row>
    <row r="5" spans="1:18" ht="25.5" x14ac:dyDescent="0.25">
      <c r="A5" s="161" t="s">
        <v>50</v>
      </c>
      <c r="B5" s="160" t="s">
        <v>51</v>
      </c>
      <c r="C5" s="160" t="s">
        <v>52</v>
      </c>
      <c r="D5" s="4" t="str">
        <f>IF(VLOOKUP(A5,'HBV ĐL HC'!E:AA,16,0)&lt;&gt;"",VLOOKUP(A5,'HBV ĐL HC'!E:AA,16,0),"")</f>
        <v/>
      </c>
      <c r="E5" s="45" t="str">
        <f>IF(VLOOKUP(A5,'HBV ĐL HC'!E:AA,16,0)&lt;&gt;"",ABS(D5-$D$20),"")</f>
        <v/>
      </c>
      <c r="F5" s="45" t="str">
        <f>IF(VLOOKUP(A5,'HBV ĐL HC'!E:AA,10,0)&lt;&gt;0,IF(D5&lt;$E$2,$E$2,IF(D5&gt;$E$3,$E$3,D5)),"")</f>
        <v/>
      </c>
      <c r="G5" s="45" t="str">
        <f>IF(VLOOKUP(A5,'HBV ĐL HC'!E:AA,10,0)&lt;&gt;0,IF(F5&lt;$G$2,$G$2,IF(F5&gt;$G$3,$G$3,F5)),"")</f>
        <v/>
      </c>
      <c r="H5" s="45" t="str">
        <f>IF(VLOOKUP(A5,'HBV ĐL HC'!E:AA,10,0)&lt;&gt;0,IF(G5&lt;$H$2,$H$2,IF(G5&gt;$H$3,$H$3,G5)),"")</f>
        <v/>
      </c>
      <c r="I5" s="45" t="str">
        <f>IF(VLOOKUP(A5,'HBV ĐL HC'!E:AA,10,0)&lt;&gt;0,IF(H5&lt;$I$2,$I$2,IF(H5&gt;$I$3,$I$3,H5)),"")</f>
        <v/>
      </c>
      <c r="K5" s="46"/>
      <c r="L5" s="34"/>
      <c r="M5" s="35"/>
      <c r="O5" s="39"/>
      <c r="P5" s="42"/>
      <c r="Q5" s="42"/>
      <c r="R5" s="42"/>
    </row>
    <row r="6" spans="1:18" ht="25.5" x14ac:dyDescent="0.25">
      <c r="A6" s="170" t="s">
        <v>60</v>
      </c>
      <c r="B6" s="171" t="s">
        <v>61</v>
      </c>
      <c r="C6" s="169" t="s">
        <v>62</v>
      </c>
      <c r="D6" s="4" t="str">
        <f>IF(VLOOKUP(A6,'HBV ĐL HC'!E:AA,16,0)&lt;&gt;"",VLOOKUP(A6,'HBV ĐL HC'!E:AA,16,0),"")</f>
        <v>Âm tính</v>
      </c>
      <c r="E6" s="45" t="e">
        <f>IF(VLOOKUP(A6,'HBV ĐL HC'!E:AA,16,0)&lt;&gt;"",ABS(D6-$D$20),"")</f>
        <v>#VALUE!</v>
      </c>
      <c r="F6" s="45" t="e">
        <f>IF(VLOOKUP(A6,'HBV ĐL HC'!E:AA,10,0)&lt;&gt;0,IF(D6&lt;$E$2,$E$2,IF(D6&gt;$E$3,$E$3,D6)),"")</f>
        <v>#NUM!</v>
      </c>
      <c r="G6" s="45" t="e">
        <f>IF(VLOOKUP(A6,'HBV ĐL HC'!E:AA,10,0)&lt;&gt;0,IF(F6&lt;$G$2,$G$2,IF(F6&gt;$G$3,$G$3,F6)),"")</f>
        <v>#NUM!</v>
      </c>
      <c r="H6" s="45" t="e">
        <f>IF(VLOOKUP(A6,'HBV ĐL HC'!E:AA,10,0)&lt;&gt;0,IF(G6&lt;$H$2,$H$2,IF(G6&gt;$H$3,$H$3,G6)),"")</f>
        <v>#NUM!</v>
      </c>
      <c r="I6" s="45" t="e">
        <f>IF(VLOOKUP(A6,'HBV ĐL HC'!E:AA,10,0)&lt;&gt;0,IF(H6&lt;$I$2,$I$2,IF(H6&gt;$I$3,$I$3,H6)),"")</f>
        <v>#NUM!</v>
      </c>
      <c r="K6" s="47"/>
      <c r="L6" s="34"/>
      <c r="M6" s="35"/>
      <c r="O6" s="39"/>
      <c r="P6" s="42"/>
      <c r="Q6" s="42"/>
      <c r="R6" s="42"/>
    </row>
    <row r="7" spans="1:18" ht="25.5" x14ac:dyDescent="0.25">
      <c r="A7" s="176" t="s">
        <v>70</v>
      </c>
      <c r="B7" s="171" t="s">
        <v>71</v>
      </c>
      <c r="C7" s="169" t="s">
        <v>72</v>
      </c>
      <c r="D7" s="4" t="str">
        <f>IF(VLOOKUP(A7,'HBV ĐL HC'!E:AA,16,0)&lt;&gt;"",VLOOKUP(A7,'HBV ĐL HC'!E:AA,16,0),"")</f>
        <v>Not Detected</v>
      </c>
      <c r="E7" s="45" t="e">
        <f>IF(VLOOKUP(A7,'HBV ĐL HC'!E:AA,16,0)&lt;&gt;"",ABS(D7-$D$20),"")</f>
        <v>#VALUE!</v>
      </c>
      <c r="F7" s="45" t="e">
        <f>IF(VLOOKUP(A7,'HBV ĐL HC'!E:AA,10,0)&lt;&gt;0,IF(D7&lt;$E$2,$E$2,IF(D7&gt;$E$3,$E$3,D7)),"")</f>
        <v>#NUM!</v>
      </c>
      <c r="G7" s="45" t="e">
        <f>IF(VLOOKUP(A7,'HBV ĐL HC'!E:AA,10,0)&lt;&gt;0,IF(F7&lt;$G$2,$G$2,IF(F7&gt;$G$3,$G$3,F7)),"")</f>
        <v>#NUM!</v>
      </c>
      <c r="H7" s="45" t="e">
        <f>IF(VLOOKUP(A7,'HBV ĐL HC'!E:AA,10,0)&lt;&gt;0,IF(G7&lt;$H$2,$H$2,IF(G7&gt;$H$3,$H$3,G7)),"")</f>
        <v>#NUM!</v>
      </c>
      <c r="I7" s="45" t="e">
        <f>IF(VLOOKUP(A7,'HBV ĐL HC'!E:AA,10,0)&lt;&gt;0,IF(H7&lt;$I$2,$I$2,IF(H7&gt;$I$3,$I$3,H7)),"")</f>
        <v>#NUM!</v>
      </c>
      <c r="K7" s="48"/>
      <c r="L7" s="34"/>
      <c r="M7" s="35"/>
      <c r="O7" s="39"/>
      <c r="P7" s="42"/>
      <c r="Q7" s="42"/>
      <c r="R7" s="42"/>
    </row>
    <row r="8" spans="1:18" s="295" customFormat="1" ht="25.5" x14ac:dyDescent="0.25">
      <c r="A8" s="177" t="s">
        <v>169</v>
      </c>
      <c r="B8" s="169" t="s">
        <v>170</v>
      </c>
      <c r="C8" s="169" t="s">
        <v>171</v>
      </c>
      <c r="D8" s="4" t="str">
        <f>IF(VLOOKUP(A8,'HBV ĐL HC'!E:AA,16,0)&lt;&gt;"",VLOOKUP(A8,'HBV ĐL HC'!E:AA,16,0),"")</f>
        <v>Âm tính</v>
      </c>
      <c r="E8" s="45" t="e">
        <f>IF(VLOOKUP(A8,'HBV ĐL HC'!E:AA,16,0)&lt;&gt;"",ABS(D8-$D$20),"")</f>
        <v>#VALUE!</v>
      </c>
      <c r="F8" s="294" t="e">
        <f>IF(VLOOKUP(A8,'HBV ĐL HC'!E:AA,10,0)&lt;&gt;0,IF(D8&lt;$E$2,$E$2,IF(D8&gt;$E$3,$E$3,D8)),"")</f>
        <v>#NUM!</v>
      </c>
      <c r="G8" s="294" t="e">
        <f>IF(VLOOKUP(A8,'HBV ĐL HC'!E:AA,10,0)&lt;&gt;0,IF(F8&lt;$G$2,$G$2,IF(F8&gt;$G$3,$G$3,F8)),"")</f>
        <v>#NUM!</v>
      </c>
      <c r="H8" s="294" t="e">
        <f>IF(VLOOKUP(A8,'HBV ĐL HC'!E:AA,10,0)&lt;&gt;0,IF(G8&lt;$H$2,$H$2,IF(G8&gt;$H$3,$H$3,G8)),"")</f>
        <v>#NUM!</v>
      </c>
      <c r="I8" s="294" t="e">
        <f>IF(VLOOKUP(A8,'HBV ĐL HC'!E:AA,10,0)&lt;&gt;0,IF(H8&lt;$I$2,$I$2,IF(H8&gt;$I$3,$I$3,H8)),"")</f>
        <v>#NUM!</v>
      </c>
      <c r="K8" s="46"/>
      <c r="L8" s="34"/>
      <c r="M8" s="34"/>
      <c r="O8" s="296"/>
      <c r="P8" s="297"/>
      <c r="Q8" s="297"/>
      <c r="R8" s="297"/>
    </row>
    <row r="9" spans="1:18" ht="15.75" x14ac:dyDescent="0.25">
      <c r="A9" s="179" t="s">
        <v>178</v>
      </c>
      <c r="B9" s="180" t="s">
        <v>179</v>
      </c>
      <c r="C9" s="169" t="s">
        <v>180</v>
      </c>
      <c r="D9" s="4" t="str">
        <f>IF(VLOOKUP(A9,'HBV ĐL HC'!E:AA,16,0)&lt;&gt;"",VLOOKUP(A9,'HBV ĐL HC'!E:AA,16,0),"")</f>
        <v>Âm tính</v>
      </c>
      <c r="E9" s="45" t="e">
        <f>IF(VLOOKUP(A9,'HBV ĐL HC'!E:AA,16,0)&lt;&gt;"",ABS(D9-$D$20),"")</f>
        <v>#VALUE!</v>
      </c>
      <c r="F9" s="45" t="e">
        <f>IF(VLOOKUP(A9,'HBV ĐL HC'!E:AA,10,0)&lt;&gt;0,IF(D9&lt;$E$2,$E$2,IF(D9&gt;$E$3,$E$3,D9)),"")</f>
        <v>#NUM!</v>
      </c>
      <c r="G9" s="45" t="e">
        <f>IF(VLOOKUP(A9,'HBV ĐL HC'!E:AA,10,0)&lt;&gt;0,IF(F9&lt;$G$2,$G$2,IF(F9&gt;$G$3,$G$3,F9)),"")</f>
        <v>#NUM!</v>
      </c>
      <c r="H9" s="45" t="e">
        <f>IF(VLOOKUP(A9,'HBV ĐL HC'!E:AA,10,0)&lt;&gt;0,IF(G9&lt;$H$2,$H$2,IF(G9&gt;$H$3,$H$3,G9)),"")</f>
        <v>#NUM!</v>
      </c>
      <c r="I9" s="45" t="e">
        <f>IF(VLOOKUP(A9,'HBV ĐL HC'!E:AA,10,0)&lt;&gt;0,IF(H9&lt;$I$2,$I$2,IF(H9&gt;$I$3,$I$3,H9)),"")</f>
        <v>#NUM!</v>
      </c>
      <c r="K9" s="46"/>
      <c r="L9" s="49"/>
      <c r="M9" s="35"/>
      <c r="O9" s="39"/>
      <c r="P9" s="42"/>
      <c r="Q9" s="42"/>
      <c r="R9" s="42"/>
    </row>
    <row r="10" spans="1:18" ht="25.5" x14ac:dyDescent="0.25">
      <c r="A10" s="179" t="s">
        <v>189</v>
      </c>
      <c r="B10" s="171" t="s">
        <v>190</v>
      </c>
      <c r="C10" s="169" t="s">
        <v>191</v>
      </c>
      <c r="D10" s="4" t="str">
        <f>IF(VLOOKUP(A10,'HBV ĐL HC'!E:AA,16,0)&lt;&gt;"",VLOOKUP(A10,'HBV ĐL HC'!E:AA,16,0),"")</f>
        <v>0</v>
      </c>
      <c r="E10" s="45" t="e">
        <f>IF(VLOOKUP(A10,'HBV ĐL HC'!E:AA,16,0)&lt;&gt;"",ABS(D10-$D$20),"")</f>
        <v>#NUM!</v>
      </c>
      <c r="F10" s="45" t="e">
        <f>IF(VLOOKUP(A10,'HBV ĐL HC'!E:AA,10,0)&lt;&gt;0,IF(D10&lt;$E$2,$E$2,IF(D10&gt;$E$3,$E$3,D10)),"")</f>
        <v>#NUM!</v>
      </c>
      <c r="G10" s="45" t="e">
        <f>IF(VLOOKUP(A10,'HBV ĐL HC'!E:AA,10,0)&lt;&gt;0,IF(F10&lt;$G$2,$G$2,IF(F10&gt;$G$3,$G$3,F10)),"")</f>
        <v>#NUM!</v>
      </c>
      <c r="H10" s="45" t="e">
        <f>IF(VLOOKUP(A10,'HBV ĐL HC'!E:AA,10,0)&lt;&gt;0,IF(G10&lt;$H$2,$H$2,IF(G10&gt;$H$3,$H$3,G10)),"")</f>
        <v>#NUM!</v>
      </c>
      <c r="I10" s="45" t="e">
        <f>IF(VLOOKUP(A10,'HBV ĐL HC'!E:AA,10,0)&lt;&gt;0,IF(H10&lt;$I$2,$I$2,IF(H10&gt;$I$3,$I$3,H10)),"")</f>
        <v>#NUM!</v>
      </c>
      <c r="K10" s="46"/>
      <c r="L10" s="34"/>
      <c r="M10" s="35"/>
      <c r="O10" s="39"/>
      <c r="P10" s="42"/>
      <c r="Q10" s="42"/>
      <c r="R10" s="42"/>
    </row>
    <row r="11" spans="1:18" ht="38.25" x14ac:dyDescent="0.25">
      <c r="A11" s="179" t="s">
        <v>447</v>
      </c>
      <c r="B11" s="171" t="s">
        <v>79</v>
      </c>
      <c r="C11" s="169" t="s">
        <v>80</v>
      </c>
      <c r="D11" s="4" t="str">
        <f>IF(VLOOKUP(A11,'HBV ĐL HC'!E:AA,16,0)&lt;&gt;"",VLOOKUP(A11,'HBV ĐL HC'!E:AA,16,0),"")</f>
        <v>Âm tính</v>
      </c>
      <c r="E11" s="45" t="e">
        <f>IF(VLOOKUP(A11,'HBV ĐL HC'!E:AA,16,0)&lt;&gt;"",ABS(D11-$D$20),"")</f>
        <v>#VALUE!</v>
      </c>
      <c r="F11" s="45" t="e">
        <f>IF(VLOOKUP(A11,'HBV ĐL HC'!E:AA,10,0)&lt;&gt;0,IF(D11&lt;$E$2,$E$2,IF(D11&gt;$E$3,$E$3,D11)),"")</f>
        <v>#NUM!</v>
      </c>
      <c r="G11" s="45" t="e">
        <f>IF(VLOOKUP(A11,'HBV ĐL HC'!E:AA,10,0)&lt;&gt;0,IF(F11&lt;$G$2,$G$2,IF(F11&gt;$G$3,$G$3,F11)),"")</f>
        <v>#NUM!</v>
      </c>
      <c r="H11" s="45" t="e">
        <f>IF(VLOOKUP(A11,'HBV ĐL HC'!E:AA,10,0)&lt;&gt;0,IF(G11&lt;$H$2,$H$2,IF(G11&gt;$H$3,$H$3,G11)),"")</f>
        <v>#NUM!</v>
      </c>
      <c r="I11" s="45" t="e">
        <f>IF(VLOOKUP(A11,'HBV ĐL HC'!E:AA,10,0)&lt;&gt;0,IF(H11&lt;$I$2,$I$2,IF(H11&gt;$I$3,$I$3,H11)),"")</f>
        <v>#NUM!</v>
      </c>
      <c r="K11" s="46"/>
      <c r="L11" s="34"/>
      <c r="M11" s="35"/>
      <c r="O11" s="39"/>
      <c r="P11" s="42"/>
      <c r="Q11" s="42"/>
      <c r="R11" s="42"/>
    </row>
    <row r="12" spans="1:18" ht="25.5" x14ac:dyDescent="0.25">
      <c r="A12" s="179" t="s">
        <v>212</v>
      </c>
      <c r="B12" s="171" t="s">
        <v>213</v>
      </c>
      <c r="C12" s="169" t="s">
        <v>214</v>
      </c>
      <c r="D12" s="4" t="str">
        <f>IF(VLOOKUP(A12,'HBV ĐL HC'!E:AA,16,0)&lt;&gt;"",VLOOKUP(A12,'HBV ĐL HC'!E:AA,16,0),"")</f>
        <v>0</v>
      </c>
      <c r="E12" s="45" t="e">
        <f>IF(VLOOKUP(A12,'HBV ĐL HC'!E:AA,16,0)&lt;&gt;"",ABS(D12-$D$20),"")</f>
        <v>#NUM!</v>
      </c>
      <c r="F12" s="45" t="e">
        <f>IF(VLOOKUP(A12,'HBV ĐL HC'!E:AA,10,0)&lt;&gt;0,IF(D12&lt;$E$2,$E$2,IF(D12&gt;$E$3,$E$3,D12)),"")</f>
        <v>#NUM!</v>
      </c>
      <c r="G12" s="45" t="e">
        <f>IF(VLOOKUP(A12,'HBV ĐL HC'!E:AA,10,0)&lt;&gt;0,IF(F12&lt;$G$2,$G$2,IF(F12&gt;$G$3,$G$3,F12)),"")</f>
        <v>#NUM!</v>
      </c>
      <c r="H12" s="45" t="e">
        <f>IF(VLOOKUP(A12,'HBV ĐL HC'!E:AA,10,0)&lt;&gt;0,IF(G12&lt;$H$2,$H$2,IF(G12&gt;$H$3,$H$3,G12)),"")</f>
        <v>#NUM!</v>
      </c>
      <c r="I12" s="45" t="e">
        <f>IF(VLOOKUP(A12,'HBV ĐL HC'!E:AA,10,0)&lt;&gt;0,IF(H12&lt;$I$2,$I$2,IF(H12&gt;$I$3,$I$3,H12)),"")</f>
        <v>#NUM!</v>
      </c>
      <c r="K12" s="46"/>
      <c r="L12" s="34"/>
      <c r="M12" s="35"/>
      <c r="O12" s="39"/>
      <c r="P12" s="42"/>
      <c r="Q12" s="42"/>
      <c r="R12" s="42"/>
    </row>
    <row r="13" spans="1:18" ht="15.75" x14ac:dyDescent="0.25">
      <c r="A13" s="179" t="s">
        <v>218</v>
      </c>
      <c r="B13" s="171" t="s">
        <v>219</v>
      </c>
      <c r="C13" s="169" t="s">
        <v>220</v>
      </c>
      <c r="D13" s="4" t="str">
        <f>IF(VLOOKUP(A13,'HBV ĐL HC'!E:AA,16,0)&lt;&gt;"",VLOOKUP(A13,'HBV ĐL HC'!E:AA,16,0),"")</f>
        <v>Âm tính</v>
      </c>
      <c r="E13" s="45" t="e">
        <f>IF(VLOOKUP(A13,'HBV ĐL HC'!E:AA,16,0)&lt;&gt;"",ABS(D13-$D$20),"")</f>
        <v>#VALUE!</v>
      </c>
      <c r="F13" s="45" t="e">
        <f>IF(VLOOKUP(A13,'HBV ĐL HC'!E:AA,10,0)&lt;&gt;0,IF(D13&lt;$E$2,$E$2,IF(D13&gt;$E$3,$E$3,D13)),"")</f>
        <v>#NUM!</v>
      </c>
      <c r="G13" s="45" t="e">
        <f>IF(VLOOKUP(A13,'HBV ĐL HC'!E:AA,10,0)&lt;&gt;0,IF(F13&lt;$G$2,$G$2,IF(F13&gt;$G$3,$G$3,F13)),"")</f>
        <v>#NUM!</v>
      </c>
      <c r="H13" s="45" t="e">
        <f>IF(VLOOKUP(A13,'HBV ĐL HC'!E:AA,10,0)&lt;&gt;0,IF(G13&lt;$H$2,$H$2,IF(G13&gt;$H$3,$H$3,G13)),"")</f>
        <v>#NUM!</v>
      </c>
      <c r="I13" s="45" t="e">
        <f>IF(VLOOKUP(A13,'HBV ĐL HC'!E:AA,10,0)&lt;&gt;0,IF(H13&lt;$I$2,$I$2,IF(H13&gt;$I$3,$I$3,H13)),"")</f>
        <v>#NUM!</v>
      </c>
      <c r="K13" s="46"/>
      <c r="L13" s="34"/>
      <c r="M13" s="35"/>
      <c r="O13" s="39"/>
      <c r="P13" s="42"/>
      <c r="Q13" s="42"/>
      <c r="R13" s="42"/>
    </row>
    <row r="14" spans="1:18" ht="15.75" x14ac:dyDescent="0.25">
      <c r="A14" s="179" t="s">
        <v>448</v>
      </c>
      <c r="B14" s="171" t="s">
        <v>85</v>
      </c>
      <c r="C14" s="169" t="s">
        <v>86</v>
      </c>
      <c r="D14" s="4" t="str">
        <f>IF(VLOOKUP(A14,'HBV ĐL HC'!E:AA,16,0)&lt;&gt;"",VLOOKUP(A14,'HBV ĐL HC'!E:AA,16,0),"")</f>
        <v/>
      </c>
      <c r="E14" s="45" t="str">
        <f>IF(VLOOKUP(A14,'HBV ĐL HC'!E:AA,16,0)&lt;&gt;"",ABS(D14-$D$20),"")</f>
        <v/>
      </c>
      <c r="F14" s="45" t="str">
        <f>IF(VLOOKUP(A14,'HBV ĐL HC'!E:AA,10,0)&lt;&gt;0,IF(D14&lt;$E$2,$E$2,IF(D14&gt;$E$3,$E$3,D14)),"")</f>
        <v/>
      </c>
      <c r="G14" s="45" t="str">
        <f>IF(VLOOKUP(A14,'HBV ĐL HC'!E:AA,10,0)&lt;&gt;0,IF(F14&lt;$G$2,$G$2,IF(F14&gt;$G$3,$G$3,F14)),"")</f>
        <v/>
      </c>
      <c r="H14" s="45" t="str">
        <f>IF(VLOOKUP(A14,'HBV ĐL HC'!E:AA,10,0)&lt;&gt;0,IF(G14&lt;$H$2,$H$2,IF(G14&gt;$H$3,$H$3,G14)),"")</f>
        <v/>
      </c>
      <c r="I14" s="45" t="str">
        <f>IF(VLOOKUP(A14,'HBV ĐL HC'!E:AA,10,0)&lt;&gt;0,IF(H14&lt;$I$2,$I$2,IF(H14&gt;$I$3,$I$3,H14)),"")</f>
        <v/>
      </c>
    </row>
    <row r="15" spans="1:18" s="52" customFormat="1" x14ac:dyDescent="0.2">
      <c r="A15" s="51"/>
      <c r="B15" s="36"/>
      <c r="C15" s="37"/>
      <c r="E15" s="53"/>
      <c r="F15" s="54"/>
      <c r="G15" s="54"/>
      <c r="H15" s="54"/>
      <c r="K15" s="51"/>
      <c r="L15" s="36"/>
      <c r="M15" s="37"/>
      <c r="O15" s="53"/>
      <c r="P15" s="54"/>
      <c r="Q15" s="54"/>
      <c r="R15" s="54"/>
    </row>
    <row r="16" spans="1:18" s="52" customFormat="1" x14ac:dyDescent="0.2">
      <c r="A16" s="51"/>
      <c r="B16" s="36"/>
      <c r="C16" s="37"/>
      <c r="E16" s="53"/>
      <c r="F16" s="54"/>
      <c r="G16" s="54"/>
      <c r="H16" s="54"/>
      <c r="K16" s="51"/>
      <c r="L16" s="36"/>
      <c r="M16" s="37"/>
      <c r="O16" s="53"/>
      <c r="P16" s="54"/>
      <c r="Q16" s="54"/>
      <c r="R16" s="54"/>
    </row>
    <row r="17" spans="1:18" ht="15.75" x14ac:dyDescent="0.25">
      <c r="C17" s="21" t="s">
        <v>282</v>
      </c>
      <c r="D17" s="66" t="e">
        <f>AVERAGE(D5:D14)</f>
        <v>#DIV/0!</v>
      </c>
      <c r="E17" s="67"/>
      <c r="F17" s="66" t="e">
        <f>AVERAGE(F5:F14)</f>
        <v>#NUM!</v>
      </c>
      <c r="G17" s="66" t="e">
        <f t="shared" ref="G17:I17" si="2">AVERAGE(G5:G14)</f>
        <v>#NUM!</v>
      </c>
      <c r="H17" s="66" t="e">
        <f t="shared" si="2"/>
        <v>#NUM!</v>
      </c>
      <c r="I17" s="66" t="e">
        <f t="shared" si="2"/>
        <v>#NUM!</v>
      </c>
      <c r="M17" s="55"/>
      <c r="N17" s="56"/>
      <c r="P17" s="56"/>
      <c r="Q17" s="56"/>
      <c r="R17" s="56"/>
    </row>
    <row r="18" spans="1:18" ht="15.75" x14ac:dyDescent="0.2">
      <c r="C18" s="24" t="s">
        <v>243</v>
      </c>
      <c r="D18" s="66" t="e">
        <f>_xlfn.STDEV.S(D5:D14)</f>
        <v>#DIV/0!</v>
      </c>
      <c r="E18" s="67"/>
      <c r="F18" s="66" t="e">
        <f>_xlfn.STDEV.S(F5:F14)</f>
        <v>#NUM!</v>
      </c>
      <c r="G18" s="66" t="e">
        <f t="shared" ref="G18:I18" si="3">_xlfn.STDEV.S(G5:G14)</f>
        <v>#NUM!</v>
      </c>
      <c r="H18" s="66" t="e">
        <f t="shared" si="3"/>
        <v>#NUM!</v>
      </c>
      <c r="I18" s="66" t="e">
        <f t="shared" si="3"/>
        <v>#NUM!</v>
      </c>
      <c r="M18" s="57"/>
      <c r="N18" s="58"/>
      <c r="P18" s="58"/>
      <c r="Q18" s="58"/>
      <c r="R18" s="58"/>
    </row>
    <row r="19" spans="1:18" ht="15.75" x14ac:dyDescent="0.2">
      <c r="C19" s="24" t="s">
        <v>283</v>
      </c>
      <c r="D19" s="67" t="e">
        <f>1.5*D21</f>
        <v>#VALUE!</v>
      </c>
      <c r="E19" s="67"/>
      <c r="F19" s="66" t="e">
        <f>1.5*F21</f>
        <v>#NUM!</v>
      </c>
      <c r="G19" s="66" t="e">
        <f t="shared" ref="G19:I19" si="4">1.5*G21</f>
        <v>#NUM!</v>
      </c>
      <c r="H19" s="66" t="e">
        <f t="shared" si="4"/>
        <v>#NUM!</v>
      </c>
      <c r="I19" s="66" t="e">
        <f t="shared" si="4"/>
        <v>#NUM!</v>
      </c>
      <c r="M19" s="57"/>
      <c r="N19" s="58"/>
      <c r="P19" s="58"/>
      <c r="Q19" s="58"/>
      <c r="R19" s="58"/>
    </row>
    <row r="20" spans="1:18" ht="15.75" x14ac:dyDescent="0.2">
      <c r="C20" s="24" t="s">
        <v>284</v>
      </c>
      <c r="D20" s="66" t="e">
        <f>MEDIAN(D5:D14)</f>
        <v>#NUM!</v>
      </c>
      <c r="E20" s="67" t="e">
        <f>MEDIAN(E5:E14)</f>
        <v>#VALUE!</v>
      </c>
      <c r="F20" s="68" t="e">
        <f>AVERAGE(F5:F14)</f>
        <v>#NUM!</v>
      </c>
      <c r="G20" s="68" t="e">
        <f t="shared" ref="G20:I20" si="5">AVERAGE(G5:G14)</f>
        <v>#NUM!</v>
      </c>
      <c r="H20" s="68" t="e">
        <f t="shared" si="5"/>
        <v>#NUM!</v>
      </c>
      <c r="I20" s="68" t="e">
        <f t="shared" si="5"/>
        <v>#NUM!</v>
      </c>
      <c r="M20" s="57"/>
      <c r="N20" s="58"/>
      <c r="P20" s="58"/>
      <c r="Q20" s="58"/>
      <c r="R20" s="58"/>
    </row>
    <row r="21" spans="1:18" ht="15.75" x14ac:dyDescent="0.2">
      <c r="C21" s="24" t="s">
        <v>285</v>
      </c>
      <c r="D21" s="66" t="e">
        <f>1.483*MEDIAN(E5:E14)</f>
        <v>#VALUE!</v>
      </c>
      <c r="E21" s="67" t="e">
        <f>1.483*E20</f>
        <v>#VALUE!</v>
      </c>
      <c r="F21" s="68" t="e">
        <f>1.134*_xlfn.STDEV.S(F5:F14)</f>
        <v>#NUM!</v>
      </c>
      <c r="G21" s="68" t="e">
        <f t="shared" ref="G21:I21" si="6">1.134*_xlfn.STDEV.S(G5:G14)</f>
        <v>#NUM!</v>
      </c>
      <c r="H21" s="68" t="e">
        <f t="shared" si="6"/>
        <v>#NUM!</v>
      </c>
      <c r="I21" s="68" t="e">
        <f t="shared" si="6"/>
        <v>#NUM!</v>
      </c>
      <c r="M21" s="57"/>
      <c r="N21" s="58"/>
      <c r="P21" s="58"/>
      <c r="Q21" s="58"/>
      <c r="R21" s="58"/>
    </row>
    <row r="22" spans="1:18" x14ac:dyDescent="0.2">
      <c r="D22" s="39"/>
    </row>
    <row r="23" spans="1:18" x14ac:dyDescent="0.2">
      <c r="D23" s="39"/>
    </row>
    <row r="24" spans="1:18" x14ac:dyDescent="0.2">
      <c r="D24" s="39"/>
      <c r="E24" s="39" t="s">
        <v>277</v>
      </c>
      <c r="F24" s="39" t="s">
        <v>286</v>
      </c>
      <c r="G24" s="39" t="s">
        <v>279</v>
      </c>
      <c r="H24" s="39" t="s">
        <v>279</v>
      </c>
    </row>
    <row r="25" spans="1:18" x14ac:dyDescent="0.2">
      <c r="D25" s="39"/>
      <c r="E25" s="39" t="e">
        <f t="shared" ref="E25:I25" si="7">D39-D38</f>
        <v>#NUM!</v>
      </c>
      <c r="F25" s="39"/>
      <c r="G25" s="39" t="e">
        <f t="shared" si="7"/>
        <v>#NUM!</v>
      </c>
      <c r="H25" s="39" t="e">
        <f t="shared" si="7"/>
        <v>#NUM!</v>
      </c>
      <c r="I25" s="39" t="e">
        <f t="shared" si="7"/>
        <v>#NUM!</v>
      </c>
    </row>
    <row r="26" spans="1:18" x14ac:dyDescent="0.2">
      <c r="D26" s="39"/>
      <c r="E26" s="39" t="e">
        <f t="shared" ref="E26:I26" si="8">D39+D38</f>
        <v>#NUM!</v>
      </c>
      <c r="F26" s="39"/>
      <c r="G26" s="39" t="e">
        <f t="shared" si="8"/>
        <v>#NUM!</v>
      </c>
      <c r="H26" s="39" t="e">
        <f t="shared" si="8"/>
        <v>#NUM!</v>
      </c>
      <c r="I26" s="39" t="e">
        <f t="shared" si="8"/>
        <v>#NUM!</v>
      </c>
    </row>
    <row r="27" spans="1:18" ht="25.5" x14ac:dyDescent="0.2">
      <c r="A27" s="185" t="s">
        <v>413</v>
      </c>
      <c r="B27" s="186" t="s">
        <v>250</v>
      </c>
      <c r="C27" s="184" t="s">
        <v>406</v>
      </c>
      <c r="D27" s="65" t="str">
        <f>IF(VLOOKUP(A27,'HBV ĐL HC'!E:AA,16,0)&lt;&gt;"",VLOOKUP(A27,'HBV ĐL HC'!E:AA,16,0),"")</f>
        <v>Không phát hiện thấy HBV DNA</v>
      </c>
      <c r="E27" s="45" t="e">
        <f>IF(VLOOKUP(A27,'HBV ĐL HC'!E:AA,16,0)&lt;&gt;"",ABS(D27-$D$39),"")</f>
        <v>#VALUE!</v>
      </c>
      <c r="F27" s="45" t="e">
        <f>IF(VLOOKUP(A27,'HBV ĐL HC'!E:AA,10,0)&lt;&gt;0,IF(D27&lt;$E$25,$E$25,IF(D27&gt;$E$26,$E$26,D27)),"")</f>
        <v>#NUM!</v>
      </c>
      <c r="G27" s="45" t="e">
        <f>IF(VLOOKUP(A27,'HBV ĐL HC'!E:AA,10,0)&lt;&gt;0,IF(F27&lt;$G$25,$G$25,IF(F27&gt;$G$26,$G$26,F27)),"")</f>
        <v>#NUM!</v>
      </c>
      <c r="H27" s="45" t="e">
        <f>IF(VLOOKUP(A27,'HBV ĐL HC'!E:AA,10,0)&lt;&gt;0,IF(G27&lt;$H$25,$H$25,IF(G27&gt;$H$26,$H$26,G27)),"")</f>
        <v>#NUM!</v>
      </c>
      <c r="I27" s="45" t="e">
        <f>IF(VLOOKUP(A27,'HBV ĐL HC'!E:AA,10,0)&lt;&gt;0,IF(H27&lt;$I$25,$I$25,IF(H27&gt;$I$26,$I$26,H27)),"")</f>
        <v>#NUM!</v>
      </c>
    </row>
    <row r="28" spans="1:18" ht="25.5" x14ac:dyDescent="0.2">
      <c r="A28" s="185" t="s">
        <v>410</v>
      </c>
      <c r="B28" s="186" t="s">
        <v>366</v>
      </c>
      <c r="C28" s="184" t="s">
        <v>409</v>
      </c>
      <c r="D28" s="65" t="str">
        <f>IF(VLOOKUP(A28,'HBV ĐL HC'!E:AA,16,0)&lt;&gt;"",VLOOKUP(A28,'HBV ĐL HC'!E:AA,16,0),"")</f>
        <v>Target Not Detected</v>
      </c>
      <c r="E28" s="45" t="e">
        <f>IF(VLOOKUP(A28,'HBV ĐL HC'!E:AA,16,0)&lt;&gt;"",ABS(D28-$D$39),"")</f>
        <v>#VALUE!</v>
      </c>
      <c r="F28" s="45" t="e">
        <f>IF(VLOOKUP(A28,'HBV ĐL HC'!E:AA,10,0)&lt;&gt;0,IF(D28&lt;$E$25,$E$25,IF(D28&gt;$E$26,$E$26,D28)),"")</f>
        <v>#NUM!</v>
      </c>
      <c r="G28" s="45" t="e">
        <f>IF(VLOOKUP(A28,'HBV ĐL HC'!E:AA,10,0)&lt;&gt;0,IF(F28&lt;$G$25,$G$25,IF(F28&gt;$G$26,$G$26,F28)),"")</f>
        <v>#NUM!</v>
      </c>
      <c r="H28" s="45" t="e">
        <f>IF(VLOOKUP(A28,'HBV ĐL HC'!E:AA,10,0)&lt;&gt;0,IF(G28&lt;$H$25,$H$25,IF(G28&gt;$H$26,$H$26,G28)),"")</f>
        <v>#NUM!</v>
      </c>
      <c r="I28" s="45" t="e">
        <f>IF(VLOOKUP(A28,'HBV ĐL HC'!E:AA,10,0)&lt;&gt;0,IF(H28&lt;$I$25,$I$25,IF(H28&gt;$I$26,$I$26,H28)),"")</f>
        <v>#NUM!</v>
      </c>
    </row>
    <row r="29" spans="1:18" x14ac:dyDescent="0.2">
      <c r="A29" s="188" t="s">
        <v>105</v>
      </c>
      <c r="B29" s="186" t="s">
        <v>106</v>
      </c>
      <c r="C29" s="184" t="s">
        <v>107</v>
      </c>
      <c r="D29" s="65" t="str">
        <f>IF(VLOOKUP(A29,'HBV ĐL HC'!E:AA,16,0)&lt;&gt;"",VLOOKUP(A29,'HBV ĐL HC'!E:AA,16,0),"")</f>
        <v>Dưới ngưỡng phát hiện</v>
      </c>
      <c r="E29" s="45" t="e">
        <f>IF(VLOOKUP(A29,'HBV ĐL HC'!E:AA,16,0)&lt;&gt;"",ABS(D29-$D$39),"")</f>
        <v>#VALUE!</v>
      </c>
      <c r="F29" s="45" t="e">
        <f>IF(VLOOKUP(A29,'HBV ĐL HC'!E:AA,10,0)&lt;&gt;0,IF(D29&lt;$E$25,$E$25,IF(D29&gt;$E$26,$E$26,D29)),"")</f>
        <v>#NUM!</v>
      </c>
      <c r="G29" s="45" t="e">
        <f>IF(VLOOKUP(A29,'HBV ĐL HC'!E:AA,10,0)&lt;&gt;0,IF(F29&lt;$G$25,$G$25,IF(F29&gt;$G$26,$G$26,F29)),"")</f>
        <v>#NUM!</v>
      </c>
      <c r="H29" s="45" t="e">
        <f>IF(VLOOKUP(A29,'HBV ĐL HC'!E:AA,10,0)&lt;&gt;0,IF(G29&lt;$H$25,$H$25,IF(G29&gt;$H$26,$H$26,G29)),"")</f>
        <v>#NUM!</v>
      </c>
      <c r="I29" s="45" t="e">
        <f>IF(VLOOKUP(A29,'HBV ĐL HC'!E:AA,10,0)&lt;&gt;0,IF(H29&lt;$I$25,$I$25,IF(H29&gt;$I$26,$I$26,H29)),"")</f>
        <v>#NUM!</v>
      </c>
    </row>
    <row r="30" spans="1:18" x14ac:dyDescent="0.2">
      <c r="A30" s="193" t="s">
        <v>109</v>
      </c>
      <c r="B30" s="273" t="s">
        <v>110</v>
      </c>
      <c r="C30" s="273" t="s">
        <v>111</v>
      </c>
      <c r="D30" s="65" t="str">
        <f>IF(VLOOKUP(A30,'HBV ĐL HC'!E:AA,16,0)&lt;&gt;"",VLOOKUP(A30,'HBV ĐL HC'!E:AA,16,0),"")</f>
        <v/>
      </c>
      <c r="E30" s="45" t="str">
        <f>IF(VLOOKUP(A30,'HBV ĐL HC'!E:AA,16,0)&lt;&gt;"",ABS(D30-$D$39),"")</f>
        <v/>
      </c>
      <c r="F30" s="45" t="str">
        <f>IF(VLOOKUP(A30,'HBV ĐL HC'!E:AA,10,0)&lt;&gt;0,IF(D30&lt;$E$25,$E$25,IF(D30&gt;$E$26,$E$26,D30)),"")</f>
        <v/>
      </c>
      <c r="G30" s="45" t="str">
        <f>IF(VLOOKUP(A30,'HBV ĐL HC'!E:AA,10,0)&lt;&gt;0,IF(F30&lt;$G$25,$G$25,IF(F30&gt;$G$26,$G$26,F30)),"")</f>
        <v/>
      </c>
      <c r="H30" s="45" t="str">
        <f>IF(VLOOKUP(A30,'HBV ĐL HC'!E:AA,10,0)&lt;&gt;0,IF(G30&lt;$H$25,$H$25,IF(G30&gt;$H$26,$H$26,G30)),"")</f>
        <v/>
      </c>
      <c r="I30" s="45" t="str">
        <f>IF(VLOOKUP(A30,'HBV ĐL HC'!E:AA,10,0)&lt;&gt;0,IF(H30&lt;$I$25,$I$25,IF(H30&gt;$I$26,$I$26,H30)),"")</f>
        <v/>
      </c>
    </row>
    <row r="31" spans="1:18" s="295" customFormat="1" x14ac:dyDescent="0.2">
      <c r="A31" s="185" t="s">
        <v>124</v>
      </c>
      <c r="B31" s="292" t="s">
        <v>125</v>
      </c>
      <c r="C31" s="292" t="s">
        <v>126</v>
      </c>
      <c r="D31" s="293" t="str">
        <f>IF(VLOOKUP(A31,'HBV ĐL HC'!E:AA,16,0)&lt;&gt;"",VLOOKUP(A31,'HBV ĐL HC'!E:AA,16,0),"")</f>
        <v>0</v>
      </c>
      <c r="E31" s="294" t="e">
        <f>IF(VLOOKUP(A31,'HBV ĐL HC'!E:AA,16,0)&lt;&gt;"",ABS(D31-$D$39),"")</f>
        <v>#NUM!</v>
      </c>
      <c r="F31" s="294" t="e">
        <f>IF(VLOOKUP(A31,'HBV ĐL HC'!E:AA,10,0)&lt;&gt;0,IF(D31&lt;$E$25,$E$25,IF(D31&gt;$E$26,$E$26,D31)),"")</f>
        <v>#NUM!</v>
      </c>
      <c r="G31" s="294" t="e">
        <f>IF(VLOOKUP(A31,'HBV ĐL HC'!E:AA,10,0)&lt;&gt;0,IF(F31&lt;$G$25,$G$25,IF(F31&gt;$G$26,$G$26,F31)),"")</f>
        <v>#NUM!</v>
      </c>
      <c r="H31" s="294" t="e">
        <f>IF(VLOOKUP(A31,'HBV ĐL HC'!E:AA,10,0)&lt;&gt;0,IF(G31&lt;$H$25,$H$25,IF(G31&gt;$H$26,$H$26,G31)),"")</f>
        <v>#NUM!</v>
      </c>
      <c r="I31" s="294" t="e">
        <f>IF(VLOOKUP(A31,'HBV ĐL HC'!E:AA,10,0)&lt;&gt;0,IF(H31&lt;$I$25,$I$25,IF(H31&gt;$I$26,$I$26,H31)),"")</f>
        <v>#NUM!</v>
      </c>
      <c r="M31" s="296"/>
    </row>
    <row r="32" spans="1:18" ht="25.5" x14ac:dyDescent="0.2">
      <c r="A32" s="185" t="s">
        <v>132</v>
      </c>
      <c r="B32" s="186" t="s">
        <v>133</v>
      </c>
      <c r="C32" s="186" t="s">
        <v>134</v>
      </c>
      <c r="D32" s="65" t="str">
        <f>IF(VLOOKUP(A32,'HBV ĐL HC'!E:AA,16,0)&lt;&gt;"",VLOOKUP(A32,'HBV ĐL HC'!E:AA,16,0),"")</f>
        <v>Âm tính</v>
      </c>
      <c r="E32" s="45" t="e">
        <f>IF(VLOOKUP(A32,'HBV ĐL HC'!E:AA,16,0)&lt;&gt;"",ABS(D32-$D$39),"")</f>
        <v>#VALUE!</v>
      </c>
      <c r="F32" s="45" t="e">
        <f>IF(VLOOKUP(A32,'HBV ĐL HC'!E:AA,10,0)&lt;&gt;0,IF(D32&lt;$E$25,$E$25,IF(D32&gt;$E$26,$E$26,D32)),"")</f>
        <v>#NUM!</v>
      </c>
      <c r="G32" s="45" t="e">
        <f>IF(VLOOKUP(A32,'HBV ĐL HC'!E:AA,10,0)&lt;&gt;0,IF(F32&lt;$G$25,$G$25,IF(F32&gt;$G$26,$G$26,F32)),"")</f>
        <v>#NUM!</v>
      </c>
      <c r="H32" s="45" t="e">
        <f>IF(VLOOKUP(A32,'HBV ĐL HC'!E:AA,10,0)&lt;&gt;0,IF(G32&lt;$H$25,$H$25,IF(G32&gt;$H$26,$H$26,G32)),"")</f>
        <v>#NUM!</v>
      </c>
      <c r="I32" s="45" t="e">
        <f>IF(VLOOKUP(A32,'HBV ĐL HC'!E:AA,10,0)&lt;&gt;0,IF(H32&lt;$I$25,$I$25,IF(H32&gt;$I$26,$I$26,H32)),"")</f>
        <v>#NUM!</v>
      </c>
    </row>
    <row r="33" spans="1:13" s="300" customFormat="1" x14ac:dyDescent="0.2">
      <c r="A33" s="193" t="s">
        <v>457</v>
      </c>
      <c r="B33" s="192" t="s">
        <v>85</v>
      </c>
      <c r="C33" s="192" t="s">
        <v>86</v>
      </c>
      <c r="D33" s="298" t="str">
        <f>IF(VLOOKUP(A33,'HBV ĐL HC'!E:AA,16,0)&lt;&gt;"",VLOOKUP(A33,'HBV ĐL HC'!E:AA,16,0),"")</f>
        <v/>
      </c>
      <c r="E33" s="299" t="str">
        <f>IF(VLOOKUP(A33,'HBV ĐL HC'!E:AA,16,0)&lt;&gt;"",ABS(D33-$D$39),"")</f>
        <v/>
      </c>
      <c r="F33" s="299" t="str">
        <f>IF(VLOOKUP(A33,'HBV ĐL HC'!E:AA,10,0)&lt;&gt;0,IF(D33&lt;$E$25,$E$25,IF(D33&gt;$E$26,$E$26,D33)),"")</f>
        <v/>
      </c>
      <c r="G33" s="299" t="str">
        <f>IF(VLOOKUP(A33,'HBV ĐL HC'!E:AA,10,0)&lt;&gt;0,IF(F33&lt;$G$25,$G$25,IF(F33&gt;$G$26,$G$26,F33)),"")</f>
        <v/>
      </c>
      <c r="H33" s="299" t="str">
        <f>IF(VLOOKUP(A33,'HBV ĐL HC'!E:AA,10,0)&lt;&gt;0,IF(G33&lt;$H$25,$H$25,IF(G33&gt;$H$26,$H$26,G33)),"")</f>
        <v/>
      </c>
      <c r="I33" s="299" t="str">
        <f>IF(VLOOKUP(A33,'HBV ĐL HC'!E:AA,10,0)&lt;&gt;0,IF(H33&lt;$I$25,$I$25,IF(H33&gt;$I$26,$I$26,H33)),"")</f>
        <v/>
      </c>
      <c r="M33" s="301"/>
    </row>
    <row r="34" spans="1:13" ht="15.75" x14ac:dyDescent="0.2">
      <c r="A34" s="69"/>
      <c r="B34" s="70"/>
      <c r="C34" s="71"/>
      <c r="D34" s="65"/>
      <c r="E34" s="42"/>
      <c r="F34" s="42"/>
      <c r="G34" s="42"/>
      <c r="H34" s="42"/>
      <c r="I34" s="42"/>
    </row>
    <row r="35" spans="1:13" x14ac:dyDescent="0.2">
      <c r="D35" s="39"/>
    </row>
    <row r="36" spans="1:13" ht="15.75" x14ac:dyDescent="0.25">
      <c r="C36" s="21" t="s">
        <v>282</v>
      </c>
      <c r="D36" s="66" t="e">
        <f>AVERAGE(D27:D33)</f>
        <v>#DIV/0!</v>
      </c>
      <c r="E36" s="67"/>
      <c r="F36" s="66" t="e">
        <f>AVERAGE(F27:F33)</f>
        <v>#NUM!</v>
      </c>
      <c r="G36" s="66" t="e">
        <f t="shared" ref="G36:I36" si="9">AVERAGE(G27:G33)</f>
        <v>#NUM!</v>
      </c>
      <c r="H36" s="66" t="e">
        <f t="shared" si="9"/>
        <v>#NUM!</v>
      </c>
      <c r="I36" s="66" t="e">
        <f t="shared" si="9"/>
        <v>#NUM!</v>
      </c>
    </row>
    <row r="37" spans="1:13" ht="15.75" x14ac:dyDescent="0.2">
      <c r="C37" s="24" t="s">
        <v>243</v>
      </c>
      <c r="D37" s="66" t="e">
        <f>_xlfn.STDEV.S(D27:D33)</f>
        <v>#DIV/0!</v>
      </c>
      <c r="E37" s="67"/>
      <c r="F37" s="66" t="e">
        <f>_xlfn.STDEV.S(F27:F33)</f>
        <v>#NUM!</v>
      </c>
      <c r="G37" s="66" t="e">
        <f t="shared" ref="G37:I37" si="10">_xlfn.STDEV.S(G27:G33)</f>
        <v>#NUM!</v>
      </c>
      <c r="H37" s="66" t="e">
        <f t="shared" si="10"/>
        <v>#NUM!</v>
      </c>
      <c r="I37" s="66" t="e">
        <f t="shared" si="10"/>
        <v>#NUM!</v>
      </c>
    </row>
    <row r="38" spans="1:13" ht="15.75" x14ac:dyDescent="0.2">
      <c r="C38" s="24" t="s">
        <v>283</v>
      </c>
      <c r="D38" s="67" t="e">
        <f>1.5*D40</f>
        <v>#VALUE!</v>
      </c>
      <c r="E38" s="67"/>
      <c r="F38" s="66" t="e">
        <f>1.5*F40</f>
        <v>#NUM!</v>
      </c>
      <c r="G38" s="66" t="e">
        <f t="shared" ref="G38:I38" si="11">1.5*G40</f>
        <v>#NUM!</v>
      </c>
      <c r="H38" s="66" t="e">
        <f t="shared" si="11"/>
        <v>#NUM!</v>
      </c>
      <c r="I38" s="66" t="e">
        <f t="shared" si="11"/>
        <v>#NUM!</v>
      </c>
    </row>
    <row r="39" spans="1:13" ht="15.75" x14ac:dyDescent="0.2">
      <c r="C39" s="24" t="s">
        <v>284</v>
      </c>
      <c r="D39" s="66" t="e">
        <f>MEDIAN(D27:D33)</f>
        <v>#NUM!</v>
      </c>
      <c r="E39" s="67" t="e">
        <f>MEDIAN(E27:E33)</f>
        <v>#VALUE!</v>
      </c>
      <c r="F39" s="68" t="e">
        <f>AVERAGE(F27:F33)</f>
        <v>#NUM!</v>
      </c>
      <c r="G39" s="68" t="e">
        <f t="shared" ref="G39:I39" si="12">AVERAGE(G27:G33)</f>
        <v>#NUM!</v>
      </c>
      <c r="H39" s="68" t="e">
        <f t="shared" si="12"/>
        <v>#NUM!</v>
      </c>
      <c r="I39" s="68" t="e">
        <f t="shared" si="12"/>
        <v>#NUM!</v>
      </c>
    </row>
    <row r="40" spans="1:13" ht="15.75" x14ac:dyDescent="0.2">
      <c r="C40" s="24" t="s">
        <v>285</v>
      </c>
      <c r="D40" s="66" t="e">
        <f>1.483*MEDIAN(E27:E33)</f>
        <v>#VALUE!</v>
      </c>
      <c r="E40" s="67" t="e">
        <f>1.483*E39</f>
        <v>#VALUE!</v>
      </c>
      <c r="F40" s="68" t="e">
        <f>1.134*_xlfn.STDEV.S(F27:F33)</f>
        <v>#NUM!</v>
      </c>
      <c r="G40" s="68" t="e">
        <f t="shared" ref="G40:I40" si="13">1.134*_xlfn.STDEV.S(G27:G33)</f>
        <v>#NUM!</v>
      </c>
      <c r="H40" s="68" t="e">
        <f t="shared" si="13"/>
        <v>#NUM!</v>
      </c>
      <c r="I40" s="68" t="e">
        <f t="shared" si="13"/>
        <v>#NUM!</v>
      </c>
    </row>
    <row r="43" spans="1:13" x14ac:dyDescent="0.2">
      <c r="D43" s="39"/>
      <c r="E43" s="39" t="s">
        <v>277</v>
      </c>
      <c r="F43" s="39" t="s">
        <v>286</v>
      </c>
      <c r="G43" s="39" t="s">
        <v>279</v>
      </c>
      <c r="H43" s="39" t="s">
        <v>279</v>
      </c>
    </row>
    <row r="44" spans="1:13" x14ac:dyDescent="0.2">
      <c r="D44" s="39"/>
      <c r="E44" s="39" t="e">
        <f t="shared" ref="E44" si="14">D56-D55</f>
        <v>#NUM!</v>
      </c>
      <c r="F44" s="39"/>
      <c r="G44" s="39" t="e">
        <f t="shared" ref="G44:I44" si="15">F56-F55</f>
        <v>#NUM!</v>
      </c>
      <c r="H44" s="39" t="e">
        <f t="shared" si="15"/>
        <v>#NUM!</v>
      </c>
      <c r="I44" s="39" t="e">
        <f t="shared" si="15"/>
        <v>#NUM!</v>
      </c>
    </row>
    <row r="45" spans="1:13" x14ac:dyDescent="0.2">
      <c r="D45" s="39"/>
      <c r="E45" s="39" t="e">
        <f t="shared" ref="E45" si="16">D56+D55</f>
        <v>#NUM!</v>
      </c>
      <c r="F45" s="39"/>
      <c r="G45" s="39" t="e">
        <f t="shared" ref="G45:I45" si="17">F56+F55</f>
        <v>#NUM!</v>
      </c>
      <c r="H45" s="39" t="e">
        <f t="shared" si="17"/>
        <v>#NUM!</v>
      </c>
      <c r="I45" s="39" t="e">
        <f t="shared" si="17"/>
        <v>#NUM!</v>
      </c>
    </row>
    <row r="46" spans="1:13" ht="25.5" x14ac:dyDescent="0.2">
      <c r="A46" s="135" t="s">
        <v>138</v>
      </c>
      <c r="B46" s="136" t="s">
        <v>139</v>
      </c>
      <c r="C46" s="134" t="s">
        <v>140</v>
      </c>
      <c r="D46" s="65" t="str">
        <f>IF(VLOOKUP(A46,'HBV ĐL HC'!E:AA,16,0)&lt;&gt;"",VLOOKUP(A46,'HBV ĐL HC'!E:AA,16,0),"")</f>
        <v>Dưới ngưỡng phát hiện</v>
      </c>
      <c r="E46" s="45" t="e">
        <f>IF(VLOOKUP(A46,'HBV ĐL HC'!E:AA,16,0)&lt;&gt;"",ABS(D46-$D$56),"")</f>
        <v>#VALUE!</v>
      </c>
      <c r="F46" s="45" t="e">
        <f>IF(VLOOKUP(A46,'HBV ĐL HC'!E:AA,10,0)&lt;&gt;0,IF(D46&lt;$E$44,$E$44,IF(D46&gt;$E$45,$E$45,D46)),"")</f>
        <v>#NUM!</v>
      </c>
      <c r="G46" s="45" t="e">
        <f>IF(VLOOKUP(A46,'HBV ĐL HC'!E:AA,10,0)&lt;&gt;0,IF(F46&lt;$G$44,$G$44,IF(F46&gt;$G$45,$G$45,F46)),"")</f>
        <v>#NUM!</v>
      </c>
      <c r="H46" s="45" t="e">
        <f>IF(VLOOKUP(A46,'HBV ĐL HC'!E:AA,10,0)&lt;&gt;0,IF(G46&lt;$H$44,$H$44,IF(G46&gt;$H$45,$H$45,G46)),"")</f>
        <v>#NUM!</v>
      </c>
      <c r="I46" s="45" t="e">
        <f>IF(VLOOKUP(A46,'HBV ĐL HC'!E:AA,10,0)&lt;&gt;0,IF(H46&lt;$I$44,$I$44,IF(H46&gt;$I$45,$I$45,H46)),"")</f>
        <v>#NUM!</v>
      </c>
    </row>
    <row r="47" spans="1:13" ht="25.5" x14ac:dyDescent="0.2">
      <c r="A47" s="137" t="s">
        <v>147</v>
      </c>
      <c r="B47" s="138" t="s">
        <v>148</v>
      </c>
      <c r="C47" s="138" t="s">
        <v>149</v>
      </c>
      <c r="D47" s="65" t="str">
        <f>IF(VLOOKUP(A47,'HBV ĐL HC'!E:AA,16,0)&lt;&gt;"",VLOOKUP(A47,'HBV ĐL HC'!E:AA,16,0),"")</f>
        <v>0</v>
      </c>
      <c r="E47" s="45" t="e">
        <f>IF(VLOOKUP(A47,'HBV ĐL HC'!E:AA,16,0)&lt;&gt;"",ABS(D47-$D$56),"")</f>
        <v>#NUM!</v>
      </c>
      <c r="F47" s="45" t="e">
        <f>IF(VLOOKUP(A47,'HBV ĐL HC'!E:AA,10,0)&lt;&gt;0,IF(D47&lt;$E$44,$E$44,IF(D47&gt;$E$45,$E$45,D47)),"")</f>
        <v>#NUM!</v>
      </c>
      <c r="G47" s="45" t="e">
        <f>IF(VLOOKUP(A47,'HBV ĐL HC'!E:AA,10,0)&lt;&gt;0,IF(F47&lt;$G$44,$G$44,IF(F47&gt;$G$45,$G$45,F47)),"")</f>
        <v>#NUM!</v>
      </c>
      <c r="H47" s="45" t="e">
        <f>IF(VLOOKUP(A47,'HBV ĐL HC'!E:AA,10,0)&lt;&gt;0,IF(G47&lt;$H$44,$H$44,IF(G47&gt;$H$45,$H$45,G47)),"")</f>
        <v>#NUM!</v>
      </c>
      <c r="I47" s="45" t="e">
        <f>IF(VLOOKUP(A47,'HBV ĐL HC'!E:AA,10,0)&lt;&gt;0,IF(H47&lt;$I$44,$I$44,IF(H47&gt;$I$45,$I$45,H47)),"")</f>
        <v>#NUM!</v>
      </c>
    </row>
    <row r="48" spans="1:13" s="300" customFormat="1" ht="25.5" x14ac:dyDescent="0.2">
      <c r="A48" s="302" t="s">
        <v>92</v>
      </c>
      <c r="B48" s="303" t="s">
        <v>93</v>
      </c>
      <c r="C48" s="303" t="s">
        <v>94</v>
      </c>
      <c r="D48" s="298" t="str">
        <f>IF(VLOOKUP(A48,'HBV ĐL HC'!E:AA,16,0)&lt;&gt;"",VLOOKUP(A48,'HBV ĐL HC'!E:AA,16,0),"")</f>
        <v>Âm tính</v>
      </c>
      <c r="E48" s="299" t="e">
        <f>IF(VLOOKUP(A48,'HBV ĐL HC'!E:AA,16,0)&lt;&gt;"",ABS(D48-$D$56),"")</f>
        <v>#VALUE!</v>
      </c>
      <c r="F48" s="45" t="e">
        <f>IF(VLOOKUP(A48,'HBV ĐL HC'!E:AA,10,0)&lt;&gt;0,IF(D48&lt;$E$44,$E$44,IF(D48&gt;$E$45,$E$45,D48)),"")</f>
        <v>#NUM!</v>
      </c>
      <c r="G48" s="299" t="e">
        <f>IF(VLOOKUP(A48,'HBV ĐL HC'!E:AA,10,0)&lt;&gt;0,IF(F48&lt;$G$44,$G$44,IF(F48&gt;$G$45,$G$45,F48)),"")</f>
        <v>#NUM!</v>
      </c>
      <c r="H48" s="299" t="e">
        <f>IF(VLOOKUP(A48,'HBV ĐL HC'!E:AA,10,0)&lt;&gt;0,IF(G48&lt;$H$44,$H$44,IF(G48&gt;$H$45,$H$45,G48)),"")</f>
        <v>#NUM!</v>
      </c>
      <c r="I48" s="299" t="e">
        <f>IF(VLOOKUP(A48,'HBV ĐL HC'!E:AA,10,0)&lt;&gt;0,IF(H48&lt;$I$44,$I$44,IF(H48&gt;$I$45,$I$45,H48)),"")</f>
        <v>#NUM!</v>
      </c>
      <c r="M48" s="301"/>
    </row>
    <row r="49" spans="1:9" ht="38.25" x14ac:dyDescent="0.2">
      <c r="A49" s="137" t="s">
        <v>403</v>
      </c>
      <c r="B49" s="136" t="s">
        <v>364</v>
      </c>
      <c r="C49" s="134" t="s">
        <v>402</v>
      </c>
      <c r="D49" s="65" t="str">
        <f>IF(VLOOKUP(A49,'HBV ĐL HC'!E:AA,16,0)&lt;&gt;"",VLOOKUP(A49,'HBV ĐL HC'!E:AA,16,0),"")</f>
        <v>N/A</v>
      </c>
      <c r="E49" s="45" t="e">
        <f>IF(VLOOKUP(A49,'HBV ĐL HC'!E:AA,16,0)&lt;&gt;"",ABS(D49-$D$56),"")</f>
        <v>#VALUE!</v>
      </c>
      <c r="F49" s="45" t="e">
        <f>IF(VLOOKUP(A49,'HBV ĐL HC'!E:AA,10,0)&lt;&gt;0,IF(D49&lt;$E$44,$E$44,IF(D49&gt;$E$45,$E$45,D49)),"")</f>
        <v>#NUM!</v>
      </c>
      <c r="G49" s="45" t="e">
        <f>IF(VLOOKUP(A49,'HBV ĐL HC'!E:AA,10,0)&lt;&gt;0,IF(F49&lt;$G$44,$G$44,IF(F49&gt;$G$45,$G$45,F49)),"")</f>
        <v>#NUM!</v>
      </c>
      <c r="H49" s="45" t="e">
        <f>IF(VLOOKUP(A49,'HBV ĐL HC'!E:AA,10,0)&lt;&gt;0,IF(G49&lt;$H$44,$H$44,IF(G49&gt;$H$45,$H$45,G49)),"")</f>
        <v>#NUM!</v>
      </c>
      <c r="I49" s="45" t="e">
        <f>IF(VLOOKUP(A49,'HBV ĐL HC'!E:AA,10,0)&lt;&gt;0,IF(H49&lt;$I$44,$I$44,IF(H49&gt;$I$45,$I$45,H49)),"")</f>
        <v>#NUM!</v>
      </c>
    </row>
    <row r="50" spans="1:9" ht="25.5" x14ac:dyDescent="0.2">
      <c r="A50" s="135" t="s">
        <v>209</v>
      </c>
      <c r="B50" s="136" t="s">
        <v>210</v>
      </c>
      <c r="C50" s="134" t="s">
        <v>211</v>
      </c>
      <c r="D50" s="65" t="str">
        <f>IF(VLOOKUP(A50,'HBV ĐL HC'!E:AA,16,0)&lt;&gt;"",VLOOKUP(A50,'HBV ĐL HC'!E:AA,16,0),"")</f>
        <v>Dưới ngưỡng phát hiện</v>
      </c>
      <c r="E50" s="45" t="e">
        <f>IF(VLOOKUP(A50,'HBV ĐL HC'!E:AA,16,0)&lt;&gt;"",ABS(D50-$D$56),"")</f>
        <v>#VALUE!</v>
      </c>
      <c r="F50" s="45" t="e">
        <f>IF(VLOOKUP(A50,'HBV ĐL HC'!E:AA,10,0)&lt;&gt;0,IF(D50&lt;$E$44,$E$44,IF(D50&gt;$E$45,$E$45,D50)),"")</f>
        <v>#NUM!</v>
      </c>
      <c r="G50" s="45" t="e">
        <f>IF(VLOOKUP(A50,'HBV ĐL HC'!E:AA,10,0)&lt;&gt;0,IF(F50&lt;$G$44,$G$44,IF(F50&gt;$G$45,$G$45,F50)),"")</f>
        <v>#NUM!</v>
      </c>
      <c r="H50" s="45" t="e">
        <f>IF(VLOOKUP(A50,'HBV ĐL HC'!E:AA,10,0)&lt;&gt;0,IF(G50&lt;$H$44,$H$44,IF(G50&gt;$H$45,$H$45,G50)),"")</f>
        <v>#NUM!</v>
      </c>
      <c r="I50" s="45" t="e">
        <f>IF(VLOOKUP(A50,'HBV ĐL HC'!E:AA,10,0)&lt;&gt;0,IF(H50&lt;$I$44,$I$44,IF(H50&gt;$I$45,$I$45,H50)),"")</f>
        <v>#NUM!</v>
      </c>
    </row>
    <row r="51" spans="1:9" x14ac:dyDescent="0.2">
      <c r="C51" s="38"/>
      <c r="D51" s="65"/>
      <c r="E51" s="42"/>
      <c r="F51" s="42"/>
      <c r="G51" s="42"/>
      <c r="H51" s="42"/>
    </row>
    <row r="52" spans="1:9" x14ac:dyDescent="0.2">
      <c r="D52" s="39"/>
      <c r="E52" s="39"/>
      <c r="F52" s="42"/>
      <c r="G52" s="42"/>
      <c r="H52" s="42"/>
    </row>
    <row r="53" spans="1:9" x14ac:dyDescent="0.2">
      <c r="C53" s="144" t="s">
        <v>282</v>
      </c>
      <c r="D53" s="145" t="e">
        <f>AVERAGE(D46:D50)</f>
        <v>#DIV/0!</v>
      </c>
      <c r="E53" s="146"/>
      <c r="F53" s="145" t="e">
        <f>AVERAGE(F46:F50)</f>
        <v>#NUM!</v>
      </c>
      <c r="G53" s="145" t="e">
        <f t="shared" ref="G53:I53" si="18">AVERAGE(G46:G50)</f>
        <v>#NUM!</v>
      </c>
      <c r="H53" s="145" t="e">
        <f t="shared" si="18"/>
        <v>#NUM!</v>
      </c>
      <c r="I53" s="145" t="e">
        <f t="shared" si="18"/>
        <v>#NUM!</v>
      </c>
    </row>
    <row r="54" spans="1:9" x14ac:dyDescent="0.2">
      <c r="C54" s="147" t="s">
        <v>243</v>
      </c>
      <c r="D54" s="148" t="e">
        <f>_xlfn.STDEV.S(D46:D50)</f>
        <v>#DIV/0!</v>
      </c>
      <c r="E54" s="146"/>
      <c r="F54" s="148" t="e">
        <f>_xlfn.STDEV.S(F46:F50)</f>
        <v>#NUM!</v>
      </c>
      <c r="G54" s="148" t="e">
        <f>_xlfn.STDEV.S(G46:G50)</f>
        <v>#NUM!</v>
      </c>
      <c r="H54" s="148" t="e">
        <f>_xlfn.STDEV.S(H46:H50)</f>
        <v>#NUM!</v>
      </c>
      <c r="I54" s="148" t="e">
        <f>_xlfn.STDEV.S(I46:I50)</f>
        <v>#NUM!</v>
      </c>
    </row>
    <row r="55" spans="1:9" x14ac:dyDescent="0.2">
      <c r="C55" s="147" t="s">
        <v>283</v>
      </c>
      <c r="D55" s="148" t="e">
        <f t="shared" ref="D55" si="19">1.5*D57</f>
        <v>#VALUE!</v>
      </c>
      <c r="E55" s="146"/>
      <c r="F55" s="148" t="e">
        <f>1.5*F57</f>
        <v>#NUM!</v>
      </c>
      <c r="G55" s="148" t="e">
        <f t="shared" ref="G55:I55" si="20">1.5*G57</f>
        <v>#NUM!</v>
      </c>
      <c r="H55" s="148" t="e">
        <f>1.5*H57</f>
        <v>#NUM!</v>
      </c>
      <c r="I55" s="148" t="e">
        <f t="shared" si="20"/>
        <v>#NUM!</v>
      </c>
    </row>
    <row r="56" spans="1:9" x14ac:dyDescent="0.2">
      <c r="C56" s="147" t="s">
        <v>284</v>
      </c>
      <c r="D56" s="148" t="e">
        <f>MEDIAN(D46:D50)</f>
        <v>#NUM!</v>
      </c>
      <c r="E56" s="146" t="e">
        <f>MEDIAN(E46:E50)</f>
        <v>#VALUE!</v>
      </c>
      <c r="F56" s="149" t="e">
        <f>AVERAGE(F46:F50)</f>
        <v>#NUM!</v>
      </c>
      <c r="G56" s="149" t="e">
        <f t="shared" ref="G56:I56" si="21">AVERAGE(G46:G50)</f>
        <v>#NUM!</v>
      </c>
      <c r="H56" s="149" t="e">
        <f t="shared" si="21"/>
        <v>#NUM!</v>
      </c>
      <c r="I56" s="149" t="e">
        <f t="shared" si="21"/>
        <v>#NUM!</v>
      </c>
    </row>
    <row r="57" spans="1:9" ht="15.75" x14ac:dyDescent="0.2">
      <c r="C57" s="147" t="s">
        <v>285</v>
      </c>
      <c r="D57" s="148" t="e">
        <f>1.483*MEDIAN(E46:E50)</f>
        <v>#VALUE!</v>
      </c>
      <c r="E57" s="67" t="e">
        <f>1.483*E56</f>
        <v>#VALUE!</v>
      </c>
      <c r="F57" s="149" t="e">
        <f>1.134*STDEV(F46:F50)</f>
        <v>#NUM!</v>
      </c>
      <c r="G57" s="149" t="e">
        <f t="shared" ref="G57:I57" si="22">1.134*STDEV(G46:G50)</f>
        <v>#NUM!</v>
      </c>
      <c r="H57" s="149" t="e">
        <f t="shared" si="22"/>
        <v>#NUM!</v>
      </c>
      <c r="I57" s="149" t="e">
        <f t="shared" si="22"/>
        <v>#NUM!</v>
      </c>
    </row>
    <row r="58" spans="1:9" x14ac:dyDescent="0.2">
      <c r="C58" s="57"/>
    </row>
    <row r="60" spans="1:9" x14ac:dyDescent="0.2">
      <c r="D60" s="39"/>
      <c r="E60" s="39" t="s">
        <v>277</v>
      </c>
      <c r="F60" s="39" t="s">
        <v>286</v>
      </c>
      <c r="G60" s="39" t="s">
        <v>279</v>
      </c>
      <c r="H60" s="39" t="s">
        <v>279</v>
      </c>
    </row>
    <row r="61" spans="1:9" x14ac:dyDescent="0.2">
      <c r="D61" s="39"/>
      <c r="E61" s="39" t="e">
        <f t="shared" ref="E61" si="23">D73-D72</f>
        <v>#NUM!</v>
      </c>
      <c r="F61" s="39"/>
      <c r="G61" s="39" t="e">
        <f t="shared" ref="G61:I61" si="24">F73-F72</f>
        <v>#NUM!</v>
      </c>
      <c r="H61" s="39" t="e">
        <f t="shared" si="24"/>
        <v>#NUM!</v>
      </c>
      <c r="I61" s="39" t="e">
        <f t="shared" si="24"/>
        <v>#NUM!</v>
      </c>
    </row>
    <row r="62" spans="1:9" x14ac:dyDescent="0.2">
      <c r="D62" s="39"/>
      <c r="E62" s="39" t="e">
        <f t="shared" ref="E62" si="25">D73+D72</f>
        <v>#NUM!</v>
      </c>
      <c r="F62" s="39"/>
      <c r="G62" s="39" t="e">
        <f t="shared" ref="G62:I62" si="26">F73+F72</f>
        <v>#NUM!</v>
      </c>
      <c r="H62" s="39" t="e">
        <f t="shared" si="26"/>
        <v>#NUM!</v>
      </c>
      <c r="I62" s="39" t="e">
        <f t="shared" si="26"/>
        <v>#NUM!</v>
      </c>
    </row>
    <row r="63" spans="1:9" ht="25.5" x14ac:dyDescent="0.2">
      <c r="A63" s="208" t="s">
        <v>196</v>
      </c>
      <c r="B63" s="209" t="s">
        <v>197</v>
      </c>
      <c r="C63" s="207" t="s">
        <v>198</v>
      </c>
      <c r="D63" s="65" t="str">
        <f>IF(VLOOKUP(A63,'HBV ĐL HC'!E:AA,16,0)&lt;&gt;"",VLOOKUP(A63,'HBV ĐL HC'!E:AA,16,0),"")</f>
        <v>N/A</v>
      </c>
      <c r="E63" s="45" t="e">
        <f>IF(VLOOKUP(A63,'HBV ĐL HC'!E:AA,16,0)&lt;&gt;"",ABS(D63-$D$73),"")</f>
        <v>#VALUE!</v>
      </c>
      <c r="F63" s="45" t="e">
        <f>IF(VLOOKUP(A63,'HBV ĐL HC'!E:AA,10,0)&lt;&gt;0,IF(D63&lt;$E$61,$E$61,IF(D63&gt;$E$62,$E$62,D63)),"")</f>
        <v>#NUM!</v>
      </c>
      <c r="G63" s="45" t="e">
        <f>IF(VLOOKUP(A63,'HBV ĐL HC'!E:AA,10,0)&lt;&gt;0,IF(F63&lt;$G$61,$G$61,IF(F63&gt;$G$62,$G$62,F63)),"")</f>
        <v>#NUM!</v>
      </c>
      <c r="H63" s="45" t="e">
        <f>IF(VLOOKUP(A63,'HBV ĐL HC'!E:AA,10,0)&lt;&gt;0,IF(G63&lt;$H$61,$H$61,IF(G63&gt;$H$62,$H$62,G63)),"")</f>
        <v>#NUM!</v>
      </c>
      <c r="I63" s="45" t="e">
        <f>IF(VLOOKUP(A63,'HBV ĐL HC'!E:AA,10,0)&lt;&gt;0,IF(H63&lt;$I$61,$I$61,IF(H63&gt;$I$62,$I$62,H63)),"")</f>
        <v>#NUM!</v>
      </c>
    </row>
    <row r="64" spans="1:9" ht="25.5" x14ac:dyDescent="0.2">
      <c r="A64" s="213" t="s">
        <v>412</v>
      </c>
      <c r="B64" s="209" t="s">
        <v>367</v>
      </c>
      <c r="C64" s="207" t="s">
        <v>411</v>
      </c>
      <c r="D64" s="65" t="str">
        <f>IF(VLOOKUP(A64,'HBV ĐL HC'!E:AA,16,0)&lt;&gt;"",VLOOKUP(A64,'HBV ĐL HC'!E:AA,16,0),"")</f>
        <v>Âm tính</v>
      </c>
      <c r="E64" s="45" t="e">
        <f>IF(VLOOKUP(A64,'HBV ĐL HC'!E:AA,16,0)&lt;&gt;"",ABS(D64-$D$73),"")</f>
        <v>#VALUE!</v>
      </c>
      <c r="F64" s="45" t="e">
        <f>IF(VLOOKUP(A64,'HBV ĐL HC'!E:AA,10,0)&lt;&gt;0,IF(D64&lt;$E$61,$E$61,IF(D64&gt;$E$62,$E$62,D64)),"")</f>
        <v>#NUM!</v>
      </c>
      <c r="G64" s="45" t="e">
        <f>IF(VLOOKUP(A64,'HBV ĐL HC'!E:AA,10,0)&lt;&gt;0,IF(F64&lt;$G$61,$G$61,IF(F64&gt;$G$62,$G$62,F64)),"")</f>
        <v>#NUM!</v>
      </c>
      <c r="H64" s="45" t="e">
        <f>IF(VLOOKUP(A64,'HBV ĐL HC'!E:AA,10,0)&lt;&gt;0,IF(G64&lt;$H$61,$H$61,IF(G64&gt;$H$62,$H$62,G64)),"")</f>
        <v>#NUM!</v>
      </c>
      <c r="I64" s="45" t="e">
        <f>IF(VLOOKUP(A64,'HBV ĐL HC'!E:AA,10,0)&lt;&gt;0,IF(H64&lt;$I$61,$I$61,IF(H64&gt;$I$62,$I$62,H64)),"")</f>
        <v>#NUM!</v>
      </c>
    </row>
    <row r="65" spans="1:9" ht="25.5" x14ac:dyDescent="0.2">
      <c r="A65" s="213" t="s">
        <v>118</v>
      </c>
      <c r="B65" s="83" t="s">
        <v>119</v>
      </c>
      <c r="C65" s="83" t="s">
        <v>120</v>
      </c>
      <c r="D65" s="65" t="str">
        <f>IF(VLOOKUP(A65,'HBV ĐL HC'!E:AA,16,0)&lt;&gt;"",VLOOKUP(A65,'HBV ĐL HC'!E:AA,16,0),"")</f>
        <v>Dưới ngưỡng phát hiện</v>
      </c>
      <c r="E65" s="45" t="e">
        <f>IF(VLOOKUP(A65,'HBV ĐL HC'!E:AA,16,0)&lt;&gt;"",ABS(D65-$D$73),"")</f>
        <v>#VALUE!</v>
      </c>
      <c r="F65" s="45" t="e">
        <f>IF(VLOOKUP(A65,'HBV ĐL HC'!E:AA,10,0)&lt;&gt;0,IF(D65&lt;$E$61,$E$61,IF(D65&gt;$E$62,$E$62,D65)),"")</f>
        <v>#NUM!</v>
      </c>
      <c r="G65" s="45" t="e">
        <f>IF(VLOOKUP(A65,'HBV ĐL HC'!E:AA,10,0)&lt;&gt;0,IF(F65&lt;$G$61,$G$61,IF(F65&gt;$G$62,$G$62,F65)),"")</f>
        <v>#NUM!</v>
      </c>
      <c r="H65" s="45" t="e">
        <f>IF(VLOOKUP(A65,'HBV ĐL HC'!E:AA,10,0)&lt;&gt;0,IF(G65&lt;$H$61,$H$61,IF(G65&gt;$H$62,$H$62,G65)),"")</f>
        <v>#NUM!</v>
      </c>
      <c r="I65" s="45" t="e">
        <f>IF(VLOOKUP(A65,'HBV ĐL HC'!E:AA,10,0)&lt;&gt;0,IF(H65&lt;$I$61,$I$61,IF(H65&gt;$I$62,$I$62,H65)),"")</f>
        <v>#NUM!</v>
      </c>
    </row>
    <row r="66" spans="1:9" x14ac:dyDescent="0.2">
      <c r="A66" s="266" t="s">
        <v>331</v>
      </c>
      <c r="B66" s="215" t="s">
        <v>325</v>
      </c>
      <c r="C66" s="82" t="s">
        <v>332</v>
      </c>
      <c r="D66" s="65" t="str">
        <f>IF(VLOOKUP(A66,'HBV ĐL HC'!E:AA,16,0)&lt;&gt;"",VLOOKUP(A66,'HBV ĐL HC'!E:AA,16,0),"")</f>
        <v>Âm tính</v>
      </c>
      <c r="E66" s="45" t="e">
        <f>IF(VLOOKUP(A66,'HBV ĐL HC'!E:AA,16,0)&lt;&gt;"",ABS(D66-$D$73),"")</f>
        <v>#VALUE!</v>
      </c>
      <c r="F66" s="45" t="e">
        <f>IF(VLOOKUP(A66,'HBV ĐL HC'!E:AA,10,0)&lt;&gt;0,IF(D66&lt;$E$61,$E$61,IF(D66&gt;$E$62,$E$62,D66)),"")</f>
        <v>#NUM!</v>
      </c>
      <c r="G66" s="45" t="e">
        <f>IF(VLOOKUP(A66,'HBV ĐL HC'!E:AA,10,0)&lt;&gt;0,IF(F66&lt;$G$61,$G$61,IF(F66&gt;$G$62,$G$62,F66)),"")</f>
        <v>#NUM!</v>
      </c>
      <c r="H66" s="45" t="e">
        <f>IF(VLOOKUP(A66,'HBV ĐL HC'!E:AA,10,0)&lt;&gt;0,IF(G66&lt;$H$61,$H$61,IF(G66&gt;$H$62,$H$62,G66)),"")</f>
        <v>#NUM!</v>
      </c>
      <c r="I66" s="45" t="e">
        <f>IF(VLOOKUP(A66,'HBV ĐL HC'!E:AA,10,0)&lt;&gt;0,IF(H66&lt;$I$61,$I$61,IF(H66&gt;$I$62,$I$62,H66)),"")</f>
        <v>#NUM!</v>
      </c>
    </row>
    <row r="67" spans="1:9" ht="25.5" x14ac:dyDescent="0.2">
      <c r="A67" s="266" t="s">
        <v>408</v>
      </c>
      <c r="B67" s="215" t="s">
        <v>365</v>
      </c>
      <c r="C67" s="82" t="s">
        <v>407</v>
      </c>
      <c r="D67" s="65" t="str">
        <f>IF(VLOOKUP(A67,'HBV ĐL HC'!E:AA,16,0)&lt;&gt;"",VLOOKUP(A67,'HBV ĐL HC'!E:AA,16,0),"")</f>
        <v>Âm tính</v>
      </c>
      <c r="E67" s="45" t="e">
        <f>IF(VLOOKUP(A67,'HBV ĐL HC'!E:AA,16,0)&lt;&gt;"",ABS(D67-$D$73),"")</f>
        <v>#VALUE!</v>
      </c>
      <c r="F67" s="45" t="e">
        <f>IF(VLOOKUP(A67,'HBV ĐL HC'!E:AA,10,0)&lt;&gt;0,IF(D67&lt;$E$61,$E$61,IF(D67&gt;$E$62,$E$62,D67)),"")</f>
        <v>#NUM!</v>
      </c>
      <c r="G67" s="45" t="e">
        <f>IF(VLOOKUP(A67,'HBV ĐL HC'!E:AA,10,0)&lt;&gt;0,IF(F67&lt;$G$61,$G$61,IF(F67&gt;$G$62,$G$62,F67)),"")</f>
        <v>#NUM!</v>
      </c>
      <c r="H67" s="45" t="e">
        <f>IF(VLOOKUP(A67,'HBV ĐL HC'!E:AA,10,0)&lt;&gt;0,IF(G67&lt;$H$61,$H$61,IF(G67&gt;$H$62,$H$62,G67)),"")</f>
        <v>#NUM!</v>
      </c>
      <c r="I67" s="45" t="e">
        <f>IF(VLOOKUP(A67,'HBV ĐL HC'!E:AA,10,0)&lt;&gt;0,IF(H67&lt;$I$61,$I$61,IF(H67&gt;$I$62,$I$62,H67)),"")</f>
        <v>#NUM!</v>
      </c>
    </row>
    <row r="68" spans="1:9" x14ac:dyDescent="0.2">
      <c r="C68" s="38"/>
      <c r="D68" s="65"/>
      <c r="E68" s="42"/>
      <c r="F68" s="42"/>
      <c r="G68" s="42"/>
      <c r="H68" s="42"/>
    </row>
    <row r="69" spans="1:9" x14ac:dyDescent="0.2">
      <c r="D69" s="39"/>
      <c r="E69" s="39"/>
      <c r="F69" s="42"/>
      <c r="G69" s="42"/>
      <c r="H69" s="42"/>
    </row>
    <row r="70" spans="1:9" x14ac:dyDescent="0.2">
      <c r="C70" s="144" t="s">
        <v>282</v>
      </c>
      <c r="D70" s="145" t="e">
        <f>AVERAGE(D63:D67)</f>
        <v>#DIV/0!</v>
      </c>
      <c r="E70" s="146"/>
      <c r="F70" s="145" t="e">
        <f>AVERAGE(F63:F67)</f>
        <v>#NUM!</v>
      </c>
      <c r="G70" s="145" t="e">
        <f t="shared" ref="G70:I70" si="27">AVERAGE(G63:G67)</f>
        <v>#NUM!</v>
      </c>
      <c r="H70" s="145" t="e">
        <f t="shared" si="27"/>
        <v>#NUM!</v>
      </c>
      <c r="I70" s="145" t="e">
        <f t="shared" si="27"/>
        <v>#NUM!</v>
      </c>
    </row>
    <row r="71" spans="1:9" x14ac:dyDescent="0.2">
      <c r="C71" s="147" t="s">
        <v>243</v>
      </c>
      <c r="D71" s="148" t="e">
        <f>_xlfn.STDEV.S(D63:D67)</f>
        <v>#DIV/0!</v>
      </c>
      <c r="E71" s="146"/>
      <c r="F71" s="148" t="e">
        <f>_xlfn.STDEV.S(F63:F67)</f>
        <v>#NUM!</v>
      </c>
      <c r="G71" s="148" t="e">
        <f>_xlfn.STDEV.S(G63:G67)</f>
        <v>#NUM!</v>
      </c>
      <c r="H71" s="148" t="e">
        <f>_xlfn.STDEV.S(H63:H67)</f>
        <v>#NUM!</v>
      </c>
      <c r="I71" s="148" t="e">
        <f>_xlfn.STDEV.S(I63:I67)</f>
        <v>#NUM!</v>
      </c>
    </row>
    <row r="72" spans="1:9" x14ac:dyDescent="0.2">
      <c r="C72" s="147" t="s">
        <v>283</v>
      </c>
      <c r="D72" s="148" t="e">
        <f t="shared" ref="D72" si="28">1.5*D74</f>
        <v>#VALUE!</v>
      </c>
      <c r="E72" s="146"/>
      <c r="F72" s="148" t="e">
        <f>1.5*F74</f>
        <v>#NUM!</v>
      </c>
      <c r="G72" s="148" t="e">
        <f t="shared" ref="G72" si="29">1.5*G74</f>
        <v>#NUM!</v>
      </c>
      <c r="H72" s="148" t="e">
        <f>1.5*H74</f>
        <v>#NUM!</v>
      </c>
      <c r="I72" s="148" t="e">
        <f t="shared" ref="I72" si="30">1.5*I74</f>
        <v>#NUM!</v>
      </c>
    </row>
    <row r="73" spans="1:9" x14ac:dyDescent="0.2">
      <c r="C73" s="147" t="s">
        <v>284</v>
      </c>
      <c r="D73" s="148" t="e">
        <f>MEDIAN(D63:D67)</f>
        <v>#NUM!</v>
      </c>
      <c r="E73" s="146" t="e">
        <f>MEDIAN(E63:E67)</f>
        <v>#VALUE!</v>
      </c>
      <c r="F73" s="149" t="e">
        <f>AVERAGE(F63:F67)</f>
        <v>#NUM!</v>
      </c>
      <c r="G73" s="149" t="e">
        <f t="shared" ref="G73:I73" si="31">AVERAGE(G63:G67)</f>
        <v>#NUM!</v>
      </c>
      <c r="H73" s="149" t="e">
        <f t="shared" si="31"/>
        <v>#NUM!</v>
      </c>
      <c r="I73" s="149" t="e">
        <f t="shared" si="31"/>
        <v>#NUM!</v>
      </c>
    </row>
    <row r="74" spans="1:9" ht="15.75" x14ac:dyDescent="0.2">
      <c r="C74" s="147" t="s">
        <v>285</v>
      </c>
      <c r="D74" s="148" t="e">
        <f>1.483*MEDIAN(E63:E67)</f>
        <v>#VALUE!</v>
      </c>
      <c r="E74" s="67" t="e">
        <f>1.483*E73</f>
        <v>#VALUE!</v>
      </c>
      <c r="F74" s="149" t="e">
        <f>1.134*STDEV(F63:F67)</f>
        <v>#NUM!</v>
      </c>
      <c r="G74" s="149" t="e">
        <f t="shared" ref="G74:I74" si="32">1.134*STDEV(G63:G67)</f>
        <v>#NUM!</v>
      </c>
      <c r="H74" s="149" t="e">
        <f t="shared" si="32"/>
        <v>#NUM!</v>
      </c>
      <c r="I74" s="149" t="e">
        <f t="shared" si="32"/>
        <v>#NUM!</v>
      </c>
    </row>
  </sheetData>
  <conditionalFormatting sqref="A5:A8 A10:A14">
    <cfRule type="duplicateValues" dxfId="18" priority="2"/>
  </conditionalFormatting>
  <conditionalFormatting sqref="A9">
    <cfRule type="duplicateValues" dxfId="17" priority="1"/>
  </conditionalFormatting>
  <conditionalFormatting sqref="A27:A33">
    <cfRule type="duplicateValues" dxfId="16" priority="5"/>
  </conditionalFormatting>
  <conditionalFormatting sqref="A63:A67">
    <cfRule type="duplicateValues" dxfId="15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6"/>
  <sheetViews>
    <sheetView workbookViewId="0">
      <selection activeCell="AL28" sqref="AL28"/>
    </sheetView>
  </sheetViews>
  <sheetFormatPr defaultRowHeight="15.75" x14ac:dyDescent="0.25"/>
  <cols>
    <col min="1" max="1" width="4.125" customWidth="1"/>
    <col min="2" max="2" width="11.25" customWidth="1"/>
    <col min="4" max="4" width="29.875" bestFit="1" customWidth="1"/>
    <col min="5" max="6" width="9.25" bestFit="1" customWidth="1"/>
    <col min="7" max="7" width="9.5" bestFit="1" customWidth="1"/>
    <col min="8" max="10" width="11.375" bestFit="1" customWidth="1"/>
  </cols>
  <sheetData>
    <row r="1" spans="1:10" ht="31.5" x14ac:dyDescent="0.25">
      <c r="E1" s="4"/>
      <c r="F1" s="12" t="s">
        <v>277</v>
      </c>
      <c r="G1" s="12" t="s">
        <v>278</v>
      </c>
      <c r="H1" s="12" t="s">
        <v>279</v>
      </c>
      <c r="I1" s="12" t="s">
        <v>280</v>
      </c>
      <c r="J1" s="12" t="s">
        <v>281</v>
      </c>
    </row>
    <row r="2" spans="1:10" x14ac:dyDescent="0.25">
      <c r="E2" s="4"/>
      <c r="F2" s="60" t="e">
        <f>E52-E51</f>
        <v>#NUM!</v>
      </c>
      <c r="G2" s="12"/>
      <c r="H2" s="12" t="e">
        <f>G52-G51</f>
        <v>#NUM!</v>
      </c>
      <c r="I2" s="12" t="e">
        <f>H52-H51</f>
        <v>#NUM!</v>
      </c>
      <c r="J2" s="12" t="e">
        <f>I52-I51</f>
        <v>#NUM!</v>
      </c>
    </row>
    <row r="3" spans="1:10" x14ac:dyDescent="0.25">
      <c r="E3" s="4"/>
      <c r="F3" s="60" t="e">
        <f>E52+E51</f>
        <v>#NUM!</v>
      </c>
      <c r="G3" s="12"/>
      <c r="H3" s="12" t="e">
        <f>G52+G51</f>
        <v>#NUM!</v>
      </c>
      <c r="I3" s="12" t="e">
        <f>H51+H52</f>
        <v>#NUM!</v>
      </c>
      <c r="J3" s="12" t="e">
        <f t="shared" ref="J3" si="0">I51+I52</f>
        <v>#NUM!</v>
      </c>
    </row>
    <row r="4" spans="1:10" ht="21" x14ac:dyDescent="0.25">
      <c r="B4" s="6" t="s">
        <v>3</v>
      </c>
      <c r="C4" s="6" t="s">
        <v>4</v>
      </c>
      <c r="D4" s="6" t="s">
        <v>5</v>
      </c>
      <c r="E4" s="61" t="s">
        <v>320</v>
      </c>
      <c r="F4" s="12"/>
      <c r="G4" s="12"/>
      <c r="H4" s="12"/>
      <c r="I4" s="12"/>
      <c r="J4" s="12"/>
    </row>
    <row r="5" spans="1:10" x14ac:dyDescent="0.25">
      <c r="A5">
        <v>1</v>
      </c>
      <c r="B5" s="161" t="s">
        <v>50</v>
      </c>
      <c r="C5" s="160" t="s">
        <v>51</v>
      </c>
      <c r="D5" s="160" t="s">
        <v>52</v>
      </c>
      <c r="E5" s="4" t="str">
        <f>IF(VLOOKUP(B5,'HBV ĐL HC'!E:AA,16,0)&lt;&gt;"",VLOOKUP(B5,'HBV ĐL HC'!E:AA,16,0),"")</f>
        <v/>
      </c>
      <c r="F5" s="12" t="str">
        <f>IF(VLOOKUP(B5,'HBV ĐL HC'!E:AA,16,0)&lt;&gt;"",ABS(E5-$E$52),"")</f>
        <v/>
      </c>
      <c r="G5" s="59" t="str">
        <f>IF(VLOOKUP(B5,'HBV ĐL HC'!E:AA,10,0)&lt;&gt;0,IF(E5&lt;$F$2,$F$2,IF(E5&gt;$F$3,$F$3,E5)),"")</f>
        <v/>
      </c>
      <c r="H5" s="59" t="str">
        <f>IF(VLOOKUP(B5,'HBV ĐL HC'!E:AA,10,0)&lt;&gt;0,IF(G5&lt;$H$2,$H$2,IF(G5&gt;$H$3,$H$3,G5)),"")</f>
        <v/>
      </c>
      <c r="I5" s="59" t="str">
        <f>IF(VLOOKUP(B5,'HBV ĐL HC'!E:AA,10,0)&lt;&gt;0,IF(H5&lt;$I$2,$I$2,IF(H5&gt;$I$3,$I$3,H5)),"")</f>
        <v/>
      </c>
      <c r="J5" s="59" t="str">
        <f>IF(VLOOKUP(B5,'HBV ĐL HC'!E:AA,10,0)&lt;&gt;0,IF(I5&lt;$J$2,$J$2,IF(I5&gt;$J$3,$J$3,I5)),"")</f>
        <v/>
      </c>
    </row>
    <row r="6" spans="1:10" ht="25.5" x14ac:dyDescent="0.25">
      <c r="A6">
        <v>2</v>
      </c>
      <c r="B6" s="170" t="s">
        <v>60</v>
      </c>
      <c r="C6" s="171" t="s">
        <v>61</v>
      </c>
      <c r="D6" s="169" t="s">
        <v>62</v>
      </c>
      <c r="E6" s="4" t="str">
        <f>IF(VLOOKUP(B6,'HBV ĐL HC'!E:AA,16,0)&lt;&gt;"",VLOOKUP(B6,'HBV ĐL HC'!E:AA,16,0),"")</f>
        <v>Âm tính</v>
      </c>
      <c r="F6" s="12" t="e">
        <f>IF(VLOOKUP(B6,'HBV ĐL HC'!E:AA,16,0)&lt;&gt;"",ABS(E6-$E$52),"")</f>
        <v>#VALUE!</v>
      </c>
      <c r="G6" s="59" t="e">
        <f>IF(VLOOKUP(B6,'HBV ĐL HC'!E:AA,10,0)&lt;&gt;0,IF(E6&lt;$F$2,$F$2,IF(E6&gt;$F$3,$F$3,E6)),"")</f>
        <v>#NUM!</v>
      </c>
      <c r="H6" s="59" t="e">
        <f>IF(VLOOKUP(B6,'HBV ĐL HC'!E:AA,10,0)&lt;&gt;0,IF(G6&lt;$H$2,$H$2,IF(G6&gt;$H$3,$H$3,G6)),"")</f>
        <v>#NUM!</v>
      </c>
      <c r="I6" s="59" t="e">
        <f>IF(VLOOKUP(B6,'HBV ĐL HC'!E:AA,10,0)&lt;&gt;0,IF(H6&lt;$I$2,$I$2,IF(H6&gt;$I$3,$I$3,H6)),"")</f>
        <v>#NUM!</v>
      </c>
      <c r="J6" s="59" t="e">
        <f>IF(VLOOKUP(B6,'HBV ĐL HC'!E:AA,10,0)&lt;&gt;0,IF(I6&lt;$J$2,$J$2,IF(I6&gt;$J$3,$J$3,I6)),"")</f>
        <v>#NUM!</v>
      </c>
    </row>
    <row r="7" spans="1:10" ht="25.5" x14ac:dyDescent="0.25">
      <c r="A7">
        <v>3</v>
      </c>
      <c r="B7" s="176" t="s">
        <v>70</v>
      </c>
      <c r="C7" s="171" t="s">
        <v>71</v>
      </c>
      <c r="D7" s="169" t="s">
        <v>72</v>
      </c>
      <c r="E7" s="4" t="str">
        <f>IF(VLOOKUP(B7,'HBV ĐL HC'!E:AA,16,0)&lt;&gt;"",VLOOKUP(B7,'HBV ĐL HC'!E:AA,16,0),"")</f>
        <v>Not Detected</v>
      </c>
      <c r="F7" s="12" t="e">
        <f>IF(VLOOKUP(B7,'HBV ĐL HC'!E:AA,16,0)&lt;&gt;"",ABS(E7-$E$52),"")</f>
        <v>#VALUE!</v>
      </c>
      <c r="G7" s="59" t="e">
        <f>IF(VLOOKUP(B7,'HBV ĐL HC'!E:AA,10,0)&lt;&gt;0,IF(E7&lt;$F$2,$F$2,IF(E7&gt;$F$3,$F$3,E7)),"")</f>
        <v>#NUM!</v>
      </c>
      <c r="H7" s="59" t="e">
        <f>IF(VLOOKUP(B7,'HBV ĐL HC'!E:AA,10,0)&lt;&gt;0,IF(G7&lt;$H$2,$H$2,IF(G7&gt;$H$3,$H$3,G7)),"")</f>
        <v>#NUM!</v>
      </c>
      <c r="I7" s="59" t="e">
        <f>IF(VLOOKUP(B7,'HBV ĐL HC'!E:AA,10,0)&lt;&gt;0,IF(H7&lt;$I$2,$I$2,IF(H7&gt;$I$3,$I$3,H7)),"")</f>
        <v>#NUM!</v>
      </c>
      <c r="J7" s="59" t="e">
        <f>IF(VLOOKUP(B7,'HBV ĐL HC'!E:AA,10,0)&lt;&gt;0,IF(I7&lt;$J$2,$J$2,IF(I7&gt;$J$3,$J$3,I7)),"")</f>
        <v>#NUM!</v>
      </c>
    </row>
    <row r="8" spans="1:10" ht="25.5" x14ac:dyDescent="0.25">
      <c r="A8">
        <v>4</v>
      </c>
      <c r="B8" s="177" t="s">
        <v>169</v>
      </c>
      <c r="C8" s="169" t="s">
        <v>170</v>
      </c>
      <c r="D8" s="169" t="s">
        <v>171</v>
      </c>
      <c r="E8" s="4" t="str">
        <f>IF(VLOOKUP(B8,'HBV ĐL HC'!E:AA,16,0)&lt;&gt;"",VLOOKUP(B8,'HBV ĐL HC'!E:AA,16,0),"")</f>
        <v>Âm tính</v>
      </c>
      <c r="F8" s="12" t="e">
        <f>IF(VLOOKUP(B8,'HBV ĐL HC'!E:AA,16,0)&lt;&gt;"",ABS(E8-$E$52),"")</f>
        <v>#VALUE!</v>
      </c>
      <c r="G8" s="59" t="e">
        <f>IF(VLOOKUP(B8,'HBV ĐL HC'!E:AA,10,0)&lt;&gt;0,IF(E8&lt;$F$2,$F$2,IF(E8&gt;$F$3,$F$3,E8)),"")</f>
        <v>#NUM!</v>
      </c>
      <c r="H8" s="59" t="e">
        <f>IF(VLOOKUP(B8,'HBV ĐL HC'!E:AA,10,0)&lt;&gt;0,IF(G8&lt;$H$2,$H$2,IF(G8&gt;$H$3,$H$3,G8)),"")</f>
        <v>#NUM!</v>
      </c>
      <c r="I8" s="59" t="e">
        <f>IF(VLOOKUP(B8,'HBV ĐL HC'!E:AA,10,0)&lt;&gt;0,IF(H8&lt;$I$2,$I$2,IF(H8&gt;$I$3,$I$3,H8)),"")</f>
        <v>#NUM!</v>
      </c>
      <c r="J8" s="59" t="e">
        <f>IF(VLOOKUP(B8,'HBV ĐL HC'!E:AA,10,0)&lt;&gt;0,IF(I8&lt;$J$2,$J$2,IF(I8&gt;$J$3,$J$3,I8)),"")</f>
        <v>#NUM!</v>
      </c>
    </row>
    <row r="9" spans="1:10" x14ac:dyDescent="0.25">
      <c r="A9">
        <v>5</v>
      </c>
      <c r="B9" s="179" t="s">
        <v>178</v>
      </c>
      <c r="C9" s="180" t="s">
        <v>179</v>
      </c>
      <c r="D9" s="169" t="s">
        <v>180</v>
      </c>
      <c r="E9" s="4" t="str">
        <f>IF(VLOOKUP(B9,'HBV ĐL HC'!E:AA,16,0)&lt;&gt;"",VLOOKUP(B9,'HBV ĐL HC'!E:AA,16,0),"")</f>
        <v>Âm tính</v>
      </c>
      <c r="F9" s="12" t="e">
        <f>IF(VLOOKUP(B9,'HBV ĐL HC'!E:AA,16,0)&lt;&gt;"",ABS(E9-$E$52),"")</f>
        <v>#VALUE!</v>
      </c>
      <c r="G9" s="59" t="e">
        <f>IF(VLOOKUP(B9,'HBV ĐL HC'!E:AA,10,0)&lt;&gt;0,IF(E9&lt;$F$2,$F$2,IF(E9&gt;$F$3,$F$3,E9)),"")</f>
        <v>#NUM!</v>
      </c>
      <c r="H9" s="59" t="e">
        <f>IF(VLOOKUP(B9,'HBV ĐL HC'!E:AA,10,0)&lt;&gt;0,IF(G9&lt;$H$2,$H$2,IF(G9&gt;$H$3,$H$3,G9)),"")</f>
        <v>#NUM!</v>
      </c>
      <c r="I9" s="59" t="e">
        <f>IF(VLOOKUP(B9,'HBV ĐL HC'!E:AA,10,0)&lt;&gt;0,IF(H9&lt;$I$2,$I$2,IF(H9&gt;$I$3,$I$3,H9)),"")</f>
        <v>#NUM!</v>
      </c>
      <c r="J9" s="59" t="e">
        <f>IF(VLOOKUP(B9,'HBV ĐL HC'!E:AA,10,0)&lt;&gt;0,IF(I9&lt;$J$2,$J$2,IF(I9&gt;$J$3,$J$3,I9)),"")</f>
        <v>#NUM!</v>
      </c>
    </row>
    <row r="10" spans="1:10" ht="25.5" x14ac:dyDescent="0.25">
      <c r="A10">
        <v>6</v>
      </c>
      <c r="B10" s="179" t="s">
        <v>189</v>
      </c>
      <c r="C10" s="171" t="s">
        <v>190</v>
      </c>
      <c r="D10" s="169" t="s">
        <v>191</v>
      </c>
      <c r="E10" s="4" t="str">
        <f>IF(VLOOKUP(B10,'HBV ĐL HC'!E:AA,16,0)&lt;&gt;"",VLOOKUP(B10,'HBV ĐL HC'!E:AA,16,0),"")</f>
        <v>0</v>
      </c>
      <c r="F10" s="12" t="e">
        <f>IF(VLOOKUP(B10,'HBV ĐL HC'!E:AA,16,0)&lt;&gt;"",ABS(E10-$E$52),"")</f>
        <v>#NUM!</v>
      </c>
      <c r="G10" s="59" t="e">
        <f>IF(VLOOKUP(B10,'HBV ĐL HC'!E:AA,10,0)&lt;&gt;0,IF(E10&lt;$F$2,$F$2,IF(E10&gt;$F$3,$F$3,E10)),"")</f>
        <v>#NUM!</v>
      </c>
      <c r="H10" s="59" t="e">
        <f>IF(VLOOKUP(B10,'HBV ĐL HC'!E:AA,10,0)&lt;&gt;0,IF(G10&lt;$H$2,$H$2,IF(G10&gt;$H$3,$H$3,G10)),"")</f>
        <v>#NUM!</v>
      </c>
      <c r="I10" s="59" t="e">
        <f>IF(VLOOKUP(B10,'HBV ĐL HC'!E:AA,10,0)&lt;&gt;0,IF(H10&lt;$I$2,$I$2,IF(H10&gt;$I$3,$I$3,H10)),"")</f>
        <v>#NUM!</v>
      </c>
      <c r="J10" s="59" t="e">
        <f>IF(VLOOKUP(B10,'HBV ĐL HC'!E:AA,10,0)&lt;&gt;0,IF(I10&lt;$J$2,$J$2,IF(I10&gt;$J$3,$J$3,I10)),"")</f>
        <v>#NUM!</v>
      </c>
    </row>
    <row r="11" spans="1:10" ht="25.5" x14ac:dyDescent="0.25">
      <c r="A11">
        <v>7</v>
      </c>
      <c r="B11" s="179" t="s">
        <v>447</v>
      </c>
      <c r="C11" s="171" t="s">
        <v>79</v>
      </c>
      <c r="D11" s="169" t="s">
        <v>80</v>
      </c>
      <c r="E11" s="4" t="str">
        <f>IF(VLOOKUP(B11,'HBV ĐL HC'!E:AA,16,0)&lt;&gt;"",VLOOKUP(B11,'HBV ĐL HC'!E:AA,16,0),"")</f>
        <v>Âm tính</v>
      </c>
      <c r="F11" s="12" t="e">
        <f>IF(VLOOKUP(B11,'HBV ĐL HC'!E:AA,16,0)&lt;&gt;"",ABS(E11-$E$52),"")</f>
        <v>#VALUE!</v>
      </c>
      <c r="G11" s="59" t="e">
        <f>IF(VLOOKUP(B11,'HBV ĐL HC'!E:AA,10,0)&lt;&gt;0,IF(E11&lt;$F$2,$F$2,IF(E11&gt;$F$3,$F$3,E11)),"")</f>
        <v>#NUM!</v>
      </c>
      <c r="H11" s="59" t="e">
        <f>IF(VLOOKUP(B11,'HBV ĐL HC'!E:AA,10,0)&lt;&gt;0,IF(G11&lt;$H$2,$H$2,IF(G11&gt;$H$3,$H$3,G11)),"")</f>
        <v>#NUM!</v>
      </c>
      <c r="I11" s="59" t="e">
        <f>IF(VLOOKUP(B11,'HBV ĐL HC'!E:AA,10,0)&lt;&gt;0,IF(H11&lt;$I$2,$I$2,IF(H11&gt;$I$3,$I$3,H11)),"")</f>
        <v>#NUM!</v>
      </c>
      <c r="J11" s="59" t="e">
        <f>IF(VLOOKUP(B11,'HBV ĐL HC'!E:AA,10,0)&lt;&gt;0,IF(I11&lt;$J$2,$J$2,IF(I11&gt;$J$3,$J$3,I11)),"")</f>
        <v>#NUM!</v>
      </c>
    </row>
    <row r="12" spans="1:10" ht="25.5" x14ac:dyDescent="0.25">
      <c r="A12">
        <v>8</v>
      </c>
      <c r="B12" s="179" t="s">
        <v>212</v>
      </c>
      <c r="C12" s="171" t="s">
        <v>213</v>
      </c>
      <c r="D12" s="169" t="s">
        <v>214</v>
      </c>
      <c r="E12" s="4" t="str">
        <f>IF(VLOOKUP(B12,'HBV ĐL HC'!E:AA,16,0)&lt;&gt;"",VLOOKUP(B12,'HBV ĐL HC'!E:AA,16,0),"")</f>
        <v>0</v>
      </c>
      <c r="F12" s="12" t="e">
        <f>IF(VLOOKUP(B12,'HBV ĐL HC'!E:AA,16,0)&lt;&gt;"",ABS(E12-$E$52),"")</f>
        <v>#NUM!</v>
      </c>
      <c r="G12" s="59" t="e">
        <f>IF(VLOOKUP(B12,'HBV ĐL HC'!E:AA,10,0)&lt;&gt;0,IF(E12&lt;$F$2,$F$2,IF(E12&gt;$F$3,$F$3,E12)),"")</f>
        <v>#NUM!</v>
      </c>
      <c r="H12" s="59" t="e">
        <f>IF(VLOOKUP(B12,'HBV ĐL HC'!E:AA,10,0)&lt;&gt;0,IF(G12&lt;$H$2,$H$2,IF(G12&gt;$H$3,$H$3,G12)),"")</f>
        <v>#NUM!</v>
      </c>
      <c r="I12" s="59" t="e">
        <f>IF(VLOOKUP(B12,'HBV ĐL HC'!E:AA,10,0)&lt;&gt;0,IF(H12&lt;$I$2,$I$2,IF(H12&gt;$I$3,$I$3,H12)),"")</f>
        <v>#NUM!</v>
      </c>
      <c r="J12" s="59" t="e">
        <f>IF(VLOOKUP(B12,'HBV ĐL HC'!E:AA,10,0)&lt;&gt;0,IF(I12&lt;$J$2,$J$2,IF(I12&gt;$J$3,$J$3,I12)),"")</f>
        <v>#NUM!</v>
      </c>
    </row>
    <row r="13" spans="1:10" x14ac:dyDescent="0.25">
      <c r="A13">
        <v>9</v>
      </c>
      <c r="B13" s="179" t="s">
        <v>218</v>
      </c>
      <c r="C13" s="171" t="s">
        <v>219</v>
      </c>
      <c r="D13" s="169" t="s">
        <v>220</v>
      </c>
      <c r="E13" s="4" t="str">
        <f>IF(VLOOKUP(B13,'HBV ĐL HC'!E:AA,16,0)&lt;&gt;"",VLOOKUP(B13,'HBV ĐL HC'!E:AA,16,0),"")</f>
        <v>Âm tính</v>
      </c>
      <c r="F13" s="12" t="e">
        <f>IF(VLOOKUP(B13,'HBV ĐL HC'!E:AA,16,0)&lt;&gt;"",ABS(E13-$E$52),"")</f>
        <v>#VALUE!</v>
      </c>
      <c r="G13" s="59" t="e">
        <f>IF(VLOOKUP(B13,'HBV ĐL HC'!E:AA,10,0)&lt;&gt;0,IF(E13&lt;$F$2,$F$2,IF(E13&gt;$F$3,$F$3,E13)),"")</f>
        <v>#NUM!</v>
      </c>
      <c r="H13" s="59" t="e">
        <f>IF(VLOOKUP(B13,'HBV ĐL HC'!E:AA,10,0)&lt;&gt;0,IF(G13&lt;$H$2,$H$2,IF(G13&gt;$H$3,$H$3,G13)),"")</f>
        <v>#NUM!</v>
      </c>
      <c r="I13" s="59" t="e">
        <f>IF(VLOOKUP(B13,'HBV ĐL HC'!E:AA,10,0)&lt;&gt;0,IF(H13&lt;$I$2,$I$2,IF(H13&gt;$I$3,$I$3,H13)),"")</f>
        <v>#NUM!</v>
      </c>
      <c r="J13" s="59" t="e">
        <f>IF(VLOOKUP(B13,'HBV ĐL HC'!E:AA,10,0)&lt;&gt;0,IF(I13&lt;$J$2,$J$2,IF(I13&gt;$J$3,$J$3,I13)),"")</f>
        <v>#NUM!</v>
      </c>
    </row>
    <row r="14" spans="1:10" x14ac:dyDescent="0.25">
      <c r="A14">
        <v>10</v>
      </c>
      <c r="B14" s="179" t="s">
        <v>448</v>
      </c>
      <c r="C14" s="171" t="s">
        <v>85</v>
      </c>
      <c r="D14" s="169" t="s">
        <v>86</v>
      </c>
      <c r="E14" s="4" t="str">
        <f>IF(VLOOKUP(B14,'HBV ĐL HC'!E:AA,16,0)&lt;&gt;"",VLOOKUP(B14,'HBV ĐL HC'!E:AA,16,0),"")</f>
        <v/>
      </c>
      <c r="F14" s="12" t="str">
        <f>IF(VLOOKUP(B14,'HBV ĐL HC'!E:AA,16,0)&lt;&gt;"",ABS(E14-$E$52),"")</f>
        <v/>
      </c>
      <c r="G14" s="59" t="str">
        <f>IF(VLOOKUP(B14,'HBV ĐL HC'!E:AA,10,0)&lt;&gt;0,IF(E14&lt;$F$2,$F$2,IF(E14&gt;$F$3,$F$3,E14)),"")</f>
        <v/>
      </c>
      <c r="H14" s="59" t="str">
        <f>IF(VLOOKUP(B14,'HBV ĐL HC'!E:AA,10,0)&lt;&gt;0,IF(G14&lt;$H$2,$H$2,IF(G14&gt;$H$3,$H$3,G14)),"")</f>
        <v/>
      </c>
      <c r="I14" s="59" t="str">
        <f>IF(VLOOKUP(B14,'HBV ĐL HC'!E:AA,10,0)&lt;&gt;0,IF(H14&lt;$I$2,$I$2,IF(H14&gt;$I$3,$I$3,H14)),"")</f>
        <v/>
      </c>
      <c r="J14" s="59" t="str">
        <f>IF(VLOOKUP(B14,'HBV ĐL HC'!E:AA,10,0)&lt;&gt;0,IF(I14&lt;$J$2,$J$2,IF(I14&gt;$J$3,$J$3,I14)),"")</f>
        <v/>
      </c>
    </row>
    <row r="15" spans="1:10" x14ac:dyDescent="0.25">
      <c r="A15">
        <v>11</v>
      </c>
      <c r="B15" s="185" t="s">
        <v>413</v>
      </c>
      <c r="C15" s="186" t="s">
        <v>250</v>
      </c>
      <c r="D15" s="184" t="s">
        <v>406</v>
      </c>
      <c r="E15" s="4" t="str">
        <f>IF(VLOOKUP(B15,'HBV ĐL HC'!E:AA,16,0)&lt;&gt;"",VLOOKUP(B15,'HBV ĐL HC'!E:AA,16,0),"")</f>
        <v>Không phát hiện thấy HBV DNA</v>
      </c>
      <c r="F15" s="12" t="e">
        <f>IF(VLOOKUP(B15,'HBV ĐL HC'!E:AA,16,0)&lt;&gt;"",ABS(E15-$E$52),"")</f>
        <v>#VALUE!</v>
      </c>
      <c r="G15" s="59" t="e">
        <f>IF(VLOOKUP(B15,'HBV ĐL HC'!E:AA,10,0)&lt;&gt;0,IF(E15&lt;$F$2,$F$2,IF(E15&gt;$F$3,$F$3,E15)),"")</f>
        <v>#NUM!</v>
      </c>
      <c r="H15" s="59" t="e">
        <f>IF(VLOOKUP(B15,'HBV ĐL HC'!E:AA,10,0)&lt;&gt;0,IF(G15&lt;$H$2,$H$2,IF(G15&gt;$H$3,$H$3,G15)),"")</f>
        <v>#NUM!</v>
      </c>
      <c r="I15" s="59" t="e">
        <f>IF(VLOOKUP(B15,'HBV ĐL HC'!E:AA,10,0)&lt;&gt;0,IF(H15&lt;$I$2,$I$2,IF(H15&gt;$I$3,$I$3,H15)),"")</f>
        <v>#NUM!</v>
      </c>
      <c r="J15" s="59" t="e">
        <f>IF(VLOOKUP(B15,'HBV ĐL HC'!E:AA,10,0)&lt;&gt;0,IF(I15&lt;$J$2,$J$2,IF(I15&gt;$J$3,$J$3,I15)),"")</f>
        <v>#NUM!</v>
      </c>
    </row>
    <row r="16" spans="1:10" ht="25.5" x14ac:dyDescent="0.25">
      <c r="A16">
        <v>12</v>
      </c>
      <c r="B16" s="185" t="s">
        <v>410</v>
      </c>
      <c r="C16" s="186" t="s">
        <v>366</v>
      </c>
      <c r="D16" s="184" t="s">
        <v>409</v>
      </c>
      <c r="E16" s="4" t="str">
        <f>IF(VLOOKUP(B16,'HBV ĐL HC'!E:AA,16,0)&lt;&gt;"",VLOOKUP(B16,'HBV ĐL HC'!E:AA,16,0),"")</f>
        <v>Target Not Detected</v>
      </c>
      <c r="F16" s="12" t="e">
        <f>IF(VLOOKUP(B16,'HBV ĐL HC'!E:AA,16,0)&lt;&gt;"",ABS(E16-$E$52),"")</f>
        <v>#VALUE!</v>
      </c>
      <c r="G16" s="59" t="e">
        <f>IF(VLOOKUP(B16,'HBV ĐL HC'!E:AA,10,0)&lt;&gt;0,IF(E16&lt;$F$2,$F$2,IF(E16&gt;$F$3,$F$3,E16)),"")</f>
        <v>#NUM!</v>
      </c>
      <c r="H16" s="59" t="e">
        <f>IF(VLOOKUP(B16,'HBV ĐL HC'!E:AA,10,0)&lt;&gt;0,IF(G16&lt;$H$2,$H$2,IF(G16&gt;$H$3,$H$3,G16)),"")</f>
        <v>#NUM!</v>
      </c>
      <c r="I16" s="59" t="e">
        <f>IF(VLOOKUP(B16,'HBV ĐL HC'!E:AA,10,0)&lt;&gt;0,IF(H16&lt;$I$2,$I$2,IF(H16&gt;$I$3,$I$3,H16)),"")</f>
        <v>#NUM!</v>
      </c>
      <c r="J16" s="59" t="e">
        <f>IF(VLOOKUP(B16,'HBV ĐL HC'!E:AA,10,0)&lt;&gt;0,IF(I16&lt;$J$2,$J$2,IF(I16&gt;$J$3,$J$3,I16)),"")</f>
        <v>#NUM!</v>
      </c>
    </row>
    <row r="17" spans="1:10" x14ac:dyDescent="0.25">
      <c r="A17">
        <v>13</v>
      </c>
      <c r="B17" s="188" t="s">
        <v>105</v>
      </c>
      <c r="C17" s="186" t="s">
        <v>106</v>
      </c>
      <c r="D17" s="184" t="s">
        <v>107</v>
      </c>
      <c r="E17" s="4" t="str">
        <f>IF(VLOOKUP(B17,'HBV ĐL HC'!E:AA,16,0)&lt;&gt;"",VLOOKUP(B17,'HBV ĐL HC'!E:AA,16,0),"")</f>
        <v>Dưới ngưỡng phát hiện</v>
      </c>
      <c r="F17" s="12" t="e">
        <f>IF(VLOOKUP(B17,'HBV ĐL HC'!E:AA,16,0)&lt;&gt;"",ABS(E17-$E$52),"")</f>
        <v>#VALUE!</v>
      </c>
      <c r="G17" s="59" t="e">
        <f>IF(VLOOKUP(B17,'HBV ĐL HC'!E:AA,10,0)&lt;&gt;0,IF(E17&lt;$F$2,$F$2,IF(E17&gt;$F$3,$F$3,E17)),"")</f>
        <v>#NUM!</v>
      </c>
      <c r="H17" s="59" t="e">
        <f>IF(VLOOKUP(B17,'HBV ĐL HC'!E:AA,10,0)&lt;&gt;0,IF(G17&lt;$H$2,$H$2,IF(G17&gt;$H$3,$H$3,G17)),"")</f>
        <v>#NUM!</v>
      </c>
      <c r="I17" s="59" t="e">
        <f>IF(VLOOKUP(B17,'HBV ĐL HC'!E:AA,10,0)&lt;&gt;0,IF(H17&lt;$I$2,$I$2,IF(H17&gt;$I$3,$I$3,H17)),"")</f>
        <v>#NUM!</v>
      </c>
      <c r="J17" s="59" t="e">
        <f>IF(VLOOKUP(B17,'HBV ĐL HC'!E:AA,10,0)&lt;&gt;0,IF(I17&lt;$J$2,$J$2,IF(I17&gt;$J$3,$J$3,I17)),"")</f>
        <v>#NUM!</v>
      </c>
    </row>
    <row r="18" spans="1:10" x14ac:dyDescent="0.25">
      <c r="A18">
        <v>14</v>
      </c>
      <c r="B18" s="188" t="s">
        <v>109</v>
      </c>
      <c r="C18" s="186" t="s">
        <v>110</v>
      </c>
      <c r="D18" s="184" t="s">
        <v>111</v>
      </c>
      <c r="E18" s="4" t="str">
        <f>IF(VLOOKUP(B18,'HBV ĐL HC'!E:AA,16,0)&lt;&gt;"",VLOOKUP(B18,'HBV ĐL HC'!E:AA,16,0),"")</f>
        <v/>
      </c>
      <c r="F18" s="12" t="str">
        <f>IF(VLOOKUP(B18,'HBV ĐL HC'!E:AA,16,0)&lt;&gt;"",ABS(E18-$E$52),"")</f>
        <v/>
      </c>
      <c r="G18" s="59" t="str">
        <f>IF(VLOOKUP(B18,'HBV ĐL HC'!E:AA,10,0)&lt;&gt;0,IF(E18&lt;$F$2,$F$2,IF(E18&gt;$F$3,$F$3,E18)),"")</f>
        <v/>
      </c>
      <c r="H18" s="59" t="str">
        <f>IF(VLOOKUP(B18,'HBV ĐL HC'!E:AA,10,0)&lt;&gt;0,IF(G18&lt;$H$2,$H$2,IF(G18&gt;$H$3,$H$3,G18)),"")</f>
        <v/>
      </c>
      <c r="I18" s="59" t="str">
        <f>IF(VLOOKUP(B18,'HBV ĐL HC'!E:AA,10,0)&lt;&gt;0,IF(H18&lt;$I$2,$I$2,IF(H18&gt;$I$3,$I$3,H18)),"")</f>
        <v/>
      </c>
      <c r="J18" s="59" t="str">
        <f>IF(VLOOKUP(B18,'HBV ĐL HC'!E:AA,10,0)&lt;&gt;0,IF(I18&lt;$J$2,$J$2,IF(I18&gt;$J$3,$J$3,I18)),"")</f>
        <v/>
      </c>
    </row>
    <row r="19" spans="1:10" x14ac:dyDescent="0.25">
      <c r="A19">
        <v>15</v>
      </c>
      <c r="B19" s="193" t="s">
        <v>124</v>
      </c>
      <c r="C19" s="273" t="s">
        <v>125</v>
      </c>
      <c r="D19" s="273" t="s">
        <v>126</v>
      </c>
      <c r="E19" s="4" t="str">
        <f>IF(VLOOKUP(B19,'HBV ĐL HC'!E:AA,16,0)&lt;&gt;"",VLOOKUP(B19,'HBV ĐL HC'!E:AA,16,0),"")</f>
        <v>0</v>
      </c>
      <c r="F19" s="12" t="e">
        <f>IF(VLOOKUP(B19,'HBV ĐL HC'!E:AA,16,0)&lt;&gt;"",ABS(E19-$E$52),"")</f>
        <v>#NUM!</v>
      </c>
      <c r="G19" s="59" t="e">
        <f>IF(VLOOKUP(B19,'HBV ĐL HC'!E:AA,10,0)&lt;&gt;0,IF(E19&lt;$F$2,$F$2,IF(E19&gt;$F$3,$F$3,E19)),"")</f>
        <v>#NUM!</v>
      </c>
      <c r="H19" s="59" t="e">
        <f>IF(VLOOKUP(B19,'HBV ĐL HC'!E:AA,10,0)&lt;&gt;0,IF(G19&lt;$H$2,$H$2,IF(G19&gt;$H$3,$H$3,G19)),"")</f>
        <v>#NUM!</v>
      </c>
      <c r="I19" s="59" t="e">
        <f>IF(VLOOKUP(B19,'HBV ĐL HC'!E:AA,10,0)&lt;&gt;0,IF(H19&lt;$I$2,$I$2,IF(H19&gt;$I$3,$I$3,H19)),"")</f>
        <v>#NUM!</v>
      </c>
      <c r="J19" s="59" t="e">
        <f>IF(VLOOKUP(B19,'HBV ĐL HC'!E:AA,10,0)&lt;&gt;0,IF(I19&lt;$J$2,$J$2,IF(I19&gt;$J$3,$J$3,I19)),"")</f>
        <v>#NUM!</v>
      </c>
    </row>
    <row r="20" spans="1:10" x14ac:dyDescent="0.25">
      <c r="A20">
        <v>16</v>
      </c>
      <c r="B20" s="185" t="s">
        <v>132</v>
      </c>
      <c r="C20" s="186" t="s">
        <v>133</v>
      </c>
      <c r="D20" s="186" t="s">
        <v>134</v>
      </c>
      <c r="E20" s="4" t="str">
        <f>IF(VLOOKUP(B20,'HBV ĐL HC'!E:AA,16,0)&lt;&gt;"",VLOOKUP(B20,'HBV ĐL HC'!E:AA,16,0),"")</f>
        <v>Âm tính</v>
      </c>
      <c r="F20" s="12" t="e">
        <f>IF(VLOOKUP(B20,'HBV ĐL HC'!E:AA,16,0)&lt;&gt;"",ABS(E20-$E$52),"")</f>
        <v>#VALUE!</v>
      </c>
      <c r="G20" s="59" t="e">
        <f>IF(VLOOKUP(B20,'HBV ĐL HC'!E:AA,10,0)&lt;&gt;0,IF(E20&lt;$F$2,$F$2,IF(E20&gt;$F$3,$F$3,E20)),"")</f>
        <v>#NUM!</v>
      </c>
      <c r="H20" s="59" t="e">
        <f>IF(VLOOKUP(B20,'HBV ĐL HC'!E:AA,10,0)&lt;&gt;0,IF(G20&lt;$H$2,$H$2,IF(G20&gt;$H$3,$H$3,G20)),"")</f>
        <v>#NUM!</v>
      </c>
      <c r="I20" s="59" t="e">
        <f>IF(VLOOKUP(B20,'HBV ĐL HC'!E:AA,10,0)&lt;&gt;0,IF(H20&lt;$I$2,$I$2,IF(H20&gt;$I$3,$I$3,H20)),"")</f>
        <v>#NUM!</v>
      </c>
      <c r="J20" s="59" t="e">
        <f>IF(VLOOKUP(B20,'HBV ĐL HC'!E:AA,10,0)&lt;&gt;0,IF(I20&lt;$J$2,$J$2,IF(I20&gt;$J$3,$J$3,I20)),"")</f>
        <v>#NUM!</v>
      </c>
    </row>
    <row r="21" spans="1:10" x14ac:dyDescent="0.25">
      <c r="A21">
        <v>17</v>
      </c>
      <c r="B21" s="185" t="s">
        <v>457</v>
      </c>
      <c r="C21" s="186" t="s">
        <v>85</v>
      </c>
      <c r="D21" s="186" t="s">
        <v>86</v>
      </c>
      <c r="E21" s="4" t="str">
        <f>IF(VLOOKUP(B21,'HBV ĐL HC'!E:AA,16,0)&lt;&gt;"",VLOOKUP(B21,'HBV ĐL HC'!E:AA,16,0),"")</f>
        <v/>
      </c>
      <c r="F21" s="12" t="str">
        <f>IF(VLOOKUP(B21,'HBV ĐL HC'!E:AA,16,0)&lt;&gt;"",ABS(E21-$E$52),"")</f>
        <v/>
      </c>
      <c r="G21" s="59" t="str">
        <f>IF(VLOOKUP(B21,'HBV ĐL HC'!E:AA,10,0)&lt;&gt;0,IF(E21&lt;$F$2,$F$2,IF(E21&gt;$F$3,$F$3,E21)),"")</f>
        <v/>
      </c>
      <c r="H21" s="59" t="str">
        <f>IF(VLOOKUP(B21,'HBV ĐL HC'!E:AA,10,0)&lt;&gt;0,IF(G21&lt;$H$2,$H$2,IF(G21&gt;$H$3,$H$3,G21)),"")</f>
        <v/>
      </c>
      <c r="I21" s="59" t="str">
        <f>IF(VLOOKUP(B21,'HBV ĐL HC'!E:AA,10,0)&lt;&gt;0,IF(H21&lt;$I$2,$I$2,IF(H21&gt;$I$3,$I$3,H21)),"")</f>
        <v/>
      </c>
      <c r="J21" s="59" t="str">
        <f>IF(VLOOKUP(B21,'HBV ĐL HC'!E:AA,10,0)&lt;&gt;0,IF(I21&lt;$J$2,$J$2,IF(I21&gt;$J$3,$J$3,I21)),"")</f>
        <v/>
      </c>
    </row>
    <row r="22" spans="1:10" ht="25.5" x14ac:dyDescent="0.25">
      <c r="A22">
        <v>18</v>
      </c>
      <c r="B22" s="198" t="s">
        <v>138</v>
      </c>
      <c r="C22" s="199" t="s">
        <v>139</v>
      </c>
      <c r="D22" s="197" t="s">
        <v>140</v>
      </c>
      <c r="E22" s="4" t="str">
        <f>IF(VLOOKUP(B22,'HBV ĐL HC'!E:AA,16,0)&lt;&gt;"",VLOOKUP(B22,'HBV ĐL HC'!E:AA,16,0),"")</f>
        <v>Dưới ngưỡng phát hiện</v>
      </c>
      <c r="F22" s="12" t="e">
        <f>IF(VLOOKUP(B22,'HBV ĐL HC'!E:AA,16,0)&lt;&gt;"",ABS(E22-$E$52),"")</f>
        <v>#VALUE!</v>
      </c>
      <c r="G22" s="59" t="e">
        <f>IF(VLOOKUP(B22,'HBV ĐL HC'!E:AA,10,0)&lt;&gt;0,IF(E22&lt;$F$2,$F$2,IF(E22&gt;$F$3,$F$3,E22)),"")</f>
        <v>#NUM!</v>
      </c>
      <c r="H22" s="59" t="e">
        <f>IF(VLOOKUP(B22,'HBV ĐL HC'!E:AA,10,0)&lt;&gt;0,IF(G22&lt;$H$2,$H$2,IF(G22&gt;$H$3,$H$3,G22)),"")</f>
        <v>#NUM!</v>
      </c>
      <c r="I22" s="59" t="e">
        <f>IF(VLOOKUP(B22,'HBV ĐL HC'!E:AA,10,0)&lt;&gt;0,IF(H22&lt;$I$2,$I$2,IF(H22&gt;$I$3,$I$3,H22)),"")</f>
        <v>#NUM!</v>
      </c>
      <c r="J22" s="59" t="e">
        <f>IF(VLOOKUP(B22,'HBV ĐL HC'!E:AA,10,0)&lt;&gt;0,IF(I22&lt;$J$2,$J$2,IF(I22&gt;$J$3,$J$3,I22)),"")</f>
        <v>#NUM!</v>
      </c>
    </row>
    <row r="23" spans="1:10" ht="25.5" x14ac:dyDescent="0.25">
      <c r="A23">
        <v>19</v>
      </c>
      <c r="B23" s="204" t="s">
        <v>147</v>
      </c>
      <c r="C23" s="205" t="s">
        <v>148</v>
      </c>
      <c r="D23" s="205" t="s">
        <v>149</v>
      </c>
      <c r="E23" s="4" t="str">
        <f>IF(VLOOKUP(B23,'HBV ĐL HC'!E:AA,16,0)&lt;&gt;"",VLOOKUP(B23,'HBV ĐL HC'!E:AA,16,0),"")</f>
        <v>0</v>
      </c>
      <c r="F23" s="12" t="e">
        <f>IF(VLOOKUP(B23,'HBV ĐL HC'!E:AA,16,0)&lt;&gt;"",ABS(E23-$E$52),"")</f>
        <v>#NUM!</v>
      </c>
      <c r="G23" s="59" t="e">
        <f>IF(VLOOKUP(B23,'HBV ĐL HC'!E:AA,10,0)&lt;&gt;0,IF(E23&lt;$F$2,$F$2,IF(E23&gt;$F$3,$F$3,E23)),"")</f>
        <v>#NUM!</v>
      </c>
      <c r="H23" s="59" t="e">
        <f>IF(VLOOKUP(B23,'HBV ĐL HC'!E:AA,10,0)&lt;&gt;0,IF(G23&lt;$H$2,$H$2,IF(G23&gt;$H$3,$H$3,G23)),"")</f>
        <v>#NUM!</v>
      </c>
      <c r="I23" s="59" t="e">
        <f>IF(VLOOKUP(B23,'HBV ĐL HC'!E:AA,10,0)&lt;&gt;0,IF(H23&lt;$I$2,$I$2,IF(H23&gt;$I$3,$I$3,H23)),"")</f>
        <v>#NUM!</v>
      </c>
      <c r="J23" s="59" t="e">
        <f>IF(VLOOKUP(B23,'HBV ĐL HC'!E:AA,10,0)&lt;&gt;0,IF(I23&lt;$J$2,$J$2,IF(I23&gt;$J$3,$J$3,I23)),"")</f>
        <v>#NUM!</v>
      </c>
    </row>
    <row r="24" spans="1:10" x14ac:dyDescent="0.25">
      <c r="A24">
        <v>20</v>
      </c>
      <c r="B24" s="279" t="s">
        <v>92</v>
      </c>
      <c r="C24" s="278" t="s">
        <v>93</v>
      </c>
      <c r="D24" s="278" t="s">
        <v>94</v>
      </c>
      <c r="E24" s="4" t="str">
        <f>IF(VLOOKUP(B24,'HBV ĐL HC'!E:AA,16,0)&lt;&gt;"",VLOOKUP(B24,'HBV ĐL HC'!E:AA,16,0),"")</f>
        <v>Âm tính</v>
      </c>
      <c r="F24" s="12" t="e">
        <f>IF(VLOOKUP(B24,'HBV ĐL HC'!E:AA,16,0)&lt;&gt;"",ABS(E24-$E$52),"")</f>
        <v>#VALUE!</v>
      </c>
      <c r="G24" s="59" t="e">
        <f>IF(VLOOKUP(B24,'HBV ĐL HC'!E:AA,10,0)&lt;&gt;0,IF(E24&lt;$F$2,$F$2,IF(E24&gt;$F$3,$F$3,E24)),"")</f>
        <v>#NUM!</v>
      </c>
      <c r="H24" s="59" t="e">
        <f>IF(VLOOKUP(B24,'HBV ĐL HC'!E:AA,10,0)&lt;&gt;0,IF(G24&lt;$H$2,$H$2,IF(G24&gt;$H$3,$H$3,G24)),"")</f>
        <v>#NUM!</v>
      </c>
      <c r="I24" s="59" t="e">
        <f>IF(VLOOKUP(B24,'HBV ĐL HC'!E:AA,10,0)&lt;&gt;0,IF(H24&lt;$I$2,$I$2,IF(H24&gt;$I$3,$I$3,H24)),"")</f>
        <v>#NUM!</v>
      </c>
      <c r="J24" s="59" t="e">
        <f>IF(VLOOKUP(B24,'HBV ĐL HC'!E:AA,10,0)&lt;&gt;0,IF(I24&lt;$J$2,$J$2,IF(I24&gt;$J$3,$J$3,I24)),"")</f>
        <v>#NUM!</v>
      </c>
    </row>
    <row r="25" spans="1:10" ht="25.5" x14ac:dyDescent="0.25">
      <c r="A25">
        <v>21</v>
      </c>
      <c r="B25" s="204" t="s">
        <v>403</v>
      </c>
      <c r="C25" s="199" t="s">
        <v>364</v>
      </c>
      <c r="D25" s="199" t="s">
        <v>402</v>
      </c>
      <c r="E25" s="4" t="str">
        <f>IF(VLOOKUP(B25,'HBV ĐL HC'!E:AA,16,0)&lt;&gt;"",VLOOKUP(B25,'HBV ĐL HC'!E:AA,16,0),"")</f>
        <v>N/A</v>
      </c>
      <c r="F25" s="12" t="e">
        <f>IF(VLOOKUP(B25,'HBV ĐL HC'!E:AA,16,0)&lt;&gt;"",ABS(E25-$E$52),"")</f>
        <v>#VALUE!</v>
      </c>
      <c r="G25" s="59" t="e">
        <f>IF(VLOOKUP(B25,'HBV ĐL HC'!E:AA,10,0)&lt;&gt;0,IF(E25&lt;$F$2,$F$2,IF(E25&gt;$F$3,$F$3,E25)),"")</f>
        <v>#NUM!</v>
      </c>
      <c r="H25" s="59" t="e">
        <f>IF(VLOOKUP(B25,'HBV ĐL HC'!E:AA,10,0)&lt;&gt;0,IF(G25&lt;$H$2,$H$2,IF(G25&gt;$H$3,$H$3,G25)),"")</f>
        <v>#NUM!</v>
      </c>
      <c r="I25" s="59" t="e">
        <f>IF(VLOOKUP(B25,'HBV ĐL HC'!E:AA,10,0)&lt;&gt;0,IF(H25&lt;$I$2,$I$2,IF(H25&gt;$I$3,$I$3,H25)),"")</f>
        <v>#NUM!</v>
      </c>
      <c r="J25" s="59" t="e">
        <f>IF(VLOOKUP(B25,'HBV ĐL HC'!E:AA,10,0)&lt;&gt;0,IF(I25&lt;$J$2,$J$2,IF(I25&gt;$J$3,$J$3,I25)),"")</f>
        <v>#NUM!</v>
      </c>
    </row>
    <row r="26" spans="1:10" ht="25.5" x14ac:dyDescent="0.25">
      <c r="A26">
        <v>22</v>
      </c>
      <c r="B26" s="198" t="s">
        <v>209</v>
      </c>
      <c r="C26" s="199" t="s">
        <v>210</v>
      </c>
      <c r="D26" s="197" t="s">
        <v>211</v>
      </c>
      <c r="E26" s="4" t="str">
        <f>IF(VLOOKUP(B26,'HBV ĐL HC'!E:AA,16,0)&lt;&gt;"",VLOOKUP(B26,'HBV ĐL HC'!E:AA,16,0),"")</f>
        <v>Dưới ngưỡng phát hiện</v>
      </c>
      <c r="F26" s="12" t="e">
        <f>IF(VLOOKUP(B26,'HBV ĐL HC'!E:AA,16,0)&lt;&gt;"",ABS(E26-$E$52),"")</f>
        <v>#VALUE!</v>
      </c>
      <c r="G26" s="59" t="e">
        <f>IF(VLOOKUP(B26,'HBV ĐL HC'!E:AA,10,0)&lt;&gt;0,IF(E26&lt;$F$2,$F$2,IF(E26&gt;$F$3,$F$3,E26)),"")</f>
        <v>#NUM!</v>
      </c>
      <c r="H26" s="59" t="e">
        <f>IF(VLOOKUP(B26,'HBV ĐL HC'!E:AA,10,0)&lt;&gt;0,IF(G26&lt;$H$2,$H$2,IF(G26&gt;$H$3,$H$3,G26)),"")</f>
        <v>#NUM!</v>
      </c>
      <c r="I26" s="59" t="e">
        <f>IF(VLOOKUP(B26,'HBV ĐL HC'!E:AA,10,0)&lt;&gt;0,IF(H26&lt;$I$2,$I$2,IF(H26&gt;$I$3,$I$3,H26)),"")</f>
        <v>#NUM!</v>
      </c>
      <c r="J26" s="59" t="e">
        <f>IF(VLOOKUP(B26,'HBV ĐL HC'!E:AA,10,0)&lt;&gt;0,IF(I26&lt;$J$2,$J$2,IF(I26&gt;$J$3,$J$3,I26)),"")</f>
        <v>#NUM!</v>
      </c>
    </row>
    <row r="27" spans="1:10" ht="25.5" x14ac:dyDescent="0.25">
      <c r="A27">
        <v>23</v>
      </c>
      <c r="B27" s="208" t="s">
        <v>196</v>
      </c>
      <c r="C27" s="209" t="s">
        <v>197</v>
      </c>
      <c r="D27" s="207" t="s">
        <v>198</v>
      </c>
      <c r="E27" s="4" t="str">
        <f>IF(VLOOKUP(B27,'HBV ĐL HC'!E:AA,16,0)&lt;&gt;"",VLOOKUP(B27,'HBV ĐL HC'!E:AA,16,0),"")</f>
        <v>N/A</v>
      </c>
      <c r="F27" s="12" t="e">
        <f>IF(VLOOKUP(B27,'HBV ĐL HC'!E:AA,16,0)&lt;&gt;"",ABS(E27-$E$52),"")</f>
        <v>#VALUE!</v>
      </c>
      <c r="G27" s="59" t="e">
        <f>IF(VLOOKUP(B27,'HBV ĐL HC'!E:AA,10,0)&lt;&gt;0,IF(E27&lt;$F$2,$F$2,IF(E27&gt;$F$3,$F$3,E27)),"")</f>
        <v>#NUM!</v>
      </c>
      <c r="H27" s="59" t="e">
        <f>IF(VLOOKUP(B27,'HBV ĐL HC'!E:AA,10,0)&lt;&gt;0,IF(G27&lt;$H$2,$H$2,IF(G27&gt;$H$3,$H$3,G27)),"")</f>
        <v>#NUM!</v>
      </c>
      <c r="I27" s="59" t="e">
        <f>IF(VLOOKUP(B27,'HBV ĐL HC'!E:AA,10,0)&lt;&gt;0,IF(H27&lt;$I$2,$I$2,IF(H27&gt;$I$3,$I$3,H27)),"")</f>
        <v>#NUM!</v>
      </c>
      <c r="J27" s="59" t="e">
        <f>IF(VLOOKUP(B27,'HBV ĐL HC'!E:AA,10,0)&lt;&gt;0,IF(I27&lt;$J$2,$J$2,IF(I27&gt;$J$3,$J$3,I27)),"")</f>
        <v>#NUM!</v>
      </c>
    </row>
    <row r="28" spans="1:10" ht="25.5" x14ac:dyDescent="0.25">
      <c r="A28">
        <v>24</v>
      </c>
      <c r="B28" s="213" t="s">
        <v>412</v>
      </c>
      <c r="C28" s="209" t="s">
        <v>367</v>
      </c>
      <c r="D28" s="207" t="s">
        <v>411</v>
      </c>
      <c r="E28" s="4" t="str">
        <f>IF(VLOOKUP(B28,'HBV ĐL HC'!E:AA,16,0)&lt;&gt;"",VLOOKUP(B28,'HBV ĐL HC'!E:AA,16,0),"")</f>
        <v>Âm tính</v>
      </c>
      <c r="F28" s="12" t="e">
        <f>IF(VLOOKUP(B28,'HBV ĐL HC'!E:AA,16,0)&lt;&gt;"",ABS(E28-$E$52),"")</f>
        <v>#VALUE!</v>
      </c>
      <c r="G28" s="59" t="e">
        <f>IF(VLOOKUP(B28,'HBV ĐL HC'!E:AA,10,0)&lt;&gt;0,IF(E28&lt;$F$2,$F$2,IF(E28&gt;$F$3,$F$3,E28)),"")</f>
        <v>#NUM!</v>
      </c>
      <c r="H28" s="59" t="e">
        <f>IF(VLOOKUP(B28,'HBV ĐL HC'!E:AA,10,0)&lt;&gt;0,IF(G28&lt;$H$2,$H$2,IF(G28&gt;$H$3,$H$3,G28)),"")</f>
        <v>#NUM!</v>
      </c>
      <c r="I28" s="59" t="e">
        <f>IF(VLOOKUP(B28,'HBV ĐL HC'!E:AA,10,0)&lt;&gt;0,IF(H28&lt;$I$2,$I$2,IF(H28&gt;$I$3,$I$3,H28)),"")</f>
        <v>#NUM!</v>
      </c>
      <c r="J28" s="59" t="e">
        <f>IF(VLOOKUP(B28,'HBV ĐL HC'!E:AA,10,0)&lt;&gt;0,IF(I28&lt;$J$2,$J$2,IF(I28&gt;$J$3,$J$3,I28)),"")</f>
        <v>#NUM!</v>
      </c>
    </row>
    <row r="29" spans="1:10" x14ac:dyDescent="0.25">
      <c r="A29">
        <v>25</v>
      </c>
      <c r="B29" s="213" t="s">
        <v>118</v>
      </c>
      <c r="C29" s="83" t="s">
        <v>119</v>
      </c>
      <c r="D29" s="83" t="s">
        <v>120</v>
      </c>
      <c r="E29" s="4" t="str">
        <f>IF(VLOOKUP(B29,'HBV ĐL HC'!E:AA,16,0)&lt;&gt;"",VLOOKUP(B29,'HBV ĐL HC'!E:AA,16,0),"")</f>
        <v>Dưới ngưỡng phát hiện</v>
      </c>
      <c r="F29" s="12" t="e">
        <f>IF(VLOOKUP(B29,'HBV ĐL HC'!E:AA,16,0)&lt;&gt;"",ABS(E29-$E$52),"")</f>
        <v>#VALUE!</v>
      </c>
      <c r="G29" s="59" t="e">
        <f>IF(VLOOKUP(B29,'HBV ĐL HC'!E:AA,10,0)&lt;&gt;0,IF(E29&lt;$F$2,$F$2,IF(E29&gt;$F$3,$F$3,E29)),"")</f>
        <v>#NUM!</v>
      </c>
      <c r="H29" s="59" t="e">
        <f>IF(VLOOKUP(B29,'HBV ĐL HC'!E:AA,10,0)&lt;&gt;0,IF(G29&lt;$H$2,$H$2,IF(G29&gt;$H$3,$H$3,G29)),"")</f>
        <v>#NUM!</v>
      </c>
      <c r="I29" s="59" t="e">
        <f>IF(VLOOKUP(B29,'HBV ĐL HC'!E:AA,10,0)&lt;&gt;0,IF(H29&lt;$I$2,$I$2,IF(H29&gt;$I$3,$I$3,H29)),"")</f>
        <v>#NUM!</v>
      </c>
      <c r="J29" s="59" t="e">
        <f>IF(VLOOKUP(B29,'HBV ĐL HC'!E:AA,10,0)&lt;&gt;0,IF(I29&lt;$J$2,$J$2,IF(I29&gt;$J$3,$J$3,I29)),"")</f>
        <v>#NUM!</v>
      </c>
    </row>
    <row r="30" spans="1:10" x14ac:dyDescent="0.25">
      <c r="A30">
        <v>26</v>
      </c>
      <c r="B30" s="266" t="s">
        <v>331</v>
      </c>
      <c r="C30" s="215" t="s">
        <v>325</v>
      </c>
      <c r="D30" s="82" t="s">
        <v>332</v>
      </c>
      <c r="E30" s="4" t="str">
        <f>IF(VLOOKUP(B30,'HBV ĐL HC'!E:AA,16,0)&lt;&gt;"",VLOOKUP(B30,'HBV ĐL HC'!E:AA,16,0),"")</f>
        <v>Âm tính</v>
      </c>
      <c r="F30" s="12" t="e">
        <f>IF(VLOOKUP(B30,'HBV ĐL HC'!E:AA,16,0)&lt;&gt;"",ABS(E30-$E$52),"")</f>
        <v>#VALUE!</v>
      </c>
      <c r="G30" s="59" t="e">
        <f>IF(VLOOKUP(B30,'HBV ĐL HC'!E:AA,10,0)&lt;&gt;0,IF(E30&lt;$F$2,$F$2,IF(E30&gt;$F$3,$F$3,E30)),"")</f>
        <v>#NUM!</v>
      </c>
      <c r="H30" s="59" t="e">
        <f>IF(VLOOKUP(B30,'HBV ĐL HC'!E:AA,10,0)&lt;&gt;0,IF(G30&lt;$H$2,$H$2,IF(G30&gt;$H$3,$H$3,G30)),"")</f>
        <v>#NUM!</v>
      </c>
      <c r="I30" s="59" t="e">
        <f>IF(VLOOKUP(B30,'HBV ĐL HC'!E:AA,10,0)&lt;&gt;0,IF(H30&lt;$I$2,$I$2,IF(H30&gt;$I$3,$I$3,H30)),"")</f>
        <v>#NUM!</v>
      </c>
      <c r="J30" s="59" t="e">
        <f>IF(VLOOKUP(B30,'HBV ĐL HC'!E:AA,10,0)&lt;&gt;0,IF(I30&lt;$J$2,$J$2,IF(I30&gt;$J$3,$J$3,I30)),"")</f>
        <v>#NUM!</v>
      </c>
    </row>
    <row r="31" spans="1:10" ht="25.5" x14ac:dyDescent="0.25">
      <c r="A31">
        <v>27</v>
      </c>
      <c r="B31" s="266" t="s">
        <v>408</v>
      </c>
      <c r="C31" s="215" t="s">
        <v>365</v>
      </c>
      <c r="D31" s="82" t="s">
        <v>407</v>
      </c>
      <c r="E31" s="4" t="str">
        <f>IF(VLOOKUP(B31,'HBV ĐL HC'!E:AA,16,0)&lt;&gt;"",VLOOKUP(B31,'HBV ĐL HC'!E:AA,16,0),"")</f>
        <v>Âm tính</v>
      </c>
      <c r="F31" s="12" t="e">
        <f>IF(VLOOKUP(B31,'HBV ĐL HC'!E:AA,16,0)&lt;&gt;"",ABS(E31-$E$52),"")</f>
        <v>#VALUE!</v>
      </c>
      <c r="G31" s="59" t="e">
        <f>IF(VLOOKUP(B31,'HBV ĐL HC'!E:AA,10,0)&lt;&gt;0,IF(E31&lt;$F$2,$F$2,IF(E31&gt;$F$3,$F$3,E31)),"")</f>
        <v>#NUM!</v>
      </c>
      <c r="H31" s="59" t="e">
        <f>IF(VLOOKUP(B31,'HBV ĐL HC'!E:AA,10,0)&lt;&gt;0,IF(G31&lt;$H$2,$H$2,IF(G31&gt;$H$3,$H$3,G31)),"")</f>
        <v>#NUM!</v>
      </c>
      <c r="I31" s="59" t="e">
        <f>IF(VLOOKUP(B31,'HBV ĐL HC'!E:AA,10,0)&lt;&gt;0,IF(H31&lt;$I$2,$I$2,IF(H31&gt;$I$3,$I$3,H31)),"")</f>
        <v>#NUM!</v>
      </c>
      <c r="J31" s="59" t="e">
        <f>IF(VLOOKUP(B31,'HBV ĐL HC'!E:AA,10,0)&lt;&gt;0,IF(I31&lt;$J$2,$J$2,IF(I31&gt;$J$3,$J$3,I31)),"")</f>
        <v>#NUM!</v>
      </c>
    </row>
    <row r="32" spans="1:10" x14ac:dyDescent="0.25">
      <c r="A32">
        <v>28</v>
      </c>
      <c r="B32" s="218" t="s">
        <v>156</v>
      </c>
      <c r="C32" s="219" t="s">
        <v>157</v>
      </c>
      <c r="D32" s="217" t="s">
        <v>158</v>
      </c>
      <c r="E32" s="4" t="str">
        <f>IF(VLOOKUP(B32,'HBV ĐL HC'!E:AA,16,0)&lt;&gt;"",VLOOKUP(B32,'HBV ĐL HC'!E:AA,16,0),"")</f>
        <v>-</v>
      </c>
      <c r="F32" s="12" t="e">
        <f>IF(VLOOKUP(B32,'HBV ĐL HC'!E:AA,16,0)&lt;&gt;"",ABS(E32-$E$52),"")</f>
        <v>#VALUE!</v>
      </c>
      <c r="G32" s="59" t="e">
        <f>IF(VLOOKUP(B32,'HBV ĐL HC'!E:AA,10,0)&lt;&gt;0,IF(E32&lt;$F$2,$F$2,IF(E32&gt;$F$3,$F$3,E32)),"")</f>
        <v>#NUM!</v>
      </c>
      <c r="H32" s="59" t="e">
        <f>IF(VLOOKUP(B32,'HBV ĐL HC'!E:AA,10,0)&lt;&gt;0,IF(G32&lt;$H$2,$H$2,IF(G32&gt;$H$3,$H$3,G32)),"")</f>
        <v>#NUM!</v>
      </c>
      <c r="I32" s="59" t="e">
        <f>IF(VLOOKUP(B32,'HBV ĐL HC'!E:AA,10,0)&lt;&gt;0,IF(H32&lt;$I$2,$I$2,IF(H32&gt;$I$3,$I$3,H32)),"")</f>
        <v>#NUM!</v>
      </c>
      <c r="J32" s="59" t="e">
        <f>IF(VLOOKUP(B32,'HBV ĐL HC'!E:AA,10,0)&lt;&gt;0,IF(I32&lt;$J$2,$J$2,IF(I32&gt;$J$3,$J$3,I32)),"")</f>
        <v>#NUM!</v>
      </c>
    </row>
    <row r="33" spans="1:10" x14ac:dyDescent="0.25">
      <c r="A33">
        <v>29</v>
      </c>
      <c r="B33" s="218" t="s">
        <v>161</v>
      </c>
      <c r="C33" s="219" t="s">
        <v>162</v>
      </c>
      <c r="D33" s="217" t="s">
        <v>163</v>
      </c>
      <c r="E33" s="4" t="str">
        <f>IF(VLOOKUP(B33,'HBV ĐL HC'!E:AA,16,0)&lt;&gt;"",VLOOKUP(B33,'HBV ĐL HC'!E:AA,16,0),"")</f>
        <v>Dưới ngưỡng phát hiện</v>
      </c>
      <c r="F33" s="12" t="e">
        <f>IF(VLOOKUP(B33,'HBV ĐL HC'!E:AA,16,0)&lt;&gt;"",ABS(E33-$E$52),"")</f>
        <v>#VALUE!</v>
      </c>
      <c r="G33" s="59" t="e">
        <f>IF(VLOOKUP(B33,'HBV ĐL HC'!E:AA,10,0)&lt;&gt;0,IF(E33&lt;$F$2,$F$2,IF(E33&gt;$F$3,$F$3,E33)),"")</f>
        <v>#NUM!</v>
      </c>
      <c r="H33" s="59" t="e">
        <f>IF(VLOOKUP(B33,'HBV ĐL HC'!E:AA,10,0)&lt;&gt;0,IF(G33&lt;$H$2,$H$2,IF(G33&gt;$H$3,$H$3,G33)),"")</f>
        <v>#NUM!</v>
      </c>
      <c r="I33" s="59" t="e">
        <f>IF(VLOOKUP(B33,'HBV ĐL HC'!E:AA,10,0)&lt;&gt;0,IF(H33&lt;$I$2,$I$2,IF(H33&gt;$I$3,$I$3,H33)),"")</f>
        <v>#NUM!</v>
      </c>
      <c r="J33" s="59" t="e">
        <f>IF(VLOOKUP(B33,'HBV ĐL HC'!E:AA,10,0)&lt;&gt;0,IF(I33&lt;$J$2,$J$2,IF(I33&gt;$J$3,$J$3,I33)),"")</f>
        <v>#NUM!</v>
      </c>
    </row>
    <row r="34" spans="1:10" ht="25.5" x14ac:dyDescent="0.25">
      <c r="A34">
        <v>30</v>
      </c>
      <c r="B34" s="223" t="s">
        <v>341</v>
      </c>
      <c r="C34" s="224" t="s">
        <v>337</v>
      </c>
      <c r="D34" s="224" t="s">
        <v>338</v>
      </c>
      <c r="E34" s="4" t="str">
        <f>IF(VLOOKUP(B34,'HBV ĐL HC'!E:AA,16,0)&lt;&gt;"",VLOOKUP(B34,'HBV ĐL HC'!E:AA,16,0),"")</f>
        <v>Dưới ngưỡng phát hiện</v>
      </c>
      <c r="F34" s="12" t="e">
        <f>IF(VLOOKUP(B34,'HBV ĐL HC'!E:AA,16,0)&lt;&gt;"",ABS(E34-$E$52),"")</f>
        <v>#VALUE!</v>
      </c>
      <c r="G34" s="59" t="e">
        <f>IF(VLOOKUP(B34,'HBV ĐL HC'!E:AA,10,0)&lt;&gt;0,IF(E34&lt;$F$2,$F$2,IF(E34&gt;$F$3,$F$3,E34)),"")</f>
        <v>#NUM!</v>
      </c>
      <c r="H34" s="59" t="e">
        <f>IF(VLOOKUP(B34,'HBV ĐL HC'!E:AA,10,0)&lt;&gt;0,IF(G34&lt;$H$2,$H$2,IF(G34&gt;$H$3,$H$3,G34)),"")</f>
        <v>#NUM!</v>
      </c>
      <c r="I34" s="59" t="e">
        <f>IF(VLOOKUP(B34,'HBV ĐL HC'!E:AA,10,0)&lt;&gt;0,IF(H34&lt;$I$2,$I$2,IF(H34&gt;$I$3,$I$3,H34)),"")</f>
        <v>#NUM!</v>
      </c>
      <c r="J34" s="59" t="e">
        <f>IF(VLOOKUP(B34,'HBV ĐL HC'!E:AA,10,0)&lt;&gt;0,IF(I34&lt;$J$2,$J$2,IF(I34&gt;$J$3,$J$3,I34)),"")</f>
        <v>#NUM!</v>
      </c>
    </row>
    <row r="35" spans="1:10" x14ac:dyDescent="0.25">
      <c r="A35">
        <v>31</v>
      </c>
      <c r="B35" s="223" t="s">
        <v>225</v>
      </c>
      <c r="C35" s="224" t="s">
        <v>226</v>
      </c>
      <c r="D35" s="224" t="s">
        <v>227</v>
      </c>
      <c r="E35" s="4" t="str">
        <f>IF(VLOOKUP(B35,'HBV ĐL HC'!E:AA,16,0)&lt;&gt;"",VLOOKUP(B35,'HBV ĐL HC'!E:AA,16,0),"")</f>
        <v>Dưới ngưỡng phát hiện</v>
      </c>
      <c r="F35" s="12" t="e">
        <f>IF(VLOOKUP(B35,'HBV ĐL HC'!E:AA,16,0)&lt;&gt;"",ABS(E35-$E$52),"")</f>
        <v>#VALUE!</v>
      </c>
      <c r="G35" s="59" t="e">
        <f>IF(VLOOKUP(B35,'HBV ĐL HC'!E:AA,10,0)&lt;&gt;0,IF(E35&lt;$F$2,$F$2,IF(E35&gt;$F$3,$F$3,E35)),"")</f>
        <v>#NUM!</v>
      </c>
      <c r="H35" s="59" t="e">
        <f>IF(VLOOKUP(B35,'HBV ĐL HC'!E:AA,10,0)&lt;&gt;0,IF(G35&lt;$H$2,$H$2,IF(G35&gt;$H$3,$H$3,G35)),"")</f>
        <v>#NUM!</v>
      </c>
      <c r="I35" s="59" t="e">
        <f>IF(VLOOKUP(B35,'HBV ĐL HC'!E:AA,10,0)&lt;&gt;0,IF(H35&lt;$I$2,$I$2,IF(H35&gt;$I$3,$I$3,H35)),"")</f>
        <v>#NUM!</v>
      </c>
      <c r="J35" s="59" t="e">
        <f>IF(VLOOKUP(B35,'HBV ĐL HC'!E:AA,10,0)&lt;&gt;0,IF(I35&lt;$J$2,$J$2,IF(I35&gt;$J$3,$J$3,I35)),"")</f>
        <v>#NUM!</v>
      </c>
    </row>
    <row r="36" spans="1:10" ht="25.5" x14ac:dyDescent="0.25">
      <c r="A36">
        <v>32</v>
      </c>
      <c r="B36" s="229" t="s">
        <v>404</v>
      </c>
      <c r="C36" s="230" t="s">
        <v>357</v>
      </c>
      <c r="D36" s="225" t="s">
        <v>359</v>
      </c>
      <c r="E36" s="4" t="str">
        <f>IF(VLOOKUP(B36,'HBV ĐL HC'!E:AA,16,0)&lt;&gt;"",VLOOKUP(B36,'HBV ĐL HC'!E:AA,16,0),"")</f>
        <v>Dưới ngưỡng phát hiện</v>
      </c>
      <c r="F36" s="12" t="e">
        <f>IF(VLOOKUP(B36,'HBV ĐL HC'!E:AA,16,0)&lt;&gt;"",ABS(E36-$E$52),"")</f>
        <v>#VALUE!</v>
      </c>
      <c r="G36" s="59" t="e">
        <f>IF(VLOOKUP(B36,'HBV ĐL HC'!E:AA,10,0)&lt;&gt;0,IF(E36&lt;$F$2,$F$2,IF(E36&gt;$F$3,$F$3,E36)),"")</f>
        <v>#NUM!</v>
      </c>
      <c r="H36" s="59" t="e">
        <f>IF(VLOOKUP(B36,'HBV ĐL HC'!E:AA,10,0)&lt;&gt;0,IF(G36&lt;$H$2,$H$2,IF(G36&gt;$H$3,$H$3,G36)),"")</f>
        <v>#NUM!</v>
      </c>
      <c r="I36" s="59" t="e">
        <f>IF(VLOOKUP(B36,'HBV ĐL HC'!E:AA,10,0)&lt;&gt;0,IF(H36&lt;$I$2,$I$2,IF(H36&gt;$I$3,$I$3,H36)),"")</f>
        <v>#NUM!</v>
      </c>
      <c r="J36" s="59" t="e">
        <f>IF(VLOOKUP(B36,'HBV ĐL HC'!E:AA,10,0)&lt;&gt;0,IF(I36&lt;$J$2,$J$2,IF(I36&gt;$J$3,$J$3,I36)),"")</f>
        <v>#NUM!</v>
      </c>
    </row>
    <row r="37" spans="1:10" x14ac:dyDescent="0.25">
      <c r="A37">
        <v>33</v>
      </c>
      <c r="B37" s="282" t="s">
        <v>449</v>
      </c>
      <c r="C37" s="283" t="s">
        <v>254</v>
      </c>
      <c r="D37" s="283" t="s">
        <v>266</v>
      </c>
      <c r="E37" s="4" t="str">
        <f>IF(VLOOKUP(B37,'HBV ĐL HC'!E:AA,16,0)&lt;&gt;"",VLOOKUP(B37,'HBV ĐL HC'!E:AA,16,0),"")</f>
        <v/>
      </c>
      <c r="F37" s="12" t="str">
        <f>IF(VLOOKUP(B37,'HBV ĐL HC'!E:AA,16,0)&lt;&gt;"",ABS(E37-$E$52),"")</f>
        <v/>
      </c>
      <c r="G37" s="59" t="str">
        <f>IF(VLOOKUP(B37,'HBV ĐL HC'!E:AA,10,0)&lt;&gt;0,IF(E37&lt;$F$2,$F$2,IF(E37&gt;$F$3,$F$3,E37)),"")</f>
        <v/>
      </c>
      <c r="H37" s="59" t="str">
        <f>IF(VLOOKUP(B37,'HBV ĐL HC'!E:AA,10,0)&lt;&gt;0,IF(G37&lt;$H$2,$H$2,IF(G37&gt;$H$3,$H$3,G37)),"")</f>
        <v/>
      </c>
      <c r="I37" s="59" t="str">
        <f>IF(VLOOKUP(B37,'HBV ĐL HC'!E:AA,10,0)&lt;&gt;0,IF(H37&lt;$I$2,$I$2,IF(H37&gt;$I$3,$I$3,H37)),"")</f>
        <v/>
      </c>
      <c r="J37" s="59" t="str">
        <f>IF(VLOOKUP(B37,'HBV ĐL HC'!E:AA,10,0)&lt;&gt;0,IF(I37&lt;$J$2,$J$2,IF(I37&gt;$J$3,$J$3,I37)),"")</f>
        <v/>
      </c>
    </row>
    <row r="38" spans="1:10" x14ac:dyDescent="0.25">
      <c r="A38">
        <v>34</v>
      </c>
      <c r="B38" s="232" t="s">
        <v>450</v>
      </c>
      <c r="C38" s="233" t="s">
        <v>254</v>
      </c>
      <c r="D38" s="233" t="s">
        <v>266</v>
      </c>
      <c r="E38" s="4" t="str">
        <f>IF(VLOOKUP(B38,'HBV ĐL HC'!E:AA,16,0)&lt;&gt;"",VLOOKUP(B38,'HBV ĐL HC'!E:AA,16,0),"")</f>
        <v/>
      </c>
      <c r="F38" s="12" t="str">
        <f>IF(VLOOKUP(B38,'HBV ĐL HC'!E:AA,16,0)&lt;&gt;"",ABS(E38-$E$52),"")</f>
        <v/>
      </c>
      <c r="G38" s="59" t="e">
        <f>IF(VLOOKUP(B38,'HBV ĐL HC'!E:AA,10,0)&lt;&gt;0,IF(E38&lt;$F$2,$F$2,IF(E38&gt;$F$3,$F$3,E38)),"")</f>
        <v>#NUM!</v>
      </c>
      <c r="H38" s="59" t="e">
        <f>IF(VLOOKUP(B38,'HBV ĐL HC'!E:AA,10,0)&lt;&gt;0,IF(G38&lt;$H$2,$H$2,IF(G38&gt;$H$3,$H$3,G38)),"")</f>
        <v>#NUM!</v>
      </c>
      <c r="I38" s="59" t="e">
        <f>IF(VLOOKUP(B38,'HBV ĐL HC'!E:AA,10,0)&lt;&gt;0,IF(H38&lt;$I$2,$I$2,IF(H38&gt;$I$3,$I$3,H38)),"")</f>
        <v>#NUM!</v>
      </c>
      <c r="J38" s="59" t="e">
        <f>IF(VLOOKUP(B38,'HBV ĐL HC'!E:AA,10,0)&lt;&gt;0,IF(I38&lt;$J$2,$J$2,IF(I38&gt;$J$3,$J$3,I38)),"")</f>
        <v>#NUM!</v>
      </c>
    </row>
    <row r="39" spans="1:10" x14ac:dyDescent="0.25">
      <c r="B39" s="232" t="s">
        <v>484</v>
      </c>
      <c r="C39" s="233" t="s">
        <v>254</v>
      </c>
      <c r="D39" s="233" t="s">
        <v>266</v>
      </c>
      <c r="E39" s="4" t="str">
        <f>IF(VLOOKUP(B39,'HBV ĐL HC'!E:AA,16,0)&lt;&gt;"",VLOOKUP(B39,'HBV ĐL HC'!E:AA,16,0),"")</f>
        <v>Âm tính</v>
      </c>
      <c r="F39" s="12" t="e">
        <f>IF(VLOOKUP(B39,'HBV ĐL HC'!E:AA,16,0)&lt;&gt;"",ABS(E39-$E$52),"")</f>
        <v>#VALUE!</v>
      </c>
      <c r="G39" s="59" t="e">
        <f>IF(VLOOKUP(B39,'HBV ĐL HC'!E:AA,10,0)&lt;&gt;0,IF(E39&lt;$F$2,$F$2,IF(E39&gt;$F$3,$F$3,E39)),"")</f>
        <v>#NUM!</v>
      </c>
      <c r="H39" s="59" t="e">
        <f>IF(VLOOKUP(B39,'HBV ĐL HC'!E:AA,10,0)&lt;&gt;0,IF(G39&lt;$H$2,$H$2,IF(G39&gt;$H$3,$H$3,G39)),"")</f>
        <v>#NUM!</v>
      </c>
      <c r="I39" s="59" t="e">
        <f>IF(VLOOKUP(B39,'HBV ĐL HC'!E:AA,10,0)&lt;&gt;0,IF(H39&lt;$I$2,$I$2,IF(H39&gt;$I$3,$I$3,H39)),"")</f>
        <v>#NUM!</v>
      </c>
      <c r="J39" s="59" t="e">
        <f>IF(VLOOKUP(B39,'HBV ĐL HC'!E:AA,10,0)&lt;&gt;0,IF(I39&lt;$J$2,$J$2,IF(I39&gt;$J$3,$J$3,I39)),"")</f>
        <v>#NUM!</v>
      </c>
    </row>
    <row r="40" spans="1:10" ht="25.5" x14ac:dyDescent="0.25">
      <c r="A40">
        <v>35</v>
      </c>
      <c r="B40" s="238" t="s">
        <v>87</v>
      </c>
      <c r="C40" s="239" t="s">
        <v>88</v>
      </c>
      <c r="D40" s="234" t="s">
        <v>89</v>
      </c>
      <c r="E40" s="4" t="str">
        <f>IF(VLOOKUP(B40,'HBV ĐL HC'!E:AA,16,0)&lt;&gt;"",VLOOKUP(B40,'HBV ĐL HC'!E:AA,16,0),"")</f>
        <v>Âm tính</v>
      </c>
      <c r="F40" s="12" t="e">
        <f>IF(VLOOKUP(B40,'HBV ĐL HC'!E:AA,16,0)&lt;&gt;"",ABS(E40-$E$52),"")</f>
        <v>#VALUE!</v>
      </c>
      <c r="G40" s="59" t="e">
        <f>IF(VLOOKUP(B40,'HBV ĐL HC'!E:AA,10,0)&lt;&gt;0,IF(E40&lt;$F$2,$F$2,IF(E40&gt;$F$3,$F$3,E40)),"")</f>
        <v>#NUM!</v>
      </c>
      <c r="H40" s="59" t="e">
        <f>IF(VLOOKUP(B40,'HBV ĐL HC'!E:AA,10,0)&lt;&gt;0,IF(G40&lt;$H$2,$H$2,IF(G40&gt;$H$3,$H$3,G40)),"")</f>
        <v>#NUM!</v>
      </c>
      <c r="I40" s="59" t="e">
        <f>IF(VLOOKUP(B40,'HBV ĐL HC'!E:AA,10,0)&lt;&gt;0,IF(H40&lt;$I$2,$I$2,IF(H40&gt;$I$3,$I$3,H40)),"")</f>
        <v>#NUM!</v>
      </c>
      <c r="J40" s="59" t="e">
        <f>IF(VLOOKUP(B40,'HBV ĐL HC'!E:AA,10,0)&lt;&gt;0,IF(I40&lt;$J$2,$J$2,IF(I40&gt;$J$3,$J$3,I40)),"")</f>
        <v>#NUM!</v>
      </c>
    </row>
    <row r="41" spans="1:10" x14ac:dyDescent="0.25">
      <c r="A41">
        <v>36</v>
      </c>
      <c r="B41" s="243" t="s">
        <v>458</v>
      </c>
      <c r="C41" s="244" t="s">
        <v>85</v>
      </c>
      <c r="D41" s="242" t="s">
        <v>86</v>
      </c>
      <c r="E41" s="4" t="str">
        <f>IF(VLOOKUP(B41,'HBV ĐL HC'!E:AA,16,0)&lt;&gt;"",VLOOKUP(B41,'HBV ĐL HC'!E:AA,16,0),"")</f>
        <v>Dưới ngưỡng phát hiện</v>
      </c>
      <c r="F41" s="12" t="e">
        <f>IF(VLOOKUP(B41,'HBV ĐL HC'!E:AA,16,0)&lt;&gt;"",ABS(E41-$E$52),"")</f>
        <v>#VALUE!</v>
      </c>
      <c r="G41" s="59" t="e">
        <f>IF(VLOOKUP(B41,'HBV ĐL HC'!E:AA,10,0)&lt;&gt;0,IF(E41&lt;$F$2,$F$2,IF(E41&gt;$F$3,$F$3,E41)),"")</f>
        <v>#NUM!</v>
      </c>
      <c r="H41" s="59" t="e">
        <f>IF(VLOOKUP(B41,'HBV ĐL HC'!E:AA,10,0)&lt;&gt;0,IF(G41&lt;$H$2,$H$2,IF(G41&gt;$H$3,$H$3,G41)),"")</f>
        <v>#NUM!</v>
      </c>
      <c r="I41" s="59" t="e">
        <f>IF(VLOOKUP(B41,'HBV ĐL HC'!E:AA,10,0)&lt;&gt;0,IF(H41&lt;$I$2,$I$2,IF(H41&gt;$I$3,$I$3,H41)),"")</f>
        <v>#NUM!</v>
      </c>
      <c r="J41" s="59" t="e">
        <f>IF(VLOOKUP(B41,'HBV ĐL HC'!E:AA,10,0)&lt;&gt;0,IF(I41&lt;$J$2,$J$2,IF(I41&gt;$J$3,$J$3,I41)),"")</f>
        <v>#NUM!</v>
      </c>
    </row>
    <row r="42" spans="1:10" x14ac:dyDescent="0.25">
      <c r="A42">
        <v>37</v>
      </c>
      <c r="B42" s="243" t="s">
        <v>405</v>
      </c>
      <c r="C42" s="244" t="s">
        <v>251</v>
      </c>
      <c r="D42" s="242" t="s">
        <v>158</v>
      </c>
      <c r="E42" s="4" t="str">
        <f>IF(VLOOKUP(B42,'HBV ĐL HC'!E:AA,16,0)&lt;&gt;"",VLOOKUP(B42,'HBV ĐL HC'!E:AA,16,0),"")</f>
        <v>Âm tính</v>
      </c>
      <c r="F42" s="12" t="e">
        <f>IF(VLOOKUP(B42,'HBV ĐL HC'!E:AA,16,0)&lt;&gt;"",ABS(E42-$E$52),"")</f>
        <v>#VALUE!</v>
      </c>
      <c r="G42" s="59" t="e">
        <f>IF(VLOOKUP(B42,'HBV ĐL HC'!E:AA,10,0)&lt;&gt;0,IF(E42&lt;$F$2,$F$2,IF(E42&gt;$F$3,$F$3,E42)),"")</f>
        <v>#NUM!</v>
      </c>
      <c r="H42" s="59" t="e">
        <f>IF(VLOOKUP(B42,'HBV ĐL HC'!E:AA,10,0)&lt;&gt;0,IF(G42&lt;$H$2,$H$2,IF(G42&gt;$H$3,$H$3,G42)),"")</f>
        <v>#NUM!</v>
      </c>
      <c r="I42" s="59" t="e">
        <f>IF(VLOOKUP(B42,'HBV ĐL HC'!E:AA,10,0)&lt;&gt;0,IF(H42&lt;$I$2,$I$2,IF(H42&gt;$I$3,$I$3,H42)),"")</f>
        <v>#NUM!</v>
      </c>
      <c r="J42" s="59" t="e">
        <f>IF(VLOOKUP(B42,'HBV ĐL HC'!E:AA,10,0)&lt;&gt;0,IF(I42&lt;$J$2,$J$2,IF(I42&gt;$J$3,$J$3,I42)),"")</f>
        <v>#NUM!</v>
      </c>
    </row>
    <row r="43" spans="1:10" x14ac:dyDescent="0.25">
      <c r="A43">
        <v>38</v>
      </c>
      <c r="B43" s="248" t="s">
        <v>451</v>
      </c>
      <c r="C43" s="247" t="s">
        <v>257</v>
      </c>
      <c r="D43" s="247" t="s">
        <v>258</v>
      </c>
      <c r="E43" s="4" t="str">
        <f>IF(VLOOKUP(B43,'HBV ĐL HC'!E:AA,16,0)&lt;&gt;"",VLOOKUP(B43,'HBV ĐL HC'!E:AA,16,0),"")</f>
        <v/>
      </c>
      <c r="F43" s="12" t="str">
        <f>IF(VLOOKUP(B43,'HBV ĐL HC'!E:AA,16,0)&lt;&gt;"",ABS(E43-$E$52),"")</f>
        <v/>
      </c>
      <c r="G43" s="59" t="str">
        <f>IF(VLOOKUP(B43,'HBV ĐL HC'!E:AA,10,0)&lt;&gt;0,IF(E43&lt;$F$2,$F$2,IF(E43&gt;$F$3,$F$3,E43)),"")</f>
        <v/>
      </c>
      <c r="H43" s="59" t="str">
        <f>IF(VLOOKUP(B43,'HBV ĐL HC'!E:AA,10,0)&lt;&gt;0,IF(G43&lt;$H$2,$H$2,IF(G43&gt;$H$3,$H$3,G43)),"")</f>
        <v/>
      </c>
      <c r="I43" s="59" t="str">
        <f>IF(VLOOKUP(B43,'HBV ĐL HC'!E:AA,10,0)&lt;&gt;0,IF(H43&lt;$I$2,$I$2,IF(H43&gt;$I$3,$I$3,H43)),"")</f>
        <v/>
      </c>
      <c r="J43" s="59" t="str">
        <f>IF(VLOOKUP(B43,'HBV ĐL HC'!E:AA,10,0)&lt;&gt;0,IF(I43&lt;$J$2,$J$2,IF(I43&gt;$J$3,$J$3,I43)),"")</f>
        <v/>
      </c>
    </row>
    <row r="44" spans="1:10" ht="25.5" x14ac:dyDescent="0.25">
      <c r="A44">
        <v>39</v>
      </c>
      <c r="B44" s="253" t="s">
        <v>99</v>
      </c>
      <c r="C44" s="252" t="s">
        <v>100</v>
      </c>
      <c r="D44" s="252" t="s">
        <v>101</v>
      </c>
      <c r="E44" s="4" t="str">
        <f>IF(VLOOKUP(B44,'HBV ĐL HC'!E:AA,16,0)&lt;&gt;"",VLOOKUP(B44,'HBV ĐL HC'!E:AA,16,0),"")</f>
        <v/>
      </c>
      <c r="F44" s="12" t="str">
        <f>IF(VLOOKUP(B44,'HBV ĐL HC'!E:AA,16,0)&lt;&gt;"",ABS(E44-$E$52),"")</f>
        <v/>
      </c>
      <c r="G44" s="59" t="str">
        <f>IF(VLOOKUP(B44,'HBV ĐL HC'!E:AA,10,0)&lt;&gt;0,IF(E44&lt;$F$2,$F$2,IF(E44&gt;$F$3,$F$3,E44)),"")</f>
        <v/>
      </c>
      <c r="H44" s="59" t="str">
        <f>IF(VLOOKUP(B44,'HBV ĐL HC'!E:AA,10,0)&lt;&gt;0,IF(G44&lt;$H$2,$H$2,IF(G44&gt;$H$3,$H$3,G44)),"")</f>
        <v/>
      </c>
      <c r="I44" s="59" t="str">
        <f>IF(VLOOKUP(B44,'HBV ĐL HC'!E:AA,10,0)&lt;&gt;0,IF(H44&lt;$I$2,$I$2,IF(H44&gt;$I$3,$I$3,H44)),"")</f>
        <v/>
      </c>
      <c r="J44" s="59" t="str">
        <f>IF(VLOOKUP(B44,'HBV ĐL HC'!E:AA,10,0)&lt;&gt;0,IF(I44&lt;$J$2,$J$2,IF(I44&gt;$J$3,$J$3,I44)),"")</f>
        <v/>
      </c>
    </row>
    <row r="45" spans="1:10" ht="25.5" x14ac:dyDescent="0.25">
      <c r="A45">
        <v>40</v>
      </c>
      <c r="B45" s="259" t="s">
        <v>202</v>
      </c>
      <c r="C45" s="252" t="s">
        <v>203</v>
      </c>
      <c r="D45" s="252" t="s">
        <v>204</v>
      </c>
      <c r="E45" s="4" t="str">
        <f>IF(VLOOKUP(B45,'HBV ĐL HC'!E:AA,16,0)&lt;&gt;"",VLOOKUP(B45,'HBV ĐL HC'!E:AA,16,0),"")</f>
        <v/>
      </c>
      <c r="F45" s="12" t="str">
        <f>IF(VLOOKUP(B45,'HBV ĐL HC'!E:AA,16,0)&lt;&gt;"",ABS(E45-$E$52),"")</f>
        <v/>
      </c>
      <c r="G45" s="59" t="str">
        <f>IF(VLOOKUP(B45,'HBV ĐL HC'!E:AA,10,0)&lt;&gt;0,IF(E45&lt;$F$2,$F$2,IF(E45&gt;$F$3,$F$3,E45)),"")</f>
        <v/>
      </c>
      <c r="H45" s="59" t="str">
        <f>IF(VLOOKUP(B45,'HBV ĐL HC'!E:AA,10,0)&lt;&gt;0,IF(G45&lt;$H$2,$H$2,IF(G45&gt;$H$3,$H$3,G45)),"")</f>
        <v/>
      </c>
      <c r="I45" s="59" t="str">
        <f>IF(VLOOKUP(B45,'HBV ĐL HC'!E:AA,10,0)&lt;&gt;0,IF(H45&lt;$I$2,$I$2,IF(H45&gt;$I$3,$I$3,H45)),"")</f>
        <v/>
      </c>
      <c r="J45" s="59" t="str">
        <f>IF(VLOOKUP(B45,'HBV ĐL HC'!E:AA,10,0)&lt;&gt;0,IF(I45&lt;$J$2,$J$2,IF(I45&gt;$J$3,$J$3,I45)),"")</f>
        <v/>
      </c>
    </row>
    <row r="46" spans="1:10" ht="25.5" x14ac:dyDescent="0.25">
      <c r="A46">
        <v>41</v>
      </c>
      <c r="B46" s="253" t="s">
        <v>310</v>
      </c>
      <c r="C46" s="260" t="s">
        <v>311</v>
      </c>
      <c r="D46" s="260" t="s">
        <v>312</v>
      </c>
      <c r="E46" s="4" t="str">
        <f>IF(VLOOKUP(B46,'HBV ĐL HC'!E:AA,16,0)&lt;&gt;"",VLOOKUP(B46,'HBV ĐL HC'!E:AA,16,0),"")</f>
        <v/>
      </c>
      <c r="F46" s="12" t="str">
        <f>IF(VLOOKUP(B46,'HBV ĐL HC'!E:AA,16,0)&lt;&gt;"",ABS(E46-$E$52),"")</f>
        <v/>
      </c>
      <c r="G46" s="59" t="str">
        <f>IF(VLOOKUP(B46,'HBV ĐL HC'!E:AA,10,0)&lt;&gt;0,IF(E46&lt;$F$2,$F$2,IF(E46&gt;$F$3,$F$3,E46)),"")</f>
        <v/>
      </c>
      <c r="H46" s="59" t="str">
        <f>IF(VLOOKUP(B46,'HBV ĐL HC'!E:AA,10,0)&lt;&gt;0,IF(G46&lt;$H$2,$H$2,IF(G46&gt;$H$3,$H$3,G46)),"")</f>
        <v/>
      </c>
      <c r="I46" s="59" t="str">
        <f>IF(VLOOKUP(B46,'HBV ĐL HC'!E:AA,10,0)&lt;&gt;0,IF(H46&lt;$I$2,$I$2,IF(H46&gt;$I$3,$I$3,H46)),"")</f>
        <v/>
      </c>
      <c r="J46" s="59" t="str">
        <f>IF(VLOOKUP(B46,'HBV ĐL HC'!E:AA,10,0)&lt;&gt;0,IF(I46&lt;$J$2,$J$2,IF(I46&gt;$J$3,$J$3,I46)),"")</f>
        <v/>
      </c>
    </row>
    <row r="47" spans="1:10" x14ac:dyDescent="0.25">
      <c r="A47">
        <v>42</v>
      </c>
      <c r="B47" s="268" t="s">
        <v>230</v>
      </c>
      <c r="C47" s="264" t="s">
        <v>231</v>
      </c>
      <c r="D47" s="264" t="s">
        <v>232</v>
      </c>
      <c r="E47" s="4" t="str">
        <f>IF(VLOOKUP(B47,'HBV ĐL HC'!E:AA,16,0)&lt;&gt;"",VLOOKUP(B47,'HBV ĐL HC'!E:AA,16,0),"")</f>
        <v/>
      </c>
      <c r="F47" s="12" t="str">
        <f>IF(VLOOKUP(B47,'HBV ĐL HC'!E:AA,16,0)&lt;&gt;"",ABS(E47-$E$52),"")</f>
        <v/>
      </c>
      <c r="G47" s="59" t="str">
        <f>IF(VLOOKUP(B47,'HBV ĐL HC'!E:AA,10,0)&lt;&gt;0,IF(E47&lt;$F$2,$F$2,IF(E47&gt;$F$3,$F$3,E47)),"")</f>
        <v/>
      </c>
      <c r="H47" s="59" t="str">
        <f>IF(VLOOKUP(B47,'HBV ĐL HC'!E:AA,10,0)&lt;&gt;0,IF(G47&lt;$H$2,$H$2,IF(G47&gt;$H$3,$H$3,G47)),"")</f>
        <v/>
      </c>
      <c r="I47" s="59" t="str">
        <f>IF(VLOOKUP(B47,'HBV ĐL HC'!E:AA,10,0)&lt;&gt;0,IF(H47&lt;$I$2,$I$2,IF(H47&gt;$I$3,$I$3,H47)),"")</f>
        <v/>
      </c>
      <c r="J47" s="59" t="str">
        <f>IF(VLOOKUP(B47,'HBV ĐL HC'!E:AA,10,0)&lt;&gt;0,IF(I47&lt;$J$2,$J$2,IF(I47&gt;$J$3,$J$3,I47)),"")</f>
        <v/>
      </c>
    </row>
    <row r="48" spans="1:10" x14ac:dyDescent="0.25">
      <c r="E48" s="4"/>
      <c r="F48" s="4"/>
      <c r="G48" s="4"/>
      <c r="H48" s="4"/>
      <c r="I48" s="4"/>
      <c r="J48" s="4"/>
    </row>
    <row r="49" spans="3:10" x14ac:dyDescent="0.25">
      <c r="C49" s="18" t="s">
        <v>282</v>
      </c>
      <c r="D49" s="18"/>
      <c r="E49" s="62" t="e">
        <f>AVERAGE(E5:E47)</f>
        <v>#DIV/0!</v>
      </c>
      <c r="F49" s="4"/>
      <c r="G49" s="62" t="e">
        <f>AVERAGE(G5:G47)</f>
        <v>#NUM!</v>
      </c>
      <c r="H49" s="62" t="e">
        <f>AVERAGE(H5:H47)</f>
        <v>#NUM!</v>
      </c>
      <c r="I49" s="62" t="e">
        <f>AVERAGE(I5:I47)</f>
        <v>#NUM!</v>
      </c>
      <c r="J49" s="62" t="e">
        <f>AVERAGE(J5:J47)</f>
        <v>#NUM!</v>
      </c>
    </row>
    <row r="50" spans="3:10" x14ac:dyDescent="0.25">
      <c r="C50" s="19" t="s">
        <v>243</v>
      </c>
      <c r="D50" s="20"/>
      <c r="E50" s="62" t="e">
        <f>_xlfn.STDEV.S(E5:E47)</f>
        <v>#DIV/0!</v>
      </c>
      <c r="F50" s="4"/>
      <c r="G50" s="62" t="e">
        <f>_xlfn.STDEV.S(G5:G47)</f>
        <v>#NUM!</v>
      </c>
      <c r="H50" s="62" t="e">
        <f>_xlfn.STDEV.S(H5:H47)</f>
        <v>#NUM!</v>
      </c>
      <c r="I50" s="62" t="e">
        <f>_xlfn.STDEV.S(I5:I47)</f>
        <v>#NUM!</v>
      </c>
      <c r="J50" s="62" t="e">
        <f>_xlfn.STDEV.S(J5:J47)</f>
        <v>#NUM!</v>
      </c>
    </row>
    <row r="51" spans="3:10" x14ac:dyDescent="0.25">
      <c r="C51" s="19" t="s">
        <v>283</v>
      </c>
      <c r="D51" s="20"/>
      <c r="E51" s="63" t="e">
        <f>1.5*E53</f>
        <v>#VALUE!</v>
      </c>
      <c r="F51" s="4"/>
      <c r="G51" s="62" t="e">
        <f>1.5*G53</f>
        <v>#NUM!</v>
      </c>
      <c r="H51" s="62" t="e">
        <f t="shared" ref="H51:J51" si="1">1.5*H53</f>
        <v>#NUM!</v>
      </c>
      <c r="I51" s="62" t="e">
        <f t="shared" si="1"/>
        <v>#NUM!</v>
      </c>
      <c r="J51" s="62" t="e">
        <f t="shared" si="1"/>
        <v>#NUM!</v>
      </c>
    </row>
    <row r="52" spans="3:10" x14ac:dyDescent="0.25">
      <c r="C52" s="19" t="s">
        <v>284</v>
      </c>
      <c r="D52" s="20"/>
      <c r="E52" s="62" t="e">
        <f>MEDIAN(E5:E47)</f>
        <v>#NUM!</v>
      </c>
      <c r="F52" s="4" t="e">
        <f>MEDIAN(F5:F47)</f>
        <v>#VALUE!</v>
      </c>
      <c r="G52" s="64" t="e">
        <f>AVERAGE(G5:G47)</f>
        <v>#NUM!</v>
      </c>
      <c r="H52" s="64" t="e">
        <f t="shared" ref="H52:J52" si="2">AVERAGE(H5:H47)</f>
        <v>#NUM!</v>
      </c>
      <c r="I52" s="64" t="e">
        <f t="shared" si="2"/>
        <v>#NUM!</v>
      </c>
      <c r="J52" s="64" t="e">
        <f t="shared" si="2"/>
        <v>#NUM!</v>
      </c>
    </row>
    <row r="53" spans="3:10" x14ac:dyDescent="0.25">
      <c r="C53" s="19" t="s">
        <v>285</v>
      </c>
      <c r="D53" s="20"/>
      <c r="E53" s="62" t="e">
        <f>1.483*MEDIAN(F5:F47)</f>
        <v>#VALUE!</v>
      </c>
      <c r="F53" s="63" t="e">
        <f>1.483*F52</f>
        <v>#VALUE!</v>
      </c>
      <c r="G53" s="64" t="e">
        <f>1.134*_xlfn.STDEV.S(G5:G47)</f>
        <v>#NUM!</v>
      </c>
      <c r="H53" s="64" t="e">
        <f t="shared" ref="H53:J53" si="3">1.134*_xlfn.STDEV.S(H5:H47)</f>
        <v>#NUM!</v>
      </c>
      <c r="I53" s="64" t="e">
        <f t="shared" si="3"/>
        <v>#NUM!</v>
      </c>
      <c r="J53" s="64" t="e">
        <f t="shared" si="3"/>
        <v>#NUM!</v>
      </c>
    </row>
    <row r="54" spans="3:10" x14ac:dyDescent="0.25">
      <c r="E54" s="4"/>
      <c r="F54" s="4"/>
      <c r="G54" s="4"/>
      <c r="H54" s="4"/>
      <c r="I54" s="4"/>
      <c r="J54" s="4"/>
    </row>
    <row r="55" spans="3:10" x14ac:dyDescent="0.25">
      <c r="E55" s="4"/>
      <c r="F55" s="4"/>
      <c r="G55" s="4"/>
      <c r="H55" s="4"/>
      <c r="I55" s="4"/>
      <c r="J55" s="4"/>
    </row>
    <row r="56" spans="3:10" x14ac:dyDescent="0.25">
      <c r="E56" s="4"/>
      <c r="F56" s="4"/>
      <c r="G56" s="4"/>
      <c r="H56" s="4"/>
      <c r="I56" s="4"/>
      <c r="J56" s="4"/>
    </row>
  </sheetData>
  <conditionalFormatting sqref="B5:B38 B40:B47">
    <cfRule type="duplicateValues" dxfId="14" priority="2"/>
  </conditionalFormatting>
  <conditionalFormatting sqref="B39">
    <cfRule type="duplicateValues" dxfId="1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45"/>
  <sheetViews>
    <sheetView topLeftCell="U79" zoomScale="85" zoomScaleNormal="85" workbookViewId="0">
      <selection activeCell="AL28" sqref="AL28"/>
    </sheetView>
  </sheetViews>
  <sheetFormatPr defaultColWidth="9" defaultRowHeight="15.75" x14ac:dyDescent="0.25"/>
  <cols>
    <col min="1" max="1" width="10" bestFit="1" customWidth="1"/>
    <col min="2" max="2" width="11.875" style="2" bestFit="1" customWidth="1"/>
    <col min="3" max="3" width="12.5" customWidth="1"/>
    <col min="4" max="4" width="13.75" customWidth="1"/>
    <col min="5" max="5" width="11.875" bestFit="1" customWidth="1"/>
    <col min="6" max="6" width="8.875" bestFit="1" customWidth="1"/>
    <col min="7" max="7" width="12.75" bestFit="1" customWidth="1"/>
    <col min="8" max="8" width="13.25" bestFit="1" customWidth="1"/>
    <col min="9" max="9" width="13.625" bestFit="1" customWidth="1"/>
    <col min="10" max="10" width="16" bestFit="1" customWidth="1"/>
    <col min="11" max="11" width="9.875" bestFit="1" customWidth="1"/>
    <col min="12" max="12" width="10" bestFit="1" customWidth="1"/>
    <col min="13" max="13" width="9.875" bestFit="1" customWidth="1"/>
    <col min="14" max="14" width="8" bestFit="1" customWidth="1"/>
    <col min="15" max="15" width="9.875" bestFit="1" customWidth="1"/>
    <col min="16" max="16" width="8.625" bestFit="1" customWidth="1"/>
    <col min="17" max="17" width="12.75" bestFit="1" customWidth="1"/>
    <col min="18" max="18" width="13.25" bestFit="1" customWidth="1"/>
    <col min="19" max="19" width="20.5" bestFit="1" customWidth="1"/>
    <col min="20" max="20" width="14.875" bestFit="1" customWidth="1"/>
    <col min="21" max="21" width="8.625" bestFit="1" customWidth="1"/>
    <col min="22" max="22" width="9.25" bestFit="1" customWidth="1"/>
    <col min="23" max="23" width="14.125" bestFit="1" customWidth="1"/>
    <col min="24" max="24" width="28.625" bestFit="1" customWidth="1"/>
    <col min="25" max="25" width="14.5" bestFit="1" customWidth="1"/>
    <col min="26" max="26" width="11.25" bestFit="1" customWidth="1"/>
    <col min="27" max="27" width="15" bestFit="1" customWidth="1"/>
    <col min="28" max="28" width="20.5" bestFit="1" customWidth="1"/>
    <col min="29" max="29" width="14.875" bestFit="1" customWidth="1"/>
    <col min="30" max="30" width="9.75" bestFit="1" customWidth="1"/>
    <col min="31" max="31" width="7.375" bestFit="1" customWidth="1"/>
    <col min="32" max="32" width="20.5" bestFit="1" customWidth="1"/>
    <col min="33" max="33" width="4.25" bestFit="1" customWidth="1"/>
    <col min="34" max="34" width="13" bestFit="1" customWidth="1"/>
    <col min="35" max="35" width="11.625" bestFit="1" customWidth="1"/>
    <col min="36" max="36" width="14.875" bestFit="1" customWidth="1"/>
    <col min="37" max="37" width="10.375" bestFit="1" customWidth="1"/>
    <col min="38" max="38" width="1.875" bestFit="1" customWidth="1"/>
    <col min="39" max="39" width="7.375" bestFit="1" customWidth="1"/>
    <col min="40" max="40" width="12.125" bestFit="1" customWidth="1"/>
    <col min="41" max="41" width="13.625" bestFit="1" customWidth="1"/>
    <col min="42" max="42" width="9.125" bestFit="1" customWidth="1"/>
    <col min="43" max="43" width="11.125" bestFit="1" customWidth="1"/>
    <col min="44" max="44" width="11" bestFit="1" customWidth="1"/>
  </cols>
  <sheetData>
    <row r="1" spans="1:38" ht="21" x14ac:dyDescent="0.25">
      <c r="A1" s="26" t="s">
        <v>3</v>
      </c>
      <c r="B1" s="26" t="s">
        <v>295</v>
      </c>
      <c r="C1" s="15" t="s">
        <v>419</v>
      </c>
      <c r="D1" s="15" t="s">
        <v>420</v>
      </c>
      <c r="E1" s="14" t="s">
        <v>322</v>
      </c>
      <c r="G1" s="15" t="s">
        <v>419</v>
      </c>
      <c r="H1" s="15" t="s">
        <v>420</v>
      </c>
      <c r="I1" s="29" t="s">
        <v>233</v>
      </c>
      <c r="J1" t="s">
        <v>461</v>
      </c>
      <c r="N1" t="s">
        <v>29</v>
      </c>
      <c r="O1" t="s">
        <v>29</v>
      </c>
      <c r="Q1" s="29" t="s">
        <v>233</v>
      </c>
      <c r="R1" t="s">
        <v>256</v>
      </c>
    </row>
    <row r="2" spans="1:38" x14ac:dyDescent="0.25">
      <c r="A2" s="161" t="s">
        <v>50</v>
      </c>
      <c r="B2" s="162" t="s">
        <v>300</v>
      </c>
      <c r="C2" t="str">
        <f>VLOOKUP(A2,'HBV ĐL HC'!E:S,14,0)</f>
        <v/>
      </c>
      <c r="D2" t="str">
        <f>VLOOKUP(A2,'HBV ĐL HC'!E:S,14,0)</f>
        <v/>
      </c>
      <c r="E2">
        <f>VLOOKUP(A2,'HBV ĐL HC'!E:AD,23,0)</f>
        <v>0</v>
      </c>
      <c r="G2">
        <v>4.53</v>
      </c>
      <c r="H2">
        <v>4.53</v>
      </c>
      <c r="I2" s="5" t="s">
        <v>486</v>
      </c>
      <c r="J2">
        <v>1</v>
      </c>
      <c r="N2" s="153">
        <v>9</v>
      </c>
      <c r="O2" s="153">
        <v>9</v>
      </c>
      <c r="Q2" s="5">
        <v>5</v>
      </c>
      <c r="R2">
        <v>2</v>
      </c>
    </row>
    <row r="3" spans="1:38" x14ac:dyDescent="0.25">
      <c r="A3" s="170" t="s">
        <v>60</v>
      </c>
      <c r="B3" s="173" t="s">
        <v>300</v>
      </c>
      <c r="C3">
        <f>VLOOKUP(A3,'HBV ĐL HC'!E:S,14,0)</f>
        <v>4.53</v>
      </c>
      <c r="D3">
        <f>VLOOKUP(A3,'HBV ĐL HC'!E:S,14,0)</f>
        <v>4.53</v>
      </c>
      <c r="E3">
        <f>VLOOKUP(A3,'HBV ĐL HC'!E:AD,23,0)</f>
        <v>0</v>
      </c>
      <c r="F3">
        <f>MIN(C2:C11)</f>
        <v>4.12</v>
      </c>
      <c r="G3">
        <v>4.7699999999999996</v>
      </c>
      <c r="H3">
        <v>4.7699999999999996</v>
      </c>
      <c r="I3" s="5" t="s">
        <v>487</v>
      </c>
      <c r="J3">
        <v>4</v>
      </c>
      <c r="N3" s="153">
        <v>9</v>
      </c>
      <c r="O3" s="153">
        <v>9</v>
      </c>
      <c r="Q3" s="5">
        <v>7</v>
      </c>
      <c r="R3">
        <v>2</v>
      </c>
      <c r="V3" t="s">
        <v>346</v>
      </c>
      <c r="W3" s="4" t="s">
        <v>344</v>
      </c>
      <c r="X3" s="85" t="str">
        <f>VLOOKUP(W14,'HBV ĐL HC'!$E:$BC,51,0)</f>
        <v>Sacace-Ý</v>
      </c>
      <c r="Y3" s="4" t="s">
        <v>354</v>
      </c>
      <c r="AH3" t="s">
        <v>346</v>
      </c>
      <c r="AI3" s="4" t="s">
        <v>344</v>
      </c>
      <c r="AJ3" s="85" t="str">
        <f>VLOOKUP(AI14,'HBV ĐL HC'!$E:$BC,51,0)</f>
        <v>Sacace-Ý</v>
      </c>
      <c r="AK3" s="4" t="s">
        <v>354</v>
      </c>
    </row>
    <row r="4" spans="1:38" x14ac:dyDescent="0.25">
      <c r="A4" s="176" t="s">
        <v>70</v>
      </c>
      <c r="B4" s="173" t="s">
        <v>300</v>
      </c>
      <c r="C4">
        <f>VLOOKUP(A4,'HBV ĐL HC'!E:S,14,0)</f>
        <v>4.7699999999999996</v>
      </c>
      <c r="D4">
        <f>VLOOKUP(A4,'HBV ĐL HC'!E:S,14,0)</f>
        <v>4.7699999999999996</v>
      </c>
      <c r="E4">
        <f>VLOOKUP(A4,'HBV ĐL HC'!E:AD,23,0)</f>
        <v>0</v>
      </c>
      <c r="F4">
        <f>MAX(C2:C11)</f>
        <v>4.8</v>
      </c>
      <c r="G4">
        <v>4.12</v>
      </c>
      <c r="H4">
        <v>4.12</v>
      </c>
      <c r="I4" s="5" t="s">
        <v>488</v>
      </c>
      <c r="J4">
        <v>7</v>
      </c>
      <c r="N4" s="153">
        <v>7</v>
      </c>
      <c r="O4" s="153">
        <v>7</v>
      </c>
      <c r="Q4" s="5">
        <v>8</v>
      </c>
      <c r="R4">
        <v>8</v>
      </c>
      <c r="V4" s="5" t="str">
        <f>I2</f>
        <v>3.4-3.7</v>
      </c>
      <c r="W4" s="5">
        <f>J2</f>
        <v>1</v>
      </c>
      <c r="X4" s="86">
        <f>COUNTIFS('HBV ĐL HC'!$BC:$BC,$X$3,'HBV ĐL HC'!$R:$R,"&gt;="&amp;W16,'HBV ĐL HC'!$R:$R,"&lt;"&amp;X16)</f>
        <v>0</v>
      </c>
      <c r="Y4" s="87">
        <f t="shared" ref="Y4:Y9" si="0">IF(AND($Z$5&gt;=W16,$Z$5&lt;X16),1.5,0)</f>
        <v>0</v>
      </c>
      <c r="AH4" s="5">
        <f>U2</f>
        <v>0</v>
      </c>
      <c r="AI4" s="5">
        <f>V2</f>
        <v>0</v>
      </c>
      <c r="AJ4" s="86">
        <f>COUNTIFS('HBV ĐL HC'!$BC:$BC,$X$3,'HBV ĐL HC'!$R:$R,"&gt;="&amp;AI16,'HBV ĐL HC'!$R:$R,"&lt;"&amp;AJ16)</f>
        <v>0</v>
      </c>
      <c r="AK4" s="87">
        <f t="shared" ref="AK4:AK9" si="1">IF(AND($Z$5&gt;=AI16,$Z$5&lt;AJ16),1.5,0)</f>
        <v>0</v>
      </c>
    </row>
    <row r="5" spans="1:38" x14ac:dyDescent="0.25">
      <c r="A5" s="177" t="s">
        <v>169</v>
      </c>
      <c r="B5" s="178" t="s">
        <v>300</v>
      </c>
      <c r="C5">
        <f>VLOOKUP(A5,'HBV ĐL HC'!E:S,14,0)</f>
        <v>4.12</v>
      </c>
      <c r="D5">
        <f>VLOOKUP(A5,'HBV ĐL HC'!E:S,14,0)</f>
        <v>4.12</v>
      </c>
      <c r="E5">
        <f>VLOOKUP(A5,'HBV ĐL HC'!E:AD,23,0)</f>
        <v>0</v>
      </c>
      <c r="G5">
        <v>4.3499999999999996</v>
      </c>
      <c r="H5">
        <v>4.3499999999999996</v>
      </c>
      <c r="I5" s="5" t="s">
        <v>489</v>
      </c>
      <c r="J5">
        <v>12</v>
      </c>
      <c r="N5" s="153">
        <v>9</v>
      </c>
      <c r="O5" s="153">
        <v>9</v>
      </c>
      <c r="Q5" s="5">
        <v>9</v>
      </c>
      <c r="R5">
        <v>20</v>
      </c>
      <c r="V5" s="5" t="str">
        <f t="shared" ref="V5:V9" si="2">I3</f>
        <v>3.7-4</v>
      </c>
      <c r="W5" s="5">
        <f t="shared" ref="W5:W9" si="3">J3</f>
        <v>4</v>
      </c>
      <c r="X5" s="86">
        <f>COUNTIFS('HBV ĐL HC'!$BC:$BC,$X$3,'HBV ĐL HC'!$R:$R,"&gt;="&amp;W17,'HBV ĐL HC'!$R:$R,"&lt;"&amp;X17)</f>
        <v>0</v>
      </c>
      <c r="Y5" s="87">
        <f t="shared" si="0"/>
        <v>0</v>
      </c>
      <c r="Z5">
        <f>VLOOKUP($W$14,'HBV ĐL HC'!$E:$S,14,0)</f>
        <v>4.53</v>
      </c>
      <c r="AH5" s="5">
        <f t="shared" ref="AH5:AH9" si="4">U3</f>
        <v>0</v>
      </c>
      <c r="AI5" s="5" t="str">
        <f t="shared" ref="AI5:AI9" si="5">V3</f>
        <v>QBL03</v>
      </c>
      <c r="AJ5" s="86">
        <f>COUNTIFS('HBV ĐL HC'!$BC:$BC,$X$3,'HBV ĐL HC'!$R:$R,"&gt;="&amp;AI17,'HBV ĐL HC'!$R:$R,"&lt;"&amp;AJ17)</f>
        <v>0</v>
      </c>
      <c r="AK5" s="87">
        <f t="shared" si="1"/>
        <v>0</v>
      </c>
      <c r="AL5">
        <f>VLOOKUP($W$14,'HBV ĐL HC'!$E:$S,14,0)</f>
        <v>4.53</v>
      </c>
    </row>
    <row r="6" spans="1:38" x14ac:dyDescent="0.25">
      <c r="A6" s="179" t="s">
        <v>178</v>
      </c>
      <c r="B6" s="173" t="s">
        <v>300</v>
      </c>
      <c r="C6">
        <f>VLOOKUP(A6,'HBV ĐL HC'!E:S,14,0)</f>
        <v>4.3499999999999996</v>
      </c>
      <c r="D6">
        <f>VLOOKUP(A6,'HBV ĐL HC'!E:S,14,0)</f>
        <v>4.3499999999999996</v>
      </c>
      <c r="E6">
        <f>VLOOKUP(A6,'HBV ĐL HC'!E:AD,23,0)</f>
        <v>0</v>
      </c>
      <c r="G6">
        <v>4.7300000000000004</v>
      </c>
      <c r="H6">
        <v>4.7300000000000004</v>
      </c>
      <c r="I6" s="5" t="s">
        <v>490</v>
      </c>
      <c r="J6">
        <v>7</v>
      </c>
      <c r="N6" s="153">
        <v>9</v>
      </c>
      <c r="O6" s="153">
        <v>9</v>
      </c>
      <c r="Q6" s="5" t="s">
        <v>234</v>
      </c>
      <c r="R6">
        <v>32</v>
      </c>
      <c r="V6" s="5" t="str">
        <f t="shared" si="2"/>
        <v>4-4.3</v>
      </c>
      <c r="W6" s="5">
        <f t="shared" si="3"/>
        <v>7</v>
      </c>
      <c r="X6" s="86">
        <f>COUNTIFS('HBV ĐL HC'!$BC:$BC,$X$3,'HBV ĐL HC'!$R:$R,"&gt;="&amp;W18,'HBV ĐL HC'!$R:$R,"&lt;"&amp;X18)</f>
        <v>1</v>
      </c>
      <c r="Y6" s="87">
        <f t="shared" si="0"/>
        <v>0</v>
      </c>
      <c r="AH6" s="5">
        <f t="shared" si="4"/>
        <v>0</v>
      </c>
      <c r="AI6" s="5" t="str">
        <f t="shared" si="5"/>
        <v>3.4-3.7</v>
      </c>
      <c r="AJ6" s="86">
        <f>COUNTIFS('HBV ĐL HC'!$BC:$BC,$X$3,'HBV ĐL HC'!$R:$R,"&gt;="&amp;AI18,'HBV ĐL HC'!$R:$R,"&lt;"&amp;AJ18)</f>
        <v>1</v>
      </c>
      <c r="AK6" s="87">
        <f t="shared" si="1"/>
        <v>0</v>
      </c>
    </row>
    <row r="7" spans="1:38" x14ac:dyDescent="0.25">
      <c r="A7" s="179" t="s">
        <v>189</v>
      </c>
      <c r="B7" s="173" t="s">
        <v>300</v>
      </c>
      <c r="C7">
        <f>VLOOKUP(A7,'HBV ĐL HC'!E:S,14,0)</f>
        <v>4.7300000000000004</v>
      </c>
      <c r="D7">
        <f>VLOOKUP(A7,'HBV ĐL HC'!E:S,14,0)</f>
        <v>4.7300000000000004</v>
      </c>
      <c r="E7">
        <f>VLOOKUP(A7,'HBV ĐL HC'!E:AD,23,0)</f>
        <v>0</v>
      </c>
      <c r="G7">
        <v>4.53</v>
      </c>
      <c r="H7">
        <v>4.53</v>
      </c>
      <c r="I7" s="5" t="s">
        <v>491</v>
      </c>
      <c r="J7">
        <v>1</v>
      </c>
      <c r="N7" s="153">
        <v>9</v>
      </c>
      <c r="O7" s="153">
        <v>9</v>
      </c>
      <c r="V7" s="5" t="str">
        <f t="shared" si="2"/>
        <v>4.3-4.6</v>
      </c>
      <c r="W7" s="5">
        <f t="shared" si="3"/>
        <v>12</v>
      </c>
      <c r="X7" s="86">
        <f>COUNTIFS('HBV ĐL HC'!$BC:$BC,$X$3,'HBV ĐL HC'!$R:$R,"&gt;="&amp;W19,'HBV ĐL HC'!$R:$R,"&lt;"&amp;X19)</f>
        <v>4</v>
      </c>
      <c r="Y7" s="87">
        <f t="shared" si="0"/>
        <v>1.5</v>
      </c>
      <c r="AH7" s="5">
        <f t="shared" si="4"/>
        <v>0</v>
      </c>
      <c r="AI7" s="5" t="str">
        <f t="shared" si="5"/>
        <v>3.7-4</v>
      </c>
      <c r="AJ7" s="86">
        <f>COUNTIFS('HBV ĐL HC'!$BC:$BC,$X$3,'HBV ĐL HC'!$R:$R,"&gt;="&amp;AI19,'HBV ĐL HC'!$R:$R,"&lt;"&amp;AJ19)</f>
        <v>4</v>
      </c>
      <c r="AK7" s="87">
        <f t="shared" si="1"/>
        <v>1.5</v>
      </c>
    </row>
    <row r="8" spans="1:38" x14ac:dyDescent="0.25">
      <c r="A8" s="179" t="s">
        <v>447</v>
      </c>
      <c r="B8" s="173" t="s">
        <v>300</v>
      </c>
      <c r="C8">
        <f>VLOOKUP(A8,'HBV ĐL HC'!E:S,14,0)</f>
        <v>4.53</v>
      </c>
      <c r="D8">
        <f>VLOOKUP(A8,'HBV ĐL HC'!E:S,14,0)</f>
        <v>4.53</v>
      </c>
      <c r="E8">
        <f>VLOOKUP(A8,'HBV ĐL HC'!E:AD,23,0)</f>
        <v>0</v>
      </c>
      <c r="G8">
        <v>4.8</v>
      </c>
      <c r="H8">
        <v>4.8</v>
      </c>
      <c r="I8" s="5" t="s">
        <v>234</v>
      </c>
      <c r="J8">
        <v>32</v>
      </c>
      <c r="N8" s="153">
        <v>8</v>
      </c>
      <c r="O8" s="153">
        <v>8</v>
      </c>
      <c r="V8" s="5" t="str">
        <f t="shared" si="2"/>
        <v>4.6-4.9</v>
      </c>
      <c r="W8" s="5">
        <f t="shared" si="3"/>
        <v>7</v>
      </c>
      <c r="X8" s="86">
        <f>COUNTIFS('HBV ĐL HC'!$BC:$BC,$X$3,'HBV ĐL HC'!$R:$R,"&gt;="&amp;W20,'HBV ĐL HC'!$R:$R,"&lt;"&amp;X20)</f>
        <v>3</v>
      </c>
      <c r="Y8" s="87">
        <f t="shared" si="0"/>
        <v>0</v>
      </c>
      <c r="AH8" s="5">
        <f t="shared" si="4"/>
        <v>0</v>
      </c>
      <c r="AI8" s="5" t="str">
        <f t="shared" si="5"/>
        <v>4-4.3</v>
      </c>
      <c r="AJ8" s="86">
        <f>COUNTIFS('HBV ĐL HC'!$BC:$BC,$X$3,'HBV ĐL HC'!$R:$R,"&gt;="&amp;AI20,'HBV ĐL HC'!$R:$R,"&lt;"&amp;AJ20)</f>
        <v>3</v>
      </c>
      <c r="AK8" s="87">
        <f t="shared" si="1"/>
        <v>0</v>
      </c>
    </row>
    <row r="9" spans="1:38" x14ac:dyDescent="0.25">
      <c r="A9" s="179" t="s">
        <v>212</v>
      </c>
      <c r="B9" s="173" t="s">
        <v>300</v>
      </c>
      <c r="C9">
        <f>VLOOKUP(A9,'HBV ĐL HC'!E:S,14,0)</f>
        <v>4.8</v>
      </c>
      <c r="D9">
        <f>VLOOKUP(A9,'HBV ĐL HC'!E:S,14,0)</f>
        <v>4.8</v>
      </c>
      <c r="E9">
        <f>VLOOKUP(A9,'HBV ĐL HC'!E:AD,23,0)</f>
        <v>0</v>
      </c>
      <c r="G9">
        <v>4.5599999999999996</v>
      </c>
      <c r="H9">
        <v>4.5599999999999996</v>
      </c>
      <c r="N9" s="153">
        <v>9</v>
      </c>
      <c r="O9" s="153">
        <v>9</v>
      </c>
      <c r="V9" s="5" t="str">
        <f t="shared" si="2"/>
        <v>5.8-6.1</v>
      </c>
      <c r="W9" s="5">
        <f t="shared" si="3"/>
        <v>1</v>
      </c>
      <c r="X9" s="86">
        <f>COUNTIFS('HBV ĐL HC'!$BC:$BC,$X$3,'HBV ĐL HC'!$R:$R,"&gt;="&amp;W21,'HBV ĐL HC'!$R:$R,"&lt;"&amp;X21)</f>
        <v>0</v>
      </c>
      <c r="Y9" s="87">
        <f t="shared" si="0"/>
        <v>0</v>
      </c>
      <c r="AH9" s="5">
        <f t="shared" si="4"/>
        <v>0</v>
      </c>
      <c r="AI9" s="5" t="str">
        <f t="shared" si="5"/>
        <v>4.3-4.6</v>
      </c>
      <c r="AJ9" s="86">
        <f>COUNTIFS('HBV ĐL HC'!$BC:$BC,$X$3,'HBV ĐL HC'!$R:$R,"&gt;="&amp;AI21,'HBV ĐL HC'!$R:$R,"&lt;"&amp;AJ21)</f>
        <v>0</v>
      </c>
      <c r="AK9" s="87">
        <f t="shared" si="1"/>
        <v>0</v>
      </c>
    </row>
    <row r="10" spans="1:38" x14ac:dyDescent="0.25">
      <c r="A10" s="179" t="s">
        <v>218</v>
      </c>
      <c r="B10" s="173" t="s">
        <v>300</v>
      </c>
      <c r="C10">
        <f>VLOOKUP(A10,'HBV ĐL HC'!E:S,14,0)</f>
        <v>4.5599999999999996</v>
      </c>
      <c r="D10">
        <f>VLOOKUP(A10,'HBV ĐL HC'!E:S,14,0)</f>
        <v>4.5599999999999996</v>
      </c>
      <c r="E10">
        <f>VLOOKUP(A10,'HBV ĐL HC'!E:AD,23,0)</f>
        <v>0</v>
      </c>
      <c r="G10">
        <v>4.55</v>
      </c>
      <c r="H10">
        <v>4.55</v>
      </c>
      <c r="N10" s="153">
        <v>9</v>
      </c>
      <c r="O10" s="153">
        <v>9</v>
      </c>
      <c r="V10" s="5"/>
      <c r="W10" s="5"/>
      <c r="X10" s="86"/>
      <c r="Y10" s="87"/>
      <c r="AH10" s="5"/>
      <c r="AI10" s="5"/>
      <c r="AJ10" s="86"/>
      <c r="AK10" s="87"/>
    </row>
    <row r="11" spans="1:38" x14ac:dyDescent="0.25">
      <c r="A11" s="179" t="s">
        <v>448</v>
      </c>
      <c r="B11" s="173" t="s">
        <v>300</v>
      </c>
      <c r="C11" t="str">
        <f>VLOOKUP(A11,'HBV ĐL HC'!E:S,14,0)</f>
        <v/>
      </c>
      <c r="D11" t="str">
        <f>VLOOKUP(A11,'HBV ĐL HC'!E:S,14,0)</f>
        <v/>
      </c>
      <c r="E11">
        <f>VLOOKUP(A11,'HBV ĐL HC'!E:AD,23,0)</f>
        <v>0</v>
      </c>
      <c r="G11">
        <v>4.57</v>
      </c>
      <c r="H11">
        <v>4.57</v>
      </c>
      <c r="N11" s="153">
        <v>9</v>
      </c>
      <c r="O11" s="153">
        <v>9</v>
      </c>
      <c r="V11" s="88"/>
      <c r="AH11" s="88"/>
    </row>
    <row r="12" spans="1:38" x14ac:dyDescent="0.25">
      <c r="A12" s="185" t="s">
        <v>413</v>
      </c>
      <c r="B12" s="189" t="s">
        <v>296</v>
      </c>
      <c r="C12">
        <f>VLOOKUP(A12,'HBV ĐL HC'!E:S,14,0)</f>
        <v>4.55</v>
      </c>
      <c r="D12">
        <f>VLOOKUP(A12,'HBV ĐL HC'!E:S,14,0)</f>
        <v>4.55</v>
      </c>
      <c r="E12">
        <f>VLOOKUP(A12,'HBV ĐL HC'!E:AD,23,0)</f>
        <v>0</v>
      </c>
      <c r="F12">
        <f>MIN(C12:C18)</f>
        <v>4.3099999999999996</v>
      </c>
      <c r="G12">
        <v>4.3099999999999996</v>
      </c>
      <c r="H12">
        <v>4.3099999999999996</v>
      </c>
      <c r="N12" s="153">
        <v>8</v>
      </c>
      <c r="O12" s="153">
        <v>8</v>
      </c>
    </row>
    <row r="13" spans="1:38" x14ac:dyDescent="0.25">
      <c r="A13" s="185" t="s">
        <v>410</v>
      </c>
      <c r="B13" s="189" t="s">
        <v>296</v>
      </c>
      <c r="C13">
        <f>VLOOKUP(A13,'HBV ĐL HC'!E:S,14,0)</f>
        <v>4.57</v>
      </c>
      <c r="D13">
        <f>VLOOKUP(A13,'HBV ĐL HC'!E:S,14,0)</f>
        <v>4.57</v>
      </c>
      <c r="E13">
        <f>VLOOKUP(A13,'HBV ĐL HC'!E:AD,23,0)</f>
        <v>0</v>
      </c>
      <c r="F13">
        <f>MAX(C12:C18)</f>
        <v>4.68</v>
      </c>
      <c r="G13">
        <v>4.68</v>
      </c>
      <c r="H13">
        <v>4.68</v>
      </c>
      <c r="N13" s="153">
        <v>9</v>
      </c>
      <c r="O13" s="153">
        <v>9</v>
      </c>
    </row>
    <row r="14" spans="1:38" x14ac:dyDescent="0.25">
      <c r="A14" s="188" t="s">
        <v>105</v>
      </c>
      <c r="B14" s="190" t="s">
        <v>296</v>
      </c>
      <c r="C14">
        <f>VLOOKUP(A14,'HBV ĐL HC'!E:S,14,0)</f>
        <v>4.3099999999999996</v>
      </c>
      <c r="D14">
        <f>VLOOKUP(A14,'HBV ĐL HC'!E:S,14,0)</f>
        <v>4.3099999999999996</v>
      </c>
      <c r="E14">
        <f>VLOOKUP(A14,'HBV ĐL HC'!E:AD,23,0)</f>
        <v>0</v>
      </c>
      <c r="G14">
        <v>4.38</v>
      </c>
      <c r="H14">
        <v>4.38</v>
      </c>
      <c r="N14" s="153">
        <v>8</v>
      </c>
      <c r="O14" s="153">
        <v>8</v>
      </c>
      <c r="W14" s="150" t="str">
        <f>'HBV ĐL HC'!$BN$2</f>
        <v>QBL020</v>
      </c>
      <c r="AI14" s="150" t="str">
        <f>'HBV ĐL HC'!$BN$2</f>
        <v>QBL020</v>
      </c>
    </row>
    <row r="15" spans="1:38" x14ac:dyDescent="0.25">
      <c r="A15" s="188" t="s">
        <v>109</v>
      </c>
      <c r="B15" s="190" t="s">
        <v>296</v>
      </c>
      <c r="C15" t="str">
        <f>VLOOKUP(A15,'HBV ĐL HC'!E:S,14,0)</f>
        <v/>
      </c>
      <c r="D15" t="str">
        <f>VLOOKUP(A15,'HBV ĐL HC'!E:S,14,0)</f>
        <v/>
      </c>
      <c r="E15">
        <f>VLOOKUP(A15,'HBV ĐL HC'!E:AD,23,0)</f>
        <v>0</v>
      </c>
      <c r="G15">
        <v>5.97</v>
      </c>
      <c r="H15">
        <v>5.97</v>
      </c>
      <c r="N15" s="153">
        <v>5</v>
      </c>
      <c r="O15" s="153">
        <v>5</v>
      </c>
    </row>
    <row r="16" spans="1:38" x14ac:dyDescent="0.25">
      <c r="A16" s="193" t="s">
        <v>124</v>
      </c>
      <c r="B16" s="194" t="s">
        <v>296</v>
      </c>
      <c r="C16">
        <f>VLOOKUP(A16,'HBV ĐL HC'!E:S,14,0)</f>
        <v>4.68</v>
      </c>
      <c r="D16">
        <f>VLOOKUP(A16,'HBV ĐL HC'!E:S,14,0)</f>
        <v>4.68</v>
      </c>
      <c r="E16">
        <f>VLOOKUP(A16,'HBV ĐL HC'!E:AD,23,0)</f>
        <v>0</v>
      </c>
      <c r="G16">
        <v>4.6399999999999997</v>
      </c>
      <c r="H16">
        <v>4.6399999999999997</v>
      </c>
      <c r="N16" s="153">
        <v>9</v>
      </c>
      <c r="O16" s="153">
        <v>9</v>
      </c>
      <c r="V16" s="5" t="s">
        <v>486</v>
      </c>
      <c r="W16">
        <v>3.4</v>
      </c>
      <c r="X16">
        <v>3.7</v>
      </c>
      <c r="AH16" s="5" t="s">
        <v>486</v>
      </c>
      <c r="AI16">
        <v>3.4</v>
      </c>
      <c r="AJ16">
        <v>3.7</v>
      </c>
    </row>
    <row r="17" spans="1:38" x14ac:dyDescent="0.25">
      <c r="A17" s="185" t="s">
        <v>132</v>
      </c>
      <c r="B17" s="276" t="s">
        <v>296</v>
      </c>
      <c r="C17">
        <f>VLOOKUP(A17,'HBV ĐL HC'!E:S,14,0)</f>
        <v>4.38</v>
      </c>
      <c r="D17">
        <f>VLOOKUP(A17,'HBV ĐL HC'!E:S,14,0)</f>
        <v>4.38</v>
      </c>
      <c r="E17">
        <f>VLOOKUP(A17,'HBV ĐL HC'!E:AD,23,0)</f>
        <v>0</v>
      </c>
      <c r="G17">
        <v>4.0999999999999996</v>
      </c>
      <c r="H17">
        <v>4.0999999999999996</v>
      </c>
      <c r="N17">
        <v>9</v>
      </c>
      <c r="O17">
        <v>9</v>
      </c>
      <c r="V17" s="5" t="s">
        <v>487</v>
      </c>
      <c r="W17">
        <v>3.7</v>
      </c>
      <c r="X17">
        <v>4</v>
      </c>
      <c r="AH17" s="5" t="s">
        <v>487</v>
      </c>
      <c r="AI17">
        <v>3.7</v>
      </c>
      <c r="AJ17">
        <v>4</v>
      </c>
    </row>
    <row r="18" spans="1:38" x14ac:dyDescent="0.25">
      <c r="A18" s="185" t="s">
        <v>457</v>
      </c>
      <c r="B18" s="276" t="s">
        <v>296</v>
      </c>
      <c r="C18" t="str">
        <f>VLOOKUP(A18,'HBV ĐL HC'!E:S,14,0)</f>
        <v/>
      </c>
      <c r="D18" t="str">
        <f>VLOOKUP(A18,'HBV ĐL HC'!E:S,14,0)</f>
        <v/>
      </c>
      <c r="E18">
        <f>VLOOKUP(A18,'HBV ĐL HC'!E:AD,23,0)</f>
        <v>0</v>
      </c>
      <c r="G18">
        <v>4.32</v>
      </c>
      <c r="H18">
        <v>4.32</v>
      </c>
      <c r="N18">
        <v>9</v>
      </c>
      <c r="O18">
        <v>9</v>
      </c>
      <c r="V18" s="5" t="s">
        <v>488</v>
      </c>
      <c r="W18">
        <v>4</v>
      </c>
      <c r="X18">
        <v>4.3</v>
      </c>
      <c r="AH18" s="5" t="s">
        <v>488</v>
      </c>
      <c r="AI18">
        <v>4</v>
      </c>
      <c r="AJ18">
        <v>4.3</v>
      </c>
    </row>
    <row r="19" spans="1:38" x14ac:dyDescent="0.25">
      <c r="A19" s="198" t="s">
        <v>138</v>
      </c>
      <c r="B19" s="201" t="s">
        <v>299</v>
      </c>
      <c r="C19">
        <f>VLOOKUP(A19,'HBV ĐL HC'!E:S,14,0)</f>
        <v>5.97</v>
      </c>
      <c r="D19">
        <f>VLOOKUP(A19,'HBV ĐL HC'!E:S,14,0)</f>
        <v>5.97</v>
      </c>
      <c r="E19">
        <f>VLOOKUP(A19,'HBV ĐL HC'!E:AD,23,0)</f>
        <v>0</v>
      </c>
      <c r="G19">
        <v>4.68</v>
      </c>
      <c r="H19">
        <v>4.68</v>
      </c>
      <c r="N19">
        <v>9</v>
      </c>
      <c r="O19">
        <v>9</v>
      </c>
      <c r="V19" s="5" t="s">
        <v>489</v>
      </c>
      <c r="W19">
        <v>4.3</v>
      </c>
      <c r="X19">
        <v>4.5999999999999996</v>
      </c>
      <c r="AH19" s="5" t="s">
        <v>489</v>
      </c>
      <c r="AI19">
        <v>4.3</v>
      </c>
      <c r="AJ19">
        <v>4.5999999999999996</v>
      </c>
    </row>
    <row r="20" spans="1:38" x14ac:dyDescent="0.25">
      <c r="A20" s="204" t="s">
        <v>147</v>
      </c>
      <c r="B20" s="201" t="s">
        <v>299</v>
      </c>
      <c r="C20">
        <f>VLOOKUP(A20,'HBV ĐL HC'!E:S,14,0)</f>
        <v>4.6399999999999997</v>
      </c>
      <c r="D20">
        <f>VLOOKUP(A20,'HBV ĐL HC'!E:S,14,0)</f>
        <v>4.6399999999999997</v>
      </c>
      <c r="E20">
        <f>VLOOKUP(A20,'HBV ĐL HC'!E:AD,23,0)</f>
        <v>0</v>
      </c>
      <c r="F20">
        <f>MIN(C19:C23)</f>
        <v>4.0999999999999996</v>
      </c>
      <c r="G20">
        <v>3.96</v>
      </c>
      <c r="H20">
        <v>3.96</v>
      </c>
      <c r="N20">
        <v>9</v>
      </c>
      <c r="O20">
        <v>9</v>
      </c>
      <c r="V20" s="5" t="s">
        <v>490</v>
      </c>
      <c r="W20">
        <v>4.5999999999999996</v>
      </c>
      <c r="X20">
        <v>4.9000000000000004</v>
      </c>
      <c r="AH20" s="5" t="s">
        <v>490</v>
      </c>
      <c r="AI20">
        <v>4.5999999999999996</v>
      </c>
      <c r="AJ20">
        <v>4.9000000000000004</v>
      </c>
    </row>
    <row r="21" spans="1:38" x14ac:dyDescent="0.25">
      <c r="A21" s="279" t="s">
        <v>92</v>
      </c>
      <c r="B21" s="280" t="s">
        <v>299</v>
      </c>
      <c r="C21">
        <f>VLOOKUP(A21,'HBV ĐL HC'!E:S,14,0)</f>
        <v>4.0999999999999996</v>
      </c>
      <c r="D21">
        <f>VLOOKUP(A21,'HBV ĐL HC'!E:S,14,0)</f>
        <v>4.0999999999999996</v>
      </c>
      <c r="E21">
        <f>VLOOKUP(A21,'HBV ĐL HC'!E:AD,23,0)</f>
        <v>0</v>
      </c>
      <c r="F21">
        <f>MAX(C19:C23)</f>
        <v>5.97</v>
      </c>
      <c r="G21">
        <v>3.85</v>
      </c>
      <c r="H21">
        <v>3.85</v>
      </c>
      <c r="N21">
        <v>8</v>
      </c>
      <c r="O21">
        <v>8</v>
      </c>
      <c r="V21" s="5" t="s">
        <v>491</v>
      </c>
      <c r="W21">
        <v>5.8</v>
      </c>
      <c r="X21">
        <v>6.1</v>
      </c>
      <c r="AH21" s="5" t="s">
        <v>491</v>
      </c>
      <c r="AI21">
        <v>5.8</v>
      </c>
      <c r="AJ21">
        <v>6.1</v>
      </c>
    </row>
    <row r="22" spans="1:38" x14ac:dyDescent="0.25">
      <c r="A22" s="204" t="s">
        <v>403</v>
      </c>
      <c r="B22" s="287" t="s">
        <v>299</v>
      </c>
      <c r="C22">
        <f>VLOOKUP(A22,'HBV ĐL HC'!E:S,14,0)</f>
        <v>4.32</v>
      </c>
      <c r="D22">
        <f>VLOOKUP(A22,'HBV ĐL HC'!E:S,14,0)</f>
        <v>4.32</v>
      </c>
      <c r="E22">
        <f>VLOOKUP(A22,'HBV ĐL HC'!E:AD,23,0)</f>
        <v>0</v>
      </c>
      <c r="G22">
        <v>4.2699999999999996</v>
      </c>
      <c r="H22">
        <v>4.2699999999999996</v>
      </c>
      <c r="N22">
        <v>9</v>
      </c>
      <c r="O22">
        <v>9</v>
      </c>
      <c r="U22" s="5"/>
    </row>
    <row r="23" spans="1:38" x14ac:dyDescent="0.25">
      <c r="A23" s="198" t="s">
        <v>209</v>
      </c>
      <c r="B23" s="201" t="s">
        <v>299</v>
      </c>
      <c r="C23">
        <f>VLOOKUP(A23,'HBV ĐL HC'!E:S,14,0)</f>
        <v>4.68</v>
      </c>
      <c r="D23">
        <f>VLOOKUP(A23,'HBV ĐL HC'!E:S,14,0)</f>
        <v>4.68</v>
      </c>
      <c r="E23">
        <f>VLOOKUP(A23,'HBV ĐL HC'!E:AD,23,0)</f>
        <v>0</v>
      </c>
      <c r="G23">
        <v>3.75</v>
      </c>
      <c r="H23">
        <v>3.75</v>
      </c>
      <c r="N23">
        <v>8</v>
      </c>
      <c r="O23">
        <v>8</v>
      </c>
    </row>
    <row r="24" spans="1:38" ht="31.5" x14ac:dyDescent="0.25">
      <c r="A24" s="208" t="s">
        <v>196</v>
      </c>
      <c r="B24" s="7" t="s">
        <v>297</v>
      </c>
      <c r="C24">
        <f>VLOOKUP(A24,'HBV ĐL HC'!E:S,14,0)</f>
        <v>3.96</v>
      </c>
      <c r="D24">
        <f>VLOOKUP(A24,'HBV ĐL HC'!E:S,14,0)</f>
        <v>3.96</v>
      </c>
      <c r="E24">
        <f>VLOOKUP(A24,'HBV ĐL HC'!E:AD,23,0)</f>
        <v>0</v>
      </c>
      <c r="G24">
        <v>4.51</v>
      </c>
      <c r="H24">
        <v>4.51</v>
      </c>
      <c r="N24">
        <v>8</v>
      </c>
      <c r="O24">
        <v>8</v>
      </c>
    </row>
    <row r="25" spans="1:38" ht="31.5" x14ac:dyDescent="0.25">
      <c r="A25" s="213" t="s">
        <v>412</v>
      </c>
      <c r="B25" s="210" t="s">
        <v>297</v>
      </c>
      <c r="C25">
        <f>VLOOKUP(A25,'HBV ĐL HC'!E:S,14,0)</f>
        <v>3.85</v>
      </c>
      <c r="D25">
        <f>VLOOKUP(A25,'HBV ĐL HC'!E:S,14,0)</f>
        <v>3.85</v>
      </c>
      <c r="E25">
        <f>VLOOKUP(A25,'HBV ĐL HC'!E:AD,23,0)</f>
        <v>0</v>
      </c>
      <c r="F25">
        <f>MIN(C24:C28)</f>
        <v>3.75</v>
      </c>
      <c r="G25">
        <v>4.7300000000000004</v>
      </c>
      <c r="H25">
        <v>4.7300000000000004</v>
      </c>
      <c r="N25">
        <v>9</v>
      </c>
      <c r="O25">
        <v>9</v>
      </c>
      <c r="V25" t="s">
        <v>346</v>
      </c>
      <c r="W25" s="4" t="s">
        <v>344</v>
      </c>
      <c r="X25" s="85" t="str">
        <f>VLOOKUP(W35,'HBV ĐL HC'!$E:$BC,51,0)</f>
        <v>Sacace-Ý</v>
      </c>
      <c r="Y25" s="4" t="s">
        <v>354</v>
      </c>
      <c r="AH25" t="s">
        <v>343</v>
      </c>
      <c r="AI25" s="4" t="s">
        <v>344</v>
      </c>
      <c r="AJ25" s="85">
        <f>VLOOKUP($W$67,'HBV ĐL HC'!$E:$BC,45,0)</f>
        <v>0</v>
      </c>
      <c r="AK25" s="4" t="s">
        <v>345</v>
      </c>
    </row>
    <row r="26" spans="1:38" ht="31.5" x14ac:dyDescent="0.25">
      <c r="A26" s="213" t="s">
        <v>118</v>
      </c>
      <c r="B26" s="7" t="s">
        <v>297</v>
      </c>
      <c r="C26">
        <f>VLOOKUP(A26,'HBV ĐL HC'!E:S,14,0)</f>
        <v>4.2699999999999996</v>
      </c>
      <c r="D26">
        <f>VLOOKUP(A26,'HBV ĐL HC'!E:S,14,0)</f>
        <v>4.2699999999999996</v>
      </c>
      <c r="E26">
        <f>VLOOKUP(A26,'HBV ĐL HC'!E:AD,23,0)</f>
        <v>0</v>
      </c>
      <c r="F26">
        <f>MAX(C24:C28)</f>
        <v>4.51</v>
      </c>
      <c r="G26">
        <v>3.4</v>
      </c>
      <c r="H26">
        <v>3.4</v>
      </c>
      <c r="N26">
        <v>5</v>
      </c>
      <c r="O26">
        <v>5</v>
      </c>
      <c r="V26" s="5" t="str">
        <f>I47</f>
        <v>3.53-3.88</v>
      </c>
      <c r="W26" s="5">
        <f>J47</f>
        <v>2</v>
      </c>
      <c r="X26" s="86">
        <f>COUNTIFS('HBV ĐL HC'!$BC:$BC,$X$25,'HBV ĐL HC'!$S:$S,"&gt;="&amp;W37,'HBV ĐL HC'!$S:$S,"&lt;"&amp;X37)</f>
        <v>0</v>
      </c>
      <c r="Y26" s="87">
        <f t="shared" ref="Y26:Y31" si="6">IF(AND($Z$27&gt;=W37,$Z$27&lt;X37),1.5,0)</f>
        <v>0</v>
      </c>
      <c r="AH26" s="5" t="e">
        <f>#REF!</f>
        <v>#REF!</v>
      </c>
      <c r="AI26" s="5" t="e">
        <f>#REF!</f>
        <v>#REF!</v>
      </c>
      <c r="AJ26" s="86">
        <f>COUNTIFS('HBV ĐL HC'!$BC:$BC,$X$56,'HBV ĐL HC'!$R:$R,"&gt;="&amp;AH38,'HBV ĐL HC'!$R:$R,"&lt;"&amp;AI38)</f>
        <v>0</v>
      </c>
      <c r="AK26" s="87">
        <f t="shared" ref="AK26:AK32" si="7">IF(AND($Z$58&gt;=AH38,$Z$58&lt;AI38),1,0)</f>
        <v>0</v>
      </c>
    </row>
    <row r="27" spans="1:38" ht="15.75" customHeight="1" x14ac:dyDescent="0.25">
      <c r="A27" s="266" t="s">
        <v>331</v>
      </c>
      <c r="B27" s="7" t="s">
        <v>297</v>
      </c>
      <c r="C27">
        <f>VLOOKUP(A27,'HBV ĐL HC'!E:S,14,0)</f>
        <v>3.75</v>
      </c>
      <c r="D27">
        <f>VLOOKUP(A27,'HBV ĐL HC'!E:S,14,0)</f>
        <v>3.75</v>
      </c>
      <c r="E27">
        <f>VLOOKUP(A27,'HBV ĐL HC'!E:AD,23,0)</f>
        <v>0</v>
      </c>
      <c r="G27">
        <v>4.03</v>
      </c>
      <c r="H27">
        <v>4.03</v>
      </c>
      <c r="N27">
        <v>8</v>
      </c>
      <c r="O27">
        <v>8</v>
      </c>
      <c r="V27" s="5" t="str">
        <f t="shared" ref="V27:W27" si="8">I48</f>
        <v>3.88-4.23</v>
      </c>
      <c r="W27" s="5">
        <f t="shared" si="8"/>
        <v>4</v>
      </c>
      <c r="X27" s="86">
        <f>COUNTIFS('HBV ĐL HC'!$BC:$BC,$X$25,'HBV ĐL HC'!$S:$S,"&gt;="&amp;W38,'HBV ĐL HC'!$S:$S,"&lt;"&amp;X38)</f>
        <v>0</v>
      </c>
      <c r="Y27" s="87">
        <f t="shared" si="6"/>
        <v>0</v>
      </c>
      <c r="Z27">
        <f>VLOOKUP($W$35,'HBV ĐL HC'!$E:$T,15,0)</f>
        <v>4.5599999999999996</v>
      </c>
      <c r="AH27" s="5">
        <f>$G$2</f>
        <v>4.53</v>
      </c>
      <c r="AI27" s="5">
        <f>$H$2</f>
        <v>4.53</v>
      </c>
      <c r="AJ27" s="86">
        <f>COUNTIFS('HBV ĐL HC'!$BC:$BC,$X$56,'HBV ĐL HC'!$R:$R,"&gt;="&amp;AH39,'HBV ĐL HC'!$R:$R,"&lt;"&amp;AI39)</f>
        <v>0</v>
      </c>
      <c r="AK27" s="87">
        <f t="shared" si="7"/>
        <v>0</v>
      </c>
      <c r="AL27" t="str">
        <f>VLOOKUP($W$67,'HBV ĐL HC'!$E:$R,8,0)</f>
        <v>30/10/2023</v>
      </c>
    </row>
    <row r="28" spans="1:38" ht="31.5" x14ac:dyDescent="0.25">
      <c r="A28" s="266" t="s">
        <v>408</v>
      </c>
      <c r="B28" s="7" t="s">
        <v>297</v>
      </c>
      <c r="C28">
        <f>VLOOKUP(A28,'HBV ĐL HC'!E:S,14,0)</f>
        <v>4.51</v>
      </c>
      <c r="D28">
        <f>VLOOKUP(A28,'HBV ĐL HC'!E:S,14,0)</f>
        <v>4.51</v>
      </c>
      <c r="E28">
        <f>VLOOKUP(A28,'HBV ĐL HC'!E:AD,23,0)</f>
        <v>0</v>
      </c>
      <c r="G28">
        <v>4.17</v>
      </c>
      <c r="H28">
        <v>4.17</v>
      </c>
      <c r="N28">
        <v>8</v>
      </c>
      <c r="O28">
        <v>8</v>
      </c>
      <c r="V28" s="5" t="str">
        <f t="shared" ref="V28:W28" si="9">I49</f>
        <v>4.23-4.58</v>
      </c>
      <c r="W28" s="5">
        <f t="shared" si="9"/>
        <v>11</v>
      </c>
      <c r="X28" s="86">
        <f>COUNTIFS('HBV ĐL HC'!$BC:$BC,$X$25,'HBV ĐL HC'!$S:$S,"&gt;="&amp;W39,'HBV ĐL HC'!$S:$S,"&lt;"&amp;X39)</f>
        <v>3</v>
      </c>
      <c r="Y28" s="87">
        <f t="shared" si="6"/>
        <v>1.5</v>
      </c>
      <c r="AH28" s="5">
        <f>$G$3</f>
        <v>4.7699999999999996</v>
      </c>
      <c r="AI28" s="5">
        <f>$H$3</f>
        <v>4.7699999999999996</v>
      </c>
      <c r="AJ28" s="86">
        <f>COUNTIFS('HBV ĐL HC'!$BC:$BC,$X$56,'HBV ĐL HC'!$R:$R,"&gt;="&amp;AH40,'HBV ĐL HC'!$R:$R,"&lt;"&amp;AI40)</f>
        <v>0</v>
      </c>
      <c r="AK28" s="87">
        <f t="shared" si="7"/>
        <v>0</v>
      </c>
    </row>
    <row r="29" spans="1:38" x14ac:dyDescent="0.25">
      <c r="A29" s="218" t="s">
        <v>156</v>
      </c>
      <c r="B29" s="220" t="s">
        <v>298</v>
      </c>
      <c r="C29">
        <f>VLOOKUP(A29,'HBV ĐL HC'!E:S,14,0)</f>
        <v>4.7300000000000004</v>
      </c>
      <c r="D29">
        <f>VLOOKUP(A29,'HBV ĐL HC'!E:S,14,0)</f>
        <v>4.7300000000000004</v>
      </c>
      <c r="E29">
        <f>VLOOKUP(A29,'HBV ĐL HC'!E:AD,23,0)</f>
        <v>0</v>
      </c>
      <c r="G29">
        <v>4.22</v>
      </c>
      <c r="H29">
        <v>4.22</v>
      </c>
      <c r="N29">
        <v>9</v>
      </c>
      <c r="O29">
        <v>9</v>
      </c>
      <c r="V29" s="5" t="str">
        <f t="shared" ref="V29:W29" si="10">I50</f>
        <v>4.58-4.93</v>
      </c>
      <c r="W29" s="5">
        <f t="shared" si="10"/>
        <v>12</v>
      </c>
      <c r="X29" s="86">
        <f>COUNTIFS('HBV ĐL HC'!$BC:$BC,$X$25,'HBV ĐL HC'!$S:$S,"&gt;="&amp;W40,'HBV ĐL HC'!$S:$S,"&lt;"&amp;X40)</f>
        <v>4</v>
      </c>
      <c r="Y29" s="87">
        <f t="shared" si="6"/>
        <v>0</v>
      </c>
      <c r="AH29" s="5">
        <f>$G$4</f>
        <v>4.12</v>
      </c>
      <c r="AI29" s="5">
        <f>$H$4</f>
        <v>4.12</v>
      </c>
      <c r="AJ29" s="86">
        <f>COUNTIFS('HBV ĐL HC'!$BC:$BC,$X$56,'HBV ĐL HC'!$R:$R,"&gt;="&amp;AH41,'HBV ĐL HC'!$R:$R,"&lt;"&amp;AI41)</f>
        <v>0</v>
      </c>
      <c r="AK29" s="87">
        <f t="shared" si="7"/>
        <v>0</v>
      </c>
    </row>
    <row r="30" spans="1:38" x14ac:dyDescent="0.25">
      <c r="A30" s="218" t="s">
        <v>161</v>
      </c>
      <c r="B30" s="220" t="s">
        <v>298</v>
      </c>
      <c r="C30">
        <f>VLOOKUP(A30,'HBV ĐL HC'!E:S,14,0)</f>
        <v>3.4</v>
      </c>
      <c r="D30">
        <f>VLOOKUP(A30,'HBV ĐL HC'!E:S,14,0)</f>
        <v>3.4</v>
      </c>
      <c r="E30">
        <f>VLOOKUP(A30,'HBV ĐL HC'!E:AD,23,0)</f>
        <v>0</v>
      </c>
      <c r="G30">
        <v>4.32</v>
      </c>
      <c r="H30">
        <v>4.32</v>
      </c>
      <c r="N30">
        <v>9</v>
      </c>
      <c r="O30">
        <v>9</v>
      </c>
      <c r="V30" s="5" t="str">
        <f t="shared" ref="V30:W30" si="11">I51</f>
        <v>4.93-5.28</v>
      </c>
      <c r="W30" s="5">
        <f t="shared" si="11"/>
        <v>2</v>
      </c>
      <c r="X30" s="86">
        <f>COUNTIFS('HBV ĐL HC'!$BC:$BC,$X$25,'HBV ĐL HC'!$S:$S,"&gt;="&amp;W41,'HBV ĐL HC'!$S:$S,"&lt;"&amp;X41)</f>
        <v>1</v>
      </c>
      <c r="Y30" s="87">
        <f t="shared" si="6"/>
        <v>0</v>
      </c>
      <c r="AH30" s="5">
        <f>$G$5</f>
        <v>4.3499999999999996</v>
      </c>
      <c r="AI30" s="5">
        <f>$H$5</f>
        <v>4.3499999999999996</v>
      </c>
      <c r="AJ30" s="86">
        <f>COUNTIFS('HBV ĐL HC'!$BC:$BC,$X$56,'HBV ĐL HC'!$R:$R,"&gt;="&amp;AH42,'HBV ĐL HC'!$R:$R,"&lt;"&amp;AI42)</f>
        <v>0</v>
      </c>
      <c r="AK30" s="87">
        <f t="shared" si="7"/>
        <v>0</v>
      </c>
    </row>
    <row r="31" spans="1:38" x14ac:dyDescent="0.25">
      <c r="A31" s="223" t="s">
        <v>341</v>
      </c>
      <c r="B31" s="222" t="s">
        <v>377</v>
      </c>
      <c r="C31">
        <f>VLOOKUP(A31,'HBV ĐL HC'!E:S,14,0)</f>
        <v>4.03</v>
      </c>
      <c r="D31">
        <f>VLOOKUP(A31,'HBV ĐL HC'!E:S,14,0)</f>
        <v>4.03</v>
      </c>
      <c r="E31">
        <f>VLOOKUP(A31,'HBV ĐL HC'!E:AD,23,0)</f>
        <v>0</v>
      </c>
      <c r="G31">
        <v>4.1500000000000004</v>
      </c>
      <c r="H31">
        <v>4.1500000000000004</v>
      </c>
      <c r="N31">
        <v>9</v>
      </c>
      <c r="O31">
        <v>9</v>
      </c>
      <c r="V31" s="5" t="str">
        <f t="shared" ref="V31:W31" si="12">I52</f>
        <v>5.63-5.98</v>
      </c>
      <c r="W31" s="5">
        <f t="shared" si="12"/>
        <v>1</v>
      </c>
      <c r="X31" s="86">
        <f>COUNTIFS('HBV ĐL HC'!$BC:$BC,$X$25,'HBV ĐL HC'!$S:$S,"&gt;="&amp;W42,'HBV ĐL HC'!$S:$S,"&lt;"&amp;X42)</f>
        <v>0</v>
      </c>
      <c r="Y31" s="87">
        <f t="shared" si="6"/>
        <v>0</v>
      </c>
      <c r="AH31" s="5">
        <f>$G$6</f>
        <v>4.7300000000000004</v>
      </c>
      <c r="AI31" s="5">
        <f>$H$6</f>
        <v>4.7300000000000004</v>
      </c>
      <c r="AJ31" s="86">
        <f>COUNTIFS('HBV ĐL HC'!$BC:$BC,$X$56,'HBV ĐL HC'!$R:$R,"&gt;="&amp;AH43,'HBV ĐL HC'!$R:$R,"&lt;"&amp;AI43)</f>
        <v>0</v>
      </c>
      <c r="AK31" s="87">
        <f t="shared" si="7"/>
        <v>0</v>
      </c>
    </row>
    <row r="32" spans="1:38" x14ac:dyDescent="0.25">
      <c r="A32" s="223" t="s">
        <v>225</v>
      </c>
      <c r="B32" s="222" t="s">
        <v>377</v>
      </c>
      <c r="C32">
        <f>VLOOKUP(A32,'HBV ĐL HC'!E:S,14,0)</f>
        <v>4.17</v>
      </c>
      <c r="D32">
        <f>VLOOKUP(A32,'HBV ĐL HC'!E:S,14,0)</f>
        <v>4.17</v>
      </c>
      <c r="E32">
        <f>VLOOKUP(A32,'HBV ĐL HC'!E:AD,23,0)</f>
        <v>0</v>
      </c>
      <c r="G32">
        <v>3.91</v>
      </c>
      <c r="H32">
        <v>3.91</v>
      </c>
      <c r="N32">
        <v>7</v>
      </c>
      <c r="O32">
        <v>7</v>
      </c>
      <c r="V32" s="5"/>
      <c r="W32" s="5"/>
      <c r="X32" s="86"/>
      <c r="Y32" s="87"/>
      <c r="AH32" s="5">
        <f>$G$7</f>
        <v>4.53</v>
      </c>
      <c r="AI32" s="5">
        <f>$H$7</f>
        <v>4.53</v>
      </c>
      <c r="AJ32" s="86">
        <f>COUNTIFS('HBV ĐL HC'!$BC:$BC,$X$56,'HBV ĐL HC'!$R:$R,"&gt;="&amp;AH44,'HBV ĐL HC'!$R:$R,"&lt;"&amp;AI44)</f>
        <v>0</v>
      </c>
      <c r="AK32" s="87">
        <f t="shared" si="7"/>
        <v>0</v>
      </c>
    </row>
    <row r="33" spans="1:39" x14ac:dyDescent="0.25">
      <c r="A33" s="229" t="s">
        <v>404</v>
      </c>
      <c r="B33" s="222" t="s">
        <v>377</v>
      </c>
      <c r="C33">
        <f>VLOOKUP(A33,'HBV ĐL HC'!E:S,14,0)</f>
        <v>4.22</v>
      </c>
      <c r="D33">
        <f>VLOOKUP(A33,'HBV ĐL HC'!E:S,14,0)</f>
        <v>4.22</v>
      </c>
      <c r="E33">
        <f>VLOOKUP(A33,'HBV ĐL HC'!E:AD,23,0)</f>
        <v>0</v>
      </c>
      <c r="G33">
        <v>4.3499999999999996</v>
      </c>
      <c r="H33">
        <v>4.3499999999999996</v>
      </c>
      <c r="N33">
        <v>9</v>
      </c>
      <c r="O33">
        <v>9</v>
      </c>
      <c r="R33" s="269" t="s">
        <v>452</v>
      </c>
      <c r="S33" s="10" t="s">
        <v>235</v>
      </c>
      <c r="T33" s="10" t="s">
        <v>236</v>
      </c>
      <c r="V33" s="88"/>
    </row>
    <row r="34" spans="1:39" x14ac:dyDescent="0.25">
      <c r="A34" s="282" t="s">
        <v>449</v>
      </c>
      <c r="B34" s="281" t="s">
        <v>249</v>
      </c>
      <c r="C34" t="str">
        <f>VLOOKUP(A34,'HBV ĐL HC'!E:S,14,0)</f>
        <v/>
      </c>
      <c r="D34" t="str">
        <f>VLOOKUP(A34,'HBV ĐL HC'!E:S,14,0)</f>
        <v/>
      </c>
      <c r="E34">
        <f>VLOOKUP(A34,'HBV ĐL HC'!E:AD,23,0)</f>
        <v>0</v>
      </c>
      <c r="R34" s="1">
        <v>9</v>
      </c>
      <c r="S34" s="1">
        <v>20</v>
      </c>
      <c r="T34" s="1">
        <f>(S34/32)*100</f>
        <v>62.5</v>
      </c>
    </row>
    <row r="35" spans="1:39" x14ac:dyDescent="0.25">
      <c r="A35" s="232" t="s">
        <v>450</v>
      </c>
      <c r="B35" s="231" t="s">
        <v>249</v>
      </c>
      <c r="C35" t="str">
        <f>VLOOKUP(A35,'HBV ĐL HC'!E:S,14,0)</f>
        <v/>
      </c>
      <c r="D35" t="str">
        <f>VLOOKUP(A35,'HBV ĐL HC'!E:S,14,0)</f>
        <v/>
      </c>
      <c r="E35">
        <f>VLOOKUP(A35,'HBV ĐL HC'!E:AD,23,0)</f>
        <v>0</v>
      </c>
      <c r="R35" s="1">
        <v>8</v>
      </c>
      <c r="S35" s="1">
        <v>8</v>
      </c>
      <c r="T35" s="1">
        <f>(S35/32)*100+T34</f>
        <v>87.5</v>
      </c>
      <c r="W35" t="str">
        <f>'HBV ĐL HC'!$BN$2</f>
        <v>QBL020</v>
      </c>
    </row>
    <row r="36" spans="1:39" x14ac:dyDescent="0.25">
      <c r="A36" s="232" t="s">
        <v>484</v>
      </c>
      <c r="B36" s="231" t="s">
        <v>249</v>
      </c>
      <c r="C36">
        <f>VLOOKUP(A36,'HBV ĐL HC'!E:S,14,0)</f>
        <v>4.32</v>
      </c>
      <c r="D36">
        <f>VLOOKUP(A36,'HBV ĐL HC'!E:S,14,0)</f>
        <v>4.32</v>
      </c>
      <c r="E36">
        <f>VLOOKUP(A36,'HBV ĐL HC'!E:AD,23,0)</f>
        <v>0</v>
      </c>
      <c r="R36" s="1">
        <v>7</v>
      </c>
      <c r="S36" s="1">
        <v>2</v>
      </c>
      <c r="T36" s="1">
        <f>(S36/32)*100+T35</f>
        <v>93.75</v>
      </c>
    </row>
    <row r="37" spans="1:39" x14ac:dyDescent="0.25">
      <c r="A37" s="238" t="s">
        <v>87</v>
      </c>
      <c r="B37" s="231" t="s">
        <v>249</v>
      </c>
      <c r="C37">
        <f>VLOOKUP(A37,'HBV ĐL HC'!E:S,14,0)</f>
        <v>4.1500000000000004</v>
      </c>
      <c r="D37">
        <f>VLOOKUP(A37,'HBV ĐL HC'!E:S,14,0)</f>
        <v>4.1500000000000004</v>
      </c>
      <c r="E37">
        <f>VLOOKUP(A37,'HBV ĐL HC'!E:AD,23,0)</f>
        <v>0</v>
      </c>
      <c r="R37" s="1">
        <v>6</v>
      </c>
      <c r="S37" s="1">
        <v>0</v>
      </c>
      <c r="T37" s="1">
        <f>(S37/32)*100+T36</f>
        <v>93.75</v>
      </c>
      <c r="V37" s="5" t="s">
        <v>492</v>
      </c>
      <c r="W37">
        <v>3.53</v>
      </c>
      <c r="X37">
        <v>3.88</v>
      </c>
    </row>
    <row r="38" spans="1:39" x14ac:dyDescent="0.25">
      <c r="A38" s="243" t="s">
        <v>458</v>
      </c>
      <c r="B38" s="267" t="s">
        <v>356</v>
      </c>
      <c r="C38">
        <f>VLOOKUP(A38,'HBV ĐL HC'!E:S,14,0)</f>
        <v>3.91</v>
      </c>
      <c r="D38">
        <f>VLOOKUP(A38,'HBV ĐL HC'!E:S,14,0)</f>
        <v>3.91</v>
      </c>
      <c r="E38">
        <f>VLOOKUP(A38,'HBV ĐL HC'!E:AD,23,0)</f>
        <v>0</v>
      </c>
      <c r="R38" s="1">
        <v>5</v>
      </c>
      <c r="S38" s="1">
        <v>2</v>
      </c>
      <c r="T38" s="1">
        <f>(S38/32)*100+T37</f>
        <v>100</v>
      </c>
      <c r="V38" s="5" t="s">
        <v>493</v>
      </c>
      <c r="W38">
        <v>3.88</v>
      </c>
      <c r="X38">
        <v>4.2300000000000004</v>
      </c>
    </row>
    <row r="39" spans="1:39" x14ac:dyDescent="0.25">
      <c r="A39" s="243" t="s">
        <v>405</v>
      </c>
      <c r="B39" s="267" t="s">
        <v>356</v>
      </c>
      <c r="C39">
        <f>VLOOKUP(A39,'HBV ĐL HC'!E:S,14,0)</f>
        <v>4.3499999999999996</v>
      </c>
      <c r="D39">
        <f>VLOOKUP(A39,'HBV ĐL HC'!E:S,14,0)</f>
        <v>4.3499999999999996</v>
      </c>
      <c r="E39">
        <f>VLOOKUP(A39,'HBV ĐL HC'!E:AD,23,0)</f>
        <v>0</v>
      </c>
      <c r="O39" t="s">
        <v>342</v>
      </c>
      <c r="R39" s="1">
        <v>4</v>
      </c>
      <c r="S39" s="1">
        <v>0</v>
      </c>
      <c r="T39" s="1">
        <f t="shared" ref="T39:T41" si="13">(S39/31)*100+T38</f>
        <v>100</v>
      </c>
      <c r="V39" s="5" t="s">
        <v>494</v>
      </c>
      <c r="W39">
        <v>4.2300000000000004</v>
      </c>
      <c r="X39">
        <v>4.58</v>
      </c>
    </row>
    <row r="40" spans="1:39" x14ac:dyDescent="0.25">
      <c r="A40" s="248" t="s">
        <v>451</v>
      </c>
      <c r="B40" s="249" t="s">
        <v>340</v>
      </c>
      <c r="C40" t="str">
        <f>VLOOKUP(A40,'HBV ĐL HC'!E:S,14,0)</f>
        <v/>
      </c>
      <c r="D40" t="str">
        <f>VLOOKUP(A40,'HBV ĐL HC'!E:S,14,0)</f>
        <v/>
      </c>
      <c r="E40">
        <f>VLOOKUP(A40,'HBV ĐL HC'!E:AD,23,0)</f>
        <v>0</v>
      </c>
      <c r="O40" t="s">
        <v>342</v>
      </c>
      <c r="R40" s="1">
        <v>3</v>
      </c>
      <c r="S40" s="1">
        <v>0</v>
      </c>
      <c r="T40" s="1">
        <f t="shared" si="13"/>
        <v>100</v>
      </c>
      <c r="V40" s="5" t="s">
        <v>495</v>
      </c>
      <c r="W40">
        <v>4.58</v>
      </c>
      <c r="X40">
        <v>4.93</v>
      </c>
    </row>
    <row r="41" spans="1:39" x14ac:dyDescent="0.25">
      <c r="A41" s="253" t="s">
        <v>99</v>
      </c>
      <c r="B41" s="255" t="s">
        <v>324</v>
      </c>
      <c r="C41" t="str">
        <f>VLOOKUP(A41,'HBV ĐL HC'!E:S,14,0)</f>
        <v/>
      </c>
      <c r="D41" t="str">
        <f>VLOOKUP(A41,'HBV ĐL HC'!E:S,14,0)</f>
        <v/>
      </c>
      <c r="E41">
        <f>VLOOKUP(A41,'HBV ĐL HC'!E:AD,23,0)</f>
        <v>0</v>
      </c>
      <c r="O41" t="s">
        <v>342</v>
      </c>
      <c r="R41" s="1">
        <v>2</v>
      </c>
      <c r="S41" s="1">
        <v>0</v>
      </c>
      <c r="T41" s="1">
        <f t="shared" si="13"/>
        <v>100</v>
      </c>
      <c r="V41" s="5" t="s">
        <v>496</v>
      </c>
      <c r="W41">
        <v>4.93</v>
      </c>
      <c r="X41">
        <v>5.28</v>
      </c>
    </row>
    <row r="42" spans="1:39" ht="31.5" x14ac:dyDescent="0.25">
      <c r="A42" s="259" t="s">
        <v>202</v>
      </c>
      <c r="B42" s="255" t="s">
        <v>297</v>
      </c>
      <c r="C42" t="str">
        <f>VLOOKUP(A42,'HBV ĐL HC'!E:S,14,0)</f>
        <v/>
      </c>
      <c r="D42" t="str">
        <f>VLOOKUP(A42,'HBV ĐL HC'!E:S,14,0)</f>
        <v/>
      </c>
      <c r="E42">
        <f>VLOOKUP(A42,'HBV ĐL HC'!E:AD,23,0)</f>
        <v>0</v>
      </c>
      <c r="R42" s="1">
        <v>1</v>
      </c>
      <c r="S42" s="1">
        <v>0</v>
      </c>
      <c r="T42" s="1">
        <f t="shared" ref="T42:T43" si="14">(S42/33)*100+T41</f>
        <v>100</v>
      </c>
      <c r="V42" s="5" t="s">
        <v>497</v>
      </c>
      <c r="W42">
        <v>5.63</v>
      </c>
      <c r="X42">
        <v>5.98</v>
      </c>
    </row>
    <row r="43" spans="1:39" ht="31.5" x14ac:dyDescent="0.25">
      <c r="A43" s="253" t="s">
        <v>310</v>
      </c>
      <c r="B43" s="255" t="s">
        <v>297</v>
      </c>
      <c r="C43" t="str">
        <f>VLOOKUP(A43,'HBV ĐL HC'!E:S,14,0)</f>
        <v/>
      </c>
      <c r="D43" t="str">
        <f>VLOOKUP(A43,'HBV ĐL HC'!E:S,14,0)</f>
        <v/>
      </c>
      <c r="E43">
        <f>VLOOKUP(A43,'HBV ĐL HC'!E:AD,23,0)</f>
        <v>0</v>
      </c>
      <c r="G43" s="9"/>
      <c r="I43" s="9"/>
      <c r="R43" s="1">
        <v>0</v>
      </c>
      <c r="S43" s="1">
        <v>0</v>
      </c>
      <c r="T43" s="30">
        <f t="shared" si="14"/>
        <v>100</v>
      </c>
    </row>
    <row r="44" spans="1:39" ht="31.5" x14ac:dyDescent="0.25">
      <c r="A44" s="268" t="s">
        <v>230</v>
      </c>
      <c r="B44" s="255" t="s">
        <v>297</v>
      </c>
      <c r="C44" t="str">
        <f>VLOOKUP(A44,'HBV ĐL HC'!E:S,14,0)</f>
        <v/>
      </c>
      <c r="D44" t="str">
        <f>VLOOKUP(A44,'HBV ĐL HC'!E:S,14,0)</f>
        <v/>
      </c>
      <c r="E44">
        <f>VLOOKUP(A44,'HBV ĐL HC'!E:AD,23,0)</f>
        <v>0</v>
      </c>
      <c r="G44" s="5"/>
      <c r="I44" s="5"/>
    </row>
    <row r="45" spans="1:39" x14ac:dyDescent="0.25">
      <c r="G45" s="9"/>
    </row>
    <row r="46" spans="1:39" ht="47.25" x14ac:dyDescent="0.25">
      <c r="A46" s="26" t="s">
        <v>3</v>
      </c>
      <c r="B46" s="26" t="s">
        <v>295</v>
      </c>
      <c r="C46" s="15" t="s">
        <v>11</v>
      </c>
      <c r="D46" s="15" t="s">
        <v>11</v>
      </c>
      <c r="E46" s="14" t="s">
        <v>322</v>
      </c>
      <c r="G46" s="15" t="s">
        <v>11</v>
      </c>
      <c r="H46" s="15" t="s">
        <v>11</v>
      </c>
      <c r="I46" s="29" t="s">
        <v>233</v>
      </c>
      <c r="J46" t="s">
        <v>323</v>
      </c>
      <c r="AJ46" s="15" t="s">
        <v>11</v>
      </c>
      <c r="AK46" s="15" t="s">
        <v>11</v>
      </c>
      <c r="AL46" s="29" t="s">
        <v>233</v>
      </c>
      <c r="AM46" t="s">
        <v>323</v>
      </c>
    </row>
    <row r="47" spans="1:39" x14ac:dyDescent="0.25">
      <c r="A47" s="161" t="s">
        <v>50</v>
      </c>
      <c r="B47" s="162" t="s">
        <v>300</v>
      </c>
      <c r="C47" t="str">
        <f>VLOOKUP(A47,'HBV ĐL HC'!E:S,15,0)</f>
        <v/>
      </c>
      <c r="D47" t="str">
        <f>VLOOKUP(A47,'HBV ĐL HC'!E:S,15,0)</f>
        <v/>
      </c>
      <c r="E47">
        <f>VLOOKUP(A47,'HBV ĐL HC'!E:AD,24,0)</f>
        <v>4.5599999999999996</v>
      </c>
      <c r="G47">
        <v>4.5599999999999996</v>
      </c>
      <c r="H47">
        <v>4.5599999999999996</v>
      </c>
      <c r="I47" s="5" t="s">
        <v>492</v>
      </c>
      <c r="J47">
        <v>2</v>
      </c>
      <c r="AJ47">
        <v>5.58</v>
      </c>
      <c r="AK47">
        <v>5.58</v>
      </c>
      <c r="AL47" s="5" t="s">
        <v>423</v>
      </c>
      <c r="AM47">
        <v>2</v>
      </c>
    </row>
    <row r="48" spans="1:39" x14ac:dyDescent="0.25">
      <c r="A48" s="170" t="s">
        <v>60</v>
      </c>
      <c r="B48" s="173" t="s">
        <v>300</v>
      </c>
      <c r="C48">
        <f>VLOOKUP(A48,'HBV ĐL HC'!E:S,15,0)</f>
        <v>4.5599999999999996</v>
      </c>
      <c r="D48">
        <f>VLOOKUP(A48,'HBV ĐL HC'!E:S,15,0)</f>
        <v>4.5599999999999996</v>
      </c>
      <c r="E48">
        <f>VLOOKUP(A48,'HBV ĐL HC'!E:AD,24,0)</f>
        <v>4.5599999999999996</v>
      </c>
      <c r="F48">
        <f>MIN(C47:C56)</f>
        <v>4.24</v>
      </c>
      <c r="G48">
        <v>4.67</v>
      </c>
      <c r="H48">
        <v>4.67</v>
      </c>
      <c r="I48" s="5" t="s">
        <v>493</v>
      </c>
      <c r="J48">
        <v>4</v>
      </c>
      <c r="AJ48">
        <v>3.6999999999999997</v>
      </c>
      <c r="AK48">
        <v>3.6999999999999997</v>
      </c>
      <c r="AL48" s="5" t="s">
        <v>424</v>
      </c>
      <c r="AM48">
        <v>2</v>
      </c>
    </row>
    <row r="49" spans="1:39" x14ac:dyDescent="0.25">
      <c r="A49" s="176" t="s">
        <v>70</v>
      </c>
      <c r="B49" s="173" t="s">
        <v>300</v>
      </c>
      <c r="C49">
        <f>VLOOKUP(A49,'HBV ĐL HC'!E:S,15,0)</f>
        <v>4.67</v>
      </c>
      <c r="D49">
        <f>VLOOKUP(A49,'HBV ĐL HC'!E:S,15,0)</f>
        <v>4.67</v>
      </c>
      <c r="E49">
        <f>VLOOKUP(A49,'HBV ĐL HC'!E:AD,24,0)</f>
        <v>4.5599999999999996</v>
      </c>
      <c r="F49">
        <f>MAX(C47:C56)</f>
        <v>4.99</v>
      </c>
      <c r="G49">
        <v>4.24</v>
      </c>
      <c r="H49">
        <v>4.24</v>
      </c>
      <c r="I49" s="5" t="s">
        <v>494</v>
      </c>
      <c r="J49">
        <v>11</v>
      </c>
      <c r="AJ49">
        <v>3.38</v>
      </c>
      <c r="AK49">
        <v>3.38</v>
      </c>
      <c r="AL49" s="5" t="s">
        <v>425</v>
      </c>
      <c r="AM49">
        <v>9</v>
      </c>
    </row>
    <row r="50" spans="1:39" x14ac:dyDescent="0.25">
      <c r="A50" s="177" t="s">
        <v>169</v>
      </c>
      <c r="B50" s="178" t="s">
        <v>300</v>
      </c>
      <c r="C50">
        <f>VLOOKUP(A50,'HBV ĐL HC'!E:S,15,0)</f>
        <v>4.24</v>
      </c>
      <c r="D50">
        <f>VLOOKUP(A50,'HBV ĐL HC'!E:S,15,0)</f>
        <v>4.24</v>
      </c>
      <c r="E50">
        <f>VLOOKUP(A50,'HBV ĐL HC'!E:AD,24,0)</f>
        <v>4.5599999999999996</v>
      </c>
      <c r="G50">
        <v>4.49</v>
      </c>
      <c r="H50">
        <v>4.49</v>
      </c>
      <c r="I50" s="5" t="s">
        <v>495</v>
      </c>
      <c r="J50">
        <v>12</v>
      </c>
      <c r="AJ50">
        <v>3.86</v>
      </c>
      <c r="AK50">
        <v>3.86</v>
      </c>
      <c r="AL50" s="5" t="s">
        <v>426</v>
      </c>
      <c r="AM50">
        <v>13</v>
      </c>
    </row>
    <row r="51" spans="1:39" x14ac:dyDescent="0.25">
      <c r="A51" s="179" t="s">
        <v>178</v>
      </c>
      <c r="B51" s="173" t="s">
        <v>300</v>
      </c>
      <c r="C51">
        <f>VLOOKUP(A51,'HBV ĐL HC'!E:S,15,0)</f>
        <v>4.49</v>
      </c>
      <c r="D51">
        <f>VLOOKUP(A51,'HBV ĐL HC'!E:S,15,0)</f>
        <v>4.49</v>
      </c>
      <c r="E51">
        <f>VLOOKUP(A51,'HBV ĐL HC'!E:AD,24,0)</f>
        <v>4.5599999999999996</v>
      </c>
      <c r="G51">
        <v>4.84</v>
      </c>
      <c r="H51">
        <v>4.84</v>
      </c>
      <c r="I51" s="5" t="s">
        <v>496</v>
      </c>
      <c r="J51">
        <v>2</v>
      </c>
      <c r="AJ51">
        <v>3.9299999999999997</v>
      </c>
      <c r="AK51">
        <v>3.9299999999999997</v>
      </c>
      <c r="AL51" s="5" t="s">
        <v>427</v>
      </c>
      <c r="AM51">
        <v>5</v>
      </c>
    </row>
    <row r="52" spans="1:39" x14ac:dyDescent="0.25">
      <c r="A52" s="179" t="s">
        <v>189</v>
      </c>
      <c r="B52" s="173" t="s">
        <v>300</v>
      </c>
      <c r="C52">
        <f>VLOOKUP(A52,'HBV ĐL HC'!E:S,15,0)</f>
        <v>4.84</v>
      </c>
      <c r="D52">
        <f>VLOOKUP(A52,'HBV ĐL HC'!E:S,15,0)</f>
        <v>4.84</v>
      </c>
      <c r="E52">
        <f>VLOOKUP(A52,'HBV ĐL HC'!E:AD,24,0)</f>
        <v>4.5599999999999996</v>
      </c>
      <c r="G52">
        <v>4.59</v>
      </c>
      <c r="H52">
        <v>4.59</v>
      </c>
      <c r="I52" s="5" t="s">
        <v>497</v>
      </c>
      <c r="J52">
        <v>1</v>
      </c>
      <c r="AJ52">
        <v>3.6199999999999997</v>
      </c>
      <c r="AK52">
        <v>3.6199999999999997</v>
      </c>
      <c r="AL52" s="5" t="s">
        <v>428</v>
      </c>
      <c r="AM52">
        <v>1</v>
      </c>
    </row>
    <row r="53" spans="1:39" x14ac:dyDescent="0.25">
      <c r="A53" s="179" t="s">
        <v>447</v>
      </c>
      <c r="B53" s="173" t="s">
        <v>300</v>
      </c>
      <c r="C53">
        <f>VLOOKUP(A53,'HBV ĐL HC'!E:S,15,0)</f>
        <v>4.59</v>
      </c>
      <c r="D53">
        <f>VLOOKUP(A53,'HBV ĐL HC'!E:S,15,0)</f>
        <v>4.59</v>
      </c>
      <c r="E53">
        <f>VLOOKUP(A53,'HBV ĐL HC'!E:AD,24,0)</f>
        <v>4.5599999999999996</v>
      </c>
      <c r="G53">
        <v>4.99</v>
      </c>
      <c r="H53">
        <v>4.99</v>
      </c>
      <c r="I53" s="5" t="s">
        <v>234</v>
      </c>
      <c r="J53">
        <v>32</v>
      </c>
      <c r="AJ53">
        <v>3.9899999999999998</v>
      </c>
      <c r="AK53">
        <v>3.9899999999999998</v>
      </c>
      <c r="AL53" s="5" t="s">
        <v>429</v>
      </c>
      <c r="AM53">
        <v>1</v>
      </c>
    </row>
    <row r="54" spans="1:39" x14ac:dyDescent="0.25">
      <c r="A54" s="179" t="s">
        <v>212</v>
      </c>
      <c r="B54" s="173" t="s">
        <v>300</v>
      </c>
      <c r="C54">
        <f>VLOOKUP(A54,'HBV ĐL HC'!E:S,15,0)</f>
        <v>4.99</v>
      </c>
      <c r="D54">
        <f>VLOOKUP(A54,'HBV ĐL HC'!E:S,15,0)</f>
        <v>4.99</v>
      </c>
      <c r="E54">
        <f>VLOOKUP(A54,'HBV ĐL HC'!E:AD,24,0)</f>
        <v>4.5599999999999996</v>
      </c>
      <c r="G54">
        <v>4.8099999999999996</v>
      </c>
      <c r="H54">
        <v>4.8099999999999996</v>
      </c>
      <c r="AJ54">
        <v>3.96</v>
      </c>
      <c r="AK54">
        <v>3.96</v>
      </c>
      <c r="AL54" s="5" t="s">
        <v>234</v>
      </c>
      <c r="AM54">
        <v>33</v>
      </c>
    </row>
    <row r="55" spans="1:39" x14ac:dyDescent="0.25">
      <c r="A55" s="179" t="s">
        <v>218</v>
      </c>
      <c r="B55" s="173" t="s">
        <v>300</v>
      </c>
      <c r="C55">
        <f>VLOOKUP(A55,'HBV ĐL HC'!E:S,15,0)</f>
        <v>4.8099999999999996</v>
      </c>
      <c r="D55">
        <f>VLOOKUP(A55,'HBV ĐL HC'!E:S,15,0)</f>
        <v>4.8099999999999996</v>
      </c>
      <c r="E55">
        <f>VLOOKUP(A55,'HBV ĐL HC'!E:AD,24,0)</f>
        <v>4.5599999999999996</v>
      </c>
      <c r="G55">
        <v>4.6100000000000003</v>
      </c>
      <c r="H55">
        <v>4.6100000000000003</v>
      </c>
      <c r="AJ55">
        <v>3.3299999999999996</v>
      </c>
      <c r="AK55">
        <v>3.3299999999999996</v>
      </c>
    </row>
    <row r="56" spans="1:39" x14ac:dyDescent="0.25">
      <c r="A56" s="179" t="s">
        <v>448</v>
      </c>
      <c r="B56" s="173" t="s">
        <v>300</v>
      </c>
      <c r="C56" t="str">
        <f>VLOOKUP(A56,'HBV ĐL HC'!E:S,15,0)</f>
        <v/>
      </c>
      <c r="D56" t="str">
        <f>VLOOKUP(A56,'HBV ĐL HC'!E:S,15,0)</f>
        <v/>
      </c>
      <c r="E56">
        <f>VLOOKUP(A56,'HBV ĐL HC'!E:AD,24,0)</f>
        <v>4.5599999999999996</v>
      </c>
      <c r="G56">
        <v>4.6900000000000004</v>
      </c>
      <c r="H56">
        <v>4.6900000000000004</v>
      </c>
      <c r="V56" t="s">
        <v>343</v>
      </c>
      <c r="W56" s="4" t="s">
        <v>344</v>
      </c>
      <c r="X56" s="85" t="str">
        <f>VLOOKUP(W67,'HBV ĐL HC'!$E:$BC,51,0)</f>
        <v>Sacace-Ý</v>
      </c>
      <c r="Y56" s="4" t="s">
        <v>354</v>
      </c>
      <c r="AJ56">
        <v>3.88</v>
      </c>
      <c r="AK56">
        <v>3.88</v>
      </c>
    </row>
    <row r="57" spans="1:39" x14ac:dyDescent="0.25">
      <c r="A57" s="185" t="s">
        <v>413</v>
      </c>
      <c r="B57" s="189" t="s">
        <v>296</v>
      </c>
      <c r="C57">
        <f>VLOOKUP(A57,'HBV ĐL HC'!E:S,15,0)</f>
        <v>4.6100000000000003</v>
      </c>
      <c r="D57">
        <f>VLOOKUP(A57,'HBV ĐL HC'!E:S,15,0)</f>
        <v>4.6100000000000003</v>
      </c>
      <c r="E57">
        <f>VLOOKUP(A57,'HBV ĐL HC'!E:AD,24,0)</f>
        <v>4.5</v>
      </c>
      <c r="F57">
        <f>MIN(C57:C63)</f>
        <v>4.42</v>
      </c>
      <c r="G57">
        <v>4.4400000000000004</v>
      </c>
      <c r="H57">
        <v>4.4400000000000004</v>
      </c>
      <c r="V57" s="5"/>
      <c r="W57" s="5"/>
      <c r="X57" s="86"/>
      <c r="Y57" s="87"/>
      <c r="AJ57">
        <v>3.8299999999999996</v>
      </c>
      <c r="AK57">
        <v>3.8299999999999996</v>
      </c>
    </row>
    <row r="58" spans="1:39" x14ac:dyDescent="0.25">
      <c r="A58" s="185" t="s">
        <v>410</v>
      </c>
      <c r="B58" s="189" t="s">
        <v>296</v>
      </c>
      <c r="C58">
        <f>VLOOKUP(A58,'HBV ĐL HC'!E:S,15,0)</f>
        <v>4.6900000000000004</v>
      </c>
      <c r="D58">
        <f>VLOOKUP(A58,'HBV ĐL HC'!E:S,15,0)</f>
        <v>4.6900000000000004</v>
      </c>
      <c r="E58">
        <f>VLOOKUP(A58,'HBV ĐL HC'!E:AD,24,0)</f>
        <v>4.5</v>
      </c>
      <c r="F58">
        <f>MAX(C57:C63)</f>
        <v>4.6900000000000004</v>
      </c>
      <c r="G58">
        <v>4.68</v>
      </c>
      <c r="H58">
        <v>4.68</v>
      </c>
      <c r="V58" s="5"/>
      <c r="W58" s="5"/>
      <c r="X58" s="86"/>
      <c r="Y58" s="87"/>
      <c r="Z58" t="str">
        <f>IF(VLOOKUP($W$67,'HBV ĐL HC'!$E:$AA,16,0)&lt;&gt;"",VLOOKUP($W$67,'HBV ĐL HC'!$E:$AA,16,0),"")</f>
        <v>Âm tính</v>
      </c>
      <c r="AJ58">
        <v>3.4899999999999998</v>
      </c>
      <c r="AK58">
        <v>3.4899999999999998</v>
      </c>
    </row>
    <row r="59" spans="1:39" x14ac:dyDescent="0.25">
      <c r="A59" s="188" t="s">
        <v>105</v>
      </c>
      <c r="B59" s="190" t="s">
        <v>296</v>
      </c>
      <c r="C59">
        <f>VLOOKUP(A59,'HBV ĐL HC'!E:S,15,0)</f>
        <v>4.4400000000000004</v>
      </c>
      <c r="D59">
        <f>VLOOKUP(A59,'HBV ĐL HC'!E:S,15,0)</f>
        <v>4.4400000000000004</v>
      </c>
      <c r="E59">
        <f>VLOOKUP(A59,'HBV ĐL HC'!E:AD,24,0)</f>
        <v>4.5</v>
      </c>
      <c r="G59">
        <v>4.42</v>
      </c>
      <c r="H59">
        <v>4.42</v>
      </c>
      <c r="V59" s="154" t="s">
        <v>246</v>
      </c>
      <c r="W59" s="5">
        <f>COUNTA('HBV ĐL HC'!T2:T44)</f>
        <v>32</v>
      </c>
      <c r="X59" s="86">
        <f>COUNTIFS('HBV ĐL HC'!$BC:$BC,$X$56,'HBV ĐL HC'!$T:$T,"&gt;&lt;"&amp;"")</f>
        <v>8</v>
      </c>
      <c r="Y59" s="87">
        <f>IF($Z$58&lt;&gt;"",2,0)</f>
        <v>2</v>
      </c>
      <c r="AJ59">
        <v>3.03</v>
      </c>
      <c r="AK59">
        <v>3.03</v>
      </c>
    </row>
    <row r="60" spans="1:39" x14ac:dyDescent="0.25">
      <c r="A60" s="188" t="s">
        <v>109</v>
      </c>
      <c r="B60" s="190" t="s">
        <v>296</v>
      </c>
      <c r="C60" t="str">
        <f>VLOOKUP(A60,'HBV ĐL HC'!E:S,15,0)</f>
        <v/>
      </c>
      <c r="D60" t="str">
        <f>VLOOKUP(A60,'HBV ĐL HC'!E:S,15,0)</f>
        <v/>
      </c>
      <c r="E60">
        <f>VLOOKUP(A60,'HBV ĐL HC'!E:AD,24,0)</f>
        <v>4.5</v>
      </c>
      <c r="G60">
        <v>5.92</v>
      </c>
      <c r="H60">
        <v>5.92</v>
      </c>
      <c r="V60" s="5"/>
      <c r="W60" s="5"/>
      <c r="X60" s="86"/>
      <c r="Y60" s="87"/>
      <c r="AJ60">
        <v>3.88</v>
      </c>
      <c r="AK60">
        <v>3.88</v>
      </c>
    </row>
    <row r="61" spans="1:39" x14ac:dyDescent="0.25">
      <c r="A61" s="193" t="s">
        <v>124</v>
      </c>
      <c r="B61" s="194" t="s">
        <v>296</v>
      </c>
      <c r="C61">
        <f>VLOOKUP(A61,'HBV ĐL HC'!E:S,15,0)</f>
        <v>4.68</v>
      </c>
      <c r="D61">
        <f>VLOOKUP(A61,'HBV ĐL HC'!E:S,15,0)</f>
        <v>4.68</v>
      </c>
      <c r="E61">
        <f>VLOOKUP(A61,'HBV ĐL HC'!E:AD,24,0)</f>
        <v>4.5</v>
      </c>
      <c r="G61">
        <v>4.53</v>
      </c>
      <c r="H61">
        <v>4.53</v>
      </c>
      <c r="R61" s="152"/>
      <c r="S61" s="152"/>
      <c r="T61" s="152"/>
      <c r="V61" s="154" t="s">
        <v>353</v>
      </c>
      <c r="W61" s="5">
        <v>0</v>
      </c>
      <c r="X61" s="86">
        <v>0</v>
      </c>
      <c r="Y61" s="87">
        <v>0</v>
      </c>
      <c r="AJ61">
        <v>4.0699999999999994</v>
      </c>
      <c r="AK61">
        <v>4.0699999999999994</v>
      </c>
    </row>
    <row r="62" spans="1:39" x14ac:dyDescent="0.25">
      <c r="A62" s="185" t="s">
        <v>132</v>
      </c>
      <c r="B62" s="276" t="s">
        <v>296</v>
      </c>
      <c r="C62">
        <f>VLOOKUP(A62,'HBV ĐL HC'!E:S,15,0)</f>
        <v>4.42</v>
      </c>
      <c r="D62">
        <f>VLOOKUP(A62,'HBV ĐL HC'!E:S,15,0)</f>
        <v>4.42</v>
      </c>
      <c r="E62">
        <f>VLOOKUP(A62,'HBV ĐL HC'!E:AD,24,0)</f>
        <v>4.5</v>
      </c>
      <c r="G62">
        <v>4.2300000000000004</v>
      </c>
      <c r="H62">
        <v>4.2300000000000004</v>
      </c>
      <c r="V62" s="5"/>
      <c r="W62" s="5"/>
      <c r="X62" s="86"/>
      <c r="Y62" s="87"/>
      <c r="AJ62">
        <v>4.26</v>
      </c>
      <c r="AK62">
        <v>4.26</v>
      </c>
    </row>
    <row r="63" spans="1:39" x14ac:dyDescent="0.25">
      <c r="A63" s="185" t="s">
        <v>457</v>
      </c>
      <c r="B63" s="276" t="s">
        <v>296</v>
      </c>
      <c r="C63" t="str">
        <f>VLOOKUP(A63,'HBV ĐL HC'!E:S,15,0)</f>
        <v/>
      </c>
      <c r="D63" t="str">
        <f>VLOOKUP(A63,'HBV ĐL HC'!E:S,15,0)</f>
        <v/>
      </c>
      <c r="E63">
        <f>VLOOKUP(A63,'HBV ĐL HC'!E:AD,24,0)</f>
        <v>4.5</v>
      </c>
      <c r="G63">
        <v>4.3</v>
      </c>
      <c r="H63">
        <v>4.3</v>
      </c>
      <c r="V63" s="5"/>
      <c r="W63" s="5"/>
      <c r="X63" s="86"/>
      <c r="Y63" s="87"/>
      <c r="AJ63">
        <v>4.1099999999999994</v>
      </c>
      <c r="AK63">
        <v>4.1099999999999994</v>
      </c>
    </row>
    <row r="64" spans="1:39" x14ac:dyDescent="0.25">
      <c r="A64" s="198" t="s">
        <v>138</v>
      </c>
      <c r="B64" s="201" t="s">
        <v>299</v>
      </c>
      <c r="C64">
        <f>VLOOKUP(A64,'HBV ĐL HC'!E:S,15,0)</f>
        <v>5.92</v>
      </c>
      <c r="D64">
        <f>VLOOKUP(A64,'HBV ĐL HC'!E:S,15,0)</f>
        <v>5.92</v>
      </c>
      <c r="E64">
        <f>VLOOKUP(A64,'HBV ĐL HC'!E:AD,24,0)</f>
        <v>4.62</v>
      </c>
      <c r="G64">
        <v>4.68</v>
      </c>
      <c r="H64">
        <v>4.68</v>
      </c>
      <c r="V64" s="88"/>
      <c r="AJ64">
        <v>4.29</v>
      </c>
      <c r="AK64">
        <v>4.29</v>
      </c>
    </row>
    <row r="65" spans="1:37" x14ac:dyDescent="0.25">
      <c r="A65" s="204" t="s">
        <v>147</v>
      </c>
      <c r="B65" s="201" t="s">
        <v>299</v>
      </c>
      <c r="C65">
        <f>VLOOKUP(A65,'HBV ĐL HC'!E:S,15,0)</f>
        <v>4.53</v>
      </c>
      <c r="D65">
        <f>VLOOKUP(A65,'HBV ĐL HC'!E:S,15,0)</f>
        <v>4.53</v>
      </c>
      <c r="E65">
        <f>VLOOKUP(A65,'HBV ĐL HC'!E:AD,24,0)</f>
        <v>4.62</v>
      </c>
      <c r="F65">
        <f>MIN(C64:C68)</f>
        <v>4.2300000000000004</v>
      </c>
      <c r="G65">
        <v>4.21</v>
      </c>
      <c r="H65">
        <v>4.21</v>
      </c>
      <c r="R65" s="81"/>
      <c r="V65" s="88"/>
      <c r="AJ65">
        <v>2.13</v>
      </c>
      <c r="AK65">
        <v>2.13</v>
      </c>
    </row>
    <row r="66" spans="1:37" x14ac:dyDescent="0.25">
      <c r="A66" s="279" t="s">
        <v>92</v>
      </c>
      <c r="B66" s="280" t="s">
        <v>299</v>
      </c>
      <c r="C66">
        <f>VLOOKUP(A66,'HBV ĐL HC'!E:S,15,0)</f>
        <v>4.2300000000000004</v>
      </c>
      <c r="D66">
        <f>VLOOKUP(A66,'HBV ĐL HC'!E:S,15,0)</f>
        <v>4.2300000000000004</v>
      </c>
      <c r="E66">
        <f>VLOOKUP(A66,'HBV ĐL HC'!E:AD,24,0)</f>
        <v>4.62</v>
      </c>
      <c r="F66">
        <f>MAX(C64:C68)</f>
        <v>5.92</v>
      </c>
      <c r="G66">
        <v>5.0999999999999996</v>
      </c>
      <c r="H66">
        <v>5.0999999999999996</v>
      </c>
      <c r="AJ66">
        <v>2.84</v>
      </c>
      <c r="AK66">
        <v>2.84</v>
      </c>
    </row>
    <row r="67" spans="1:37" x14ac:dyDescent="0.25">
      <c r="A67" s="204" t="s">
        <v>403</v>
      </c>
      <c r="B67" s="287" t="s">
        <v>299</v>
      </c>
      <c r="C67">
        <f>VLOOKUP(A67,'HBV ĐL HC'!E:S,15,0)</f>
        <v>4.3</v>
      </c>
      <c r="D67">
        <f>VLOOKUP(A67,'HBV ĐL HC'!E:S,15,0)</f>
        <v>4.3</v>
      </c>
      <c r="E67">
        <f>VLOOKUP(A67,'HBV ĐL HC'!E:AD,24,0)</f>
        <v>4.62</v>
      </c>
      <c r="G67">
        <v>4.62</v>
      </c>
      <c r="H67">
        <v>4.62</v>
      </c>
      <c r="W67" s="89" t="str">
        <f>'HBV ĐL HC'!BN2</f>
        <v>QBL020</v>
      </c>
      <c r="AJ67">
        <v>4.34</v>
      </c>
      <c r="AK67">
        <v>4.34</v>
      </c>
    </row>
    <row r="68" spans="1:37" x14ac:dyDescent="0.25">
      <c r="A68" s="198" t="s">
        <v>209</v>
      </c>
      <c r="B68" s="201" t="s">
        <v>299</v>
      </c>
      <c r="C68">
        <f>VLOOKUP(A68,'HBV ĐL HC'!E:S,15,0)</f>
        <v>4.68</v>
      </c>
      <c r="D68">
        <f>VLOOKUP(A68,'HBV ĐL HC'!E:S,15,0)</f>
        <v>4.68</v>
      </c>
      <c r="E68">
        <f>VLOOKUP(A68,'HBV ĐL HC'!E:AD,24,0)</f>
        <v>4.62</v>
      </c>
      <c r="G68">
        <v>3.53</v>
      </c>
      <c r="H68">
        <v>3.53</v>
      </c>
      <c r="AJ68">
        <v>4.33</v>
      </c>
      <c r="AK68">
        <v>4.33</v>
      </c>
    </row>
    <row r="69" spans="1:37" ht="31.5" x14ac:dyDescent="0.25">
      <c r="A69" s="208" t="s">
        <v>196</v>
      </c>
      <c r="B69" s="7" t="s">
        <v>297</v>
      </c>
      <c r="C69">
        <f>VLOOKUP(A69,'HBV ĐL HC'!E:S,15,0)</f>
        <v>4.21</v>
      </c>
      <c r="D69">
        <f>VLOOKUP(A69,'HBV ĐL HC'!E:S,15,0)</f>
        <v>4.21</v>
      </c>
      <c r="E69">
        <f>VLOOKUP(A69,'HBV ĐL HC'!E:AD,24,0)</f>
        <v>4.0599999999999996</v>
      </c>
      <c r="G69">
        <v>4.74</v>
      </c>
      <c r="H69">
        <v>4.74</v>
      </c>
      <c r="V69" t="s">
        <v>462</v>
      </c>
      <c r="W69">
        <v>2.67</v>
      </c>
      <c r="X69">
        <v>2.97</v>
      </c>
      <c r="AJ69">
        <v>3.9099999999999997</v>
      </c>
      <c r="AK69">
        <v>3.9099999999999997</v>
      </c>
    </row>
    <row r="70" spans="1:37" ht="31.5" x14ac:dyDescent="0.25">
      <c r="A70" s="213" t="s">
        <v>412</v>
      </c>
      <c r="B70" s="210" t="s">
        <v>297</v>
      </c>
      <c r="C70">
        <f>VLOOKUP(A70,'HBV ĐL HC'!E:S,15,0)</f>
        <v>5.0999999999999996</v>
      </c>
      <c r="D70">
        <f>VLOOKUP(A70,'HBV ĐL HC'!E:S,15,0)</f>
        <v>5.0999999999999996</v>
      </c>
      <c r="E70">
        <f>VLOOKUP(A70,'HBV ĐL HC'!E:AD,24,0)</f>
        <v>4.0599999999999996</v>
      </c>
      <c r="F70">
        <f>MIN(C69:C73)</f>
        <v>3.53</v>
      </c>
      <c r="G70">
        <v>4.72</v>
      </c>
      <c r="H70">
        <v>4.72</v>
      </c>
      <c r="V70" t="s">
        <v>463</v>
      </c>
      <c r="W70">
        <v>3.57</v>
      </c>
      <c r="X70">
        <v>3.87</v>
      </c>
      <c r="AJ70">
        <v>3.4</v>
      </c>
      <c r="AK70">
        <v>3.4</v>
      </c>
    </row>
    <row r="71" spans="1:37" ht="31.5" x14ac:dyDescent="0.25">
      <c r="A71" s="213" t="s">
        <v>118</v>
      </c>
      <c r="B71" s="7" t="s">
        <v>297</v>
      </c>
      <c r="C71">
        <f>VLOOKUP(A71,'HBV ĐL HC'!E:S,15,0)</f>
        <v>4.62</v>
      </c>
      <c r="D71">
        <f>VLOOKUP(A71,'HBV ĐL HC'!E:S,15,0)</f>
        <v>4.62</v>
      </c>
      <c r="E71">
        <f>VLOOKUP(A71,'HBV ĐL HC'!E:AD,24,0)</f>
        <v>4.0599999999999996</v>
      </c>
      <c r="F71">
        <f>MAX(C69:C73)</f>
        <v>5.0999999999999996</v>
      </c>
      <c r="G71">
        <v>3.87</v>
      </c>
      <c r="H71">
        <v>3.87</v>
      </c>
      <c r="V71" t="s">
        <v>464</v>
      </c>
      <c r="W71">
        <v>4.17</v>
      </c>
      <c r="X71">
        <v>4.47</v>
      </c>
      <c r="AJ71">
        <v>2.48</v>
      </c>
      <c r="AK71">
        <v>2.48</v>
      </c>
    </row>
    <row r="72" spans="1:37" ht="31.5" x14ac:dyDescent="0.25">
      <c r="A72" s="266" t="s">
        <v>331</v>
      </c>
      <c r="B72" s="7" t="s">
        <v>297</v>
      </c>
      <c r="C72">
        <f>VLOOKUP(A72,'HBV ĐL HC'!E:S,15,0)</f>
        <v>3.53</v>
      </c>
      <c r="D72">
        <f>VLOOKUP(A72,'HBV ĐL HC'!E:S,15,0)</f>
        <v>3.53</v>
      </c>
      <c r="E72">
        <f>VLOOKUP(A72,'HBV ĐL HC'!E:AD,24,0)</f>
        <v>4.0599999999999996</v>
      </c>
      <c r="G72">
        <v>4.12</v>
      </c>
      <c r="H72">
        <v>4.12</v>
      </c>
      <c r="V72" t="s">
        <v>465</v>
      </c>
      <c r="W72">
        <v>4.47</v>
      </c>
      <c r="X72">
        <v>4.7699999999999996</v>
      </c>
      <c r="AJ72">
        <v>3.5399999999999996</v>
      </c>
      <c r="AK72">
        <v>3.5399999999999996</v>
      </c>
    </row>
    <row r="73" spans="1:37" ht="31.5" x14ac:dyDescent="0.25">
      <c r="A73" s="266" t="s">
        <v>408</v>
      </c>
      <c r="B73" s="7" t="s">
        <v>297</v>
      </c>
      <c r="C73">
        <f>VLOOKUP(A73,'HBV ĐL HC'!E:S,15,0)</f>
        <v>4.74</v>
      </c>
      <c r="D73">
        <f>VLOOKUP(A73,'HBV ĐL HC'!E:S,15,0)</f>
        <v>4.74</v>
      </c>
      <c r="E73">
        <f>VLOOKUP(A73,'HBV ĐL HC'!E:AD,24,0)</f>
        <v>4.0599999999999996</v>
      </c>
      <c r="G73">
        <v>4.21</v>
      </c>
      <c r="H73">
        <v>4.21</v>
      </c>
      <c r="V73" t="s">
        <v>466</v>
      </c>
      <c r="W73">
        <v>4.7699999999999996</v>
      </c>
      <c r="X73">
        <v>5.07</v>
      </c>
      <c r="AJ73">
        <v>3.5199999999999996</v>
      </c>
      <c r="AK73">
        <v>3.5199999999999996</v>
      </c>
    </row>
    <row r="74" spans="1:37" x14ac:dyDescent="0.25">
      <c r="A74" s="218" t="s">
        <v>156</v>
      </c>
      <c r="B74" s="220" t="s">
        <v>298</v>
      </c>
      <c r="C74">
        <f>VLOOKUP(A74,'HBV ĐL HC'!E:S,15,0)</f>
        <v>4.72</v>
      </c>
      <c r="D74">
        <f>VLOOKUP(A74,'HBV ĐL HC'!E:S,15,0)</f>
        <v>4.72</v>
      </c>
      <c r="E74">
        <f>VLOOKUP(A74,'HBV ĐL HC'!E:AD,24,0)</f>
        <v>4.38</v>
      </c>
      <c r="G74">
        <v>4.38</v>
      </c>
      <c r="H74">
        <v>4.38</v>
      </c>
      <c r="V74" t="s">
        <v>467</v>
      </c>
      <c r="W74">
        <v>5.07</v>
      </c>
      <c r="X74">
        <v>5.37</v>
      </c>
      <c r="AJ74">
        <v>3.3699999999999997</v>
      </c>
      <c r="AK74">
        <v>3.3699999999999997</v>
      </c>
    </row>
    <row r="75" spans="1:37" x14ac:dyDescent="0.25">
      <c r="A75" s="218" t="s">
        <v>161</v>
      </c>
      <c r="B75" s="220" t="s">
        <v>298</v>
      </c>
      <c r="C75">
        <f>VLOOKUP(A75,'HBV ĐL HC'!E:S,15,0)</f>
        <v>3.87</v>
      </c>
      <c r="D75">
        <f>VLOOKUP(A75,'HBV ĐL HC'!E:S,15,0)</f>
        <v>3.87</v>
      </c>
      <c r="E75">
        <f>VLOOKUP(A75,'HBV ĐL HC'!E:AD,24,0)</f>
        <v>4.38</v>
      </c>
      <c r="G75">
        <v>4.47</v>
      </c>
      <c r="H75">
        <v>4.47</v>
      </c>
      <c r="W75">
        <v>5.37</v>
      </c>
      <c r="X75">
        <v>5.67</v>
      </c>
      <c r="AJ75">
        <v>3.67</v>
      </c>
      <c r="AK75">
        <v>3.67</v>
      </c>
    </row>
    <row r="76" spans="1:37" x14ac:dyDescent="0.25">
      <c r="A76" s="223" t="s">
        <v>341</v>
      </c>
      <c r="B76" s="222" t="s">
        <v>377</v>
      </c>
      <c r="C76">
        <f>VLOOKUP(A76,'HBV ĐL HC'!E:S,15,0)</f>
        <v>4.12</v>
      </c>
      <c r="D76">
        <f>VLOOKUP(A76,'HBV ĐL HC'!E:S,15,0)</f>
        <v>4.12</v>
      </c>
      <c r="E76">
        <f>VLOOKUP(A76,'HBV ĐL HC'!E:AD,24,0)</f>
        <v>4.38</v>
      </c>
      <c r="G76">
        <v>4.59</v>
      </c>
      <c r="H76">
        <v>4.59</v>
      </c>
      <c r="AJ76">
        <v>3.84</v>
      </c>
      <c r="AK76">
        <v>3.84</v>
      </c>
    </row>
    <row r="77" spans="1:37" x14ac:dyDescent="0.25">
      <c r="A77" s="223" t="s">
        <v>225</v>
      </c>
      <c r="B77" s="222" t="s">
        <v>377</v>
      </c>
      <c r="C77">
        <f>VLOOKUP(A77,'HBV ĐL HC'!E:S,15,0)</f>
        <v>4.21</v>
      </c>
      <c r="D77">
        <f>VLOOKUP(A77,'HBV ĐL HC'!E:S,15,0)</f>
        <v>4.21</v>
      </c>
      <c r="E77">
        <f>VLOOKUP(A77,'HBV ĐL HC'!E:AD,24,0)</f>
        <v>4.38</v>
      </c>
      <c r="G77">
        <v>4.01</v>
      </c>
      <c r="H77">
        <v>4.01</v>
      </c>
      <c r="AJ77">
        <v>4.84</v>
      </c>
      <c r="AK77">
        <v>4.84</v>
      </c>
    </row>
    <row r="78" spans="1:37" x14ac:dyDescent="0.25">
      <c r="A78" s="229" t="s">
        <v>404</v>
      </c>
      <c r="B78" s="222" t="s">
        <v>377</v>
      </c>
      <c r="C78">
        <f>VLOOKUP(A78,'HBV ĐL HC'!E:S,15,0)</f>
        <v>4.38</v>
      </c>
      <c r="D78">
        <f>VLOOKUP(A78,'HBV ĐL HC'!E:S,15,0)</f>
        <v>4.38</v>
      </c>
      <c r="E78">
        <f>VLOOKUP(A78,'HBV ĐL HC'!E:AD,24,0)</f>
        <v>4.38</v>
      </c>
      <c r="G78">
        <v>4.33</v>
      </c>
      <c r="H78">
        <v>4.33</v>
      </c>
      <c r="AJ78">
        <v>3.34</v>
      </c>
      <c r="AK78">
        <v>3.34</v>
      </c>
    </row>
    <row r="79" spans="1:37" x14ac:dyDescent="0.25">
      <c r="A79" s="282" t="s">
        <v>449</v>
      </c>
      <c r="B79" s="281" t="s">
        <v>249</v>
      </c>
      <c r="C79" t="str">
        <f>VLOOKUP(A79,'HBV ĐL HC'!E:S,15,0)</f>
        <v/>
      </c>
      <c r="D79" t="str">
        <f>VLOOKUP(A79,'HBV ĐL HC'!E:S,15,0)</f>
        <v/>
      </c>
      <c r="E79">
        <f>VLOOKUP(A79,'HBV ĐL HC'!E:AD,24,0)</f>
        <v>4.38</v>
      </c>
      <c r="V79" s="90" t="s">
        <v>452</v>
      </c>
      <c r="W79" s="90" t="s">
        <v>347</v>
      </c>
      <c r="X79" s="90" t="s">
        <v>348</v>
      </c>
      <c r="Y79" s="90" t="s">
        <v>349</v>
      </c>
      <c r="AJ79">
        <v>4.3099999999999996</v>
      </c>
      <c r="AK79">
        <v>4.3099999999999996</v>
      </c>
    </row>
    <row r="80" spans="1:37" x14ac:dyDescent="0.25">
      <c r="A80" s="232" t="s">
        <v>450</v>
      </c>
      <c r="B80" s="231" t="s">
        <v>249</v>
      </c>
      <c r="C80" t="str">
        <f>VLOOKUP(A80,'HBV ĐL HC'!E:S,15,0)</f>
        <v/>
      </c>
      <c r="D80" t="str">
        <f>VLOOKUP(A80,'HBV ĐL HC'!E:S,15,0)</f>
        <v/>
      </c>
      <c r="E80">
        <f>VLOOKUP(A80,'HBV ĐL HC'!E:AD,24,0)</f>
        <v>4.38</v>
      </c>
      <c r="V80" s="1">
        <f t="shared" ref="V80:V83" si="15">R34</f>
        <v>9</v>
      </c>
      <c r="W80" s="1">
        <f t="shared" ref="W80:W88" si="16">S34</f>
        <v>20</v>
      </c>
      <c r="X80" s="1">
        <f t="shared" ref="X80:X88" si="17">T34</f>
        <v>62.5</v>
      </c>
      <c r="Y80" s="91">
        <f>IF(Table1[[#This Row],[Điểm]]=$X$93,1,0)</f>
        <v>1</v>
      </c>
    </row>
    <row r="81" spans="1:39" x14ac:dyDescent="0.25">
      <c r="A81" s="232" t="s">
        <v>484</v>
      </c>
      <c r="B81" s="231" t="s">
        <v>249</v>
      </c>
      <c r="C81">
        <f>VLOOKUP(A81,'HBV ĐL HC'!E:S,15,0)</f>
        <v>4.47</v>
      </c>
      <c r="D81">
        <f>VLOOKUP(A81,'HBV ĐL HC'!E:S,15,0)</f>
        <v>4.47</v>
      </c>
      <c r="E81">
        <f>VLOOKUP(A81,'HBV ĐL HC'!E:AD,24,0)</f>
        <v>4.38</v>
      </c>
      <c r="V81" s="1">
        <f t="shared" si="15"/>
        <v>8</v>
      </c>
      <c r="W81" s="1">
        <f t="shared" si="16"/>
        <v>8</v>
      </c>
      <c r="X81" s="1">
        <f t="shared" si="17"/>
        <v>87.5</v>
      </c>
      <c r="Y81" s="91">
        <f>IF(Table1[[#This Row],[Điểm]]=$X$93,1,0)</f>
        <v>0</v>
      </c>
    </row>
    <row r="82" spans="1:39" x14ac:dyDescent="0.25">
      <c r="A82" s="238" t="s">
        <v>87</v>
      </c>
      <c r="B82" s="231" t="s">
        <v>249</v>
      </c>
      <c r="C82">
        <f>VLOOKUP(A82,'HBV ĐL HC'!E:S,15,0)</f>
        <v>4.59</v>
      </c>
      <c r="D82">
        <f>VLOOKUP(A82,'HBV ĐL HC'!E:S,15,0)</f>
        <v>4.59</v>
      </c>
      <c r="E82">
        <f>VLOOKUP(A82,'HBV ĐL HC'!E:AD,24,0)</f>
        <v>4.38</v>
      </c>
      <c r="V82" s="1">
        <f t="shared" si="15"/>
        <v>7</v>
      </c>
      <c r="W82" s="1">
        <f t="shared" si="16"/>
        <v>2</v>
      </c>
      <c r="X82" s="1">
        <f t="shared" si="17"/>
        <v>93.75</v>
      </c>
      <c r="Y82" s="91">
        <f>IF(Table1[[#This Row],[Điểm]]=$X$93,1,0)</f>
        <v>0</v>
      </c>
    </row>
    <row r="83" spans="1:39" x14ac:dyDescent="0.25">
      <c r="A83" s="243" t="s">
        <v>458</v>
      </c>
      <c r="B83" s="267" t="s">
        <v>356</v>
      </c>
      <c r="C83">
        <f>VLOOKUP(A83,'HBV ĐL HC'!E:S,15,0)</f>
        <v>4.01</v>
      </c>
      <c r="D83">
        <f>VLOOKUP(A83,'HBV ĐL HC'!E:S,15,0)</f>
        <v>4.01</v>
      </c>
      <c r="E83">
        <f>VLOOKUP(A83,'HBV ĐL HC'!E:AD,24,0)</f>
        <v>4.38</v>
      </c>
      <c r="V83" s="1">
        <f t="shared" si="15"/>
        <v>6</v>
      </c>
      <c r="W83" s="1">
        <f t="shared" si="16"/>
        <v>0</v>
      </c>
      <c r="X83" s="1">
        <f t="shared" si="17"/>
        <v>93.75</v>
      </c>
      <c r="Y83" s="91">
        <f>IF(Table1[[#This Row],[Điểm]]=$X$93,1,0)</f>
        <v>0</v>
      </c>
    </row>
    <row r="84" spans="1:39" x14ac:dyDescent="0.25">
      <c r="A84" s="243" t="s">
        <v>405</v>
      </c>
      <c r="B84" s="267" t="s">
        <v>356</v>
      </c>
      <c r="C84">
        <f>VLOOKUP(A84,'HBV ĐL HC'!E:S,15,0)</f>
        <v>4.33</v>
      </c>
      <c r="D84">
        <f>VLOOKUP(A84,'HBV ĐL HC'!E:S,15,0)</f>
        <v>4.33</v>
      </c>
      <c r="E84">
        <f>VLOOKUP(A84,'HBV ĐL HC'!E:AD,24,0)</f>
        <v>4.38</v>
      </c>
      <c r="V84" s="1">
        <f t="shared" ref="V84:V88" si="18">R38</f>
        <v>5</v>
      </c>
      <c r="W84" s="1">
        <f t="shared" si="16"/>
        <v>2</v>
      </c>
      <c r="X84" s="1">
        <f t="shared" si="17"/>
        <v>100</v>
      </c>
      <c r="Y84" s="91">
        <f>IF(Table1[[#This Row],[Điểm]]=$X$93,1,0)</f>
        <v>0</v>
      </c>
      <c r="AJ84" t="s">
        <v>342</v>
      </c>
      <c r="AK84" t="s">
        <v>342</v>
      </c>
    </row>
    <row r="85" spans="1:39" x14ac:dyDescent="0.25">
      <c r="A85" s="248" t="s">
        <v>451</v>
      </c>
      <c r="B85" s="249" t="s">
        <v>340</v>
      </c>
      <c r="C85" t="str">
        <f>VLOOKUP(A85,'HBV ĐL HC'!E:S,15,0)</f>
        <v/>
      </c>
      <c r="D85" t="str">
        <f>VLOOKUP(A85,'HBV ĐL HC'!E:S,15,0)</f>
        <v/>
      </c>
      <c r="E85">
        <f>VLOOKUP(A85,'HBV ĐL HC'!E:AD,24,0)</f>
        <v>4.38</v>
      </c>
      <c r="V85" s="1">
        <f t="shared" si="18"/>
        <v>4</v>
      </c>
      <c r="W85" s="1">
        <f t="shared" si="16"/>
        <v>0</v>
      </c>
      <c r="X85" s="1">
        <f t="shared" si="17"/>
        <v>100</v>
      </c>
      <c r="Y85" s="91">
        <f>IF(Table1[[#This Row],[Điểm]]=$X$93,1,0)</f>
        <v>0</v>
      </c>
      <c r="AJ85" t="s">
        <v>342</v>
      </c>
      <c r="AK85" t="s">
        <v>342</v>
      </c>
    </row>
    <row r="86" spans="1:39" x14ac:dyDescent="0.25">
      <c r="A86" s="253" t="s">
        <v>99</v>
      </c>
      <c r="B86" s="255" t="s">
        <v>324</v>
      </c>
      <c r="C86" t="str">
        <f>VLOOKUP(A86,'HBV ĐL HC'!E:S,15,0)</f>
        <v/>
      </c>
      <c r="D86" t="str">
        <f>VLOOKUP(A86,'HBV ĐL HC'!E:S,15,0)</f>
        <v/>
      </c>
      <c r="E86">
        <f>VLOOKUP(A86,'HBV ĐL HC'!E:AD,24,0)</f>
        <v>4.38</v>
      </c>
      <c r="V86" s="1">
        <f t="shared" si="18"/>
        <v>3</v>
      </c>
      <c r="W86" s="1">
        <f t="shared" si="16"/>
        <v>0</v>
      </c>
      <c r="X86" s="1">
        <f t="shared" si="17"/>
        <v>100</v>
      </c>
      <c r="Y86" s="91">
        <f>IF(Table1[[#This Row],[Điểm]]=$X$93,1,0)</f>
        <v>0</v>
      </c>
      <c r="AJ86" t="s">
        <v>342</v>
      </c>
      <c r="AK86" t="s">
        <v>342</v>
      </c>
    </row>
    <row r="87" spans="1:39" ht="31.5" x14ac:dyDescent="0.25">
      <c r="A87" s="259" t="s">
        <v>202</v>
      </c>
      <c r="B87" s="255" t="s">
        <v>297</v>
      </c>
      <c r="C87" t="str">
        <f>VLOOKUP(A87,'HBV ĐL HC'!E:S,15,0)</f>
        <v/>
      </c>
      <c r="D87" t="str">
        <f>VLOOKUP(A87,'HBV ĐL HC'!E:S,15,0)</f>
        <v/>
      </c>
      <c r="E87">
        <f>VLOOKUP(A87,'HBV ĐL HC'!E:AD,24,0)</f>
        <v>4.38</v>
      </c>
      <c r="V87" s="1">
        <f t="shared" si="18"/>
        <v>2</v>
      </c>
      <c r="W87" s="1">
        <f t="shared" si="16"/>
        <v>0</v>
      </c>
      <c r="X87" s="1">
        <f t="shared" si="17"/>
        <v>100</v>
      </c>
      <c r="Y87" s="91">
        <f>IF(Table1[[#This Row],[Điểm]]=$X$93,1,0)</f>
        <v>0</v>
      </c>
    </row>
    <row r="88" spans="1:39" ht="31.5" x14ac:dyDescent="0.25">
      <c r="A88" s="253" t="s">
        <v>310</v>
      </c>
      <c r="B88" s="255" t="s">
        <v>297</v>
      </c>
      <c r="C88" t="str">
        <f>VLOOKUP(A88,'HBV ĐL HC'!E:S,15,0)</f>
        <v/>
      </c>
      <c r="D88" t="str">
        <f>VLOOKUP(A88,'HBV ĐL HC'!E:S,15,0)</f>
        <v/>
      </c>
      <c r="E88">
        <f>VLOOKUP(A88,'HBV ĐL HC'!E:AD,24,0)</f>
        <v>4.38</v>
      </c>
      <c r="V88" s="1">
        <f t="shared" si="18"/>
        <v>1</v>
      </c>
      <c r="W88" s="1">
        <f t="shared" si="16"/>
        <v>0</v>
      </c>
      <c r="X88" s="1">
        <f t="shared" si="17"/>
        <v>100</v>
      </c>
      <c r="Y88" s="91">
        <f>IF(Table1[[#This Row],[Điểm]]=$X$93,1,0)</f>
        <v>0</v>
      </c>
    </row>
    <row r="89" spans="1:39" ht="31.5" x14ac:dyDescent="0.25">
      <c r="A89" s="268" t="s">
        <v>230</v>
      </c>
      <c r="B89" s="255" t="s">
        <v>297</v>
      </c>
      <c r="C89" t="str">
        <f>VLOOKUP(A89,'HBV ĐL HC'!E:S,15,0)</f>
        <v/>
      </c>
      <c r="D89" t="str">
        <f>VLOOKUP(A89,'HBV ĐL HC'!E:S,15,0)</f>
        <v/>
      </c>
      <c r="E89">
        <f>VLOOKUP(A89,'HBV ĐL HC'!E:AD,24,0)</f>
        <v>4.38</v>
      </c>
      <c r="V89" s="1">
        <f t="shared" ref="V89:X89" si="19">R43</f>
        <v>0</v>
      </c>
      <c r="W89" s="1">
        <f t="shared" si="19"/>
        <v>0</v>
      </c>
      <c r="X89" s="1">
        <f t="shared" si="19"/>
        <v>100</v>
      </c>
      <c r="Y89" s="91">
        <f>IF(Table1[[#This Row],[Điểm]]=$X$83,1,0)</f>
        <v>0</v>
      </c>
    </row>
    <row r="90" spans="1:39" x14ac:dyDescent="0.25">
      <c r="B90"/>
    </row>
    <row r="91" spans="1:39" ht="47.25" x14ac:dyDescent="0.25">
      <c r="A91" s="26" t="s">
        <v>3</v>
      </c>
      <c r="B91" s="26" t="s">
        <v>295</v>
      </c>
      <c r="C91" s="15" t="s">
        <v>12</v>
      </c>
      <c r="D91" s="15" t="s">
        <v>12</v>
      </c>
      <c r="E91" s="14" t="s">
        <v>322</v>
      </c>
      <c r="G91" t="s">
        <v>12</v>
      </c>
      <c r="H91" t="s">
        <v>12</v>
      </c>
      <c r="I91" s="29" t="s">
        <v>233</v>
      </c>
      <c r="J91" t="s">
        <v>430</v>
      </c>
      <c r="AJ91" s="15" t="s">
        <v>12</v>
      </c>
      <c r="AK91" s="15" t="s">
        <v>12</v>
      </c>
      <c r="AL91" s="29" t="s">
        <v>233</v>
      </c>
      <c r="AM91" t="s">
        <v>430</v>
      </c>
    </row>
    <row r="92" spans="1:39" x14ac:dyDescent="0.25">
      <c r="A92" s="161" t="s">
        <v>50</v>
      </c>
      <c r="B92" s="162" t="s">
        <v>300</v>
      </c>
      <c r="C92">
        <f>VLOOKUP(A92,'HBV ĐL HC'!E:T,16,0)</f>
        <v>0</v>
      </c>
      <c r="D92">
        <f>VLOOKUP(A92,'HBV ĐL HC'!E:T,16,0)</f>
        <v>0</v>
      </c>
      <c r="E92">
        <f>VLOOKUP(A92,'HBV ĐL HC'!E:AD,25,0)</f>
        <v>4.66</v>
      </c>
      <c r="G92">
        <v>3.84</v>
      </c>
      <c r="H92">
        <v>3.84</v>
      </c>
      <c r="I92" s="5" t="s">
        <v>462</v>
      </c>
      <c r="J92">
        <v>1</v>
      </c>
      <c r="AJ92">
        <v>5.1499999999999995</v>
      </c>
      <c r="AK92">
        <v>5.1499999999999995</v>
      </c>
      <c r="AL92" s="5" t="s">
        <v>431</v>
      </c>
      <c r="AM92">
        <v>1</v>
      </c>
    </row>
    <row r="93" spans="1:39" x14ac:dyDescent="0.25">
      <c r="A93" s="170" t="s">
        <v>60</v>
      </c>
      <c r="B93" s="173" t="s">
        <v>300</v>
      </c>
      <c r="C93" t="str">
        <f>VLOOKUP(A93,'HBV ĐL HC'!E:T,16,0)</f>
        <v>Âm tính</v>
      </c>
      <c r="D93" t="str">
        <f>VLOOKUP(A93,'HBV ĐL HC'!E:T,16,0)</f>
        <v>Âm tính</v>
      </c>
      <c r="E93">
        <f>VLOOKUP(A93,'HBV ĐL HC'!E:AD,25,0)</f>
        <v>4.66</v>
      </c>
      <c r="F93">
        <f>MIN(C92:C101)</f>
        <v>0</v>
      </c>
      <c r="G93">
        <v>4.0999999999999996</v>
      </c>
      <c r="H93">
        <v>4.0999999999999996</v>
      </c>
      <c r="I93" s="5" t="s">
        <v>463</v>
      </c>
      <c r="J93">
        <v>1</v>
      </c>
      <c r="W93" t="str">
        <f>'HBV ĐL HC'!$BN$2</f>
        <v>QBL020</v>
      </c>
      <c r="X93">
        <f>VLOOKUP($W$93,'HBV ĐL HC'!$E:$AQ,39,0)</f>
        <v>9</v>
      </c>
      <c r="AJ93">
        <v>2.98</v>
      </c>
      <c r="AK93">
        <v>2.98</v>
      </c>
      <c r="AL93" s="5" t="s">
        <v>432</v>
      </c>
      <c r="AM93">
        <v>4</v>
      </c>
    </row>
    <row r="94" spans="1:39" x14ac:dyDescent="0.25">
      <c r="A94" s="176" t="s">
        <v>70</v>
      </c>
      <c r="B94" s="173" t="s">
        <v>300</v>
      </c>
      <c r="C94" t="str">
        <f>VLOOKUP(A94,'HBV ĐL HC'!E:T,16,0)</f>
        <v>Not Detected</v>
      </c>
      <c r="D94" t="str">
        <f>VLOOKUP(A94,'HBV ĐL HC'!E:T,16,0)</f>
        <v>Not Detected</v>
      </c>
      <c r="E94">
        <f>VLOOKUP(A94,'HBV ĐL HC'!E:AD,25,0)</f>
        <v>4.66</v>
      </c>
      <c r="F94">
        <f>MAX(C92:C101)</f>
        <v>0</v>
      </c>
      <c r="G94">
        <v>3.4499999999999997</v>
      </c>
      <c r="H94">
        <v>3.4499999999999997</v>
      </c>
      <c r="I94" s="5" t="s">
        <v>464</v>
      </c>
      <c r="J94">
        <v>3</v>
      </c>
      <c r="AJ94">
        <v>2.6599999999999997</v>
      </c>
      <c r="AK94">
        <v>2.6599999999999997</v>
      </c>
      <c r="AL94" s="5" t="s">
        <v>433</v>
      </c>
      <c r="AM94">
        <v>8</v>
      </c>
    </row>
    <row r="95" spans="1:39" x14ac:dyDescent="0.25">
      <c r="A95" s="177" t="s">
        <v>169</v>
      </c>
      <c r="B95" s="178" t="s">
        <v>300</v>
      </c>
      <c r="C95" t="str">
        <f>VLOOKUP(A95,'HBV ĐL HC'!E:T,16,0)</f>
        <v>Âm tính</v>
      </c>
      <c r="D95" t="str">
        <f>VLOOKUP(A95,'HBV ĐL HC'!E:T,16,0)</f>
        <v>Âm tính</v>
      </c>
      <c r="E95">
        <f>VLOOKUP(A95,'HBV ĐL HC'!E:AD,25,0)</f>
        <v>4.66</v>
      </c>
      <c r="G95">
        <v>4.01</v>
      </c>
      <c r="H95">
        <v>4.01</v>
      </c>
      <c r="I95" s="5" t="s">
        <v>465</v>
      </c>
      <c r="J95">
        <v>20</v>
      </c>
      <c r="AJ95">
        <v>3.25</v>
      </c>
      <c r="AK95">
        <v>3.25</v>
      </c>
      <c r="AL95" s="5" t="s">
        <v>434</v>
      </c>
      <c r="AM95">
        <v>12</v>
      </c>
    </row>
    <row r="96" spans="1:39" x14ac:dyDescent="0.25">
      <c r="A96" s="179" t="s">
        <v>178</v>
      </c>
      <c r="B96" s="173" t="s">
        <v>300</v>
      </c>
      <c r="C96" t="str">
        <f>VLOOKUP(A96,'HBV ĐL HC'!E:T,16,0)</f>
        <v>Âm tính</v>
      </c>
      <c r="D96" t="str">
        <f>VLOOKUP(A96,'HBV ĐL HC'!E:T,16,0)</f>
        <v>Âm tính</v>
      </c>
      <c r="E96">
        <f>VLOOKUP(A96,'HBV ĐL HC'!E:AD,25,0)</f>
        <v>4.66</v>
      </c>
      <c r="G96">
        <v>4.12</v>
      </c>
      <c r="H96">
        <v>4.12</v>
      </c>
      <c r="I96" s="5" t="s">
        <v>466</v>
      </c>
      <c r="J96">
        <v>5</v>
      </c>
      <c r="AJ96">
        <v>3.03</v>
      </c>
      <c r="AK96">
        <v>3.03</v>
      </c>
      <c r="AL96" s="5" t="s">
        <v>435</v>
      </c>
      <c r="AM96">
        <v>2</v>
      </c>
    </row>
    <row r="97" spans="1:39" x14ac:dyDescent="0.25">
      <c r="A97" s="179" t="s">
        <v>189</v>
      </c>
      <c r="B97" s="173" t="s">
        <v>300</v>
      </c>
      <c r="C97" t="str">
        <f>VLOOKUP(A97,'HBV ĐL HC'!E:T,16,0)</f>
        <v>0</v>
      </c>
      <c r="D97" t="str">
        <f>VLOOKUP(A97,'HBV ĐL HC'!E:T,16,0)</f>
        <v>0</v>
      </c>
      <c r="E97">
        <f>VLOOKUP(A97,'HBV ĐL HC'!E:AD,25,0)</f>
        <v>4.66</v>
      </c>
      <c r="G97">
        <v>4.62</v>
      </c>
      <c r="H97">
        <v>4.62</v>
      </c>
      <c r="I97" s="5" t="s">
        <v>467</v>
      </c>
      <c r="J97">
        <v>1</v>
      </c>
      <c r="AJ97">
        <v>2.98</v>
      </c>
      <c r="AK97">
        <v>2.98</v>
      </c>
      <c r="AL97" s="5" t="s">
        <v>436</v>
      </c>
      <c r="AM97">
        <v>5</v>
      </c>
    </row>
    <row r="98" spans="1:39" x14ac:dyDescent="0.25">
      <c r="A98" s="179" t="s">
        <v>447</v>
      </c>
      <c r="B98" s="173" t="s">
        <v>300</v>
      </c>
      <c r="C98" t="str">
        <f>VLOOKUP(A98,'HBV ĐL HC'!E:T,16,0)</f>
        <v>Âm tính</v>
      </c>
      <c r="D98" t="str">
        <f>VLOOKUP(A98,'HBV ĐL HC'!E:T,16,0)</f>
        <v>Âm tính</v>
      </c>
      <c r="E98">
        <f>VLOOKUP(A98,'HBV ĐL HC'!E:AD,25,0)</f>
        <v>4.66</v>
      </c>
      <c r="G98">
        <v>4.0999999999999996</v>
      </c>
      <c r="H98">
        <v>4.0999999999999996</v>
      </c>
      <c r="I98" s="5" t="s">
        <v>234</v>
      </c>
      <c r="J98">
        <v>31</v>
      </c>
      <c r="AJ98">
        <v>3.34</v>
      </c>
      <c r="AK98">
        <v>3.34</v>
      </c>
      <c r="AL98" s="5" t="s">
        <v>437</v>
      </c>
      <c r="AM98">
        <v>1</v>
      </c>
    </row>
    <row r="99" spans="1:39" x14ac:dyDescent="0.25">
      <c r="A99" s="179" t="s">
        <v>212</v>
      </c>
      <c r="B99" s="173" t="s">
        <v>300</v>
      </c>
      <c r="C99" t="str">
        <f>VLOOKUP(A99,'HBV ĐL HC'!E:T,16,0)</f>
        <v>0</v>
      </c>
      <c r="D99" t="str">
        <f>VLOOKUP(A99,'HBV ĐL HC'!E:T,16,0)</f>
        <v>0</v>
      </c>
      <c r="E99">
        <f>VLOOKUP(A99,'HBV ĐL HC'!E:AD,25,0)</f>
        <v>4.66</v>
      </c>
      <c r="G99">
        <v>4.09</v>
      </c>
      <c r="H99">
        <v>4.09</v>
      </c>
      <c r="AJ99">
        <v>3.1999999999999997</v>
      </c>
      <c r="AK99">
        <v>3.1999999999999997</v>
      </c>
      <c r="AL99" s="5" t="s">
        <v>234</v>
      </c>
      <c r="AM99">
        <v>33</v>
      </c>
    </row>
    <row r="100" spans="1:39" x14ac:dyDescent="0.25">
      <c r="A100" s="179" t="s">
        <v>218</v>
      </c>
      <c r="B100" s="173" t="s">
        <v>300</v>
      </c>
      <c r="C100" t="str">
        <f>VLOOKUP(A100,'HBV ĐL HC'!E:T,16,0)</f>
        <v>Âm tính</v>
      </c>
      <c r="D100" t="str">
        <f>VLOOKUP(A100,'HBV ĐL HC'!E:T,16,0)</f>
        <v>Âm tính</v>
      </c>
      <c r="E100">
        <f>VLOOKUP(A100,'HBV ĐL HC'!E:AD,25,0)</f>
        <v>4.66</v>
      </c>
      <c r="G100">
        <v>3.73</v>
      </c>
      <c r="H100">
        <v>3.73</v>
      </c>
      <c r="AJ100">
        <v>2.8099999999999996</v>
      </c>
      <c r="AK100">
        <v>2.8099999999999996</v>
      </c>
    </row>
    <row r="101" spans="1:39" x14ac:dyDescent="0.25">
      <c r="A101" s="179" t="s">
        <v>448</v>
      </c>
      <c r="B101" s="173" t="s">
        <v>300</v>
      </c>
      <c r="C101">
        <f>VLOOKUP(A101,'HBV ĐL HC'!E:T,16,0)</f>
        <v>0</v>
      </c>
      <c r="D101">
        <f>VLOOKUP(A101,'HBV ĐL HC'!E:T,16,0)</f>
        <v>0</v>
      </c>
      <c r="E101">
        <f>VLOOKUP(A101,'HBV ĐL HC'!E:AD,25,0)</f>
        <v>4.66</v>
      </c>
      <c r="G101">
        <v>3.98</v>
      </c>
      <c r="H101">
        <v>3.98</v>
      </c>
      <c r="AJ101">
        <v>3.36</v>
      </c>
      <c r="AK101">
        <v>3.36</v>
      </c>
    </row>
    <row r="102" spans="1:39" x14ac:dyDescent="0.25">
      <c r="A102" s="185" t="s">
        <v>413</v>
      </c>
      <c r="B102" s="189" t="s">
        <v>296</v>
      </c>
      <c r="C102" t="str">
        <f>VLOOKUP(A102,'HBV ĐL HC'!E:T,16,0)</f>
        <v>Không phát hiện thấy HBV DNA</v>
      </c>
      <c r="D102" t="str">
        <f>VLOOKUP(A102,'HBV ĐL HC'!E:T,16,0)</f>
        <v>Không phát hiện thấy HBV DNA</v>
      </c>
      <c r="E102">
        <f>VLOOKUP(A102,'HBV ĐL HC'!E:AD,25,0)</f>
        <v>4.58</v>
      </c>
      <c r="F102">
        <f>MIN(C102:C108)</f>
        <v>0</v>
      </c>
      <c r="G102">
        <v>3.9699999999999998</v>
      </c>
      <c r="H102">
        <v>3.9699999999999998</v>
      </c>
      <c r="AJ102">
        <v>3.46</v>
      </c>
      <c r="AK102">
        <v>3.46</v>
      </c>
    </row>
    <row r="103" spans="1:39" x14ac:dyDescent="0.25">
      <c r="A103" s="185" t="s">
        <v>410</v>
      </c>
      <c r="B103" s="189" t="s">
        <v>296</v>
      </c>
      <c r="C103" t="str">
        <f>VLOOKUP(A103,'HBV ĐL HC'!E:T,16,0)</f>
        <v>Target Not Detected</v>
      </c>
      <c r="D103" t="str">
        <f>VLOOKUP(A103,'HBV ĐL HC'!E:T,16,0)</f>
        <v>Target Not Detected</v>
      </c>
      <c r="E103">
        <f>VLOOKUP(A103,'HBV ĐL HC'!E:AD,25,0)</f>
        <v>4.58</v>
      </c>
      <c r="F103">
        <f>MAX(C102:C108)</f>
        <v>0</v>
      </c>
      <c r="G103">
        <v>1.39</v>
      </c>
      <c r="H103">
        <v>1.39</v>
      </c>
      <c r="AJ103">
        <v>2.8499999999999996</v>
      </c>
      <c r="AK103">
        <v>2.8499999999999996</v>
      </c>
    </row>
    <row r="104" spans="1:39" x14ac:dyDescent="0.25">
      <c r="A104" s="188" t="s">
        <v>105</v>
      </c>
      <c r="B104" s="190" t="s">
        <v>296</v>
      </c>
      <c r="C104" t="str">
        <f>VLOOKUP(A104,'HBV ĐL HC'!E:T,16,0)</f>
        <v>Dưới ngưỡng phát hiện</v>
      </c>
      <c r="D104" t="str">
        <f>VLOOKUP(A104,'HBV ĐL HC'!E:T,16,0)</f>
        <v>Dưới ngưỡng phát hiện</v>
      </c>
      <c r="E104">
        <f>VLOOKUP(A104,'HBV ĐL HC'!E:AD,25,0)</f>
        <v>4.58</v>
      </c>
      <c r="G104">
        <v>4.0699999999999994</v>
      </c>
      <c r="H104">
        <v>4.0699999999999994</v>
      </c>
      <c r="AJ104">
        <v>2.63</v>
      </c>
      <c r="AK104">
        <v>2.63</v>
      </c>
    </row>
    <row r="105" spans="1:39" x14ac:dyDescent="0.25">
      <c r="A105" s="188" t="s">
        <v>109</v>
      </c>
      <c r="B105" s="190" t="s">
        <v>296</v>
      </c>
      <c r="C105">
        <f>VLOOKUP(A105,'HBV ĐL HC'!E:T,16,0)</f>
        <v>0</v>
      </c>
      <c r="D105">
        <f>VLOOKUP(A105,'HBV ĐL HC'!E:T,16,0)</f>
        <v>0</v>
      </c>
      <c r="E105">
        <f>VLOOKUP(A105,'HBV ĐL HC'!E:AD,25,0)</f>
        <v>4.58</v>
      </c>
      <c r="G105">
        <v>3.7399999999999998</v>
      </c>
      <c r="H105">
        <v>3.7399999999999998</v>
      </c>
      <c r="V105" t="s">
        <v>301</v>
      </c>
      <c r="W105" t="s">
        <v>350</v>
      </c>
      <c r="AJ105">
        <v>3.4899999999999998</v>
      </c>
      <c r="AK105">
        <v>3.4899999999999998</v>
      </c>
    </row>
    <row r="106" spans="1:39" x14ac:dyDescent="0.25">
      <c r="A106" s="193" t="s">
        <v>124</v>
      </c>
      <c r="B106" s="194" t="s">
        <v>296</v>
      </c>
      <c r="C106" t="str">
        <f>VLOOKUP(A106,'HBV ĐL HC'!E:T,16,0)</f>
        <v>0</v>
      </c>
      <c r="D106" t="str">
        <f>VLOOKUP(A106,'HBV ĐL HC'!E:T,16,0)</f>
        <v>0</v>
      </c>
      <c r="E106">
        <f>VLOOKUP(A106,'HBV ĐL HC'!E:AD,25,0)</f>
        <v>4.58</v>
      </c>
      <c r="G106">
        <v>3.59</v>
      </c>
      <c r="H106">
        <v>3.59</v>
      </c>
      <c r="R106" s="152"/>
      <c r="S106" s="152"/>
      <c r="T106" s="152"/>
      <c r="V106">
        <v>1</v>
      </c>
      <c r="W106">
        <f>IF(VLOOKUP($W$117,CHÊNH!$B:$MF,4,0)&gt;1.5,1.5,IF(VLOOKUP($W$117,CHÊNH!$B:$MF,4,0)&lt;-1.5,-1.5,VLOOKUP($W$117,CHÊNH!$B:$MF,4,0)))</f>
        <v>0</v>
      </c>
      <c r="AJ106">
        <v>3.96</v>
      </c>
      <c r="AK106">
        <v>3.96</v>
      </c>
    </row>
    <row r="107" spans="1:39" x14ac:dyDescent="0.25">
      <c r="A107" s="185" t="s">
        <v>132</v>
      </c>
      <c r="B107" s="276" t="s">
        <v>296</v>
      </c>
      <c r="C107" t="str">
        <f>VLOOKUP(A107,'HBV ĐL HC'!E:T,16,0)</f>
        <v>Âm tính</v>
      </c>
      <c r="D107" t="str">
        <f>VLOOKUP(A107,'HBV ĐL HC'!E:T,16,0)</f>
        <v>Âm tính</v>
      </c>
      <c r="E107">
        <f>VLOOKUP(A107,'HBV ĐL HC'!E:AD,25,0)</f>
        <v>4.58</v>
      </c>
      <c r="G107">
        <v>4.1499999999999995</v>
      </c>
      <c r="H107">
        <v>4.1499999999999995</v>
      </c>
      <c r="V107">
        <v>2</v>
      </c>
      <c r="W107">
        <f>IF(VLOOKUP($W$117,CHÊNH!$B:$MF,5,0)&gt;1.5,1.5,IF(VLOOKUP($W$117,CHÊNH!$B:$MF,5,0)&lt;-1.5,-1.5,VLOOKUP($W$117,CHÊNH!$B:$MF,5,0)))</f>
        <v>1.5</v>
      </c>
      <c r="AJ107">
        <v>3.6199999999999997</v>
      </c>
      <c r="AK107">
        <v>3.6199999999999997</v>
      </c>
    </row>
    <row r="108" spans="1:39" x14ac:dyDescent="0.25">
      <c r="A108" s="185" t="s">
        <v>457</v>
      </c>
      <c r="B108" s="276" t="s">
        <v>296</v>
      </c>
      <c r="C108">
        <f>VLOOKUP(A108,'HBV ĐL HC'!E:T,16,0)</f>
        <v>0</v>
      </c>
      <c r="D108">
        <f>VLOOKUP(A108,'HBV ĐL HC'!E:T,16,0)</f>
        <v>0</v>
      </c>
      <c r="E108">
        <f>VLOOKUP(A108,'HBV ĐL HC'!E:AD,25,0)</f>
        <v>4.58</v>
      </c>
      <c r="G108">
        <v>3.7699999999999996</v>
      </c>
      <c r="H108">
        <v>3.7699999999999996</v>
      </c>
      <c r="V108">
        <v>3</v>
      </c>
      <c r="W108">
        <f>IF(VLOOKUP($W$117,CHÊNH!$B:$MF,6,0)&gt;1.5,1.5,IF(VLOOKUP($W$117,CHÊNH!$B:$MF,6,0)&lt;-1.5,-1.5,VLOOKUP($W$117,CHÊNH!$B:$MF,6,0)))</f>
        <v>1.5</v>
      </c>
      <c r="AJ108">
        <v>4.17</v>
      </c>
      <c r="AK108">
        <v>4.17</v>
      </c>
    </row>
    <row r="109" spans="1:39" ht="18" customHeight="1" x14ac:dyDescent="0.25">
      <c r="A109" s="198" t="s">
        <v>138</v>
      </c>
      <c r="B109" s="201" t="s">
        <v>299</v>
      </c>
      <c r="C109" t="str">
        <f>VLOOKUP(A109,'HBV ĐL HC'!E:T,16,0)</f>
        <v>Dưới ngưỡng phát hiện</v>
      </c>
      <c r="D109" t="str">
        <f>VLOOKUP(A109,'HBV ĐL HC'!E:T,16,0)</f>
        <v>Dưới ngưỡng phát hiện</v>
      </c>
      <c r="E109">
        <f>VLOOKUP(A109,'HBV ĐL HC'!E:AD,25,0)</f>
        <v>4.5599999999999996</v>
      </c>
      <c r="G109">
        <v>4.8999999999999995</v>
      </c>
      <c r="H109">
        <v>4.8999999999999995</v>
      </c>
      <c r="V109">
        <v>4</v>
      </c>
      <c r="W109">
        <f>IF(VLOOKUP($W$117,CHÊNH!$B:$MF,7,0)&gt;1.5,1.5,IF(VLOOKUP($W$117,CHÊNH!$B:$MF,7,0)&lt;-1.5,-1.5,VLOOKUP($W$117,CHÊNH!$B:$MF,7,0)))</f>
        <v>-0.12999999999999989</v>
      </c>
      <c r="AJ109">
        <v>3.92</v>
      </c>
      <c r="AK109">
        <v>3.92</v>
      </c>
    </row>
    <row r="110" spans="1:39" ht="18.75" customHeight="1" x14ac:dyDescent="0.25">
      <c r="A110" s="204" t="s">
        <v>147</v>
      </c>
      <c r="B110" s="201" t="s">
        <v>299</v>
      </c>
      <c r="C110" t="str">
        <f>VLOOKUP(A110,'HBV ĐL HC'!E:T,16,0)</f>
        <v>0</v>
      </c>
      <c r="D110" t="str">
        <f>VLOOKUP(A110,'HBV ĐL HC'!E:T,16,0)</f>
        <v>0</v>
      </c>
      <c r="E110">
        <f>VLOOKUP(A110,'HBV ĐL HC'!E:AD,25,0)</f>
        <v>4.5599999999999996</v>
      </c>
      <c r="F110">
        <f>MIN(C109:C113)</f>
        <v>0</v>
      </c>
      <c r="G110">
        <v>4.1499999999999995</v>
      </c>
      <c r="H110">
        <v>4.1499999999999995</v>
      </c>
      <c r="R110" s="81"/>
      <c r="V110">
        <v>5</v>
      </c>
      <c r="W110">
        <f>IF(VLOOKUP($W$117,CHÊNH!$B:$MF,8,0)&gt;1.5,1.5,IF(VLOOKUP($W$117,CHÊNH!$B:$MF,8,0)&lt;-1.5,-1.5,VLOOKUP($W$117,CHÊNH!$B:$MF,8,0)))</f>
        <v>0</v>
      </c>
      <c r="AJ110">
        <v>3.09</v>
      </c>
      <c r="AK110">
        <v>3.09</v>
      </c>
    </row>
    <row r="111" spans="1:39" ht="18.75" customHeight="1" x14ac:dyDescent="0.25">
      <c r="A111" s="279" t="s">
        <v>92</v>
      </c>
      <c r="B111" s="280" t="s">
        <v>299</v>
      </c>
      <c r="C111" t="str">
        <f>VLOOKUP(A111,'HBV ĐL HC'!E:T,16,0)</f>
        <v>Âm tính</v>
      </c>
      <c r="D111" t="str">
        <f>VLOOKUP(A111,'HBV ĐL HC'!E:T,16,0)</f>
        <v>Âm tính</v>
      </c>
      <c r="E111">
        <f>VLOOKUP(A111,'HBV ĐL HC'!E:AD,25,0)</f>
        <v>4.5599999999999996</v>
      </c>
      <c r="F111">
        <f>MAX(C109:C113)</f>
        <v>0</v>
      </c>
      <c r="G111">
        <v>4.3899999999999997</v>
      </c>
      <c r="H111">
        <v>4.3899999999999997</v>
      </c>
      <c r="V111">
        <v>6</v>
      </c>
      <c r="W111">
        <f>IF(VLOOKUP($W$117,CHÊNH!$B:$MF,9,0)&gt;1.5,1.5,IF(VLOOKUP($W$117,CHÊNH!$B:$MF,9,0)&lt;-1.5,-1.5,VLOOKUP($W$117,CHÊNH!$B:$MF,9,0)))</f>
        <v>-0.20999999999999996</v>
      </c>
      <c r="AJ111">
        <v>3.1999999999999997</v>
      </c>
      <c r="AK111">
        <v>3.1999999999999997</v>
      </c>
    </row>
    <row r="112" spans="1:39" x14ac:dyDescent="0.25">
      <c r="A112" s="204" t="s">
        <v>403</v>
      </c>
      <c r="B112" s="287" t="s">
        <v>299</v>
      </c>
      <c r="C112" t="str">
        <f>VLOOKUP(A112,'HBV ĐL HC'!E:T,16,0)</f>
        <v>N/A</v>
      </c>
      <c r="D112" t="str">
        <f>VLOOKUP(A112,'HBV ĐL HC'!E:T,16,0)</f>
        <v>N/A</v>
      </c>
      <c r="E112">
        <f>VLOOKUP(A112,'HBV ĐL HC'!E:AD,25,0)</f>
        <v>4.5599999999999996</v>
      </c>
      <c r="G112">
        <v>4.33</v>
      </c>
      <c r="H112">
        <v>4.33</v>
      </c>
      <c r="V112">
        <v>7</v>
      </c>
      <c r="W112">
        <f>IF(VLOOKUP($W$117,CHÊNH!$B:$MF,10,0)&gt;1.5,1.5,IF(VLOOKUP($W$117,CHÊNH!$B:$MF,10,0)&lt;-1.5,-1.5,VLOOKUP($W$117,CHÊNH!$B:$MF,10,0)))</f>
        <v>-2.9999999999999361E-2</v>
      </c>
      <c r="AJ112">
        <v>4.0999999999999996</v>
      </c>
      <c r="AK112">
        <v>4.0999999999999996</v>
      </c>
    </row>
    <row r="113" spans="1:37" x14ac:dyDescent="0.25">
      <c r="A113" s="198" t="s">
        <v>209</v>
      </c>
      <c r="B113" s="201" t="s">
        <v>299</v>
      </c>
      <c r="C113" t="str">
        <f>VLOOKUP(A113,'HBV ĐL HC'!E:T,16,0)</f>
        <v>Dưới ngưỡng phát hiện</v>
      </c>
      <c r="D113" t="str">
        <f>VLOOKUP(A113,'HBV ĐL HC'!E:T,16,0)</f>
        <v>Dưới ngưỡng phát hiện</v>
      </c>
      <c r="E113">
        <f>VLOOKUP(A113,'HBV ĐL HC'!E:AD,25,0)</f>
        <v>4.5599999999999996</v>
      </c>
      <c r="G113">
        <v>3.65</v>
      </c>
      <c r="H113">
        <v>3.65</v>
      </c>
      <c r="V113">
        <v>8</v>
      </c>
      <c r="W113">
        <f>IF(VLOOKUP($W$117,CHÊNH!$B:$MF,11,0)&gt;1.5,1.5,IF(VLOOKUP($W$117,CHÊNH!$B:$MF,11,0)&lt;-1.5,-1.5,VLOOKUP($W$117,CHÊNH!$B:$MF,11,0)))</f>
        <v>-0.10000000000000053</v>
      </c>
      <c r="AJ113">
        <v>3.94</v>
      </c>
      <c r="AK113">
        <v>3.94</v>
      </c>
    </row>
    <row r="114" spans="1:37" ht="31.5" x14ac:dyDescent="0.25">
      <c r="A114" s="208" t="s">
        <v>196</v>
      </c>
      <c r="B114" s="7" t="s">
        <v>297</v>
      </c>
      <c r="C114" t="str">
        <f>VLOOKUP(A114,'HBV ĐL HC'!E:T,16,0)</f>
        <v>N/A</v>
      </c>
      <c r="D114" t="str">
        <f>VLOOKUP(A114,'HBV ĐL HC'!E:T,16,0)</f>
        <v>N/A</v>
      </c>
      <c r="E114">
        <f>VLOOKUP(A114,'HBV ĐL HC'!E:AD,25,0)</f>
        <v>4.4799999999999995</v>
      </c>
      <c r="G114">
        <v>3.86</v>
      </c>
      <c r="H114">
        <v>3.86</v>
      </c>
      <c r="V114">
        <v>9</v>
      </c>
      <c r="W114">
        <f>IF(VLOOKUP($W$117,CHÊNH!$B:$MF,12,0)&gt;1.5,1.5,IF(VLOOKUP($W$117,CHÊNH!$B:$MF,12,0)&lt;-1.5,-1.5,VLOOKUP($W$117,CHÊNH!$B:$MF,12,0)))</f>
        <v>0</v>
      </c>
      <c r="AJ114">
        <v>3.4499999999999997</v>
      </c>
      <c r="AK114">
        <v>3.4499999999999997</v>
      </c>
    </row>
    <row r="115" spans="1:37" ht="31.5" x14ac:dyDescent="0.25">
      <c r="A115" s="213" t="s">
        <v>412</v>
      </c>
      <c r="B115" s="210" t="s">
        <v>297</v>
      </c>
      <c r="C115" t="str">
        <f>VLOOKUP(A115,'HBV ĐL HC'!E:T,16,0)</f>
        <v>Âm tính</v>
      </c>
      <c r="D115" t="str">
        <f>VLOOKUP(A115,'HBV ĐL HC'!E:T,16,0)</f>
        <v>Âm tính</v>
      </c>
      <c r="E115">
        <f>VLOOKUP(A115,'HBV ĐL HC'!E:AD,25,0)</f>
        <v>4.4799999999999995</v>
      </c>
      <c r="F115">
        <f>MIN(C114:C118)</f>
        <v>0</v>
      </c>
      <c r="G115">
        <v>3.6599999999999997</v>
      </c>
      <c r="H115">
        <v>3.6599999999999997</v>
      </c>
      <c r="AJ115">
        <v>2.6799999999999997</v>
      </c>
      <c r="AK115">
        <v>2.6799999999999997</v>
      </c>
    </row>
    <row r="116" spans="1:37" ht="31.5" x14ac:dyDescent="0.25">
      <c r="A116" s="213" t="s">
        <v>118</v>
      </c>
      <c r="B116" s="7" t="s">
        <v>297</v>
      </c>
      <c r="C116" t="str">
        <f>VLOOKUP(A116,'HBV ĐL HC'!E:T,16,0)</f>
        <v>Dưới ngưỡng phát hiện</v>
      </c>
      <c r="D116" t="str">
        <f>VLOOKUP(A116,'HBV ĐL HC'!E:T,16,0)</f>
        <v>Dưới ngưỡng phát hiện</v>
      </c>
      <c r="E116">
        <f>VLOOKUP(A116,'HBV ĐL HC'!E:AD,25,0)</f>
        <v>4.4799999999999995</v>
      </c>
      <c r="F116">
        <f>MAX(C114:C118)</f>
        <v>0</v>
      </c>
      <c r="G116">
        <v>3.3299999999999996</v>
      </c>
      <c r="H116">
        <v>3.3299999999999996</v>
      </c>
      <c r="AJ116">
        <v>1.8</v>
      </c>
      <c r="AK116">
        <v>1.8</v>
      </c>
    </row>
    <row r="117" spans="1:37" ht="31.5" x14ac:dyDescent="0.25">
      <c r="A117" s="266" t="s">
        <v>331</v>
      </c>
      <c r="B117" s="7" t="s">
        <v>297</v>
      </c>
      <c r="C117" t="str">
        <f>VLOOKUP(A117,'HBV ĐL HC'!E:T,16,0)</f>
        <v>Âm tính</v>
      </c>
      <c r="D117" t="str">
        <f>VLOOKUP(A117,'HBV ĐL HC'!E:T,16,0)</f>
        <v>Âm tính</v>
      </c>
      <c r="E117">
        <f>VLOOKUP(A117,'HBV ĐL HC'!E:AD,25,0)</f>
        <v>4.4799999999999995</v>
      </c>
      <c r="G117">
        <v>3.63</v>
      </c>
      <c r="H117">
        <v>3.63</v>
      </c>
      <c r="W117" t="str">
        <f>'HBV ĐL HC'!$BN$2</f>
        <v>QBL020</v>
      </c>
      <c r="AJ117">
        <v>3.11</v>
      </c>
      <c r="AK117">
        <v>3.11</v>
      </c>
    </row>
    <row r="118" spans="1:37" ht="31.5" x14ac:dyDescent="0.25">
      <c r="A118" s="266" t="s">
        <v>408</v>
      </c>
      <c r="B118" s="7" t="s">
        <v>297</v>
      </c>
      <c r="C118" t="str">
        <f>VLOOKUP(A118,'HBV ĐL HC'!E:T,16,0)</f>
        <v>Âm tính</v>
      </c>
      <c r="D118" t="str">
        <f>VLOOKUP(A118,'HBV ĐL HC'!E:T,16,0)</f>
        <v>Âm tính</v>
      </c>
      <c r="E118">
        <f>VLOOKUP(A118,'HBV ĐL HC'!E:AD,25,0)</f>
        <v>4.4799999999999995</v>
      </c>
      <c r="G118">
        <v>3.3899999999999997</v>
      </c>
      <c r="H118">
        <v>3.3899999999999997</v>
      </c>
      <c r="AJ118">
        <v>3.2399999999999998</v>
      </c>
      <c r="AK118">
        <v>3.2399999999999998</v>
      </c>
    </row>
    <row r="119" spans="1:37" x14ac:dyDescent="0.25">
      <c r="A119" s="218" t="s">
        <v>156</v>
      </c>
      <c r="B119" s="220" t="s">
        <v>298</v>
      </c>
      <c r="C119" t="str">
        <f>VLOOKUP(A119,'HBV ĐL HC'!E:T,16,0)</f>
        <v>-</v>
      </c>
      <c r="D119" t="str">
        <f>VLOOKUP(A119,'HBV ĐL HC'!E:T,16,0)</f>
        <v>-</v>
      </c>
      <c r="E119">
        <f>VLOOKUP(A119,'HBV ĐL HC'!E:AD,25,0)</f>
        <v>4.5199999999999996</v>
      </c>
      <c r="G119">
        <v>3.67</v>
      </c>
      <c r="H119">
        <v>3.67</v>
      </c>
      <c r="AJ119">
        <v>3.19</v>
      </c>
      <c r="AK119">
        <v>3.19</v>
      </c>
    </row>
    <row r="120" spans="1:37" x14ac:dyDescent="0.25">
      <c r="A120" s="218" t="s">
        <v>161</v>
      </c>
      <c r="B120" s="220" t="s">
        <v>298</v>
      </c>
      <c r="C120" t="str">
        <f>VLOOKUP(A120,'HBV ĐL HC'!E:T,16,0)</f>
        <v>Dưới ngưỡng phát hiện</v>
      </c>
      <c r="D120" t="str">
        <f>VLOOKUP(A120,'HBV ĐL HC'!E:T,16,0)</f>
        <v>Dưới ngưỡng phát hiện</v>
      </c>
      <c r="E120">
        <f>VLOOKUP(A120,'HBV ĐL HC'!E:AD,25,0)</f>
        <v>4.5199999999999996</v>
      </c>
      <c r="G120">
        <v>2.84</v>
      </c>
      <c r="H120">
        <v>2.84</v>
      </c>
      <c r="V120" t="s">
        <v>301</v>
      </c>
      <c r="W120" t="s">
        <v>350</v>
      </c>
      <c r="AJ120">
        <v>3.19</v>
      </c>
      <c r="AK120">
        <v>3.19</v>
      </c>
    </row>
    <row r="121" spans="1:37" x14ac:dyDescent="0.25">
      <c r="A121" s="223" t="s">
        <v>341</v>
      </c>
      <c r="B121" s="222" t="s">
        <v>377</v>
      </c>
      <c r="C121" t="str">
        <f>VLOOKUP(A121,'HBV ĐL HC'!E:T,16,0)</f>
        <v>Dưới ngưỡng phát hiện</v>
      </c>
      <c r="D121" t="str">
        <f>VLOOKUP(A121,'HBV ĐL HC'!E:T,16,0)</f>
        <v>Dưới ngưỡng phát hiện</v>
      </c>
      <c r="E121">
        <f>VLOOKUP(A121,'HBV ĐL HC'!E:AD,25,0)</f>
        <v>4.5199999999999996</v>
      </c>
      <c r="G121">
        <v>3.78</v>
      </c>
      <c r="H121">
        <v>3.78</v>
      </c>
      <c r="V121">
        <v>1</v>
      </c>
      <c r="W121">
        <f>VLOOKUP($W$131,'HIEU XUAT'!$B:$AP,33,0)</f>
        <v>0.2989735461419547</v>
      </c>
      <c r="AJ121">
        <v>3.21</v>
      </c>
      <c r="AK121">
        <v>3.21</v>
      </c>
    </row>
    <row r="122" spans="1:37" x14ac:dyDescent="0.25">
      <c r="A122" s="223" t="s">
        <v>225</v>
      </c>
      <c r="B122" s="222" t="s">
        <v>377</v>
      </c>
      <c r="C122" t="str">
        <f>VLOOKUP(A122,'HBV ĐL HC'!E:T,16,0)</f>
        <v>Dưới ngưỡng phát hiện</v>
      </c>
      <c r="D122" t="str">
        <f>VLOOKUP(A122,'HBV ĐL HC'!E:T,16,0)</f>
        <v>Dưới ngưỡng phát hiện</v>
      </c>
      <c r="E122">
        <f>VLOOKUP(A122,'HBV ĐL HC'!E:AD,25,0)</f>
        <v>4.5199999999999996</v>
      </c>
      <c r="G122">
        <v>3.84</v>
      </c>
      <c r="H122">
        <v>3.84</v>
      </c>
      <c r="V122">
        <v>2</v>
      </c>
      <c r="W122">
        <f>VLOOKUP($W$131,'HIEU XUAT'!$B:$AP,34,0)</f>
        <v>-0.20963301065489834</v>
      </c>
      <c r="AJ122">
        <v>3.51</v>
      </c>
      <c r="AK122">
        <v>3.51</v>
      </c>
    </row>
    <row r="123" spans="1:37" x14ac:dyDescent="0.25">
      <c r="A123" s="229" t="s">
        <v>404</v>
      </c>
      <c r="B123" s="222" t="s">
        <v>377</v>
      </c>
      <c r="C123" t="str">
        <f>VLOOKUP(A123,'HBV ĐL HC'!E:T,16,0)</f>
        <v>Dưới ngưỡng phát hiện</v>
      </c>
      <c r="D123" t="str">
        <f>VLOOKUP(A123,'HBV ĐL HC'!E:T,16,0)</f>
        <v>Dưới ngưỡng phát hiện</v>
      </c>
      <c r="E123">
        <f>VLOOKUP(A123,'HBV ĐL HC'!E:AD,25,0)</f>
        <v>4.5199999999999996</v>
      </c>
      <c r="V123">
        <v>3</v>
      </c>
      <c r="W123">
        <f>VLOOKUP($W$131,'HIEU XUAT'!$B:$AP,35,0)</f>
        <v>-0.35347546805797331</v>
      </c>
      <c r="AJ123">
        <v>3.2399999999999998</v>
      </c>
      <c r="AK123">
        <v>3.2399999999999998</v>
      </c>
    </row>
    <row r="124" spans="1:37" x14ac:dyDescent="0.25">
      <c r="A124" s="282" t="s">
        <v>449</v>
      </c>
      <c r="B124" s="281" t="s">
        <v>249</v>
      </c>
      <c r="C124">
        <f>VLOOKUP(A124,'HBV ĐL HC'!E:T,16,0)</f>
        <v>0</v>
      </c>
      <c r="D124">
        <f>VLOOKUP(A124,'HBV ĐL HC'!E:T,16,0)</f>
        <v>0</v>
      </c>
      <c r="E124">
        <f>VLOOKUP(A124,'HBV ĐL HC'!E:AD,25,0)</f>
        <v>4.5199999999999996</v>
      </c>
      <c r="G124" t="s">
        <v>342</v>
      </c>
      <c r="H124" t="s">
        <v>342</v>
      </c>
      <c r="V124">
        <v>4</v>
      </c>
      <c r="W124">
        <f>VLOOKUP($W$131,'HIEU XUAT'!$B:$AP,36,0)</f>
        <v>-0.24000000000000002</v>
      </c>
      <c r="AJ124">
        <v>3.69</v>
      </c>
      <c r="AK124">
        <v>3.69</v>
      </c>
    </row>
    <row r="125" spans="1:37" x14ac:dyDescent="0.25">
      <c r="A125" s="232" t="s">
        <v>450</v>
      </c>
      <c r="B125" s="231" t="s">
        <v>249</v>
      </c>
      <c r="C125">
        <f>VLOOKUP(A125,'HBV ĐL HC'!E:T,16,0)</f>
        <v>0</v>
      </c>
      <c r="D125">
        <f>VLOOKUP(A125,'HBV ĐL HC'!E:T,16,0)</f>
        <v>0</v>
      </c>
      <c r="E125">
        <f>VLOOKUP(A125,'HBV ĐL HC'!E:AD,25,0)</f>
        <v>4.5199999999999996</v>
      </c>
      <c r="V125">
        <v>5</v>
      </c>
      <c r="W125">
        <f>VLOOKUP($W$131,'HIEU XUAT'!$B:$AP,37,0)</f>
        <v>0.34</v>
      </c>
    </row>
    <row r="126" spans="1:37" x14ac:dyDescent="0.25">
      <c r="A126" s="232" t="s">
        <v>484</v>
      </c>
      <c r="B126" s="231" t="s">
        <v>249</v>
      </c>
      <c r="C126" t="str">
        <f>VLOOKUP(A126,'HBV ĐL HC'!E:T,16,0)</f>
        <v>Âm tính</v>
      </c>
      <c r="D126" t="str">
        <f>VLOOKUP(A126,'HBV ĐL HC'!E:T,16,0)</f>
        <v>Âm tính</v>
      </c>
      <c r="E126">
        <f>VLOOKUP(A126,'HBV ĐL HC'!E:AD,25,0)</f>
        <v>4.5199999999999996</v>
      </c>
      <c r="V126">
        <v>6</v>
      </c>
      <c r="W126" t="e">
        <f>VLOOKUP($W$131,'HIEU XUAT'!$B:$AP,38,0)</f>
        <v>#N/A</v>
      </c>
    </row>
    <row r="127" spans="1:37" x14ac:dyDescent="0.25">
      <c r="A127" s="238" t="s">
        <v>87</v>
      </c>
      <c r="B127" s="231" t="s">
        <v>249</v>
      </c>
      <c r="C127" t="str">
        <f>VLOOKUP(A127,'HBV ĐL HC'!E:T,16,0)</f>
        <v>Âm tính</v>
      </c>
      <c r="D127" t="str">
        <f>VLOOKUP(A127,'HBV ĐL HC'!E:T,16,0)</f>
        <v>Âm tính</v>
      </c>
      <c r="E127">
        <f>VLOOKUP(A127,'HBV ĐL HC'!E:AD,25,0)</f>
        <v>4.5199999999999996</v>
      </c>
      <c r="G127" t="s">
        <v>342</v>
      </c>
      <c r="H127" t="s">
        <v>342</v>
      </c>
      <c r="V127">
        <v>7</v>
      </c>
      <c r="W127" t="e">
        <f>VLOOKUP($W$131,'HIEU XUAT'!$B:$AP,39,0)</f>
        <v>#N/A</v>
      </c>
    </row>
    <row r="128" spans="1:37" x14ac:dyDescent="0.25">
      <c r="A128" s="243" t="s">
        <v>458</v>
      </c>
      <c r="B128" s="267" t="s">
        <v>356</v>
      </c>
      <c r="C128" t="str">
        <f>VLOOKUP(A128,'HBV ĐL HC'!E:T,16,0)</f>
        <v>Dưới ngưỡng phát hiện</v>
      </c>
      <c r="D128" t="str">
        <f>VLOOKUP(A128,'HBV ĐL HC'!E:T,16,0)</f>
        <v>Dưới ngưỡng phát hiện</v>
      </c>
      <c r="E128">
        <f>VLOOKUP(A128,'HBV ĐL HC'!E:AD,25,0)</f>
        <v>4.5199999999999996</v>
      </c>
      <c r="V128">
        <v>8</v>
      </c>
      <c r="W128">
        <f>VLOOKUP($W$131,'HIEU XUAT'!$B:$AP,40,0)</f>
        <v>-1.1200000000000001</v>
      </c>
    </row>
    <row r="129" spans="1:37" x14ac:dyDescent="0.25">
      <c r="A129" s="243" t="s">
        <v>405</v>
      </c>
      <c r="B129" s="267" t="s">
        <v>356</v>
      </c>
      <c r="C129" t="str">
        <f>VLOOKUP(A129,'HBV ĐL HC'!E:T,16,0)</f>
        <v>Âm tính</v>
      </c>
      <c r="D129" t="str">
        <f>VLOOKUP(A129,'HBV ĐL HC'!E:T,16,0)</f>
        <v>Âm tính</v>
      </c>
      <c r="E129">
        <f>VLOOKUP(A129,'HBV ĐL HC'!E:AD,25,0)</f>
        <v>4.5199999999999996</v>
      </c>
      <c r="V129">
        <v>9</v>
      </c>
      <c r="W129">
        <f>VLOOKUP($W$131,'HIEU XUAT'!$B:$AP,41,0)</f>
        <v>0.29000000000000004</v>
      </c>
      <c r="AJ129" t="s">
        <v>342</v>
      </c>
      <c r="AK129" t="s">
        <v>342</v>
      </c>
    </row>
    <row r="130" spans="1:37" x14ac:dyDescent="0.25">
      <c r="A130" s="248" t="s">
        <v>451</v>
      </c>
      <c r="B130" s="249" t="s">
        <v>340</v>
      </c>
      <c r="C130">
        <f>VLOOKUP(A130,'HBV ĐL HC'!E:T,16,0)</f>
        <v>0</v>
      </c>
      <c r="D130">
        <f>VLOOKUP(A130,'HBV ĐL HC'!E:T,16,0)</f>
        <v>0</v>
      </c>
      <c r="E130">
        <f>VLOOKUP(A130,'HBV ĐL HC'!E:AD,25,0)</f>
        <v>4.5199999999999996</v>
      </c>
      <c r="AJ130" t="s">
        <v>342</v>
      </c>
      <c r="AK130" t="s">
        <v>342</v>
      </c>
    </row>
    <row r="131" spans="1:37" x14ac:dyDescent="0.25">
      <c r="A131" s="253" t="s">
        <v>99</v>
      </c>
      <c r="B131" s="255" t="s">
        <v>324</v>
      </c>
      <c r="C131">
        <f>VLOOKUP(A131,'HBV ĐL HC'!E:T,16,0)</f>
        <v>0</v>
      </c>
      <c r="D131">
        <f>VLOOKUP(A131,'HBV ĐL HC'!E:T,16,0)</f>
        <v>0</v>
      </c>
      <c r="E131">
        <f>VLOOKUP(A131,'HBV ĐL HC'!E:AD,25,0)</f>
        <v>4.5199999999999996</v>
      </c>
      <c r="W131" t="str">
        <f>'HBV ĐL HC'!$BN$2</f>
        <v>QBL020</v>
      </c>
      <c r="AJ131" t="s">
        <v>342</v>
      </c>
      <c r="AK131" t="s">
        <v>342</v>
      </c>
    </row>
    <row r="132" spans="1:37" ht="31.5" x14ac:dyDescent="0.25">
      <c r="A132" s="259" t="s">
        <v>202</v>
      </c>
      <c r="B132" s="255" t="s">
        <v>297</v>
      </c>
      <c r="C132">
        <f>VLOOKUP(A132,'HBV ĐL HC'!E:T,16,0)</f>
        <v>0</v>
      </c>
      <c r="D132">
        <f>VLOOKUP(A132,'HBV ĐL HC'!E:T,16,0)</f>
        <v>0</v>
      </c>
      <c r="E132">
        <f>VLOOKUP(A132,'HBV ĐL HC'!E:AD,25,0)</f>
        <v>4.5199999999999996</v>
      </c>
      <c r="G132" s="5"/>
    </row>
    <row r="133" spans="1:37" ht="31.5" x14ac:dyDescent="0.25">
      <c r="A133" s="253" t="s">
        <v>310</v>
      </c>
      <c r="B133" s="255" t="s">
        <v>297</v>
      </c>
      <c r="C133">
        <f>VLOOKUP(A133,'HBV ĐL HC'!E:T,16,0)</f>
        <v>0</v>
      </c>
      <c r="D133">
        <f>VLOOKUP(A133,'HBV ĐL HC'!E:T,16,0)</f>
        <v>0</v>
      </c>
      <c r="E133">
        <f>VLOOKUP(A133,'HBV ĐL HC'!E:AD,25,0)</f>
        <v>4.5199999999999996</v>
      </c>
    </row>
    <row r="134" spans="1:37" ht="31.5" x14ac:dyDescent="0.25">
      <c r="A134" s="268" t="s">
        <v>230</v>
      </c>
      <c r="B134" s="255" t="s">
        <v>297</v>
      </c>
      <c r="C134">
        <f>VLOOKUP(A134,'HBV ĐL HC'!E:T,16,0)</f>
        <v>0</v>
      </c>
      <c r="D134">
        <f>VLOOKUP(A134,'HBV ĐL HC'!E:T,16,0)</f>
        <v>0</v>
      </c>
      <c r="E134">
        <f>VLOOKUP(A134,'HBV ĐL HC'!E:AD,25,0)</f>
        <v>4.5199999999999996</v>
      </c>
    </row>
    <row r="137" spans="1:37" x14ac:dyDescent="0.25">
      <c r="AG137" t="s">
        <v>342</v>
      </c>
      <c r="AH137" t="s">
        <v>342</v>
      </c>
    </row>
    <row r="143" spans="1:37" x14ac:dyDescent="0.25">
      <c r="AG143" t="s">
        <v>342</v>
      </c>
      <c r="AH143" t="s">
        <v>342</v>
      </c>
    </row>
    <row r="144" spans="1:37" x14ac:dyDescent="0.25">
      <c r="AG144" t="s">
        <v>342</v>
      </c>
      <c r="AH144" t="s">
        <v>342</v>
      </c>
    </row>
    <row r="145" spans="33:34" x14ac:dyDescent="0.25">
      <c r="AG145" t="s">
        <v>342</v>
      </c>
      <c r="AH145" t="s">
        <v>342</v>
      </c>
    </row>
  </sheetData>
  <conditionalFormatting sqref="A2:A35 A37:A44">
    <cfRule type="duplicateValues" dxfId="12" priority="12"/>
  </conditionalFormatting>
  <conditionalFormatting sqref="A36">
    <cfRule type="duplicateValues" dxfId="11" priority="2"/>
  </conditionalFormatting>
  <conditionalFormatting sqref="A47:A80">
    <cfRule type="duplicateValues" dxfId="10" priority="7"/>
  </conditionalFormatting>
  <conditionalFormatting sqref="A81">
    <cfRule type="duplicateValues" dxfId="9" priority="1"/>
  </conditionalFormatting>
  <conditionalFormatting sqref="A82:A89">
    <cfRule type="duplicateValues" dxfId="8" priority="5"/>
  </conditionalFormatting>
  <conditionalFormatting sqref="A92:A125">
    <cfRule type="duplicateValues" dxfId="7" priority="6"/>
  </conditionalFormatting>
  <conditionalFormatting sqref="A126">
    <cfRule type="duplicateValues" dxfId="6" priority="3"/>
  </conditionalFormatting>
  <conditionalFormatting sqref="A127:A134">
    <cfRule type="duplicateValues" dxfId="5" priority="4"/>
  </conditionalFormatting>
  <pageMargins left="0.7" right="0.7" top="0.75" bottom="0.75" header="0.3" footer="0.3"/>
  <pageSetup orientation="portrait" verticalDpi="0" r:id="rId7"/>
  <drawing r:id="rId8"/>
  <tableParts count="3">
    <tablePart r:id="rId9"/>
    <tablePart r:id="rId10"/>
    <tablePart r:id="rId1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5"/>
  <sheetViews>
    <sheetView workbookViewId="0">
      <pane xSplit="4" ySplit="2" topLeftCell="E29" activePane="bottomRight" state="frozen"/>
      <selection activeCell="AL28" sqref="AL28"/>
      <selection pane="topRight" activeCell="AL28" sqref="AL28"/>
      <selection pane="bottomLeft" activeCell="AL28" sqref="AL28"/>
      <selection pane="bottomRight" activeCell="AL28" sqref="AL28"/>
    </sheetView>
  </sheetViews>
  <sheetFormatPr defaultRowHeight="15.75" x14ac:dyDescent="0.25"/>
  <cols>
    <col min="1" max="1" width="4.25" customWidth="1"/>
    <col min="4" max="4" width="41.875" customWidth="1"/>
  </cols>
  <sheetData>
    <row r="1" spans="1:13" x14ac:dyDescent="0.25">
      <c r="E1" s="10" t="s">
        <v>445</v>
      </c>
      <c r="F1" s="10"/>
      <c r="G1" s="10"/>
      <c r="H1" s="330" t="s">
        <v>460</v>
      </c>
      <c r="I1" s="330"/>
      <c r="J1" s="330"/>
      <c r="K1" s="330" t="s">
        <v>485</v>
      </c>
      <c r="L1" s="330"/>
      <c r="M1" s="330"/>
    </row>
    <row r="2" spans="1:13" ht="21" x14ac:dyDescent="0.25">
      <c r="A2" t="s">
        <v>0</v>
      </c>
      <c r="B2" s="26" t="s">
        <v>3</v>
      </c>
      <c r="C2" s="26" t="s">
        <v>4</v>
      </c>
      <c r="D2" s="26" t="s">
        <v>5</v>
      </c>
      <c r="E2" s="13" t="s">
        <v>23</v>
      </c>
      <c r="F2" s="13" t="s">
        <v>24</v>
      </c>
      <c r="G2" s="13" t="s">
        <v>25</v>
      </c>
      <c r="H2" s="13" t="s">
        <v>23</v>
      </c>
      <c r="I2" s="13" t="s">
        <v>24</v>
      </c>
      <c r="J2" s="13" t="s">
        <v>25</v>
      </c>
      <c r="K2" s="13" t="s">
        <v>23</v>
      </c>
      <c r="L2" s="13" t="s">
        <v>24</v>
      </c>
      <c r="M2" s="13" t="s">
        <v>25</v>
      </c>
    </row>
    <row r="3" spans="1:13" x14ac:dyDescent="0.25">
      <c r="A3">
        <v>1</v>
      </c>
      <c r="B3" s="127" t="s">
        <v>50</v>
      </c>
      <c r="C3" s="126" t="s">
        <v>51</v>
      </c>
      <c r="D3" s="126" t="s">
        <v>52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</row>
    <row r="4" spans="1:13" x14ac:dyDescent="0.25">
      <c r="A4">
        <v>2</v>
      </c>
      <c r="B4" s="129" t="s">
        <v>60</v>
      </c>
      <c r="C4" s="130" t="s">
        <v>61</v>
      </c>
      <c r="D4" s="128" t="s">
        <v>62</v>
      </c>
      <c r="E4">
        <v>0</v>
      </c>
      <c r="F4">
        <v>1.7700000000000005</v>
      </c>
      <c r="G4">
        <v>2.0199999999999996</v>
      </c>
      <c r="H4">
        <v>-0.12999999999999989</v>
      </c>
      <c r="I4">
        <v>0</v>
      </c>
      <c r="J4">
        <v>-0.20999999999999996</v>
      </c>
      <c r="K4">
        <v>-2.9999999999999361E-2</v>
      </c>
      <c r="L4">
        <v>-0.10000000000000053</v>
      </c>
      <c r="M4">
        <v>0</v>
      </c>
    </row>
    <row r="5" spans="1:13" ht="25.5" x14ac:dyDescent="0.25">
      <c r="A5">
        <v>3</v>
      </c>
      <c r="B5" s="131" t="s">
        <v>70</v>
      </c>
      <c r="C5" s="130" t="s">
        <v>71</v>
      </c>
      <c r="D5" s="128" t="s">
        <v>72</v>
      </c>
      <c r="E5">
        <v>0</v>
      </c>
      <c r="F5">
        <v>-0.10999999999999988</v>
      </c>
      <c r="G5">
        <v>-0.14999999999999991</v>
      </c>
      <c r="H5">
        <v>-0.10000000000000009</v>
      </c>
      <c r="I5">
        <v>0</v>
      </c>
      <c r="J5">
        <v>4.9999999999999822E-2</v>
      </c>
      <c r="K5">
        <v>0.20999999999999996</v>
      </c>
      <c r="L5">
        <v>9.9999999999997868E-3</v>
      </c>
      <c r="M5">
        <v>0</v>
      </c>
    </row>
    <row r="6" spans="1:13" ht="25.5" x14ac:dyDescent="0.25">
      <c r="A6">
        <v>4</v>
      </c>
      <c r="B6" s="151" t="s">
        <v>169</v>
      </c>
      <c r="C6" s="128" t="s">
        <v>170</v>
      </c>
      <c r="D6" s="128" t="s">
        <v>171</v>
      </c>
      <c r="E6">
        <v>0</v>
      </c>
      <c r="F6">
        <v>-0.42999999999999972</v>
      </c>
      <c r="G6">
        <v>-0.4700000000000002</v>
      </c>
      <c r="H6">
        <v>-0.49000000000000021</v>
      </c>
      <c r="I6">
        <v>0</v>
      </c>
      <c r="J6">
        <v>-0.60000000000000009</v>
      </c>
      <c r="K6">
        <v>-0.4399999999999995</v>
      </c>
      <c r="L6">
        <v>-0.41999999999999993</v>
      </c>
      <c r="M6">
        <v>0</v>
      </c>
    </row>
    <row r="7" spans="1:13" x14ac:dyDescent="0.25">
      <c r="A7">
        <v>5</v>
      </c>
      <c r="B7" s="132" t="s">
        <v>178</v>
      </c>
      <c r="C7" s="133" t="s">
        <v>179</v>
      </c>
      <c r="D7" s="128" t="s">
        <v>180</v>
      </c>
      <c r="E7">
        <v>0</v>
      </c>
      <c r="F7">
        <v>5.0000000000000266E-2</v>
      </c>
      <c r="G7">
        <v>0.12000000000000011</v>
      </c>
      <c r="H7">
        <v>0.10999999999999988</v>
      </c>
      <c r="I7">
        <v>0</v>
      </c>
      <c r="J7">
        <v>-4.0000000000000036E-2</v>
      </c>
      <c r="K7">
        <v>-0.20999999999999996</v>
      </c>
      <c r="L7">
        <v>-0.16999999999999993</v>
      </c>
      <c r="M7">
        <v>0</v>
      </c>
    </row>
    <row r="8" spans="1:13" ht="25.5" x14ac:dyDescent="0.25">
      <c r="A8">
        <v>6</v>
      </c>
      <c r="B8" s="132" t="s">
        <v>189</v>
      </c>
      <c r="C8" s="130" t="s">
        <v>190</v>
      </c>
      <c r="D8" s="128" t="s">
        <v>191</v>
      </c>
      <c r="E8">
        <v>0</v>
      </c>
      <c r="F8">
        <v>0.12000000000000011</v>
      </c>
      <c r="G8">
        <v>-0.10000000000000009</v>
      </c>
      <c r="H8">
        <v>2.0000000000000018E-2</v>
      </c>
      <c r="I8">
        <v>0</v>
      </c>
      <c r="J8">
        <v>7.0000000000000284E-2</v>
      </c>
      <c r="K8">
        <v>0.17000000000000082</v>
      </c>
      <c r="L8">
        <v>0.17999999999999972</v>
      </c>
      <c r="M8">
        <v>0</v>
      </c>
    </row>
    <row r="9" spans="1:13" ht="25.5" x14ac:dyDescent="0.25">
      <c r="A9">
        <v>7</v>
      </c>
      <c r="B9" s="132" t="s">
        <v>447</v>
      </c>
      <c r="C9" s="130" t="s">
        <v>79</v>
      </c>
      <c r="D9" s="128" t="s">
        <v>80</v>
      </c>
      <c r="E9">
        <v>0</v>
      </c>
      <c r="F9">
        <v>-0.18999999999999995</v>
      </c>
      <c r="G9">
        <v>-0.14999999999999991</v>
      </c>
      <c r="H9">
        <v>0.23999999999999977</v>
      </c>
      <c r="I9">
        <v>0</v>
      </c>
      <c r="J9">
        <v>0.57000000000000028</v>
      </c>
      <c r="K9">
        <v>-2.9999999999999361E-2</v>
      </c>
      <c r="L9">
        <v>-7.0000000000000284E-2</v>
      </c>
      <c r="M9">
        <v>0</v>
      </c>
    </row>
    <row r="10" spans="1:13" x14ac:dyDescent="0.25">
      <c r="A10">
        <v>8</v>
      </c>
      <c r="B10" s="132" t="s">
        <v>212</v>
      </c>
      <c r="C10" s="130" t="s">
        <v>213</v>
      </c>
      <c r="D10" s="128" t="s">
        <v>214</v>
      </c>
      <c r="E10">
        <v>0</v>
      </c>
      <c r="F10">
        <v>0.18000000000000016</v>
      </c>
      <c r="G10">
        <v>0.20999999999999996</v>
      </c>
      <c r="H10">
        <v>0.27</v>
      </c>
      <c r="I10">
        <v>0</v>
      </c>
      <c r="J10">
        <v>4.9999999999999822E-2</v>
      </c>
      <c r="K10">
        <v>0.24000000000000021</v>
      </c>
      <c r="L10">
        <v>0.33000000000000007</v>
      </c>
      <c r="M10">
        <v>0</v>
      </c>
    </row>
    <row r="11" spans="1:13" x14ac:dyDescent="0.25">
      <c r="A11">
        <v>9</v>
      </c>
      <c r="B11" s="132" t="s">
        <v>218</v>
      </c>
      <c r="C11" s="130" t="s">
        <v>219</v>
      </c>
      <c r="D11" s="128" t="s">
        <v>220</v>
      </c>
      <c r="E11">
        <v>0</v>
      </c>
      <c r="F11">
        <v>0.15000000000000036</v>
      </c>
      <c r="G11">
        <v>6.999999999999984E-2</v>
      </c>
      <c r="H11">
        <v>0.31999999999999984</v>
      </c>
      <c r="I11">
        <v>0</v>
      </c>
      <c r="J11">
        <v>4.0000000000000036E-2</v>
      </c>
      <c r="K11">
        <v>0</v>
      </c>
      <c r="L11">
        <v>0.14999999999999947</v>
      </c>
      <c r="M11">
        <v>0</v>
      </c>
    </row>
    <row r="12" spans="1:13" x14ac:dyDescent="0.25">
      <c r="A12">
        <v>10</v>
      </c>
      <c r="B12" s="132" t="s">
        <v>448</v>
      </c>
      <c r="C12" s="130" t="s">
        <v>85</v>
      </c>
      <c r="D12" s="128" t="s">
        <v>86</v>
      </c>
      <c r="E12">
        <v>0</v>
      </c>
      <c r="F12">
        <v>-0.48</v>
      </c>
      <c r="G12">
        <v>-0.32000000000000028</v>
      </c>
      <c r="H12">
        <v>-0.29000000000000004</v>
      </c>
      <c r="I12">
        <v>0</v>
      </c>
      <c r="J12">
        <v>-0.16000000000000014</v>
      </c>
      <c r="K12" t="e">
        <v>#N/A</v>
      </c>
      <c r="L12" t="e">
        <v>#N/A</v>
      </c>
      <c r="M12" t="e">
        <v>#N/A</v>
      </c>
    </row>
    <row r="13" spans="1:13" x14ac:dyDescent="0.25">
      <c r="A13">
        <v>11</v>
      </c>
      <c r="B13" s="101" t="s">
        <v>413</v>
      </c>
      <c r="C13" s="102" t="s">
        <v>250</v>
      </c>
      <c r="D13" s="100" t="s">
        <v>406</v>
      </c>
      <c r="E13">
        <v>0</v>
      </c>
      <c r="F13">
        <v>7.0000000000000284E-2</v>
      </c>
      <c r="G13">
        <v>0.22999999999999998</v>
      </c>
      <c r="H13">
        <v>4.9999999999999822E-2</v>
      </c>
      <c r="I13">
        <v>0</v>
      </c>
      <c r="J13">
        <v>7.0000000000000284E-2</v>
      </c>
      <c r="K13">
        <v>4.9999999999999822E-2</v>
      </c>
      <c r="L13">
        <v>3.0000000000000249E-2</v>
      </c>
      <c r="M13">
        <v>0</v>
      </c>
    </row>
    <row r="14" spans="1:13" x14ac:dyDescent="0.25">
      <c r="A14">
        <v>12</v>
      </c>
      <c r="B14" s="101" t="s">
        <v>410</v>
      </c>
      <c r="C14" s="102" t="s">
        <v>366</v>
      </c>
      <c r="D14" s="100" t="s">
        <v>409</v>
      </c>
      <c r="E14">
        <v>0</v>
      </c>
      <c r="F14">
        <v>2.0000000000000018E-2</v>
      </c>
      <c r="G14">
        <v>0.33000000000000007</v>
      </c>
      <c r="H14">
        <v>4.9999999999999822E-2</v>
      </c>
      <c r="I14">
        <v>0</v>
      </c>
      <c r="J14">
        <v>6.0000000000000053E-2</v>
      </c>
      <c r="K14">
        <v>7.0000000000000284E-2</v>
      </c>
      <c r="L14">
        <v>0.11000000000000032</v>
      </c>
      <c r="M14">
        <v>0</v>
      </c>
    </row>
    <row r="15" spans="1:13" x14ac:dyDescent="0.25">
      <c r="A15">
        <v>13</v>
      </c>
      <c r="B15" s="103" t="s">
        <v>105</v>
      </c>
      <c r="C15" s="102" t="s">
        <v>106</v>
      </c>
      <c r="D15" s="100" t="s">
        <v>107</v>
      </c>
      <c r="E15">
        <v>0</v>
      </c>
      <c r="F15">
        <v>-0.31999999999999984</v>
      </c>
      <c r="G15">
        <v>-0.28000000000000025</v>
      </c>
      <c r="H15">
        <v>-2.29</v>
      </c>
      <c r="I15">
        <v>0</v>
      </c>
      <c r="J15">
        <v>-2.5199999999999996</v>
      </c>
      <c r="K15">
        <v>-0.19000000000000039</v>
      </c>
      <c r="L15">
        <v>-0.13999999999999968</v>
      </c>
      <c r="M15">
        <v>0</v>
      </c>
    </row>
    <row r="16" spans="1:13" x14ac:dyDescent="0.25">
      <c r="A16">
        <v>14</v>
      </c>
      <c r="B16" s="103" t="s">
        <v>109</v>
      </c>
      <c r="C16" s="102" t="s">
        <v>110</v>
      </c>
      <c r="D16" s="100" t="s">
        <v>111</v>
      </c>
      <c r="E16">
        <v>0</v>
      </c>
      <c r="F16">
        <v>-0.7799999999999998</v>
      </c>
      <c r="G16">
        <v>-0.5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</row>
    <row r="17" spans="1:13" x14ac:dyDescent="0.25">
      <c r="A17">
        <v>15</v>
      </c>
      <c r="B17" s="101" t="s">
        <v>124</v>
      </c>
      <c r="C17" s="104" t="s">
        <v>125</v>
      </c>
      <c r="D17" s="104" t="s">
        <v>126</v>
      </c>
      <c r="E17">
        <v>0</v>
      </c>
      <c r="F17">
        <v>7.0000000000000284E-2</v>
      </c>
      <c r="G17">
        <v>0.35999999999999988</v>
      </c>
      <c r="H17">
        <v>1.0000000000000231E-2</v>
      </c>
      <c r="I17">
        <v>0</v>
      </c>
      <c r="J17">
        <v>0.1599999999999997</v>
      </c>
      <c r="K17">
        <v>0.17999999999999972</v>
      </c>
      <c r="L17">
        <v>9.9999999999999645E-2</v>
      </c>
      <c r="M17">
        <v>0</v>
      </c>
    </row>
    <row r="18" spans="1:13" x14ac:dyDescent="0.25">
      <c r="A18">
        <v>16</v>
      </c>
      <c r="B18" s="106" t="s">
        <v>132</v>
      </c>
      <c r="C18" s="105" t="s">
        <v>133</v>
      </c>
      <c r="D18" s="105" t="s">
        <v>134</v>
      </c>
      <c r="E18" t="e">
        <v>#N/A</v>
      </c>
      <c r="F18" t="e">
        <v>#N/A</v>
      </c>
      <c r="G18" t="e">
        <v>#N/A</v>
      </c>
      <c r="H18">
        <v>-0.60999999999999988</v>
      </c>
      <c r="I18">
        <v>0</v>
      </c>
      <c r="J18">
        <v>-0.16999999999999993</v>
      </c>
      <c r="K18">
        <v>-0.12000000000000011</v>
      </c>
      <c r="L18">
        <v>-0.16000000000000014</v>
      </c>
      <c r="M18">
        <v>0</v>
      </c>
    </row>
    <row r="19" spans="1:13" x14ac:dyDescent="0.25">
      <c r="A19">
        <v>17</v>
      </c>
      <c r="B19" s="106" t="s">
        <v>457</v>
      </c>
      <c r="C19" s="105" t="s">
        <v>85</v>
      </c>
      <c r="D19" s="105" t="s">
        <v>86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</row>
    <row r="20" spans="1:13" x14ac:dyDescent="0.25">
      <c r="A20">
        <v>18</v>
      </c>
      <c r="B20" s="135" t="s">
        <v>138</v>
      </c>
      <c r="C20" s="136" t="s">
        <v>139</v>
      </c>
      <c r="D20" s="134" t="s">
        <v>140</v>
      </c>
      <c r="E20">
        <v>0</v>
      </c>
      <c r="F20">
        <v>0.25999999999999979</v>
      </c>
      <c r="G20">
        <v>0.83000000000000007</v>
      </c>
      <c r="H20">
        <v>-0.28999999999999959</v>
      </c>
      <c r="I20">
        <v>0</v>
      </c>
      <c r="J20">
        <v>-0.2799999999999998</v>
      </c>
      <c r="K20">
        <v>1.3499999999999996</v>
      </c>
      <c r="L20">
        <v>1.3600000000000003</v>
      </c>
      <c r="M20">
        <v>0</v>
      </c>
    </row>
    <row r="21" spans="1:13" ht="25.5" x14ac:dyDescent="0.25">
      <c r="A21">
        <v>19</v>
      </c>
      <c r="B21" s="137" t="s">
        <v>147</v>
      </c>
      <c r="C21" s="138" t="s">
        <v>148</v>
      </c>
      <c r="D21" s="138" t="s">
        <v>149</v>
      </c>
      <c r="E21">
        <v>0</v>
      </c>
      <c r="F21">
        <v>0.45000000000000018</v>
      </c>
      <c r="G21">
        <v>0.48999999999999977</v>
      </c>
      <c r="H21">
        <v>8.0000000000000071E-2</v>
      </c>
      <c r="I21">
        <v>0</v>
      </c>
      <c r="J21">
        <v>0.2799999999999998</v>
      </c>
      <c r="K21">
        <v>1.9999999999999574E-2</v>
      </c>
      <c r="L21">
        <v>-2.9999999999999361E-2</v>
      </c>
      <c r="M21">
        <v>0</v>
      </c>
    </row>
    <row r="22" spans="1:13" x14ac:dyDescent="0.25">
      <c r="A22">
        <v>20</v>
      </c>
      <c r="B22" s="135" t="s">
        <v>92</v>
      </c>
      <c r="C22" s="136" t="s">
        <v>93</v>
      </c>
      <c r="D22" s="134" t="s">
        <v>94</v>
      </c>
      <c r="E22">
        <v>0</v>
      </c>
      <c r="F22">
        <v>0.29999999999999982</v>
      </c>
      <c r="G22">
        <v>1.04</v>
      </c>
      <c r="H22" t="e">
        <v>#N/A</v>
      </c>
      <c r="I22" t="e">
        <v>#N/A</v>
      </c>
      <c r="J22" t="e">
        <v>#N/A</v>
      </c>
      <c r="K22">
        <v>-0.52000000000000046</v>
      </c>
      <c r="L22">
        <v>-0.32999999999999918</v>
      </c>
      <c r="M22">
        <v>0</v>
      </c>
    </row>
    <row r="23" spans="1:13" ht="25.5" x14ac:dyDescent="0.25">
      <c r="A23">
        <v>21</v>
      </c>
      <c r="B23" s="137" t="s">
        <v>403</v>
      </c>
      <c r="C23" s="136" t="s">
        <v>364</v>
      </c>
      <c r="D23" s="134" t="s">
        <v>402</v>
      </c>
      <c r="E23">
        <v>0</v>
      </c>
      <c r="F23">
        <v>0.48000000000000043</v>
      </c>
      <c r="G23">
        <v>0.79</v>
      </c>
      <c r="H23">
        <v>0.10000000000000009</v>
      </c>
      <c r="I23">
        <v>0</v>
      </c>
      <c r="J23">
        <v>-0.10000000000000009</v>
      </c>
      <c r="K23">
        <v>-0.29999999999999982</v>
      </c>
      <c r="L23">
        <v>-0.25999999999999979</v>
      </c>
      <c r="M23">
        <v>0</v>
      </c>
    </row>
    <row r="24" spans="1:13" x14ac:dyDescent="0.25">
      <c r="A24">
        <v>22</v>
      </c>
      <c r="B24" s="135" t="s">
        <v>209</v>
      </c>
      <c r="C24" s="136" t="s">
        <v>210</v>
      </c>
      <c r="D24" s="134" t="s">
        <v>211</v>
      </c>
      <c r="E24">
        <v>0</v>
      </c>
      <c r="F24">
        <v>-1.6799999999999997</v>
      </c>
      <c r="G24">
        <v>-4.0000000000000036E-2</v>
      </c>
      <c r="H24">
        <v>1.1800000000000006</v>
      </c>
      <c r="I24">
        <v>0</v>
      </c>
      <c r="J24">
        <v>1.0299999999999998</v>
      </c>
      <c r="K24">
        <v>5.9999999999999609E-2</v>
      </c>
      <c r="L24">
        <v>0.12000000000000011</v>
      </c>
      <c r="M24">
        <v>0</v>
      </c>
    </row>
    <row r="25" spans="1:13" x14ac:dyDescent="0.25">
      <c r="A25">
        <v>23</v>
      </c>
      <c r="B25" s="108" t="s">
        <v>196</v>
      </c>
      <c r="C25" s="109" t="s">
        <v>197</v>
      </c>
      <c r="D25" s="107" t="s">
        <v>198</v>
      </c>
      <c r="E25">
        <v>0</v>
      </c>
      <c r="F25">
        <v>-0.96999999999999975</v>
      </c>
      <c r="G25">
        <v>6.999999999999984E-2</v>
      </c>
      <c r="H25">
        <v>6.999999999999984E-2</v>
      </c>
      <c r="I25">
        <v>0</v>
      </c>
      <c r="J25">
        <v>6.9999999999999396E-2</v>
      </c>
      <c r="K25">
        <v>-9.9999999999999645E-2</v>
      </c>
      <c r="L25">
        <v>-0.26999999999999957</v>
      </c>
      <c r="M25">
        <v>0</v>
      </c>
    </row>
    <row r="26" spans="1:13" x14ac:dyDescent="0.25">
      <c r="A26">
        <v>24</v>
      </c>
      <c r="B26" s="110" t="s">
        <v>412</v>
      </c>
      <c r="C26" s="109" t="s">
        <v>367</v>
      </c>
      <c r="D26" s="107" t="s">
        <v>411</v>
      </c>
      <c r="E26">
        <v>0</v>
      </c>
      <c r="F26">
        <v>0.53000000000000025</v>
      </c>
      <c r="G26">
        <v>0.96999999999999975</v>
      </c>
      <c r="H26">
        <v>0.41999999999999993</v>
      </c>
      <c r="I26">
        <v>0</v>
      </c>
      <c r="J26">
        <v>0.30999999999999961</v>
      </c>
      <c r="K26">
        <v>-0.20999999999999952</v>
      </c>
      <c r="L26">
        <v>0.62000000000000011</v>
      </c>
      <c r="M26">
        <v>0</v>
      </c>
    </row>
    <row r="27" spans="1:13" x14ac:dyDescent="0.25">
      <c r="A27">
        <v>25</v>
      </c>
      <c r="B27" s="110" t="s">
        <v>118</v>
      </c>
      <c r="C27" s="50" t="s">
        <v>119</v>
      </c>
      <c r="D27" s="50" t="s">
        <v>120</v>
      </c>
      <c r="E27">
        <v>0</v>
      </c>
      <c r="F27">
        <v>0.52000000000000046</v>
      </c>
      <c r="G27">
        <v>0.81</v>
      </c>
      <c r="H27">
        <v>0.21999999999999975</v>
      </c>
      <c r="I27">
        <v>0</v>
      </c>
      <c r="J27">
        <v>0.25</v>
      </c>
      <c r="K27">
        <v>0.20999999999999996</v>
      </c>
      <c r="L27">
        <v>0.14000000000000057</v>
      </c>
      <c r="M27">
        <v>0</v>
      </c>
    </row>
    <row r="28" spans="1:13" x14ac:dyDescent="0.25">
      <c r="A28">
        <v>26</v>
      </c>
      <c r="B28" s="111" t="s">
        <v>331</v>
      </c>
      <c r="C28" s="112" t="s">
        <v>325</v>
      </c>
      <c r="D28" s="79" t="s">
        <v>332</v>
      </c>
      <c r="E28">
        <v>0</v>
      </c>
      <c r="F28">
        <v>0.10000000000000009</v>
      </c>
      <c r="G28">
        <v>0.31999999999999984</v>
      </c>
      <c r="H28">
        <v>-1.5100000000000002</v>
      </c>
      <c r="I28">
        <v>0</v>
      </c>
      <c r="J28">
        <v>-0.43000000000000016</v>
      </c>
      <c r="K28">
        <v>-0.30999999999999961</v>
      </c>
      <c r="L28">
        <v>-0.94999999999999973</v>
      </c>
      <c r="M28">
        <v>0</v>
      </c>
    </row>
    <row r="29" spans="1:13" x14ac:dyDescent="0.25">
      <c r="A29">
        <v>37</v>
      </c>
      <c r="B29" s="111" t="s">
        <v>408</v>
      </c>
      <c r="C29" s="112" t="s">
        <v>365</v>
      </c>
      <c r="D29" s="79" t="s">
        <v>407</v>
      </c>
      <c r="E29">
        <v>0</v>
      </c>
      <c r="F29">
        <v>0.5</v>
      </c>
      <c r="G29">
        <v>0.56000000000000005</v>
      </c>
      <c r="H29">
        <v>-0.20000000000000018</v>
      </c>
      <c r="I29">
        <v>0</v>
      </c>
      <c r="J29">
        <v>-0.2200000000000002</v>
      </c>
      <c r="K29">
        <v>0.45000000000000018</v>
      </c>
      <c r="L29">
        <v>0.26000000000000068</v>
      </c>
      <c r="M29">
        <v>0</v>
      </c>
    </row>
    <row r="30" spans="1:13" x14ac:dyDescent="0.25">
      <c r="A30">
        <v>27</v>
      </c>
      <c r="B30" s="114" t="s">
        <v>156</v>
      </c>
      <c r="C30" s="115" t="s">
        <v>157</v>
      </c>
      <c r="D30" s="113" t="s">
        <v>158</v>
      </c>
      <c r="E30">
        <v>0</v>
      </c>
      <c r="F30">
        <v>-0.4099999999999997</v>
      </c>
      <c r="G30">
        <v>-0.45000000000000018</v>
      </c>
      <c r="H30">
        <v>-0.19999999999999973</v>
      </c>
      <c r="I30">
        <v>0</v>
      </c>
      <c r="J30">
        <v>-0.20999999999999996</v>
      </c>
      <c r="K30">
        <v>0.35000000000000053</v>
      </c>
      <c r="L30">
        <v>0.20000000000000018</v>
      </c>
      <c r="M30">
        <v>0</v>
      </c>
    </row>
    <row r="31" spans="1:13" x14ac:dyDescent="0.25">
      <c r="A31">
        <v>28</v>
      </c>
      <c r="B31" s="114" t="s">
        <v>161</v>
      </c>
      <c r="C31" s="115" t="s">
        <v>162</v>
      </c>
      <c r="D31" s="113" t="s">
        <v>163</v>
      </c>
      <c r="E31">
        <v>0</v>
      </c>
      <c r="F31">
        <v>-1.3299999999999996</v>
      </c>
      <c r="G31">
        <v>-1.3299999999999998</v>
      </c>
      <c r="H31">
        <v>-0.48999999999999977</v>
      </c>
      <c r="I31">
        <v>0</v>
      </c>
      <c r="J31">
        <v>-0.54</v>
      </c>
      <c r="K31">
        <v>-0.98</v>
      </c>
      <c r="L31">
        <v>-0.64999999999999947</v>
      </c>
      <c r="M31">
        <v>0</v>
      </c>
    </row>
    <row r="32" spans="1:13" x14ac:dyDescent="0.25">
      <c r="A32">
        <v>29</v>
      </c>
      <c r="B32" s="116" t="s">
        <v>341</v>
      </c>
      <c r="C32" s="117" t="s">
        <v>337</v>
      </c>
      <c r="D32" s="117" t="s">
        <v>338</v>
      </c>
      <c r="E32">
        <v>0</v>
      </c>
      <c r="F32">
        <v>-0.27</v>
      </c>
      <c r="G32">
        <v>-2.0000000000000018E-2</v>
      </c>
      <c r="H32">
        <v>-0.21999999999999975</v>
      </c>
      <c r="I32">
        <v>0</v>
      </c>
      <c r="J32">
        <v>-0.23999999999999977</v>
      </c>
      <c r="K32">
        <v>-0.34999999999999964</v>
      </c>
      <c r="L32">
        <v>-0.39999999999999947</v>
      </c>
      <c r="M32">
        <v>0</v>
      </c>
    </row>
    <row r="33" spans="1:13" x14ac:dyDescent="0.25">
      <c r="A33">
        <v>30</v>
      </c>
      <c r="B33" s="116" t="s">
        <v>225</v>
      </c>
      <c r="C33" s="117" t="s">
        <v>226</v>
      </c>
      <c r="D33" s="117" t="s">
        <v>227</v>
      </c>
      <c r="E33">
        <v>0</v>
      </c>
      <c r="F33">
        <v>-0.29000000000000004</v>
      </c>
      <c r="G33">
        <v>0.10999999999999988</v>
      </c>
      <c r="H33">
        <v>-0.31999999999999984</v>
      </c>
      <c r="I33">
        <v>0</v>
      </c>
      <c r="J33">
        <v>-0.48</v>
      </c>
      <c r="K33">
        <v>-0.20999999999999996</v>
      </c>
      <c r="L33">
        <v>-0.30999999999999961</v>
      </c>
      <c r="M33">
        <v>0</v>
      </c>
    </row>
    <row r="34" spans="1:13" x14ac:dyDescent="0.25">
      <c r="A34">
        <v>31</v>
      </c>
      <c r="B34" s="119" t="s">
        <v>404</v>
      </c>
      <c r="C34" s="120" t="s">
        <v>357</v>
      </c>
      <c r="D34" s="118" t="s">
        <v>359</v>
      </c>
      <c r="E34">
        <v>0</v>
      </c>
      <c r="F34">
        <v>-0.43999999999999995</v>
      </c>
      <c r="G34">
        <v>6.0000000000000053E-2</v>
      </c>
      <c r="H34">
        <v>1.0000000000000231E-2</v>
      </c>
      <c r="I34">
        <v>0</v>
      </c>
      <c r="J34">
        <v>-0.19999999999999973</v>
      </c>
      <c r="K34">
        <v>-0.16000000000000014</v>
      </c>
      <c r="L34">
        <v>-0.13999999999999968</v>
      </c>
      <c r="M34">
        <v>0</v>
      </c>
    </row>
    <row r="35" spans="1:13" x14ac:dyDescent="0.25">
      <c r="A35">
        <v>32</v>
      </c>
      <c r="B35" s="121" t="s">
        <v>449</v>
      </c>
      <c r="C35" s="122" t="s">
        <v>254</v>
      </c>
      <c r="D35" s="122" t="s">
        <v>266</v>
      </c>
      <c r="E35">
        <v>0</v>
      </c>
      <c r="F35">
        <v>-0.13999999999999968</v>
      </c>
      <c r="G35">
        <v>6.0000000000000053E-2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</row>
    <row r="36" spans="1:13" x14ac:dyDescent="0.25">
      <c r="A36">
        <v>33</v>
      </c>
      <c r="B36" s="121" t="s">
        <v>450</v>
      </c>
      <c r="C36" s="122" t="s">
        <v>254</v>
      </c>
      <c r="D36" s="122" t="s">
        <v>266</v>
      </c>
      <c r="E36">
        <v>0</v>
      </c>
      <c r="F36">
        <v>3.0000000000000249E-2</v>
      </c>
      <c r="G36">
        <v>8.0000000000000071E-2</v>
      </c>
      <c r="H36">
        <v>-1.0199999999999996</v>
      </c>
      <c r="I36">
        <v>0</v>
      </c>
      <c r="J36">
        <v>-1.0299999999999998</v>
      </c>
      <c r="K36" t="e">
        <v>#N/A</v>
      </c>
      <c r="L36" t="e">
        <v>#N/A</v>
      </c>
      <c r="M36" t="e">
        <v>#N/A</v>
      </c>
    </row>
    <row r="37" spans="1:13" x14ac:dyDescent="0.25">
      <c r="B37" s="232" t="s">
        <v>484</v>
      </c>
      <c r="C37" s="233" t="s">
        <v>254</v>
      </c>
      <c r="D37" s="233" t="s">
        <v>266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>
        <v>-5.9999999999999609E-2</v>
      </c>
      <c r="L37">
        <v>-4.9999999999999822E-2</v>
      </c>
      <c r="M37">
        <v>0</v>
      </c>
    </row>
    <row r="38" spans="1:13" x14ac:dyDescent="0.25">
      <c r="A38">
        <v>34</v>
      </c>
      <c r="B38" s="124" t="s">
        <v>87</v>
      </c>
      <c r="C38" s="125" t="s">
        <v>88</v>
      </c>
      <c r="D38" s="123" t="s">
        <v>89</v>
      </c>
      <c r="E38">
        <v>0</v>
      </c>
      <c r="F38">
        <v>1.0300000000000002</v>
      </c>
      <c r="G38">
        <v>0.37999999999999989</v>
      </c>
      <c r="H38">
        <v>2.0000000000000018E-2</v>
      </c>
      <c r="I38">
        <v>0</v>
      </c>
      <c r="J38">
        <v>-8.9999999999999858E-2</v>
      </c>
      <c r="K38">
        <v>-0.22999999999999954</v>
      </c>
      <c r="L38">
        <v>7.0000000000000284E-2</v>
      </c>
      <c r="M38">
        <v>0</v>
      </c>
    </row>
    <row r="39" spans="1:13" x14ac:dyDescent="0.25">
      <c r="A39">
        <v>35</v>
      </c>
      <c r="B39" s="98" t="s">
        <v>458</v>
      </c>
      <c r="C39" s="95" t="s">
        <v>85</v>
      </c>
      <c r="D39" s="94" t="s">
        <v>86</v>
      </c>
      <c r="H39" t="e">
        <v>#N/A</v>
      </c>
      <c r="I39" t="e">
        <v>#N/A</v>
      </c>
      <c r="J39" t="e">
        <v>#N/A</v>
      </c>
      <c r="K39">
        <v>-0.46999999999999975</v>
      </c>
      <c r="L39">
        <v>-0.50999999999999979</v>
      </c>
      <c r="M39">
        <v>0</v>
      </c>
    </row>
    <row r="40" spans="1:13" x14ac:dyDescent="0.25">
      <c r="A40">
        <v>36</v>
      </c>
      <c r="B40" s="98" t="s">
        <v>405</v>
      </c>
      <c r="C40" s="95" t="s">
        <v>251</v>
      </c>
      <c r="D40" s="94" t="s">
        <v>158</v>
      </c>
      <c r="E40">
        <v>0</v>
      </c>
      <c r="F40">
        <v>-0.46999999999999975</v>
      </c>
      <c r="G40">
        <v>0.10999999999999988</v>
      </c>
      <c r="H40">
        <v>3.0000000000000249E-2</v>
      </c>
      <c r="I40">
        <v>0</v>
      </c>
      <c r="J40">
        <v>-2.9999999999999805E-2</v>
      </c>
      <c r="K40">
        <v>-3.0000000000000249E-2</v>
      </c>
      <c r="L40">
        <v>-0.1899999999999995</v>
      </c>
      <c r="M40">
        <v>0</v>
      </c>
    </row>
    <row r="41" spans="1:13" x14ac:dyDescent="0.25">
      <c r="A41">
        <v>38</v>
      </c>
      <c r="B41" s="141" t="s">
        <v>451</v>
      </c>
      <c r="C41" s="140" t="s">
        <v>257</v>
      </c>
      <c r="D41" s="140" t="s">
        <v>258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25">
      <c r="A42">
        <v>39</v>
      </c>
      <c r="B42" s="99" t="s">
        <v>99</v>
      </c>
      <c r="C42" s="96" t="s">
        <v>100</v>
      </c>
      <c r="D42" s="96" t="s">
        <v>101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</row>
    <row r="43" spans="1:13" x14ac:dyDescent="0.25">
      <c r="A43">
        <v>40</v>
      </c>
      <c r="B43" s="97" t="s">
        <v>202</v>
      </c>
      <c r="C43" s="96" t="s">
        <v>203</v>
      </c>
      <c r="D43" s="96" t="s">
        <v>204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</row>
    <row r="44" spans="1:13" x14ac:dyDescent="0.25">
      <c r="A44">
        <v>41</v>
      </c>
      <c r="B44" s="99" t="s">
        <v>310</v>
      </c>
      <c r="C44" s="142" t="s">
        <v>311</v>
      </c>
      <c r="D44" s="142" t="s">
        <v>312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</row>
    <row r="45" spans="1:13" x14ac:dyDescent="0.25">
      <c r="A45">
        <v>42</v>
      </c>
      <c r="B45" s="143" t="s">
        <v>230</v>
      </c>
      <c r="C45" s="80" t="s">
        <v>231</v>
      </c>
      <c r="D45" s="80" t="s">
        <v>232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</row>
  </sheetData>
  <mergeCells count="2">
    <mergeCell ref="H1:J1"/>
    <mergeCell ref="K1:M1"/>
  </mergeCells>
  <conditionalFormatting sqref="B3:B36 B38:B45">
    <cfRule type="duplicateValues" dxfId="4" priority="7"/>
  </conditionalFormatting>
  <conditionalFormatting sqref="B37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P50"/>
  <sheetViews>
    <sheetView tabSelected="1" workbookViewId="0">
      <pane xSplit="5" ySplit="3" topLeftCell="M4" activePane="bottomRight" state="frozen"/>
      <selection activeCell="AL28" sqref="AL28"/>
      <selection pane="topRight" activeCell="AL28" sqref="AL28"/>
      <selection pane="bottomLeft" activeCell="AL28" sqref="AL28"/>
      <selection pane="bottomRight" activeCell="R10" sqref="R10"/>
    </sheetView>
  </sheetViews>
  <sheetFormatPr defaultColWidth="9" defaultRowHeight="15.75" x14ac:dyDescent="0.25"/>
  <cols>
    <col min="1" max="1" width="4.25" bestFit="1" customWidth="1"/>
    <col min="3" max="3" width="8.25" bestFit="1" customWidth="1"/>
    <col min="4" max="4" width="22.75" customWidth="1"/>
    <col min="5" max="5" width="13.75" style="11" bestFit="1" customWidth="1"/>
    <col min="6" max="9" width="5" bestFit="1" customWidth="1"/>
    <col min="10" max="10" width="5.5" customWidth="1"/>
    <col min="11" max="12" width="5" bestFit="1" customWidth="1"/>
    <col min="13" max="15" width="5" customWidth="1"/>
    <col min="16" max="24" width="4.25" customWidth="1"/>
    <col min="25" max="41" width="7.125" customWidth="1"/>
  </cols>
  <sheetData>
    <row r="2" spans="1:42" ht="15.75" customHeight="1" x14ac:dyDescent="0.25">
      <c r="A2" s="11"/>
      <c r="B2" s="11"/>
      <c r="C2" s="11"/>
      <c r="D2" s="11"/>
      <c r="F2" s="271">
        <v>2020</v>
      </c>
      <c r="G2" s="272">
        <v>2021</v>
      </c>
      <c r="H2" s="272">
        <v>2021</v>
      </c>
      <c r="I2" s="272">
        <v>2021</v>
      </c>
      <c r="J2" s="271">
        <v>2022</v>
      </c>
      <c r="K2" s="271">
        <v>2022</v>
      </c>
      <c r="L2" s="271">
        <v>2022</v>
      </c>
      <c r="M2" s="270">
        <v>2023</v>
      </c>
      <c r="N2" s="270">
        <v>2023</v>
      </c>
      <c r="O2" s="270">
        <v>2023</v>
      </c>
      <c r="P2" s="331" t="s">
        <v>237</v>
      </c>
      <c r="Q2" s="332"/>
      <c r="R2" s="332"/>
      <c r="S2" s="332"/>
      <c r="T2" s="332"/>
      <c r="U2" s="332"/>
      <c r="V2" s="332"/>
      <c r="W2" s="332"/>
      <c r="X2" s="332"/>
      <c r="Y2" s="332" t="s">
        <v>238</v>
      </c>
      <c r="Z2" s="332"/>
      <c r="AA2" s="332"/>
      <c r="AB2" s="332"/>
      <c r="AC2" s="332"/>
      <c r="AD2" s="332"/>
      <c r="AE2" s="332"/>
      <c r="AF2" s="332"/>
      <c r="AG2" s="332"/>
      <c r="AH2" s="333" t="s">
        <v>453</v>
      </c>
      <c r="AI2" s="334"/>
      <c r="AJ2" s="334"/>
      <c r="AK2" s="334"/>
      <c r="AL2" s="334"/>
      <c r="AM2" s="334"/>
      <c r="AN2" s="334"/>
      <c r="AO2" s="334"/>
      <c r="AP2" s="334"/>
    </row>
    <row r="3" spans="1:42" ht="21" x14ac:dyDescent="0.25">
      <c r="A3" s="12" t="s">
        <v>0</v>
      </c>
      <c r="B3" s="33" t="s">
        <v>3</v>
      </c>
      <c r="C3" s="33" t="s">
        <v>4</v>
      </c>
      <c r="D3" s="33" t="s">
        <v>5</v>
      </c>
      <c r="E3" s="33" t="s">
        <v>295</v>
      </c>
      <c r="F3" s="76" t="s">
        <v>241</v>
      </c>
      <c r="G3" s="76" t="s">
        <v>239</v>
      </c>
      <c r="H3" s="76" t="s">
        <v>240</v>
      </c>
      <c r="I3" s="76" t="s">
        <v>241</v>
      </c>
      <c r="J3" s="77" t="s">
        <v>239</v>
      </c>
      <c r="K3" s="78" t="s">
        <v>240</v>
      </c>
      <c r="L3" s="78" t="s">
        <v>241</v>
      </c>
      <c r="M3" s="77" t="s">
        <v>239</v>
      </c>
      <c r="N3" s="77" t="s">
        <v>240</v>
      </c>
      <c r="O3" s="77" t="s">
        <v>241</v>
      </c>
      <c r="P3" s="72">
        <v>1</v>
      </c>
      <c r="Q3" s="72">
        <v>2</v>
      </c>
      <c r="R3" s="72">
        <v>3</v>
      </c>
      <c r="S3" s="72">
        <v>4</v>
      </c>
      <c r="T3" s="72">
        <v>5</v>
      </c>
      <c r="U3" s="72">
        <v>6</v>
      </c>
      <c r="V3" s="72">
        <v>7</v>
      </c>
      <c r="W3" s="72">
        <v>8</v>
      </c>
      <c r="X3" s="72">
        <v>9</v>
      </c>
      <c r="Y3" s="73">
        <v>1</v>
      </c>
      <c r="Z3" s="73">
        <v>2</v>
      </c>
      <c r="AA3" s="73">
        <v>3</v>
      </c>
      <c r="AB3" s="73">
        <v>4</v>
      </c>
      <c r="AC3" s="73">
        <v>5</v>
      </c>
      <c r="AD3" s="73">
        <v>6</v>
      </c>
      <c r="AE3" s="73">
        <v>7</v>
      </c>
      <c r="AF3" s="73">
        <v>8</v>
      </c>
      <c r="AG3" s="73">
        <v>9</v>
      </c>
      <c r="AH3" s="74">
        <v>1</v>
      </c>
      <c r="AI3" s="74">
        <v>2</v>
      </c>
      <c r="AJ3" s="74">
        <v>3</v>
      </c>
      <c r="AK3" s="74">
        <v>4</v>
      </c>
      <c r="AL3" s="74">
        <v>5</v>
      </c>
      <c r="AM3" s="74">
        <v>6</v>
      </c>
      <c r="AN3" s="74">
        <v>7</v>
      </c>
      <c r="AO3" s="74">
        <v>8</v>
      </c>
      <c r="AP3" s="74">
        <v>9</v>
      </c>
    </row>
    <row r="4" spans="1:42" ht="15" customHeight="1" x14ac:dyDescent="0.3">
      <c r="A4" s="11">
        <v>1</v>
      </c>
      <c r="B4" s="127" t="s">
        <v>50</v>
      </c>
      <c r="C4" s="126" t="s">
        <v>51</v>
      </c>
      <c r="D4" s="126" t="s">
        <v>52</v>
      </c>
      <c r="E4" s="128" t="s">
        <v>300</v>
      </c>
      <c r="F4" s="31">
        <v>8</v>
      </c>
      <c r="G4" s="31">
        <v>8</v>
      </c>
      <c r="H4" s="31">
        <v>9</v>
      </c>
      <c r="I4" s="31">
        <v>9</v>
      </c>
      <c r="J4" s="31">
        <v>8</v>
      </c>
      <c r="K4" s="31">
        <v>8</v>
      </c>
      <c r="L4" s="31">
        <v>8</v>
      </c>
      <c r="M4" s="31" t="s">
        <v>342</v>
      </c>
      <c r="N4" s="31"/>
      <c r="O4" s="31" t="s">
        <v>342</v>
      </c>
      <c r="P4" s="11">
        <f>IF(COUNTA(F4:G4)=2,SUM(F4:G4),"N/A")</f>
        <v>16</v>
      </c>
      <c r="Q4" s="11">
        <f t="shared" ref="Q4" si="0">IF(COUNTA(G4:H4)=2,SUM(G4:H4),"N/A")</f>
        <v>17</v>
      </c>
      <c r="R4" s="11">
        <f t="shared" ref="R4" si="1">IF(COUNTA(H4:I4)=2,SUM(H4:I4),"N/A")</f>
        <v>18</v>
      </c>
      <c r="S4" s="11">
        <f t="shared" ref="S4" si="2">IF(COUNTA(I4:J4)=2,SUM(I4:J4),"N/A")</f>
        <v>17</v>
      </c>
      <c r="T4" s="11">
        <f t="shared" ref="T4" si="3">IF(COUNTA(J4:K4)=2,SUM(J4:K4),"N/A")</f>
        <v>16</v>
      </c>
      <c r="U4" s="11">
        <f t="shared" ref="U4" si="4">IF(COUNTA(K4:L4)=2,SUM(K4:L4),"N/A")</f>
        <v>16</v>
      </c>
      <c r="V4" s="11">
        <f t="shared" ref="V4" si="5">IF(COUNTA(L4:M4)=2,SUM(L4:M4),"N/A")</f>
        <v>8</v>
      </c>
      <c r="W4" s="11" t="str">
        <f t="shared" ref="W4:X4" si="6">IF(COUNTA(M4:N4)=2,SUM(M4:N4),"N/A")</f>
        <v>N/A</v>
      </c>
      <c r="X4" s="11" t="str">
        <f t="shared" si="6"/>
        <v>N/A</v>
      </c>
      <c r="Y4" s="11">
        <f t="shared" ref="Y4:Y19" si="7">IF(P4&lt;&gt;"N/A",IF(P$50&lt;&gt;0,ROUNDUP((P4-$P$48)/$P$50,2),0),P4)</f>
        <v>-6.9999999999999993E-2</v>
      </c>
      <c r="Z4" s="11">
        <f t="shared" ref="Z4:Z19" si="8">IF(Q4&lt;&gt;"N/A",IF(Q$50&lt;&gt;0,ROUNDUP((Q4-$Q$48)/$Q$50,2),0),Q4)</f>
        <v>0.34</v>
      </c>
      <c r="AA4" s="11">
        <f t="shared" ref="AA4:AA19" si="9">IF(R4&lt;&gt;"N/A",IF(R$50&lt;&gt;0,ROUNDUP((R4-$R$48)/$R$50,2),0),R4)</f>
        <v>0.75</v>
      </c>
      <c r="AB4" s="11">
        <f t="shared" ref="AB4:AB19" si="10">IF(S4&lt;&gt;"N/A",IF(S$50&lt;&gt;0,ROUNDUP((S4-$S$48)/$S$50,2),0),S4)</f>
        <v>0.42</v>
      </c>
      <c r="AC4" s="11">
        <f t="shared" ref="AC4:AC19" si="11">IF(T4&lt;&gt;"N/A",IF(T$50&lt;&gt;0,ROUNDUP((T4-$T$48)/$T$50,2),0),T4)</f>
        <v>-0.22</v>
      </c>
      <c r="AD4" s="11">
        <f t="shared" ref="AD4:AD19" si="12">IF(U4&lt;&gt;"N/A",IF(U$50&lt;&gt;0,ROUNDUP((U4-$U$48)/$U$50,2),0),U4)</f>
        <v>-6.0000000000000005E-2</v>
      </c>
      <c r="AE4" s="11">
        <f t="shared" ref="AE4:AE19" si="13">IF(V4&lt;&gt;"N/A",IF(V$50&lt;&gt;0,ROUNDUP((V4-$V$48)/$V$50,2),0),V4)</f>
        <v>-1.86</v>
      </c>
      <c r="AF4" s="11" t="str">
        <f t="shared" ref="AF4:AF19" si="14">IF(W4&lt;&gt;"N/A",IF(W$50&lt;&gt;0,ROUNDUP((W4-$W$48)/$W$50,2),0),W4)</f>
        <v>N/A</v>
      </c>
      <c r="AG4" s="11" t="str">
        <f t="shared" ref="AG4:AG19" si="15">IF(X4&lt;&gt;"N/A",IF(X$50&lt;&gt;0,ROUNDUP((X4-$X$48)/$X$50,2),0),X4)</f>
        <v>N/A</v>
      </c>
      <c r="AH4">
        <v>-6.6438565809323988E-2</v>
      </c>
      <c r="AI4">
        <v>0.33541281704783926</v>
      </c>
      <c r="AJ4">
        <v>0.7477365670457119</v>
      </c>
      <c r="AK4">
        <v>0.42</v>
      </c>
      <c r="AL4">
        <v>-0.22</v>
      </c>
      <c r="AM4">
        <v>0.39</v>
      </c>
      <c r="AN4" t="e">
        <v>#N/A</v>
      </c>
      <c r="AO4" t="e">
        <v>#N/A</v>
      </c>
      <c r="AP4" t="e">
        <v>#N/A</v>
      </c>
    </row>
    <row r="5" spans="1:42" ht="15" customHeight="1" x14ac:dyDescent="0.3">
      <c r="A5" s="11">
        <v>2</v>
      </c>
      <c r="B5" s="129" t="s">
        <v>60</v>
      </c>
      <c r="C5" s="130" t="s">
        <v>61</v>
      </c>
      <c r="D5" s="128" t="s">
        <v>62</v>
      </c>
      <c r="E5" s="128" t="s">
        <v>300</v>
      </c>
      <c r="F5" s="31">
        <v>9</v>
      </c>
      <c r="G5" s="31">
        <v>8</v>
      </c>
      <c r="H5" s="31">
        <v>8</v>
      </c>
      <c r="I5" s="31">
        <v>7</v>
      </c>
      <c r="J5" s="31">
        <v>8</v>
      </c>
      <c r="K5" s="31">
        <v>9</v>
      </c>
      <c r="L5" s="31"/>
      <c r="M5" s="31">
        <v>5</v>
      </c>
      <c r="N5" s="31">
        <v>8</v>
      </c>
      <c r="O5" s="31">
        <v>9</v>
      </c>
      <c r="P5" s="11">
        <f t="shared" ref="P5:P14" si="16">IF(COUNTA(F5:G5)=2,SUM(F5:G5),"N/A")</f>
        <v>17</v>
      </c>
      <c r="Q5" s="11">
        <f t="shared" ref="Q5:Q14" si="17">IF(COUNTA(G5:H5)=2,SUM(G5:H5),"N/A")</f>
        <v>16</v>
      </c>
      <c r="R5" s="11">
        <f t="shared" ref="R5:R14" si="18">IF(COUNTA(H5:I5)=2,SUM(H5:I5),"N/A")</f>
        <v>15</v>
      </c>
      <c r="S5" s="11">
        <f t="shared" ref="S5:S14" si="19">IF(COUNTA(I5:J5)=2,SUM(I5:J5),"N/A")</f>
        <v>15</v>
      </c>
      <c r="T5" s="11">
        <f t="shared" ref="T5:T14" si="20">IF(COUNTA(J5:K5)=2,SUM(J5:K5),"N/A")</f>
        <v>17</v>
      </c>
      <c r="U5" s="11" t="str">
        <f t="shared" ref="U5:U14" si="21">IF(COUNTA(K5:L5)=2,SUM(K5:L5),"N/A")</f>
        <v>N/A</v>
      </c>
      <c r="V5" s="11" t="str">
        <f t="shared" ref="V5:V14" si="22">IF(COUNTA(L5:M5)=2,SUM(L5:M5),"N/A")</f>
        <v>N/A</v>
      </c>
      <c r="W5" s="11">
        <f t="shared" ref="W5:W14" si="23">IF(COUNTA(M5:N5)=2,SUM(M5:N5),"N/A")</f>
        <v>13</v>
      </c>
      <c r="X5" s="11">
        <f t="shared" ref="X5:X14" si="24">IF(COUNTA(N5:O5)=2,SUM(N5:O5),"N/A")</f>
        <v>17</v>
      </c>
      <c r="Y5" s="11">
        <f t="shared" si="7"/>
        <v>0.3</v>
      </c>
      <c r="Z5" s="11">
        <f t="shared" si="8"/>
        <v>-0.21000000000000002</v>
      </c>
      <c r="AA5" s="11">
        <f t="shared" si="9"/>
        <v>-0.36</v>
      </c>
      <c r="AB5" s="11">
        <f t="shared" si="10"/>
        <v>-0.24000000000000002</v>
      </c>
      <c r="AC5" s="11">
        <f t="shared" si="11"/>
        <v>0.34</v>
      </c>
      <c r="AD5" s="11" t="str">
        <f t="shared" si="12"/>
        <v>N/A</v>
      </c>
      <c r="AE5" s="11" t="str">
        <f t="shared" si="13"/>
        <v>N/A</v>
      </c>
      <c r="AF5" s="11">
        <f t="shared" si="14"/>
        <v>-0.78</v>
      </c>
      <c r="AG5" s="11">
        <f t="shared" si="15"/>
        <v>0.4</v>
      </c>
      <c r="AH5">
        <v>0.2989735461419547</v>
      </c>
      <c r="AI5">
        <v>-0.20963301065489834</v>
      </c>
      <c r="AJ5">
        <v>-0.35347546805797331</v>
      </c>
      <c r="AK5">
        <v>-0.24000000000000002</v>
      </c>
      <c r="AL5">
        <v>0.34</v>
      </c>
      <c r="AM5" t="e">
        <v>#N/A</v>
      </c>
      <c r="AN5" t="e">
        <v>#N/A</v>
      </c>
      <c r="AO5">
        <v>-1.1200000000000001</v>
      </c>
      <c r="AP5">
        <v>0.29000000000000004</v>
      </c>
    </row>
    <row r="6" spans="1:42" ht="15" customHeight="1" x14ac:dyDescent="0.3">
      <c r="A6" s="11">
        <v>3</v>
      </c>
      <c r="B6" s="131" t="s">
        <v>70</v>
      </c>
      <c r="C6" s="130" t="s">
        <v>71</v>
      </c>
      <c r="D6" s="128" t="s">
        <v>72</v>
      </c>
      <c r="E6" s="128" t="s">
        <v>300</v>
      </c>
      <c r="F6" s="31">
        <v>9</v>
      </c>
      <c r="G6" s="31">
        <v>9</v>
      </c>
      <c r="H6" s="31">
        <v>9</v>
      </c>
      <c r="I6" s="31">
        <v>7</v>
      </c>
      <c r="J6" s="31">
        <v>9</v>
      </c>
      <c r="K6" s="31">
        <v>9</v>
      </c>
      <c r="L6" s="31">
        <v>9</v>
      </c>
      <c r="M6" s="31">
        <v>9</v>
      </c>
      <c r="N6" s="31">
        <v>9</v>
      </c>
      <c r="O6" s="31">
        <v>9</v>
      </c>
      <c r="P6" s="11">
        <f t="shared" si="16"/>
        <v>18</v>
      </c>
      <c r="Q6" s="11">
        <f t="shared" si="17"/>
        <v>18</v>
      </c>
      <c r="R6" s="11">
        <f t="shared" si="18"/>
        <v>16</v>
      </c>
      <c r="S6" s="11">
        <f t="shared" si="19"/>
        <v>16</v>
      </c>
      <c r="T6" s="11">
        <f t="shared" si="20"/>
        <v>18</v>
      </c>
      <c r="U6" s="11">
        <f t="shared" si="21"/>
        <v>18</v>
      </c>
      <c r="V6" s="11">
        <f t="shared" si="22"/>
        <v>18</v>
      </c>
      <c r="W6" s="11">
        <f t="shared" si="23"/>
        <v>18</v>
      </c>
      <c r="X6" s="11">
        <f t="shared" si="24"/>
        <v>18</v>
      </c>
      <c r="Y6" s="11">
        <f t="shared" si="7"/>
        <v>0.67</v>
      </c>
      <c r="Z6" s="11">
        <f t="shared" si="8"/>
        <v>0.89</v>
      </c>
      <c r="AA6" s="11">
        <f t="shared" si="9"/>
        <v>0.02</v>
      </c>
      <c r="AB6" s="11">
        <f t="shared" si="10"/>
        <v>0.09</v>
      </c>
      <c r="AC6" s="11">
        <f t="shared" si="11"/>
        <v>0.89</v>
      </c>
      <c r="AD6" s="11">
        <f t="shared" si="12"/>
        <v>0.87</v>
      </c>
      <c r="AE6" s="11">
        <f t="shared" si="13"/>
        <v>0.65</v>
      </c>
      <c r="AF6" s="11">
        <f t="shared" si="14"/>
        <v>0.74</v>
      </c>
      <c r="AG6" s="11">
        <f t="shared" si="15"/>
        <v>0.7</v>
      </c>
      <c r="AH6">
        <v>0.66438565809323347</v>
      </c>
      <c r="AI6">
        <v>0.88045864475057689</v>
      </c>
      <c r="AJ6">
        <v>1.3595210309921774E-2</v>
      </c>
      <c r="AK6">
        <v>0.09</v>
      </c>
      <c r="AL6">
        <v>0.89</v>
      </c>
      <c r="AM6">
        <v>0.92</v>
      </c>
      <c r="AN6">
        <v>0.81</v>
      </c>
      <c r="AO6">
        <v>0.75</v>
      </c>
      <c r="AP6">
        <v>0.76</v>
      </c>
    </row>
    <row r="7" spans="1:42" ht="15" customHeight="1" x14ac:dyDescent="0.3">
      <c r="A7" s="11">
        <v>4</v>
      </c>
      <c r="B7" s="151" t="s">
        <v>169</v>
      </c>
      <c r="C7" s="128" t="s">
        <v>170</v>
      </c>
      <c r="D7" s="128" t="s">
        <v>171</v>
      </c>
      <c r="E7" s="128" t="s">
        <v>300</v>
      </c>
      <c r="F7" s="31">
        <v>9</v>
      </c>
      <c r="G7" s="31">
        <v>9</v>
      </c>
      <c r="H7" s="31">
        <v>8</v>
      </c>
      <c r="I7" s="31">
        <v>9</v>
      </c>
      <c r="J7" s="31">
        <v>8</v>
      </c>
      <c r="K7" s="31">
        <v>9</v>
      </c>
      <c r="L7" s="31">
        <v>8</v>
      </c>
      <c r="M7" s="31">
        <v>7</v>
      </c>
      <c r="N7" s="31">
        <v>6</v>
      </c>
      <c r="O7" s="31">
        <v>7</v>
      </c>
      <c r="P7" s="11">
        <f t="shared" si="16"/>
        <v>18</v>
      </c>
      <c r="Q7" s="11">
        <f t="shared" si="17"/>
        <v>17</v>
      </c>
      <c r="R7" s="11">
        <f t="shared" si="18"/>
        <v>17</v>
      </c>
      <c r="S7" s="11">
        <f t="shared" si="19"/>
        <v>17</v>
      </c>
      <c r="T7" s="11">
        <f t="shared" si="20"/>
        <v>17</v>
      </c>
      <c r="U7" s="11">
        <f t="shared" si="21"/>
        <v>17</v>
      </c>
      <c r="V7" s="11">
        <f t="shared" si="22"/>
        <v>15</v>
      </c>
      <c r="W7" s="11">
        <f t="shared" si="23"/>
        <v>13</v>
      </c>
      <c r="X7" s="11">
        <f t="shared" si="24"/>
        <v>13</v>
      </c>
      <c r="Y7" s="11">
        <f t="shared" si="7"/>
        <v>0.67</v>
      </c>
      <c r="Z7" s="11">
        <f t="shared" si="8"/>
        <v>0.34</v>
      </c>
      <c r="AA7" s="11">
        <f t="shared" si="9"/>
        <v>0.39</v>
      </c>
      <c r="AB7" s="11">
        <f t="shared" si="10"/>
        <v>0.42</v>
      </c>
      <c r="AC7" s="11">
        <f t="shared" si="11"/>
        <v>0.34</v>
      </c>
      <c r="AD7" s="11">
        <f t="shared" si="12"/>
        <v>0.41000000000000003</v>
      </c>
      <c r="AE7" s="11">
        <f t="shared" si="13"/>
        <v>-0.11</v>
      </c>
      <c r="AF7" s="11">
        <f t="shared" si="14"/>
        <v>-0.78</v>
      </c>
      <c r="AG7" s="11">
        <f t="shared" si="15"/>
        <v>-0.82000000000000006</v>
      </c>
      <c r="AH7">
        <v>0.66438565809323347</v>
      </c>
      <c r="AI7">
        <v>0.33541281704783926</v>
      </c>
      <c r="AJ7">
        <v>0.38066588867781687</v>
      </c>
      <c r="AK7">
        <v>0.42</v>
      </c>
      <c r="AL7">
        <v>0.34</v>
      </c>
      <c r="AM7">
        <v>0.65</v>
      </c>
      <c r="AN7">
        <v>-0.57999999999999996</v>
      </c>
      <c r="AO7">
        <v>-1.1200000000000001</v>
      </c>
      <c r="AP7">
        <v>-1.6</v>
      </c>
    </row>
    <row r="8" spans="1:42" ht="15" customHeight="1" x14ac:dyDescent="0.3">
      <c r="A8" s="11">
        <v>5</v>
      </c>
      <c r="B8" s="132" t="s">
        <v>178</v>
      </c>
      <c r="C8" s="133" t="s">
        <v>179</v>
      </c>
      <c r="D8" s="128" t="s">
        <v>180</v>
      </c>
      <c r="E8" s="128" t="s">
        <v>300</v>
      </c>
      <c r="F8" s="31"/>
      <c r="G8" s="31"/>
      <c r="H8" s="31">
        <v>9</v>
      </c>
      <c r="I8" s="31">
        <v>9</v>
      </c>
      <c r="J8" s="31">
        <v>9</v>
      </c>
      <c r="K8" s="31">
        <v>9</v>
      </c>
      <c r="L8" s="31">
        <v>9</v>
      </c>
      <c r="M8" s="31">
        <v>9</v>
      </c>
      <c r="N8" s="31">
        <v>9</v>
      </c>
      <c r="O8" s="31">
        <v>9</v>
      </c>
      <c r="P8" s="11" t="str">
        <f t="shared" si="16"/>
        <v>N/A</v>
      </c>
      <c r="Q8" s="11" t="str">
        <f t="shared" si="17"/>
        <v>N/A</v>
      </c>
      <c r="R8" s="11">
        <f t="shared" si="18"/>
        <v>18</v>
      </c>
      <c r="S8" s="11">
        <f t="shared" si="19"/>
        <v>18</v>
      </c>
      <c r="T8" s="11">
        <f t="shared" si="20"/>
        <v>18</v>
      </c>
      <c r="U8" s="11">
        <f t="shared" si="21"/>
        <v>18</v>
      </c>
      <c r="V8" s="11">
        <f t="shared" si="22"/>
        <v>18</v>
      </c>
      <c r="W8" s="11">
        <f t="shared" si="23"/>
        <v>18</v>
      </c>
      <c r="X8" s="11">
        <f t="shared" si="24"/>
        <v>18</v>
      </c>
      <c r="Y8" s="11" t="str">
        <f t="shared" si="7"/>
        <v>N/A</v>
      </c>
      <c r="Z8" s="11" t="str">
        <f t="shared" si="8"/>
        <v>N/A</v>
      </c>
      <c r="AA8" s="11">
        <f t="shared" si="9"/>
        <v>0.75</v>
      </c>
      <c r="AB8" s="11">
        <f t="shared" si="10"/>
        <v>0.74</v>
      </c>
      <c r="AC8" s="11">
        <f t="shared" si="11"/>
        <v>0.89</v>
      </c>
      <c r="AD8" s="11">
        <f t="shared" si="12"/>
        <v>0.87</v>
      </c>
      <c r="AE8" s="11">
        <f t="shared" si="13"/>
        <v>0.65</v>
      </c>
      <c r="AF8" s="11">
        <f t="shared" si="14"/>
        <v>0.74</v>
      </c>
      <c r="AG8" s="11">
        <f t="shared" si="15"/>
        <v>0.7</v>
      </c>
      <c r="AH8" t="e">
        <v>#N/A</v>
      </c>
      <c r="AI8" t="e">
        <v>#N/A</v>
      </c>
      <c r="AJ8">
        <v>0.7477365670457119</v>
      </c>
      <c r="AK8">
        <v>0.74</v>
      </c>
      <c r="AL8">
        <v>0.89</v>
      </c>
      <c r="AM8">
        <v>0.92</v>
      </c>
      <c r="AN8">
        <v>0.81</v>
      </c>
      <c r="AO8">
        <v>0.75</v>
      </c>
      <c r="AP8">
        <v>0.76</v>
      </c>
    </row>
    <row r="9" spans="1:42" ht="15" customHeight="1" x14ac:dyDescent="0.3">
      <c r="A9" s="11">
        <v>6</v>
      </c>
      <c r="B9" s="132" t="s">
        <v>189</v>
      </c>
      <c r="C9" s="130" t="s">
        <v>190</v>
      </c>
      <c r="D9" s="128" t="s">
        <v>191</v>
      </c>
      <c r="E9" s="128" t="s">
        <v>300</v>
      </c>
      <c r="F9" s="31">
        <v>9</v>
      </c>
      <c r="G9" s="31">
        <v>9</v>
      </c>
      <c r="H9" s="31">
        <v>9</v>
      </c>
      <c r="I9" s="31">
        <v>9</v>
      </c>
      <c r="J9" s="31">
        <v>9</v>
      </c>
      <c r="K9" s="31">
        <v>9</v>
      </c>
      <c r="L9" s="31">
        <v>7</v>
      </c>
      <c r="M9" s="31">
        <v>9</v>
      </c>
      <c r="N9" s="31">
        <v>9</v>
      </c>
      <c r="O9" s="31">
        <v>9</v>
      </c>
      <c r="P9" s="11">
        <f t="shared" si="16"/>
        <v>18</v>
      </c>
      <c r="Q9" s="11">
        <f t="shared" si="17"/>
        <v>18</v>
      </c>
      <c r="R9" s="11">
        <f t="shared" si="18"/>
        <v>18</v>
      </c>
      <c r="S9" s="11">
        <f t="shared" si="19"/>
        <v>18</v>
      </c>
      <c r="T9" s="11">
        <f t="shared" si="20"/>
        <v>18</v>
      </c>
      <c r="U9" s="11">
        <f t="shared" si="21"/>
        <v>16</v>
      </c>
      <c r="V9" s="11">
        <f t="shared" si="22"/>
        <v>16</v>
      </c>
      <c r="W9" s="11">
        <f t="shared" si="23"/>
        <v>18</v>
      </c>
      <c r="X9" s="11">
        <f t="shared" si="24"/>
        <v>18</v>
      </c>
      <c r="Y9" s="11">
        <f t="shared" si="7"/>
        <v>0.67</v>
      </c>
      <c r="Z9" s="11">
        <f t="shared" si="8"/>
        <v>0.89</v>
      </c>
      <c r="AA9" s="11">
        <f t="shared" si="9"/>
        <v>0.75</v>
      </c>
      <c r="AB9" s="11">
        <f t="shared" si="10"/>
        <v>0.74</v>
      </c>
      <c r="AC9" s="11">
        <f t="shared" si="11"/>
        <v>0.89</v>
      </c>
      <c r="AD9" s="11">
        <f t="shared" si="12"/>
        <v>-6.0000000000000005E-2</v>
      </c>
      <c r="AE9" s="11">
        <f t="shared" si="13"/>
        <v>0.15000000000000002</v>
      </c>
      <c r="AF9" s="11">
        <f t="shared" si="14"/>
        <v>0.74</v>
      </c>
      <c r="AG9" s="11">
        <f t="shared" si="15"/>
        <v>0.7</v>
      </c>
      <c r="AH9">
        <v>0.66438565809323347</v>
      </c>
      <c r="AI9">
        <v>0.88045864475057689</v>
      </c>
      <c r="AJ9">
        <v>0.7477365670457119</v>
      </c>
      <c r="AK9">
        <v>0.74</v>
      </c>
      <c r="AL9">
        <v>0.89</v>
      </c>
      <c r="AM9">
        <v>0.39</v>
      </c>
      <c r="AN9">
        <v>-0.12</v>
      </c>
      <c r="AO9">
        <v>0.75</v>
      </c>
      <c r="AP9">
        <v>0.76</v>
      </c>
    </row>
    <row r="10" spans="1:42" ht="15" customHeight="1" x14ac:dyDescent="0.3">
      <c r="A10" s="11">
        <v>7</v>
      </c>
      <c r="B10" s="132" t="s">
        <v>447</v>
      </c>
      <c r="C10" s="130" t="s">
        <v>79</v>
      </c>
      <c r="D10" s="128" t="s">
        <v>80</v>
      </c>
      <c r="E10" s="128" t="s">
        <v>300</v>
      </c>
      <c r="F10" s="31">
        <v>9</v>
      </c>
      <c r="G10" s="31">
        <v>5</v>
      </c>
      <c r="H10" s="31">
        <v>8</v>
      </c>
      <c r="I10" s="31">
        <v>9</v>
      </c>
      <c r="J10" s="31">
        <v>9</v>
      </c>
      <c r="K10" s="31">
        <v>9</v>
      </c>
      <c r="L10" s="31"/>
      <c r="M10" s="31">
        <v>9</v>
      </c>
      <c r="N10" s="31">
        <v>7</v>
      </c>
      <c r="O10" s="31">
        <v>9</v>
      </c>
      <c r="P10" s="11">
        <f t="shared" si="16"/>
        <v>14</v>
      </c>
      <c r="Q10" s="11">
        <f t="shared" si="17"/>
        <v>13</v>
      </c>
      <c r="R10" s="11">
        <f t="shared" si="18"/>
        <v>17</v>
      </c>
      <c r="S10" s="11">
        <f t="shared" si="19"/>
        <v>18</v>
      </c>
      <c r="T10" s="11">
        <f t="shared" si="20"/>
        <v>18</v>
      </c>
      <c r="U10" s="11" t="str">
        <f t="shared" si="21"/>
        <v>N/A</v>
      </c>
      <c r="V10" s="11" t="str">
        <f t="shared" si="22"/>
        <v>N/A</v>
      </c>
      <c r="W10" s="11">
        <f t="shared" si="23"/>
        <v>16</v>
      </c>
      <c r="X10" s="11">
        <f t="shared" si="24"/>
        <v>16</v>
      </c>
      <c r="Y10" s="11">
        <f t="shared" si="7"/>
        <v>-0.8</v>
      </c>
      <c r="Z10" s="11">
        <f t="shared" si="8"/>
        <v>-1.85</v>
      </c>
      <c r="AA10" s="11">
        <f t="shared" si="9"/>
        <v>0.39</v>
      </c>
      <c r="AB10" s="11">
        <f t="shared" si="10"/>
        <v>0.74</v>
      </c>
      <c r="AC10" s="11">
        <f t="shared" si="11"/>
        <v>0.89</v>
      </c>
      <c r="AD10" s="11" t="str">
        <f t="shared" si="12"/>
        <v>N/A</v>
      </c>
      <c r="AE10" s="11" t="str">
        <f t="shared" si="13"/>
        <v>N/A</v>
      </c>
      <c r="AF10" s="11">
        <f t="shared" si="14"/>
        <v>0.14000000000000001</v>
      </c>
      <c r="AG10" s="11">
        <f t="shared" si="15"/>
        <v>9.9999999999999992E-2</v>
      </c>
      <c r="AH10">
        <v>-0.79726278971188136</v>
      </c>
      <c r="AI10">
        <v>-1.8447704937631113</v>
      </c>
      <c r="AJ10">
        <v>0.38066588867781687</v>
      </c>
      <c r="AK10">
        <v>0.74</v>
      </c>
      <c r="AL10">
        <v>0.89</v>
      </c>
      <c r="AM10">
        <v>-1.49</v>
      </c>
      <c r="AN10" t="e">
        <v>#N/A</v>
      </c>
      <c r="AO10">
        <v>0</v>
      </c>
      <c r="AP10">
        <v>-0.19</v>
      </c>
    </row>
    <row r="11" spans="1:42" ht="15" customHeight="1" x14ac:dyDescent="0.3">
      <c r="A11" s="11">
        <v>8</v>
      </c>
      <c r="B11" s="132" t="s">
        <v>212</v>
      </c>
      <c r="C11" s="130" t="s">
        <v>213</v>
      </c>
      <c r="D11" s="128" t="s">
        <v>214</v>
      </c>
      <c r="E11" s="128" t="s">
        <v>300</v>
      </c>
      <c r="F11" s="31">
        <v>9</v>
      </c>
      <c r="G11" s="31">
        <v>8</v>
      </c>
      <c r="H11" s="31">
        <v>9</v>
      </c>
      <c r="I11" s="31">
        <v>9</v>
      </c>
      <c r="J11" s="31">
        <v>9</v>
      </c>
      <c r="K11" s="31">
        <v>7</v>
      </c>
      <c r="L11" s="31">
        <v>8</v>
      </c>
      <c r="M11" s="31">
        <v>9</v>
      </c>
      <c r="N11" s="31">
        <v>9</v>
      </c>
      <c r="O11" s="31">
        <v>8</v>
      </c>
      <c r="P11" s="11">
        <f t="shared" si="16"/>
        <v>17</v>
      </c>
      <c r="Q11" s="11">
        <f t="shared" si="17"/>
        <v>17</v>
      </c>
      <c r="R11" s="11">
        <f t="shared" si="18"/>
        <v>18</v>
      </c>
      <c r="S11" s="11">
        <f t="shared" si="19"/>
        <v>18</v>
      </c>
      <c r="T11" s="11">
        <f t="shared" si="20"/>
        <v>16</v>
      </c>
      <c r="U11" s="11">
        <f t="shared" si="21"/>
        <v>15</v>
      </c>
      <c r="V11" s="11">
        <f t="shared" si="22"/>
        <v>17</v>
      </c>
      <c r="W11" s="11">
        <f t="shared" si="23"/>
        <v>18</v>
      </c>
      <c r="X11" s="11">
        <f t="shared" si="24"/>
        <v>17</v>
      </c>
      <c r="Y11" s="11">
        <f t="shared" si="7"/>
        <v>0.3</v>
      </c>
      <c r="Z11" s="11">
        <f t="shared" si="8"/>
        <v>0.34</v>
      </c>
      <c r="AA11" s="11">
        <f t="shared" si="9"/>
        <v>0.75</v>
      </c>
      <c r="AB11" s="11">
        <f t="shared" si="10"/>
        <v>0.74</v>
      </c>
      <c r="AC11" s="11">
        <f t="shared" si="11"/>
        <v>-0.22</v>
      </c>
      <c r="AD11" s="11">
        <f t="shared" si="12"/>
        <v>-0.52</v>
      </c>
      <c r="AE11" s="11">
        <f t="shared" si="13"/>
        <v>0.4</v>
      </c>
      <c r="AF11" s="11">
        <f t="shared" si="14"/>
        <v>0.74</v>
      </c>
      <c r="AG11" s="11">
        <f t="shared" si="15"/>
        <v>0.4</v>
      </c>
      <c r="AH11">
        <v>0.2989735461419547</v>
      </c>
      <c r="AI11">
        <v>0.33541281704783926</v>
      </c>
      <c r="AJ11">
        <v>0.7477365670457119</v>
      </c>
      <c r="AK11">
        <v>0.74</v>
      </c>
      <c r="AL11">
        <v>-0.22</v>
      </c>
      <c r="AM11">
        <v>0.12</v>
      </c>
      <c r="AN11">
        <v>0.35000000000000003</v>
      </c>
      <c r="AO11">
        <v>0.75</v>
      </c>
      <c r="AP11">
        <v>0.29000000000000004</v>
      </c>
    </row>
    <row r="12" spans="1:42" ht="15" customHeight="1" x14ac:dyDescent="0.3">
      <c r="A12" s="11">
        <v>9</v>
      </c>
      <c r="B12" s="132" t="s">
        <v>218</v>
      </c>
      <c r="C12" s="130" t="s">
        <v>219</v>
      </c>
      <c r="D12" s="128" t="s">
        <v>220</v>
      </c>
      <c r="E12" s="128" t="s">
        <v>300</v>
      </c>
      <c r="F12" s="31">
        <v>9</v>
      </c>
      <c r="G12" s="31">
        <v>9</v>
      </c>
      <c r="H12" s="31">
        <v>9</v>
      </c>
      <c r="I12" s="31">
        <v>9</v>
      </c>
      <c r="J12" s="31">
        <v>6</v>
      </c>
      <c r="K12" s="31">
        <v>7</v>
      </c>
      <c r="L12" s="31">
        <v>8</v>
      </c>
      <c r="M12" s="31">
        <v>9</v>
      </c>
      <c r="N12" s="31">
        <v>8</v>
      </c>
      <c r="O12" s="31">
        <v>9</v>
      </c>
      <c r="P12" s="11">
        <f t="shared" si="16"/>
        <v>18</v>
      </c>
      <c r="Q12" s="11">
        <f t="shared" si="17"/>
        <v>18</v>
      </c>
      <c r="R12" s="11">
        <f t="shared" si="18"/>
        <v>18</v>
      </c>
      <c r="S12" s="11">
        <f t="shared" si="19"/>
        <v>15</v>
      </c>
      <c r="T12" s="11">
        <f t="shared" si="20"/>
        <v>13</v>
      </c>
      <c r="U12" s="11">
        <f t="shared" si="21"/>
        <v>15</v>
      </c>
      <c r="V12" s="11">
        <f t="shared" si="22"/>
        <v>17</v>
      </c>
      <c r="W12" s="11">
        <f t="shared" si="23"/>
        <v>17</v>
      </c>
      <c r="X12" s="11">
        <f t="shared" si="24"/>
        <v>17</v>
      </c>
      <c r="Y12" s="11">
        <f t="shared" si="7"/>
        <v>0.67</v>
      </c>
      <c r="Z12" s="11">
        <f t="shared" si="8"/>
        <v>0.89</v>
      </c>
      <c r="AA12" s="11">
        <f t="shared" si="9"/>
        <v>0.75</v>
      </c>
      <c r="AB12" s="11">
        <f t="shared" si="10"/>
        <v>-0.24000000000000002</v>
      </c>
      <c r="AC12" s="11">
        <f t="shared" si="11"/>
        <v>-1.8800000000000001</v>
      </c>
      <c r="AD12" s="11">
        <f t="shared" si="12"/>
        <v>-0.52</v>
      </c>
      <c r="AE12" s="11">
        <f t="shared" si="13"/>
        <v>0.4</v>
      </c>
      <c r="AF12" s="11">
        <f t="shared" si="14"/>
        <v>0.44</v>
      </c>
      <c r="AG12" s="11">
        <f t="shared" si="15"/>
        <v>0.4</v>
      </c>
      <c r="AH12">
        <v>0.66438565809323347</v>
      </c>
      <c r="AI12">
        <v>0.88045864475057689</v>
      </c>
      <c r="AJ12">
        <v>0.7477365670457119</v>
      </c>
      <c r="AK12">
        <v>-0.24000000000000002</v>
      </c>
      <c r="AL12">
        <v>-1.8800000000000001</v>
      </c>
      <c r="AM12">
        <v>0.12</v>
      </c>
      <c r="AN12">
        <v>0.35000000000000003</v>
      </c>
      <c r="AO12">
        <v>0.38</v>
      </c>
      <c r="AP12">
        <v>0.29000000000000004</v>
      </c>
    </row>
    <row r="13" spans="1:42" ht="15" customHeight="1" x14ac:dyDescent="0.3">
      <c r="A13" s="11">
        <v>10</v>
      </c>
      <c r="B13" s="132" t="s">
        <v>448</v>
      </c>
      <c r="C13" s="130" t="s">
        <v>85</v>
      </c>
      <c r="D13" s="128" t="s">
        <v>86</v>
      </c>
      <c r="E13" s="128" t="s">
        <v>300</v>
      </c>
      <c r="F13" s="31">
        <v>8</v>
      </c>
      <c r="G13" s="31">
        <v>9</v>
      </c>
      <c r="H13" s="31">
        <v>9</v>
      </c>
      <c r="I13" s="31">
        <v>9</v>
      </c>
      <c r="J13" s="31">
        <v>9</v>
      </c>
      <c r="K13" s="31">
        <v>9</v>
      </c>
      <c r="L13" s="31"/>
      <c r="M13" s="31">
        <v>5</v>
      </c>
      <c r="N13" s="31">
        <v>8</v>
      </c>
      <c r="O13" s="31" t="s">
        <v>342</v>
      </c>
      <c r="P13" s="11">
        <f t="shared" ref="P13:X13" si="25">IF(COUNTA(F13:G13)=2,SUM(F13:G13),"N/A")</f>
        <v>17</v>
      </c>
      <c r="Q13" s="11">
        <f t="shared" si="25"/>
        <v>18</v>
      </c>
      <c r="R13" s="11">
        <f t="shared" si="25"/>
        <v>18</v>
      </c>
      <c r="S13" s="11">
        <f t="shared" si="25"/>
        <v>18</v>
      </c>
      <c r="T13" s="11">
        <f t="shared" si="25"/>
        <v>18</v>
      </c>
      <c r="U13" s="11" t="str">
        <f t="shared" si="25"/>
        <v>N/A</v>
      </c>
      <c r="V13" s="11" t="str">
        <f t="shared" si="25"/>
        <v>N/A</v>
      </c>
      <c r="W13" s="11">
        <f t="shared" si="25"/>
        <v>13</v>
      </c>
      <c r="X13" s="11">
        <f t="shared" si="25"/>
        <v>8</v>
      </c>
      <c r="Y13" s="11">
        <f t="shared" si="7"/>
        <v>0.3</v>
      </c>
      <c r="Z13" s="11">
        <f t="shared" si="8"/>
        <v>0.89</v>
      </c>
      <c r="AA13" s="11">
        <f t="shared" si="9"/>
        <v>0.75</v>
      </c>
      <c r="AB13" s="11">
        <f t="shared" si="10"/>
        <v>0.74</v>
      </c>
      <c r="AC13" s="11">
        <f t="shared" si="11"/>
        <v>0.89</v>
      </c>
      <c r="AD13" s="11" t="str">
        <f t="shared" si="12"/>
        <v>N/A</v>
      </c>
      <c r="AE13" s="11" t="str">
        <f t="shared" si="13"/>
        <v>N/A</v>
      </c>
      <c r="AF13" s="11">
        <f t="shared" si="14"/>
        <v>-0.78</v>
      </c>
      <c r="AG13" s="11">
        <f t="shared" si="15"/>
        <v>-2.34</v>
      </c>
      <c r="AH13">
        <v>0.2989735461419547</v>
      </c>
      <c r="AI13">
        <v>0.88045864475057689</v>
      </c>
      <c r="AJ13">
        <v>0.7477365670457119</v>
      </c>
      <c r="AK13">
        <v>0.74</v>
      </c>
      <c r="AL13">
        <v>0.89</v>
      </c>
      <c r="AM13">
        <v>-1.49</v>
      </c>
      <c r="AN13" t="e">
        <v>#N/A</v>
      </c>
      <c r="AO13">
        <v>-0.38</v>
      </c>
      <c r="AP13" t="e">
        <v>#N/A</v>
      </c>
    </row>
    <row r="14" spans="1:42" ht="15" customHeight="1" x14ac:dyDescent="0.3">
      <c r="A14" s="11">
        <v>11</v>
      </c>
      <c r="B14" s="101" t="s">
        <v>413</v>
      </c>
      <c r="C14" s="102" t="s">
        <v>250</v>
      </c>
      <c r="D14" s="100" t="s">
        <v>406</v>
      </c>
      <c r="E14" s="104" t="s">
        <v>296</v>
      </c>
      <c r="F14" s="31"/>
      <c r="G14" s="31"/>
      <c r="H14" s="31"/>
      <c r="I14" s="31"/>
      <c r="J14" s="31"/>
      <c r="K14" s="31"/>
      <c r="L14" s="31"/>
      <c r="M14" s="31">
        <v>9</v>
      </c>
      <c r="N14" s="31">
        <v>9</v>
      </c>
      <c r="O14" s="31">
        <v>9</v>
      </c>
      <c r="P14" s="11" t="str">
        <f t="shared" si="16"/>
        <v>N/A</v>
      </c>
      <c r="Q14" s="11" t="str">
        <f t="shared" si="17"/>
        <v>N/A</v>
      </c>
      <c r="R14" s="11" t="str">
        <f t="shared" si="18"/>
        <v>N/A</v>
      </c>
      <c r="S14" s="11" t="str">
        <f t="shared" si="19"/>
        <v>N/A</v>
      </c>
      <c r="T14" s="11" t="str">
        <f t="shared" si="20"/>
        <v>N/A</v>
      </c>
      <c r="U14" s="11" t="str">
        <f t="shared" si="21"/>
        <v>N/A</v>
      </c>
      <c r="V14" s="11" t="str">
        <f t="shared" si="22"/>
        <v>N/A</v>
      </c>
      <c r="W14" s="11">
        <f t="shared" si="23"/>
        <v>18</v>
      </c>
      <c r="X14" s="11">
        <f t="shared" si="24"/>
        <v>18</v>
      </c>
      <c r="Y14" s="11" t="str">
        <f t="shared" si="7"/>
        <v>N/A</v>
      </c>
      <c r="Z14" s="11" t="str">
        <f t="shared" si="8"/>
        <v>N/A</v>
      </c>
      <c r="AA14" s="11" t="str">
        <f t="shared" si="9"/>
        <v>N/A</v>
      </c>
      <c r="AB14" s="11" t="str">
        <f t="shared" si="10"/>
        <v>N/A</v>
      </c>
      <c r="AC14" s="11" t="str">
        <f t="shared" si="11"/>
        <v>N/A</v>
      </c>
      <c r="AD14" s="11" t="str">
        <f t="shared" si="12"/>
        <v>N/A</v>
      </c>
      <c r="AE14" s="11" t="str">
        <f t="shared" si="13"/>
        <v>N/A</v>
      </c>
      <c r="AF14" s="11">
        <f t="shared" si="14"/>
        <v>0.74</v>
      </c>
      <c r="AG14" s="11">
        <f t="shared" si="15"/>
        <v>0.7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 t="e">
        <v>#N/A</v>
      </c>
      <c r="AO14">
        <v>0.75</v>
      </c>
      <c r="AP14">
        <v>0.76</v>
      </c>
    </row>
    <row r="15" spans="1:42" ht="15" customHeight="1" x14ac:dyDescent="0.3">
      <c r="A15" s="11">
        <v>12</v>
      </c>
      <c r="B15" s="101" t="s">
        <v>410</v>
      </c>
      <c r="C15" s="102" t="s">
        <v>366</v>
      </c>
      <c r="D15" s="100" t="s">
        <v>409</v>
      </c>
      <c r="E15" s="104" t="s">
        <v>296</v>
      </c>
      <c r="F15" s="31"/>
      <c r="G15" s="31"/>
      <c r="H15" s="31"/>
      <c r="I15" s="31"/>
      <c r="J15" s="31"/>
      <c r="K15" s="31"/>
      <c r="L15" s="31"/>
      <c r="M15" s="31">
        <v>9</v>
      </c>
      <c r="N15" s="31">
        <v>9</v>
      </c>
      <c r="O15" s="31">
        <v>9</v>
      </c>
      <c r="P15" s="11" t="str">
        <f t="shared" ref="P15:P31" si="26">IF(COUNTA(F15:G15)=2,SUM(F15:G15),"N/A")</f>
        <v>N/A</v>
      </c>
      <c r="Q15" s="11" t="str">
        <f t="shared" ref="Q15:Q31" si="27">IF(COUNTA(G15:H15)=2,SUM(G15:H15),"N/A")</f>
        <v>N/A</v>
      </c>
      <c r="R15" s="11" t="str">
        <f t="shared" ref="R15:R31" si="28">IF(COUNTA(H15:I15)=2,SUM(H15:I15),"N/A")</f>
        <v>N/A</v>
      </c>
      <c r="S15" s="11" t="str">
        <f t="shared" ref="S15:S31" si="29">IF(COUNTA(I15:J15)=2,SUM(I15:J15),"N/A")</f>
        <v>N/A</v>
      </c>
      <c r="T15" s="11" t="str">
        <f t="shared" ref="T15:T31" si="30">IF(COUNTA(J15:K15)=2,SUM(J15:K15),"N/A")</f>
        <v>N/A</v>
      </c>
      <c r="U15" s="11" t="str">
        <f t="shared" ref="U15:U31" si="31">IF(COUNTA(K15:L15)=2,SUM(K15:L15),"N/A")</f>
        <v>N/A</v>
      </c>
      <c r="V15" s="11" t="str">
        <f t="shared" ref="V15:V31" si="32">IF(COUNTA(L15:M15)=2,SUM(L15:M15),"N/A")</f>
        <v>N/A</v>
      </c>
      <c r="W15" s="11">
        <f t="shared" ref="W15:W31" si="33">IF(COUNTA(M15:N15)=2,SUM(M15:N15),"N/A")</f>
        <v>18</v>
      </c>
      <c r="X15" s="11">
        <f t="shared" ref="X15:X31" si="34">IF(COUNTA(N15:O15)=2,SUM(N15:O15),"N/A")</f>
        <v>18</v>
      </c>
      <c r="Y15" s="11" t="str">
        <f t="shared" si="7"/>
        <v>N/A</v>
      </c>
      <c r="Z15" s="11" t="str">
        <f t="shared" si="8"/>
        <v>N/A</v>
      </c>
      <c r="AA15" s="11" t="str">
        <f t="shared" si="9"/>
        <v>N/A</v>
      </c>
      <c r="AB15" s="11" t="str">
        <f t="shared" si="10"/>
        <v>N/A</v>
      </c>
      <c r="AC15" s="11" t="str">
        <f t="shared" si="11"/>
        <v>N/A</v>
      </c>
      <c r="AD15" s="11" t="str">
        <f t="shared" si="12"/>
        <v>N/A</v>
      </c>
      <c r="AE15" s="11" t="str">
        <f t="shared" si="13"/>
        <v>N/A</v>
      </c>
      <c r="AF15" s="11">
        <f t="shared" si="14"/>
        <v>0.74</v>
      </c>
      <c r="AG15" s="11">
        <f t="shared" si="15"/>
        <v>0.7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 t="e">
        <v>#N/A</v>
      </c>
      <c r="AO15">
        <v>0.75</v>
      </c>
      <c r="AP15">
        <v>0.76</v>
      </c>
    </row>
    <row r="16" spans="1:42" ht="15" customHeight="1" x14ac:dyDescent="0.3">
      <c r="A16" s="11">
        <v>13</v>
      </c>
      <c r="B16" s="103" t="s">
        <v>105</v>
      </c>
      <c r="C16" s="102" t="s">
        <v>106</v>
      </c>
      <c r="D16" s="100" t="s">
        <v>107</v>
      </c>
      <c r="E16" s="104" t="s">
        <v>296</v>
      </c>
      <c r="F16" s="31">
        <v>9</v>
      </c>
      <c r="G16" s="31">
        <v>9</v>
      </c>
      <c r="H16" s="31">
        <v>9</v>
      </c>
      <c r="I16" s="31">
        <v>9</v>
      </c>
      <c r="J16" s="31">
        <v>8</v>
      </c>
      <c r="K16" s="31">
        <v>9</v>
      </c>
      <c r="L16" s="31">
        <v>9</v>
      </c>
      <c r="M16" s="31">
        <v>5</v>
      </c>
      <c r="N16" s="31">
        <v>3</v>
      </c>
      <c r="O16" s="31">
        <v>8</v>
      </c>
      <c r="P16" s="11">
        <f t="shared" si="26"/>
        <v>18</v>
      </c>
      <c r="Q16" s="11">
        <f t="shared" si="27"/>
        <v>18</v>
      </c>
      <c r="R16" s="11">
        <f t="shared" si="28"/>
        <v>18</v>
      </c>
      <c r="S16" s="11">
        <f t="shared" si="29"/>
        <v>17</v>
      </c>
      <c r="T16" s="11">
        <f t="shared" si="30"/>
        <v>17</v>
      </c>
      <c r="U16" s="11">
        <f t="shared" si="31"/>
        <v>18</v>
      </c>
      <c r="V16" s="11">
        <f t="shared" si="32"/>
        <v>14</v>
      </c>
      <c r="W16" s="11">
        <f t="shared" si="33"/>
        <v>8</v>
      </c>
      <c r="X16" s="11">
        <f t="shared" si="34"/>
        <v>11</v>
      </c>
      <c r="Y16" s="11">
        <f t="shared" si="7"/>
        <v>0.67</v>
      </c>
      <c r="Z16" s="11">
        <f t="shared" si="8"/>
        <v>0.89</v>
      </c>
      <c r="AA16" s="11">
        <f t="shared" si="9"/>
        <v>0.75</v>
      </c>
      <c r="AB16" s="11">
        <f t="shared" si="10"/>
        <v>0.42</v>
      </c>
      <c r="AC16" s="11">
        <f t="shared" si="11"/>
        <v>0.34</v>
      </c>
      <c r="AD16" s="11">
        <f t="shared" si="12"/>
        <v>0.87</v>
      </c>
      <c r="AE16" s="11">
        <f t="shared" si="13"/>
        <v>-0.36</v>
      </c>
      <c r="AF16" s="11">
        <f t="shared" si="14"/>
        <v>-2.2899999999999996</v>
      </c>
      <c r="AG16" s="11">
        <f t="shared" si="15"/>
        <v>-1.43</v>
      </c>
      <c r="AH16">
        <v>0.66438565809323347</v>
      </c>
      <c r="AI16">
        <v>0.88045864475057689</v>
      </c>
      <c r="AJ16">
        <v>0.7477365670457119</v>
      </c>
      <c r="AK16">
        <v>0.42</v>
      </c>
      <c r="AL16">
        <v>0.34</v>
      </c>
      <c r="AM16">
        <v>0.92</v>
      </c>
      <c r="AN16">
        <v>-1.04</v>
      </c>
      <c r="AO16">
        <v>-2.98</v>
      </c>
      <c r="AP16">
        <v>-2.5399999999999996</v>
      </c>
    </row>
    <row r="17" spans="1:42" ht="15" customHeight="1" x14ac:dyDescent="0.3">
      <c r="A17" s="11">
        <v>14</v>
      </c>
      <c r="B17" s="103" t="s">
        <v>109</v>
      </c>
      <c r="C17" s="102" t="s">
        <v>110</v>
      </c>
      <c r="D17" s="100" t="s">
        <v>111</v>
      </c>
      <c r="E17" s="104" t="s">
        <v>296</v>
      </c>
      <c r="F17" s="31">
        <v>9</v>
      </c>
      <c r="G17" s="31">
        <v>9</v>
      </c>
      <c r="H17" s="31">
        <v>9</v>
      </c>
      <c r="I17" s="31">
        <v>9</v>
      </c>
      <c r="J17" s="31">
        <v>9</v>
      </c>
      <c r="K17" s="31">
        <v>9</v>
      </c>
      <c r="L17" s="31">
        <v>9</v>
      </c>
      <c r="M17" s="31">
        <v>4</v>
      </c>
      <c r="N17" s="31"/>
      <c r="O17" s="31" t="s">
        <v>342</v>
      </c>
      <c r="P17" s="11">
        <f t="shared" si="26"/>
        <v>18</v>
      </c>
      <c r="Q17" s="11">
        <f t="shared" si="27"/>
        <v>18</v>
      </c>
      <c r="R17" s="11">
        <f t="shared" si="28"/>
        <v>18</v>
      </c>
      <c r="S17" s="11">
        <f t="shared" si="29"/>
        <v>18</v>
      </c>
      <c r="T17" s="11">
        <f t="shared" si="30"/>
        <v>18</v>
      </c>
      <c r="U17" s="11">
        <f t="shared" si="31"/>
        <v>18</v>
      </c>
      <c r="V17" s="11">
        <f t="shared" si="32"/>
        <v>13</v>
      </c>
      <c r="W17" s="11" t="str">
        <f t="shared" si="33"/>
        <v>N/A</v>
      </c>
      <c r="X17" s="11" t="str">
        <f t="shared" si="34"/>
        <v>N/A</v>
      </c>
      <c r="Y17" s="11">
        <f t="shared" si="7"/>
        <v>0.67</v>
      </c>
      <c r="Z17" s="11">
        <f t="shared" si="8"/>
        <v>0.89</v>
      </c>
      <c r="AA17" s="11">
        <f t="shared" si="9"/>
        <v>0.75</v>
      </c>
      <c r="AB17" s="11">
        <f t="shared" si="10"/>
        <v>0.74</v>
      </c>
      <c r="AC17" s="11">
        <f t="shared" si="11"/>
        <v>0.89</v>
      </c>
      <c r="AD17" s="11">
        <f t="shared" si="12"/>
        <v>0.87</v>
      </c>
      <c r="AE17" s="11">
        <f t="shared" si="13"/>
        <v>-0.61</v>
      </c>
      <c r="AF17" s="11" t="str">
        <f t="shared" si="14"/>
        <v>N/A</v>
      </c>
      <c r="AG17" s="11" t="str">
        <f t="shared" si="15"/>
        <v>N/A</v>
      </c>
      <c r="AH17">
        <v>0.66438565809323347</v>
      </c>
      <c r="AI17">
        <v>0.88045864475057689</v>
      </c>
      <c r="AJ17">
        <v>0.7477365670457119</v>
      </c>
      <c r="AK17">
        <v>0.74</v>
      </c>
      <c r="AL17">
        <v>0.89</v>
      </c>
      <c r="AM17">
        <v>0.92</v>
      </c>
      <c r="AN17">
        <v>-0.12</v>
      </c>
      <c r="AO17" t="e">
        <v>#N/A</v>
      </c>
      <c r="AP17" t="e">
        <v>#N/A</v>
      </c>
    </row>
    <row r="18" spans="1:42" ht="15" customHeight="1" x14ac:dyDescent="0.3">
      <c r="A18" s="11">
        <v>15</v>
      </c>
      <c r="B18" s="101" t="s">
        <v>124</v>
      </c>
      <c r="C18" s="104" t="s">
        <v>125</v>
      </c>
      <c r="D18" s="104" t="s">
        <v>126</v>
      </c>
      <c r="E18" s="104" t="s">
        <v>296</v>
      </c>
      <c r="F18" s="31"/>
      <c r="G18" s="31">
        <v>9</v>
      </c>
      <c r="H18" s="31">
        <v>9</v>
      </c>
      <c r="I18" s="31">
        <v>9</v>
      </c>
      <c r="J18" s="31">
        <v>8</v>
      </c>
      <c r="K18" s="31">
        <v>9</v>
      </c>
      <c r="L18" s="31">
        <v>9</v>
      </c>
      <c r="M18" s="31">
        <v>9</v>
      </c>
      <c r="N18" s="31">
        <v>9</v>
      </c>
      <c r="O18" s="31">
        <v>9</v>
      </c>
      <c r="P18" s="11" t="str">
        <f t="shared" si="26"/>
        <v>N/A</v>
      </c>
      <c r="Q18" s="11">
        <f t="shared" si="27"/>
        <v>18</v>
      </c>
      <c r="R18" s="11">
        <f t="shared" si="28"/>
        <v>18</v>
      </c>
      <c r="S18" s="11">
        <f t="shared" si="29"/>
        <v>17</v>
      </c>
      <c r="T18" s="11">
        <f t="shared" si="30"/>
        <v>17</v>
      </c>
      <c r="U18" s="11">
        <f t="shared" si="31"/>
        <v>18</v>
      </c>
      <c r="V18" s="11">
        <f t="shared" si="32"/>
        <v>18</v>
      </c>
      <c r="W18" s="11">
        <f t="shared" si="33"/>
        <v>18</v>
      </c>
      <c r="X18" s="11">
        <f t="shared" si="34"/>
        <v>18</v>
      </c>
      <c r="Y18" s="11" t="str">
        <f t="shared" si="7"/>
        <v>N/A</v>
      </c>
      <c r="Z18" s="11">
        <f t="shared" si="8"/>
        <v>0.89</v>
      </c>
      <c r="AA18" s="11">
        <f t="shared" si="9"/>
        <v>0.75</v>
      </c>
      <c r="AB18" s="11">
        <f t="shared" si="10"/>
        <v>0.42</v>
      </c>
      <c r="AC18" s="11">
        <f t="shared" si="11"/>
        <v>0.34</v>
      </c>
      <c r="AD18" s="11">
        <f t="shared" si="12"/>
        <v>0.87</v>
      </c>
      <c r="AE18" s="11">
        <f t="shared" si="13"/>
        <v>0.65</v>
      </c>
      <c r="AF18" s="11">
        <f t="shared" si="14"/>
        <v>0.74</v>
      </c>
      <c r="AG18" s="11">
        <f t="shared" si="15"/>
        <v>0.7</v>
      </c>
      <c r="AH18" t="e">
        <v>#N/A</v>
      </c>
      <c r="AI18">
        <v>0.88045864475057689</v>
      </c>
      <c r="AJ18">
        <v>0.7477365670457119</v>
      </c>
      <c r="AK18">
        <v>0.42</v>
      </c>
      <c r="AL18">
        <v>0.34</v>
      </c>
      <c r="AM18">
        <v>0.92</v>
      </c>
      <c r="AN18">
        <v>0.81</v>
      </c>
      <c r="AO18">
        <v>0.75</v>
      </c>
      <c r="AP18">
        <v>0.76</v>
      </c>
    </row>
    <row r="19" spans="1:42" ht="15" customHeight="1" x14ac:dyDescent="0.3">
      <c r="A19" s="11">
        <v>16</v>
      </c>
      <c r="B19" s="106" t="s">
        <v>132</v>
      </c>
      <c r="C19" s="105" t="s">
        <v>133</v>
      </c>
      <c r="D19" s="105" t="s">
        <v>134</v>
      </c>
      <c r="E19" s="104" t="s">
        <v>296</v>
      </c>
      <c r="F19" s="31">
        <v>9</v>
      </c>
      <c r="G19" s="31">
        <v>9</v>
      </c>
      <c r="H19" s="31">
        <v>9</v>
      </c>
      <c r="I19" s="31">
        <v>8</v>
      </c>
      <c r="J19" s="31">
        <v>8</v>
      </c>
      <c r="K19" s="31"/>
      <c r="L19" s="31">
        <v>9</v>
      </c>
      <c r="M19" s="31" t="s">
        <v>342</v>
      </c>
      <c r="N19" s="31">
        <v>6</v>
      </c>
      <c r="O19" s="31">
        <v>8</v>
      </c>
      <c r="P19" s="11">
        <f t="shared" si="26"/>
        <v>18</v>
      </c>
      <c r="Q19" s="11">
        <f t="shared" si="27"/>
        <v>18</v>
      </c>
      <c r="R19" s="11">
        <f t="shared" si="28"/>
        <v>17</v>
      </c>
      <c r="S19" s="11">
        <f t="shared" si="29"/>
        <v>16</v>
      </c>
      <c r="T19" s="11" t="str">
        <f t="shared" si="30"/>
        <v>N/A</v>
      </c>
      <c r="U19" s="11" t="str">
        <f t="shared" si="31"/>
        <v>N/A</v>
      </c>
      <c r="V19" s="11">
        <f t="shared" si="32"/>
        <v>9</v>
      </c>
      <c r="W19" s="11">
        <f t="shared" si="33"/>
        <v>6</v>
      </c>
      <c r="X19" s="11">
        <f t="shared" si="34"/>
        <v>14</v>
      </c>
      <c r="Y19" s="11">
        <f t="shared" si="7"/>
        <v>0.67</v>
      </c>
      <c r="Z19" s="11">
        <f t="shared" si="8"/>
        <v>0.89</v>
      </c>
      <c r="AA19" s="11">
        <f t="shared" si="9"/>
        <v>0.39</v>
      </c>
      <c r="AB19" s="11">
        <f t="shared" si="10"/>
        <v>0.09</v>
      </c>
      <c r="AC19" s="11" t="str">
        <f t="shared" si="11"/>
        <v>N/A</v>
      </c>
      <c r="AD19" s="11" t="str">
        <f t="shared" si="12"/>
        <v>N/A</v>
      </c>
      <c r="AE19" s="11">
        <f t="shared" si="13"/>
        <v>-1.61</v>
      </c>
      <c r="AF19" s="11">
        <f t="shared" si="14"/>
        <v>-2.9</v>
      </c>
      <c r="AG19" s="11">
        <f t="shared" si="15"/>
        <v>-0.52</v>
      </c>
      <c r="AH19">
        <v>0.66438565809323347</v>
      </c>
      <c r="AI19">
        <v>0.88045864475057689</v>
      </c>
      <c r="AJ19">
        <v>0.38066588867781687</v>
      </c>
      <c r="AK19">
        <v>0.09</v>
      </c>
      <c r="AL19" t="e">
        <v>#N/A</v>
      </c>
      <c r="AM19" t="e">
        <v>#N/A</v>
      </c>
      <c r="AN19" t="e">
        <v>#N/A</v>
      </c>
      <c r="AO19" t="e">
        <v>#N/A</v>
      </c>
      <c r="AP19">
        <v>-1.1300000000000001</v>
      </c>
    </row>
    <row r="20" spans="1:42" ht="15" customHeight="1" x14ac:dyDescent="0.3">
      <c r="A20" s="11">
        <v>17</v>
      </c>
      <c r="B20" s="106" t="s">
        <v>457</v>
      </c>
      <c r="C20" s="105" t="s">
        <v>85</v>
      </c>
      <c r="D20" s="105" t="s">
        <v>86</v>
      </c>
      <c r="E20" s="104" t="s">
        <v>296</v>
      </c>
      <c r="F20" s="31"/>
      <c r="G20" s="31"/>
      <c r="H20" s="31"/>
      <c r="I20" s="31"/>
      <c r="J20" s="31"/>
      <c r="K20" s="31"/>
      <c r="L20" s="31"/>
      <c r="M20" s="31"/>
      <c r="N20" s="31"/>
      <c r="O20" s="31" t="s">
        <v>342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42" ht="15" customHeight="1" x14ac:dyDescent="0.3">
      <c r="A21" s="11">
        <v>18</v>
      </c>
      <c r="B21" s="135" t="s">
        <v>138</v>
      </c>
      <c r="C21" s="136" t="s">
        <v>139</v>
      </c>
      <c r="D21" s="134" t="s">
        <v>140</v>
      </c>
      <c r="E21" s="134" t="s">
        <v>299</v>
      </c>
      <c r="F21" s="31">
        <v>9</v>
      </c>
      <c r="G21" s="31">
        <v>9</v>
      </c>
      <c r="H21" s="31">
        <v>6</v>
      </c>
      <c r="I21" s="31">
        <v>9</v>
      </c>
      <c r="J21" s="31">
        <v>9</v>
      </c>
      <c r="K21" s="31">
        <v>9</v>
      </c>
      <c r="L21" s="31">
        <v>7</v>
      </c>
      <c r="M21" s="31">
        <v>9</v>
      </c>
      <c r="N21" s="31">
        <v>9</v>
      </c>
      <c r="O21" s="31">
        <v>4</v>
      </c>
      <c r="P21" s="11">
        <f t="shared" si="26"/>
        <v>18</v>
      </c>
      <c r="Q21" s="11">
        <f t="shared" si="27"/>
        <v>15</v>
      </c>
      <c r="R21" s="11">
        <f t="shared" si="28"/>
        <v>15</v>
      </c>
      <c r="S21" s="11">
        <f t="shared" si="29"/>
        <v>18</v>
      </c>
      <c r="T21" s="11">
        <f t="shared" si="30"/>
        <v>18</v>
      </c>
      <c r="U21" s="11">
        <f t="shared" si="31"/>
        <v>16</v>
      </c>
      <c r="V21" s="11">
        <f t="shared" si="32"/>
        <v>16</v>
      </c>
      <c r="W21" s="11">
        <f t="shared" si="33"/>
        <v>18</v>
      </c>
      <c r="X21" s="11">
        <f t="shared" si="34"/>
        <v>13</v>
      </c>
      <c r="Y21" s="11">
        <f t="shared" ref="Y21:Y39" si="35">IF(P21&lt;&gt;"N/A",IF(P$50&lt;&gt;0,ROUNDUP((P21-$P$48)/$P$50,2),0),P21)</f>
        <v>0.67</v>
      </c>
      <c r="Z21" s="11">
        <f t="shared" ref="Z21:Z39" si="36">IF(Q21&lt;&gt;"N/A",IF(Q$50&lt;&gt;0,ROUNDUP((Q21-$Q$48)/$Q$50,2),0),Q21)</f>
        <v>-0.76</v>
      </c>
      <c r="AA21" s="11">
        <f t="shared" ref="AA21:AA39" si="37">IF(R21&lt;&gt;"N/A",IF(R$50&lt;&gt;0,ROUNDUP((R21-$R$48)/$R$50,2),0),R21)</f>
        <v>-0.36</v>
      </c>
      <c r="AB21" s="11">
        <f t="shared" ref="AB21:AB39" si="38">IF(S21&lt;&gt;"N/A",IF(S$50&lt;&gt;0,ROUNDUP((S21-$S$48)/$S$50,2),0),S21)</f>
        <v>0.74</v>
      </c>
      <c r="AC21" s="11">
        <f t="shared" ref="AC21:AC39" si="39">IF(T21&lt;&gt;"N/A",IF(T$50&lt;&gt;0,ROUNDUP((T21-$T$48)/$T$50,2),0),T21)</f>
        <v>0.89</v>
      </c>
      <c r="AD21" s="11">
        <f t="shared" ref="AD21:AD39" si="40">IF(U21&lt;&gt;"N/A",IF(U$50&lt;&gt;0,ROUNDUP((U21-$U$48)/$U$50,2),0),U21)</f>
        <v>-6.0000000000000005E-2</v>
      </c>
      <c r="AE21" s="11">
        <f t="shared" ref="AE21:AE39" si="41">IF(V21&lt;&gt;"N/A",IF(V$50&lt;&gt;0,ROUNDUP((V21-$V$48)/$V$50,2),0),V21)</f>
        <v>0.15000000000000002</v>
      </c>
      <c r="AF21" s="11">
        <f t="shared" ref="AF21:AF39" si="42">IF(W21&lt;&gt;"N/A",IF(W$50&lt;&gt;0,ROUNDUP((W21-$W$48)/$W$50,2),0),W21)</f>
        <v>0.74</v>
      </c>
      <c r="AG21" s="11">
        <f t="shared" ref="AG21:AG39" si="43">IF(X21&lt;&gt;"N/A",IF(X$50&lt;&gt;0,ROUNDUP((X21-$X$48)/$X$50,2),0),X21)</f>
        <v>-0.82000000000000006</v>
      </c>
      <c r="AH21">
        <v>0.66438565809323347</v>
      </c>
      <c r="AI21">
        <v>-0.75467883835763594</v>
      </c>
      <c r="AJ21">
        <v>-0.35347546805797331</v>
      </c>
      <c r="AK21">
        <v>0.74</v>
      </c>
      <c r="AL21">
        <v>0.89</v>
      </c>
      <c r="AM21">
        <v>0.39</v>
      </c>
      <c r="AN21">
        <v>-0.12</v>
      </c>
      <c r="AO21">
        <v>0.75</v>
      </c>
      <c r="AP21">
        <v>-1.1300000000000001</v>
      </c>
    </row>
    <row r="22" spans="1:42" ht="15" customHeight="1" x14ac:dyDescent="0.3">
      <c r="A22" s="11">
        <v>19</v>
      </c>
      <c r="B22" s="137" t="s">
        <v>147</v>
      </c>
      <c r="C22" s="138" t="s">
        <v>148</v>
      </c>
      <c r="D22" s="138" t="s">
        <v>149</v>
      </c>
      <c r="E22" s="134" t="s">
        <v>299</v>
      </c>
      <c r="F22" s="31"/>
      <c r="G22" s="31">
        <v>9</v>
      </c>
      <c r="H22" s="31">
        <v>9</v>
      </c>
      <c r="I22" s="31">
        <v>9</v>
      </c>
      <c r="J22" s="31">
        <v>6</v>
      </c>
      <c r="K22" s="31">
        <v>9</v>
      </c>
      <c r="L22" s="31">
        <v>9</v>
      </c>
      <c r="M22" s="31">
        <v>9</v>
      </c>
      <c r="N22" s="31">
        <v>9</v>
      </c>
      <c r="O22" s="31">
        <v>9</v>
      </c>
      <c r="P22" s="11" t="str">
        <f t="shared" si="26"/>
        <v>N/A</v>
      </c>
      <c r="Q22" s="11">
        <f t="shared" si="27"/>
        <v>18</v>
      </c>
      <c r="R22" s="11">
        <f t="shared" si="28"/>
        <v>18</v>
      </c>
      <c r="S22" s="11">
        <f t="shared" si="29"/>
        <v>15</v>
      </c>
      <c r="T22" s="11">
        <f t="shared" si="30"/>
        <v>15</v>
      </c>
      <c r="U22" s="11">
        <f t="shared" si="31"/>
        <v>18</v>
      </c>
      <c r="V22" s="11">
        <f t="shared" si="32"/>
        <v>18</v>
      </c>
      <c r="W22" s="11">
        <f t="shared" si="33"/>
        <v>18</v>
      </c>
      <c r="X22" s="11">
        <f t="shared" si="34"/>
        <v>18</v>
      </c>
      <c r="Y22" s="11" t="str">
        <f t="shared" si="35"/>
        <v>N/A</v>
      </c>
      <c r="Z22" s="11">
        <f t="shared" si="36"/>
        <v>0.89</v>
      </c>
      <c r="AA22" s="11">
        <f t="shared" si="37"/>
        <v>0.75</v>
      </c>
      <c r="AB22" s="11">
        <f t="shared" si="38"/>
        <v>-0.24000000000000002</v>
      </c>
      <c r="AC22" s="11">
        <f t="shared" si="39"/>
        <v>-0.77</v>
      </c>
      <c r="AD22" s="11">
        <f t="shared" si="40"/>
        <v>0.87</v>
      </c>
      <c r="AE22" s="11">
        <f t="shared" si="41"/>
        <v>0.65</v>
      </c>
      <c r="AF22" s="11">
        <f t="shared" si="42"/>
        <v>0.74</v>
      </c>
      <c r="AG22" s="11">
        <f t="shared" si="43"/>
        <v>0.7</v>
      </c>
      <c r="AH22" t="e">
        <v>#N/A</v>
      </c>
      <c r="AI22">
        <v>0.88045864475057689</v>
      </c>
      <c r="AJ22">
        <v>0.7477365670457119</v>
      </c>
      <c r="AK22">
        <v>-0.24000000000000002</v>
      </c>
      <c r="AL22">
        <v>-0.77</v>
      </c>
      <c r="AM22">
        <v>0.92</v>
      </c>
      <c r="AN22">
        <v>0.81</v>
      </c>
      <c r="AO22">
        <v>0.75</v>
      </c>
      <c r="AP22">
        <v>0.76</v>
      </c>
    </row>
    <row r="23" spans="1:42" ht="15" customHeight="1" x14ac:dyDescent="0.3">
      <c r="A23" s="11">
        <v>20</v>
      </c>
      <c r="B23" s="135" t="s">
        <v>92</v>
      </c>
      <c r="C23" s="136" t="s">
        <v>93</v>
      </c>
      <c r="D23" s="134" t="s">
        <v>94</v>
      </c>
      <c r="E23" s="134" t="s">
        <v>299</v>
      </c>
      <c r="F23" s="31">
        <v>7</v>
      </c>
      <c r="G23" s="31">
        <v>5</v>
      </c>
      <c r="H23" s="31">
        <v>9</v>
      </c>
      <c r="I23" s="31">
        <v>6</v>
      </c>
      <c r="J23" s="31">
        <v>6</v>
      </c>
      <c r="K23" s="31">
        <v>9</v>
      </c>
      <c r="L23" s="31">
        <v>9</v>
      </c>
      <c r="M23" s="31">
        <v>9</v>
      </c>
      <c r="N23" s="31"/>
      <c r="O23" s="31">
        <v>9</v>
      </c>
      <c r="P23" s="11">
        <f t="shared" si="26"/>
        <v>12</v>
      </c>
      <c r="Q23" s="11">
        <f t="shared" si="27"/>
        <v>14</v>
      </c>
      <c r="R23" s="11">
        <f t="shared" si="28"/>
        <v>15</v>
      </c>
      <c r="S23" s="11">
        <f t="shared" si="29"/>
        <v>12</v>
      </c>
      <c r="T23" s="11">
        <f t="shared" si="30"/>
        <v>15</v>
      </c>
      <c r="U23" s="11">
        <f t="shared" si="31"/>
        <v>18</v>
      </c>
      <c r="V23" s="11">
        <f t="shared" si="32"/>
        <v>18</v>
      </c>
      <c r="W23" s="11" t="str">
        <f t="shared" si="33"/>
        <v>N/A</v>
      </c>
      <c r="X23" s="11" t="str">
        <f t="shared" si="34"/>
        <v>N/A</v>
      </c>
      <c r="Y23" s="11">
        <f t="shared" si="35"/>
        <v>-1.53</v>
      </c>
      <c r="Z23" s="11">
        <f t="shared" si="36"/>
        <v>-1.3</v>
      </c>
      <c r="AA23" s="11">
        <f t="shared" si="37"/>
        <v>-0.36</v>
      </c>
      <c r="AB23" s="11">
        <f t="shared" si="38"/>
        <v>-1.21</v>
      </c>
      <c r="AC23" s="11">
        <f t="shared" si="39"/>
        <v>-0.77</v>
      </c>
      <c r="AD23" s="11">
        <f t="shared" si="40"/>
        <v>0.87</v>
      </c>
      <c r="AE23" s="11">
        <f t="shared" si="41"/>
        <v>0.65</v>
      </c>
      <c r="AF23" s="11" t="str">
        <f t="shared" si="42"/>
        <v>N/A</v>
      </c>
      <c r="AG23" s="11" t="str">
        <f t="shared" si="43"/>
        <v>N/A</v>
      </c>
      <c r="AH23">
        <v>-1.5280870136144389</v>
      </c>
      <c r="AI23">
        <v>-1.2997246660603736</v>
      </c>
      <c r="AJ23">
        <v>-0.35347546805797331</v>
      </c>
      <c r="AK23">
        <v>-1.21</v>
      </c>
      <c r="AL23">
        <v>-0.77</v>
      </c>
      <c r="AM23">
        <v>0.92</v>
      </c>
      <c r="AN23">
        <v>0.81</v>
      </c>
      <c r="AO23" t="e">
        <v>#N/A</v>
      </c>
      <c r="AP23" t="e">
        <v>#N/A</v>
      </c>
    </row>
    <row r="24" spans="1:42" ht="15" customHeight="1" x14ac:dyDescent="0.3">
      <c r="A24" s="11">
        <v>21</v>
      </c>
      <c r="B24" s="137" t="s">
        <v>403</v>
      </c>
      <c r="C24" s="136" t="s">
        <v>364</v>
      </c>
      <c r="D24" s="134" t="s">
        <v>402</v>
      </c>
      <c r="E24" s="134" t="s">
        <v>299</v>
      </c>
      <c r="F24" s="31"/>
      <c r="G24" s="31"/>
      <c r="H24" s="31"/>
      <c r="I24" s="31"/>
      <c r="J24" s="31"/>
      <c r="K24" s="31"/>
      <c r="L24" s="31"/>
      <c r="M24" s="31">
        <v>9</v>
      </c>
      <c r="N24" s="31">
        <v>9</v>
      </c>
      <c r="O24" s="31">
        <v>9</v>
      </c>
      <c r="P24" s="11" t="str">
        <f t="shared" si="26"/>
        <v>N/A</v>
      </c>
      <c r="Q24" s="11" t="str">
        <f t="shared" si="27"/>
        <v>N/A</v>
      </c>
      <c r="R24" s="11" t="str">
        <f t="shared" si="28"/>
        <v>N/A</v>
      </c>
      <c r="S24" s="11" t="str">
        <f t="shared" si="29"/>
        <v>N/A</v>
      </c>
      <c r="T24" s="11" t="str">
        <f t="shared" si="30"/>
        <v>N/A</v>
      </c>
      <c r="U24" s="11" t="str">
        <f t="shared" si="31"/>
        <v>N/A</v>
      </c>
      <c r="V24" s="11" t="str">
        <f t="shared" si="32"/>
        <v>N/A</v>
      </c>
      <c r="W24" s="11">
        <f t="shared" si="33"/>
        <v>18</v>
      </c>
      <c r="X24" s="11">
        <f t="shared" si="34"/>
        <v>18</v>
      </c>
      <c r="Y24" s="11" t="str">
        <f t="shared" si="35"/>
        <v>N/A</v>
      </c>
      <c r="Z24" s="11" t="str">
        <f t="shared" si="36"/>
        <v>N/A</v>
      </c>
      <c r="AA24" s="11" t="str">
        <f t="shared" si="37"/>
        <v>N/A</v>
      </c>
      <c r="AB24" s="11" t="str">
        <f t="shared" si="38"/>
        <v>N/A</v>
      </c>
      <c r="AC24" s="11" t="str">
        <f t="shared" si="39"/>
        <v>N/A</v>
      </c>
      <c r="AD24" s="11" t="str">
        <f t="shared" si="40"/>
        <v>N/A</v>
      </c>
      <c r="AE24" s="11" t="str">
        <f t="shared" si="41"/>
        <v>N/A</v>
      </c>
      <c r="AF24" s="11">
        <f t="shared" si="42"/>
        <v>0.74</v>
      </c>
      <c r="AG24" s="11">
        <f t="shared" si="43"/>
        <v>0.7</v>
      </c>
      <c r="AH24" t="e">
        <v>#N/A</v>
      </c>
      <c r="AI24" t="e">
        <v>#N/A</v>
      </c>
      <c r="AJ24" t="e">
        <v>#N/A</v>
      </c>
      <c r="AK24" t="e">
        <v>#N/A</v>
      </c>
      <c r="AL24" t="e">
        <v>#N/A</v>
      </c>
      <c r="AM24" t="e">
        <v>#N/A</v>
      </c>
      <c r="AN24" t="e">
        <v>#N/A</v>
      </c>
      <c r="AO24">
        <v>0.75</v>
      </c>
      <c r="AP24">
        <v>0.76</v>
      </c>
    </row>
    <row r="25" spans="1:42" ht="15" customHeight="1" x14ac:dyDescent="0.3">
      <c r="A25" s="11">
        <v>22</v>
      </c>
      <c r="B25" s="135" t="s">
        <v>209</v>
      </c>
      <c r="C25" s="136" t="s">
        <v>210</v>
      </c>
      <c r="D25" s="134" t="s">
        <v>211</v>
      </c>
      <c r="E25" s="134" t="s">
        <v>299</v>
      </c>
      <c r="F25" s="31">
        <v>2</v>
      </c>
      <c r="G25" s="31">
        <v>5</v>
      </c>
      <c r="H25" s="31">
        <v>8</v>
      </c>
      <c r="I25" s="31">
        <v>0</v>
      </c>
      <c r="J25" s="31">
        <v>6</v>
      </c>
      <c r="K25" s="31">
        <v>5</v>
      </c>
      <c r="L25" s="31">
        <v>4</v>
      </c>
      <c r="M25" s="31">
        <v>5</v>
      </c>
      <c r="N25" s="31">
        <v>4</v>
      </c>
      <c r="O25" s="31">
        <v>9</v>
      </c>
      <c r="P25" s="11">
        <f t="shared" si="26"/>
        <v>7</v>
      </c>
      <c r="Q25" s="11">
        <f t="shared" si="27"/>
        <v>13</v>
      </c>
      <c r="R25" s="11">
        <f t="shared" si="28"/>
        <v>8</v>
      </c>
      <c r="S25" s="11">
        <f t="shared" si="29"/>
        <v>6</v>
      </c>
      <c r="T25" s="11">
        <f t="shared" si="30"/>
        <v>11</v>
      </c>
      <c r="U25" s="11">
        <f t="shared" si="31"/>
        <v>9</v>
      </c>
      <c r="V25" s="11">
        <f t="shared" si="32"/>
        <v>9</v>
      </c>
      <c r="W25" s="11">
        <f t="shared" si="33"/>
        <v>9</v>
      </c>
      <c r="X25" s="11">
        <f t="shared" si="34"/>
        <v>13</v>
      </c>
      <c r="Y25" s="11">
        <f t="shared" si="35"/>
        <v>-3.36</v>
      </c>
      <c r="Z25" s="11">
        <f t="shared" si="36"/>
        <v>-1.85</v>
      </c>
      <c r="AA25" s="11">
        <f t="shared" si="37"/>
        <v>-2.9299999999999997</v>
      </c>
      <c r="AB25" s="11">
        <f t="shared" si="38"/>
        <v>-3.15</v>
      </c>
      <c r="AC25" s="11">
        <f t="shared" si="39"/>
        <v>-2.98</v>
      </c>
      <c r="AD25" s="11">
        <f t="shared" si="40"/>
        <v>-3.28</v>
      </c>
      <c r="AE25" s="11">
        <f t="shared" si="41"/>
        <v>-1.61</v>
      </c>
      <c r="AF25" s="11">
        <f t="shared" si="42"/>
        <v>-1.99</v>
      </c>
      <c r="AG25" s="11">
        <f t="shared" si="43"/>
        <v>-0.82000000000000006</v>
      </c>
      <c r="AH25">
        <v>-3.3551475733708322</v>
      </c>
      <c r="AI25">
        <v>-1.8447704937631113</v>
      </c>
      <c r="AJ25">
        <v>-2.9229702166332387</v>
      </c>
      <c r="AK25">
        <v>-3.15</v>
      </c>
      <c r="AL25">
        <v>-2.98</v>
      </c>
      <c r="AM25">
        <v>-1.49</v>
      </c>
      <c r="AN25">
        <v>-3.34</v>
      </c>
      <c r="AO25">
        <v>-2.61</v>
      </c>
      <c r="AP25">
        <v>-1.6</v>
      </c>
    </row>
    <row r="26" spans="1:42" ht="15" customHeight="1" x14ac:dyDescent="0.3">
      <c r="A26" s="11">
        <v>23</v>
      </c>
      <c r="B26" s="108" t="s">
        <v>196</v>
      </c>
      <c r="C26" s="109" t="s">
        <v>197</v>
      </c>
      <c r="D26" s="107" t="s">
        <v>198</v>
      </c>
      <c r="E26" s="107" t="s">
        <v>297</v>
      </c>
      <c r="F26" s="31">
        <v>9</v>
      </c>
      <c r="G26" s="31">
        <v>9</v>
      </c>
      <c r="H26" s="31">
        <v>9</v>
      </c>
      <c r="I26" s="31">
        <v>8</v>
      </c>
      <c r="J26" s="31">
        <v>9</v>
      </c>
      <c r="K26" s="31">
        <v>9</v>
      </c>
      <c r="L26" s="31">
        <v>9</v>
      </c>
      <c r="M26" s="31">
        <v>8</v>
      </c>
      <c r="N26" s="31">
        <v>9</v>
      </c>
      <c r="O26" s="31">
        <v>9</v>
      </c>
      <c r="P26" s="11">
        <f t="shared" si="26"/>
        <v>18</v>
      </c>
      <c r="Q26" s="11">
        <f t="shared" si="27"/>
        <v>18</v>
      </c>
      <c r="R26" s="11">
        <f t="shared" si="28"/>
        <v>17</v>
      </c>
      <c r="S26" s="11">
        <f t="shared" si="29"/>
        <v>17</v>
      </c>
      <c r="T26" s="11">
        <f t="shared" si="30"/>
        <v>18</v>
      </c>
      <c r="U26" s="11">
        <f t="shared" si="31"/>
        <v>18</v>
      </c>
      <c r="V26" s="11">
        <f t="shared" si="32"/>
        <v>17</v>
      </c>
      <c r="W26" s="11">
        <f t="shared" si="33"/>
        <v>17</v>
      </c>
      <c r="X26" s="11">
        <f t="shared" si="34"/>
        <v>18</v>
      </c>
      <c r="Y26" s="11">
        <f t="shared" si="35"/>
        <v>0.67</v>
      </c>
      <c r="Z26" s="11">
        <f t="shared" si="36"/>
        <v>0.89</v>
      </c>
      <c r="AA26" s="11">
        <f t="shared" si="37"/>
        <v>0.39</v>
      </c>
      <c r="AB26" s="11">
        <f t="shared" si="38"/>
        <v>0.42</v>
      </c>
      <c r="AC26" s="11">
        <f t="shared" si="39"/>
        <v>0.89</v>
      </c>
      <c r="AD26" s="11">
        <f t="shared" si="40"/>
        <v>0.87</v>
      </c>
      <c r="AE26" s="11">
        <f t="shared" si="41"/>
        <v>0.4</v>
      </c>
      <c r="AF26" s="11">
        <f t="shared" si="42"/>
        <v>0.44</v>
      </c>
      <c r="AG26" s="11">
        <f t="shared" si="43"/>
        <v>0.7</v>
      </c>
      <c r="AH26">
        <v>0.66438565809323347</v>
      </c>
      <c r="AI26">
        <v>0.88045864475057689</v>
      </c>
      <c r="AJ26">
        <v>0.38066588867781687</v>
      </c>
      <c r="AK26">
        <v>0.42</v>
      </c>
      <c r="AL26">
        <v>0.89</v>
      </c>
      <c r="AM26">
        <v>0.92</v>
      </c>
      <c r="AN26">
        <v>0.35000000000000003</v>
      </c>
      <c r="AO26">
        <v>0.38</v>
      </c>
      <c r="AP26">
        <v>0.76</v>
      </c>
    </row>
    <row r="27" spans="1:42" ht="15" customHeight="1" x14ac:dyDescent="0.3">
      <c r="A27" s="11">
        <v>24</v>
      </c>
      <c r="B27" s="110" t="s">
        <v>412</v>
      </c>
      <c r="C27" s="109" t="s">
        <v>367</v>
      </c>
      <c r="D27" s="107" t="s">
        <v>411</v>
      </c>
      <c r="E27" s="107" t="s">
        <v>297</v>
      </c>
      <c r="F27" s="31"/>
      <c r="G27" s="31"/>
      <c r="H27" s="31"/>
      <c r="I27" s="31"/>
      <c r="J27" s="31"/>
      <c r="K27" s="31"/>
      <c r="L27" s="31"/>
      <c r="M27" s="31">
        <v>7</v>
      </c>
      <c r="N27" s="31">
        <v>9</v>
      </c>
      <c r="O27" s="31">
        <v>8</v>
      </c>
      <c r="P27" s="11" t="str">
        <f t="shared" si="26"/>
        <v>N/A</v>
      </c>
      <c r="Q27" s="11" t="str">
        <f t="shared" si="27"/>
        <v>N/A</v>
      </c>
      <c r="R27" s="11" t="str">
        <f t="shared" si="28"/>
        <v>N/A</v>
      </c>
      <c r="S27" s="11" t="str">
        <f t="shared" si="29"/>
        <v>N/A</v>
      </c>
      <c r="T27" s="11" t="str">
        <f t="shared" si="30"/>
        <v>N/A</v>
      </c>
      <c r="U27" s="11" t="str">
        <f t="shared" si="31"/>
        <v>N/A</v>
      </c>
      <c r="V27" s="11" t="str">
        <f t="shared" si="32"/>
        <v>N/A</v>
      </c>
      <c r="W27" s="11">
        <f t="shared" si="33"/>
        <v>16</v>
      </c>
      <c r="X27" s="11">
        <f t="shared" si="34"/>
        <v>17</v>
      </c>
      <c r="Y27" s="11" t="str">
        <f t="shared" si="35"/>
        <v>N/A</v>
      </c>
      <c r="Z27" s="11" t="str">
        <f t="shared" si="36"/>
        <v>N/A</v>
      </c>
      <c r="AA27" s="11" t="str">
        <f t="shared" si="37"/>
        <v>N/A</v>
      </c>
      <c r="AB27" s="11" t="str">
        <f t="shared" si="38"/>
        <v>N/A</v>
      </c>
      <c r="AC27" s="11" t="str">
        <f t="shared" si="39"/>
        <v>N/A</v>
      </c>
      <c r="AD27" s="11" t="str">
        <f t="shared" si="40"/>
        <v>N/A</v>
      </c>
      <c r="AE27" s="11" t="str">
        <f t="shared" si="41"/>
        <v>N/A</v>
      </c>
      <c r="AF27" s="11">
        <f t="shared" si="42"/>
        <v>0.14000000000000001</v>
      </c>
      <c r="AG27" s="11">
        <f t="shared" si="43"/>
        <v>0.4</v>
      </c>
      <c r="AH27" t="e">
        <v>#N/A</v>
      </c>
      <c r="AI27" t="e">
        <v>#N/A</v>
      </c>
      <c r="AJ27" t="e">
        <v>#N/A</v>
      </c>
      <c r="AK27" t="e">
        <v>#N/A</v>
      </c>
      <c r="AL27" t="e">
        <v>#N/A</v>
      </c>
      <c r="AM27" t="e">
        <v>#N/A</v>
      </c>
      <c r="AN27" t="e">
        <v>#N/A</v>
      </c>
      <c r="AO27">
        <v>0</v>
      </c>
      <c r="AP27">
        <v>0.29000000000000004</v>
      </c>
    </row>
    <row r="28" spans="1:42" ht="15" customHeight="1" x14ac:dyDescent="0.3">
      <c r="A28" s="11">
        <v>25</v>
      </c>
      <c r="B28" s="110" t="s">
        <v>118</v>
      </c>
      <c r="C28" s="50" t="s">
        <v>119</v>
      </c>
      <c r="D28" s="50" t="s">
        <v>120</v>
      </c>
      <c r="E28" s="50" t="s">
        <v>297</v>
      </c>
      <c r="F28" s="31"/>
      <c r="G28" s="31">
        <v>9</v>
      </c>
      <c r="H28" s="31">
        <v>5</v>
      </c>
      <c r="I28" s="31">
        <v>7</v>
      </c>
      <c r="J28" s="31">
        <v>9</v>
      </c>
      <c r="K28" s="31">
        <v>9</v>
      </c>
      <c r="L28" s="31"/>
      <c r="M28" s="31">
        <v>7</v>
      </c>
      <c r="N28" s="31">
        <v>9</v>
      </c>
      <c r="O28" s="31">
        <v>9</v>
      </c>
      <c r="P28" s="11" t="str">
        <f t="shared" si="26"/>
        <v>N/A</v>
      </c>
      <c r="Q28" s="11">
        <f t="shared" si="27"/>
        <v>14</v>
      </c>
      <c r="R28" s="11">
        <f t="shared" si="28"/>
        <v>12</v>
      </c>
      <c r="S28" s="11">
        <f t="shared" si="29"/>
        <v>16</v>
      </c>
      <c r="T28" s="11">
        <f t="shared" si="30"/>
        <v>18</v>
      </c>
      <c r="U28" s="11" t="str">
        <f t="shared" si="31"/>
        <v>N/A</v>
      </c>
      <c r="V28" s="11" t="str">
        <f t="shared" si="32"/>
        <v>N/A</v>
      </c>
      <c r="W28" s="11">
        <f t="shared" si="33"/>
        <v>16</v>
      </c>
      <c r="X28" s="11">
        <f t="shared" si="34"/>
        <v>18</v>
      </c>
      <c r="Y28" s="11" t="str">
        <f t="shared" si="35"/>
        <v>N/A</v>
      </c>
      <c r="Z28" s="11">
        <f t="shared" si="36"/>
        <v>-1.3</v>
      </c>
      <c r="AA28" s="11">
        <f t="shared" si="37"/>
        <v>-1.46</v>
      </c>
      <c r="AB28" s="11">
        <f t="shared" si="38"/>
        <v>0.09</v>
      </c>
      <c r="AC28" s="11">
        <f t="shared" si="39"/>
        <v>0.89</v>
      </c>
      <c r="AD28" s="11" t="str">
        <f t="shared" si="40"/>
        <v>N/A</v>
      </c>
      <c r="AE28" s="11" t="str">
        <f t="shared" si="41"/>
        <v>N/A</v>
      </c>
      <c r="AF28" s="11">
        <f t="shared" si="42"/>
        <v>0.14000000000000001</v>
      </c>
      <c r="AG28" s="11">
        <f t="shared" si="43"/>
        <v>0.7</v>
      </c>
      <c r="AH28" t="e">
        <v>#N/A</v>
      </c>
      <c r="AI28">
        <v>-1.2997246660603736</v>
      </c>
      <c r="AJ28">
        <v>-1.4546875031616586</v>
      </c>
      <c r="AK28">
        <v>0.09</v>
      </c>
      <c r="AL28">
        <v>0.89</v>
      </c>
      <c r="AM28" t="e">
        <v>#N/A</v>
      </c>
      <c r="AN28" t="e">
        <v>#N/A</v>
      </c>
      <c r="AO28">
        <v>0</v>
      </c>
      <c r="AP28">
        <v>0.76</v>
      </c>
    </row>
    <row r="29" spans="1:42" ht="15" customHeight="1" x14ac:dyDescent="0.3">
      <c r="A29" s="11">
        <v>26</v>
      </c>
      <c r="B29" s="111" t="s">
        <v>331</v>
      </c>
      <c r="C29" s="112" t="s">
        <v>325</v>
      </c>
      <c r="D29" s="79" t="s">
        <v>332</v>
      </c>
      <c r="E29" s="79" t="s">
        <v>297</v>
      </c>
      <c r="F29" s="31"/>
      <c r="G29" s="31"/>
      <c r="H29" s="31"/>
      <c r="I29" s="31"/>
      <c r="J29" s="31"/>
      <c r="K29" s="31">
        <v>7</v>
      </c>
      <c r="L29" s="31">
        <v>9</v>
      </c>
      <c r="M29" s="31">
        <v>9</v>
      </c>
      <c r="N29" s="31">
        <v>6</v>
      </c>
      <c r="O29" s="31">
        <v>8</v>
      </c>
      <c r="P29" s="11" t="str">
        <f t="shared" si="26"/>
        <v>N/A</v>
      </c>
      <c r="Q29" s="11" t="str">
        <f t="shared" si="27"/>
        <v>N/A</v>
      </c>
      <c r="R29" s="11" t="str">
        <f t="shared" si="28"/>
        <v>N/A</v>
      </c>
      <c r="S29" s="11" t="str">
        <f t="shared" si="29"/>
        <v>N/A</v>
      </c>
      <c r="T29" s="11" t="str">
        <f t="shared" si="30"/>
        <v>N/A</v>
      </c>
      <c r="U29" s="11">
        <f t="shared" si="31"/>
        <v>16</v>
      </c>
      <c r="V29" s="11">
        <f t="shared" si="32"/>
        <v>18</v>
      </c>
      <c r="W29" s="11">
        <f t="shared" si="33"/>
        <v>15</v>
      </c>
      <c r="X29" s="11">
        <f t="shared" si="34"/>
        <v>14</v>
      </c>
      <c r="Y29" s="11" t="str">
        <f t="shared" si="35"/>
        <v>N/A</v>
      </c>
      <c r="Z29" s="11" t="str">
        <f t="shared" si="36"/>
        <v>N/A</v>
      </c>
      <c r="AA29" s="11" t="str">
        <f t="shared" si="37"/>
        <v>N/A</v>
      </c>
      <c r="AB29" s="11" t="str">
        <f t="shared" si="38"/>
        <v>N/A</v>
      </c>
      <c r="AC29" s="11" t="str">
        <f t="shared" si="39"/>
        <v>N/A</v>
      </c>
      <c r="AD29" s="11">
        <f t="shared" si="40"/>
        <v>-6.0000000000000005E-2</v>
      </c>
      <c r="AE29" s="11">
        <f t="shared" si="41"/>
        <v>0.65</v>
      </c>
      <c r="AF29" s="11">
        <f t="shared" si="42"/>
        <v>-0.18000000000000002</v>
      </c>
      <c r="AG29" s="11">
        <f t="shared" si="43"/>
        <v>-0.52</v>
      </c>
      <c r="AH29" t="e">
        <v>#N/A</v>
      </c>
      <c r="AI29" t="e">
        <v>#N/A</v>
      </c>
      <c r="AJ29" t="e">
        <v>#N/A</v>
      </c>
      <c r="AK29" t="e">
        <v>#N/A</v>
      </c>
      <c r="AL29" t="e">
        <v>#N/A</v>
      </c>
      <c r="AM29">
        <v>0.39</v>
      </c>
      <c r="AN29">
        <v>0.81</v>
      </c>
      <c r="AO29">
        <v>-0.38</v>
      </c>
      <c r="AP29">
        <v>-1.1300000000000001</v>
      </c>
    </row>
    <row r="30" spans="1:42" ht="15" customHeight="1" x14ac:dyDescent="0.3">
      <c r="A30" s="11">
        <v>37</v>
      </c>
      <c r="B30" s="111" t="s">
        <v>408</v>
      </c>
      <c r="C30" s="112" t="s">
        <v>365</v>
      </c>
      <c r="D30" s="79" t="s">
        <v>407</v>
      </c>
      <c r="E30" s="79" t="s">
        <v>340</v>
      </c>
      <c r="F30" s="31"/>
      <c r="G30" s="31"/>
      <c r="H30" s="31"/>
      <c r="I30" s="31"/>
      <c r="J30" s="31"/>
      <c r="K30" s="31"/>
      <c r="L30" s="31"/>
      <c r="M30" s="31">
        <v>8</v>
      </c>
      <c r="N30" s="31">
        <v>9</v>
      </c>
      <c r="O30" s="31">
        <v>8</v>
      </c>
      <c r="P30" s="11" t="str">
        <f t="shared" si="26"/>
        <v>N/A</v>
      </c>
      <c r="Q30" s="11" t="str">
        <f t="shared" si="27"/>
        <v>N/A</v>
      </c>
      <c r="R30" s="11" t="str">
        <f t="shared" si="28"/>
        <v>N/A</v>
      </c>
      <c r="S30" s="11" t="str">
        <f t="shared" si="29"/>
        <v>N/A</v>
      </c>
      <c r="T30" s="11" t="str">
        <f t="shared" si="30"/>
        <v>N/A</v>
      </c>
      <c r="U30" s="11" t="str">
        <f t="shared" si="31"/>
        <v>N/A</v>
      </c>
      <c r="V30" s="11" t="str">
        <f t="shared" si="32"/>
        <v>N/A</v>
      </c>
      <c r="W30" s="11">
        <f t="shared" si="33"/>
        <v>17</v>
      </c>
      <c r="X30" s="11">
        <f t="shared" si="34"/>
        <v>17</v>
      </c>
      <c r="Y30" s="11" t="str">
        <f t="shared" si="35"/>
        <v>N/A</v>
      </c>
      <c r="Z30" s="11" t="str">
        <f t="shared" si="36"/>
        <v>N/A</v>
      </c>
      <c r="AA30" s="11" t="str">
        <f t="shared" si="37"/>
        <v>N/A</v>
      </c>
      <c r="AB30" s="11" t="str">
        <f t="shared" si="38"/>
        <v>N/A</v>
      </c>
      <c r="AC30" s="11" t="str">
        <f t="shared" si="39"/>
        <v>N/A</v>
      </c>
      <c r="AD30" s="11" t="str">
        <f t="shared" si="40"/>
        <v>N/A</v>
      </c>
      <c r="AE30" s="11" t="str">
        <f t="shared" si="41"/>
        <v>N/A</v>
      </c>
      <c r="AF30" s="11">
        <f t="shared" si="42"/>
        <v>0.44</v>
      </c>
      <c r="AG30" s="11">
        <f t="shared" si="43"/>
        <v>0.4</v>
      </c>
      <c r="AH30" t="e">
        <v>#N/A</v>
      </c>
      <c r="AI30" t="e">
        <v>#N/A</v>
      </c>
      <c r="AJ30" t="e">
        <v>#N/A</v>
      </c>
      <c r="AK30" t="e">
        <v>#N/A</v>
      </c>
      <c r="AL30" t="e">
        <v>#N/A</v>
      </c>
      <c r="AM30" t="e">
        <v>#N/A</v>
      </c>
      <c r="AN30" t="e">
        <v>#N/A</v>
      </c>
      <c r="AO30">
        <v>0.38</v>
      </c>
      <c r="AP30">
        <v>0.29000000000000004</v>
      </c>
    </row>
    <row r="31" spans="1:42" ht="15" customHeight="1" x14ac:dyDescent="0.3">
      <c r="A31" s="11">
        <v>27</v>
      </c>
      <c r="B31" s="114" t="s">
        <v>156</v>
      </c>
      <c r="C31" s="115" t="s">
        <v>157</v>
      </c>
      <c r="D31" s="113" t="s">
        <v>158</v>
      </c>
      <c r="E31" s="113" t="s">
        <v>298</v>
      </c>
      <c r="F31" s="31">
        <v>9</v>
      </c>
      <c r="G31" s="31">
        <v>9</v>
      </c>
      <c r="H31" s="31">
        <v>8</v>
      </c>
      <c r="I31" s="31">
        <v>9</v>
      </c>
      <c r="J31" s="31">
        <v>7</v>
      </c>
      <c r="K31" s="31">
        <v>9</v>
      </c>
      <c r="L31" s="31">
        <v>9</v>
      </c>
      <c r="M31" s="31">
        <v>8</v>
      </c>
      <c r="N31" s="31">
        <v>9</v>
      </c>
      <c r="O31" s="31">
        <v>9</v>
      </c>
      <c r="P31" s="11">
        <f t="shared" si="26"/>
        <v>18</v>
      </c>
      <c r="Q31" s="11">
        <f t="shared" si="27"/>
        <v>17</v>
      </c>
      <c r="R31" s="11">
        <f t="shared" si="28"/>
        <v>17</v>
      </c>
      <c r="S31" s="11">
        <f t="shared" si="29"/>
        <v>16</v>
      </c>
      <c r="T31" s="11">
        <f t="shared" si="30"/>
        <v>16</v>
      </c>
      <c r="U31" s="11">
        <f t="shared" si="31"/>
        <v>18</v>
      </c>
      <c r="V31" s="11">
        <f t="shared" si="32"/>
        <v>17</v>
      </c>
      <c r="W31" s="11">
        <f t="shared" si="33"/>
        <v>17</v>
      </c>
      <c r="X31" s="11">
        <f t="shared" si="34"/>
        <v>18</v>
      </c>
      <c r="Y31" s="11">
        <f t="shared" si="35"/>
        <v>0.67</v>
      </c>
      <c r="Z31" s="11">
        <f t="shared" si="36"/>
        <v>0.34</v>
      </c>
      <c r="AA31" s="11">
        <f t="shared" si="37"/>
        <v>0.39</v>
      </c>
      <c r="AB31" s="11">
        <f t="shared" si="38"/>
        <v>0.09</v>
      </c>
      <c r="AC31" s="11">
        <f t="shared" si="39"/>
        <v>-0.22</v>
      </c>
      <c r="AD31" s="11">
        <f t="shared" si="40"/>
        <v>0.87</v>
      </c>
      <c r="AE31" s="11">
        <f t="shared" si="41"/>
        <v>0.4</v>
      </c>
      <c r="AF31" s="11">
        <f t="shared" si="42"/>
        <v>0.44</v>
      </c>
      <c r="AG31" s="11">
        <f t="shared" si="43"/>
        <v>0.7</v>
      </c>
      <c r="AH31">
        <v>0.66438565809323347</v>
      </c>
      <c r="AI31">
        <v>0.33541281704783926</v>
      </c>
      <c r="AJ31">
        <v>0.38066588867781687</v>
      </c>
      <c r="AK31">
        <v>0.09</v>
      </c>
      <c r="AL31">
        <v>-0.22</v>
      </c>
      <c r="AM31">
        <v>0.92</v>
      </c>
      <c r="AN31">
        <v>0.35000000000000003</v>
      </c>
      <c r="AO31">
        <v>0.38</v>
      </c>
      <c r="AP31">
        <v>0.76</v>
      </c>
    </row>
    <row r="32" spans="1:42" ht="15" customHeight="1" x14ac:dyDescent="0.3">
      <c r="A32" s="11">
        <v>28</v>
      </c>
      <c r="B32" s="114" t="s">
        <v>161</v>
      </c>
      <c r="C32" s="115" t="s">
        <v>162</v>
      </c>
      <c r="D32" s="113" t="s">
        <v>163</v>
      </c>
      <c r="E32" s="113" t="s">
        <v>298</v>
      </c>
      <c r="F32" s="31">
        <v>9</v>
      </c>
      <c r="G32" s="31">
        <v>8</v>
      </c>
      <c r="H32" s="31">
        <v>9</v>
      </c>
      <c r="I32" s="31">
        <v>0</v>
      </c>
      <c r="J32" s="31">
        <v>8</v>
      </c>
      <c r="K32" s="31">
        <v>6</v>
      </c>
      <c r="L32" s="31"/>
      <c r="M32" s="31">
        <v>4</v>
      </c>
      <c r="N32" s="31">
        <v>7</v>
      </c>
      <c r="O32" s="31">
        <v>5</v>
      </c>
      <c r="P32" s="11">
        <f t="shared" ref="P32:P46" si="44">IF(COUNTA(F32:G32)=2,SUM(F32:G32),"N/A")</f>
        <v>17</v>
      </c>
      <c r="Q32" s="11">
        <f t="shared" ref="Q32:Q46" si="45">IF(COUNTA(G32:H32)=2,SUM(G32:H32),"N/A")</f>
        <v>17</v>
      </c>
      <c r="R32" s="11">
        <f t="shared" ref="R32:R46" si="46">IF(COUNTA(H32:I32)=2,SUM(H32:I32),"N/A")</f>
        <v>9</v>
      </c>
      <c r="S32" s="11">
        <f t="shared" ref="S32:S46" si="47">IF(COUNTA(I32:J32)=2,SUM(I32:J32),"N/A")</f>
        <v>8</v>
      </c>
      <c r="T32" s="11">
        <f t="shared" ref="T32:T46" si="48">IF(COUNTA(J32:K32)=2,SUM(J32:K32),"N/A")</f>
        <v>14</v>
      </c>
      <c r="U32" s="11" t="str">
        <f t="shared" ref="U32:U46" si="49">IF(COUNTA(K32:L32)=2,SUM(K32:L32),"N/A")</f>
        <v>N/A</v>
      </c>
      <c r="V32" s="11" t="str">
        <f t="shared" ref="V32:V46" si="50">IF(COUNTA(L32:M32)=2,SUM(L32:M32),"N/A")</f>
        <v>N/A</v>
      </c>
      <c r="W32" s="11">
        <f t="shared" ref="W32:W46" si="51">IF(COUNTA(M32:N32)=2,SUM(M32:N32),"N/A")</f>
        <v>11</v>
      </c>
      <c r="X32" s="11">
        <f t="shared" ref="X32:X46" si="52">IF(COUNTA(N32:O32)=2,SUM(N32:O32),"N/A")</f>
        <v>12</v>
      </c>
      <c r="Y32" s="11">
        <f t="shared" si="35"/>
        <v>0.3</v>
      </c>
      <c r="Z32" s="11">
        <f t="shared" si="36"/>
        <v>0.34</v>
      </c>
      <c r="AA32" s="11">
        <f t="shared" si="37"/>
        <v>-2.5599999999999996</v>
      </c>
      <c r="AB32" s="11">
        <f t="shared" si="38"/>
        <v>-2.5</v>
      </c>
      <c r="AC32" s="11">
        <f t="shared" si="39"/>
        <v>-1.33</v>
      </c>
      <c r="AD32" s="11" t="str">
        <f t="shared" si="40"/>
        <v>N/A</v>
      </c>
      <c r="AE32" s="11" t="str">
        <f t="shared" si="41"/>
        <v>N/A</v>
      </c>
      <c r="AF32" s="11">
        <f t="shared" si="42"/>
        <v>-1.39</v>
      </c>
      <c r="AG32" s="11">
        <f t="shared" si="43"/>
        <v>-1.1300000000000001</v>
      </c>
      <c r="AH32">
        <v>0.2989735461419547</v>
      </c>
      <c r="AI32">
        <v>0.33541281704783926</v>
      </c>
      <c r="AJ32">
        <v>-2.555899538265344</v>
      </c>
      <c r="AK32">
        <v>-2.5</v>
      </c>
      <c r="AL32">
        <v>-1.33</v>
      </c>
      <c r="AM32" t="e">
        <v>#N/A</v>
      </c>
      <c r="AN32" t="e">
        <v>#N/A</v>
      </c>
      <c r="AO32">
        <v>-1.49</v>
      </c>
      <c r="AP32">
        <v>-2.0699999999999998</v>
      </c>
    </row>
    <row r="33" spans="1:42" ht="16.5" customHeight="1" x14ac:dyDescent="0.3">
      <c r="A33" s="11">
        <v>29</v>
      </c>
      <c r="B33" s="116" t="s">
        <v>341</v>
      </c>
      <c r="C33" s="117" t="s">
        <v>337</v>
      </c>
      <c r="D33" s="117" t="s">
        <v>338</v>
      </c>
      <c r="E33" s="117" t="s">
        <v>377</v>
      </c>
      <c r="F33" s="31"/>
      <c r="G33" s="31"/>
      <c r="H33" s="31"/>
      <c r="I33" s="31"/>
      <c r="J33" s="31"/>
      <c r="K33" s="31"/>
      <c r="L33" s="31">
        <v>6</v>
      </c>
      <c r="M33" s="31">
        <v>9</v>
      </c>
      <c r="N33" s="31">
        <v>9</v>
      </c>
      <c r="O33" s="31">
        <v>8</v>
      </c>
      <c r="P33" s="11" t="str">
        <f t="shared" si="44"/>
        <v>N/A</v>
      </c>
      <c r="Q33" s="11" t="str">
        <f t="shared" si="45"/>
        <v>N/A</v>
      </c>
      <c r="R33" s="11" t="str">
        <f t="shared" si="46"/>
        <v>N/A</v>
      </c>
      <c r="S33" s="11" t="str">
        <f t="shared" si="47"/>
        <v>N/A</v>
      </c>
      <c r="T33" s="11" t="str">
        <f t="shared" si="48"/>
        <v>N/A</v>
      </c>
      <c r="U33" s="11" t="str">
        <f t="shared" si="49"/>
        <v>N/A</v>
      </c>
      <c r="V33" s="11">
        <f t="shared" si="50"/>
        <v>15</v>
      </c>
      <c r="W33" s="11">
        <f t="shared" si="51"/>
        <v>18</v>
      </c>
      <c r="X33" s="11">
        <f t="shared" si="52"/>
        <v>17</v>
      </c>
      <c r="Y33" s="11" t="str">
        <f t="shared" si="35"/>
        <v>N/A</v>
      </c>
      <c r="Z33" s="11" t="str">
        <f t="shared" si="36"/>
        <v>N/A</v>
      </c>
      <c r="AA33" s="11" t="str">
        <f t="shared" si="37"/>
        <v>N/A</v>
      </c>
      <c r="AB33" s="11" t="str">
        <f t="shared" si="38"/>
        <v>N/A</v>
      </c>
      <c r="AC33" s="11" t="str">
        <f t="shared" si="39"/>
        <v>N/A</v>
      </c>
      <c r="AD33" s="11" t="str">
        <f t="shared" si="40"/>
        <v>N/A</v>
      </c>
      <c r="AE33" s="11">
        <f t="shared" si="41"/>
        <v>-0.11</v>
      </c>
      <c r="AF33" s="11">
        <f t="shared" si="42"/>
        <v>0.74</v>
      </c>
      <c r="AG33" s="11">
        <f t="shared" si="43"/>
        <v>0.4</v>
      </c>
      <c r="AH33" t="e">
        <v>#N/A</v>
      </c>
      <c r="AI33" t="e">
        <v>#N/A</v>
      </c>
      <c r="AJ33" t="e">
        <v>#N/A</v>
      </c>
      <c r="AK33" t="e">
        <v>#N/A</v>
      </c>
      <c r="AL33" t="e">
        <v>#N/A</v>
      </c>
      <c r="AM33" t="e">
        <v>#N/A</v>
      </c>
      <c r="AN33">
        <v>-0.57999999999999996</v>
      </c>
      <c r="AO33">
        <v>0.75</v>
      </c>
      <c r="AP33">
        <v>0.29000000000000004</v>
      </c>
    </row>
    <row r="34" spans="1:42" ht="15" customHeight="1" x14ac:dyDescent="0.3">
      <c r="A34" s="11">
        <v>30</v>
      </c>
      <c r="B34" s="116" t="s">
        <v>225</v>
      </c>
      <c r="C34" s="117" t="s">
        <v>226</v>
      </c>
      <c r="D34" s="117" t="s">
        <v>227</v>
      </c>
      <c r="E34" s="117" t="s">
        <v>377</v>
      </c>
      <c r="F34" s="31"/>
      <c r="G34" s="31">
        <v>9</v>
      </c>
      <c r="H34" s="31">
        <v>8</v>
      </c>
      <c r="I34" s="31">
        <v>9</v>
      </c>
      <c r="J34" s="31">
        <v>9</v>
      </c>
      <c r="K34" s="31">
        <v>9</v>
      </c>
      <c r="L34" s="31">
        <v>9</v>
      </c>
      <c r="M34" s="31">
        <v>9</v>
      </c>
      <c r="N34" s="31">
        <v>8</v>
      </c>
      <c r="O34" s="31">
        <v>8</v>
      </c>
      <c r="P34" s="11" t="str">
        <f t="shared" si="44"/>
        <v>N/A</v>
      </c>
      <c r="Q34" s="11">
        <f t="shared" si="45"/>
        <v>17</v>
      </c>
      <c r="R34" s="11">
        <f t="shared" si="46"/>
        <v>17</v>
      </c>
      <c r="S34" s="11">
        <f t="shared" si="47"/>
        <v>18</v>
      </c>
      <c r="T34" s="11">
        <f t="shared" si="48"/>
        <v>18</v>
      </c>
      <c r="U34" s="11">
        <f t="shared" si="49"/>
        <v>18</v>
      </c>
      <c r="V34" s="11">
        <f t="shared" si="50"/>
        <v>18</v>
      </c>
      <c r="W34" s="11">
        <f t="shared" si="51"/>
        <v>17</v>
      </c>
      <c r="X34" s="11">
        <f t="shared" si="52"/>
        <v>16</v>
      </c>
      <c r="Y34" s="11" t="str">
        <f t="shared" si="35"/>
        <v>N/A</v>
      </c>
      <c r="Z34" s="11">
        <f t="shared" si="36"/>
        <v>0.34</v>
      </c>
      <c r="AA34" s="11">
        <f t="shared" si="37"/>
        <v>0.39</v>
      </c>
      <c r="AB34" s="11">
        <f t="shared" si="38"/>
        <v>0.74</v>
      </c>
      <c r="AC34" s="11">
        <f t="shared" si="39"/>
        <v>0.89</v>
      </c>
      <c r="AD34" s="11">
        <f t="shared" si="40"/>
        <v>0.87</v>
      </c>
      <c r="AE34" s="11">
        <f t="shared" si="41"/>
        <v>0.65</v>
      </c>
      <c r="AF34" s="11">
        <f t="shared" si="42"/>
        <v>0.44</v>
      </c>
      <c r="AG34" s="11">
        <f t="shared" si="43"/>
        <v>9.9999999999999992E-2</v>
      </c>
      <c r="AH34" t="e">
        <v>#N/A</v>
      </c>
      <c r="AI34">
        <v>0.33541281704783926</v>
      </c>
      <c r="AJ34">
        <v>0.38066588867781687</v>
      </c>
      <c r="AK34">
        <v>0.74</v>
      </c>
      <c r="AL34" s="75">
        <v>0.89</v>
      </c>
      <c r="AM34">
        <v>0.92</v>
      </c>
      <c r="AN34">
        <v>0.81</v>
      </c>
      <c r="AO34">
        <v>0.38</v>
      </c>
      <c r="AP34">
        <v>-0.19</v>
      </c>
    </row>
    <row r="35" spans="1:42" ht="15" customHeight="1" x14ac:dyDescent="0.3">
      <c r="A35" s="11">
        <v>31</v>
      </c>
      <c r="B35" s="119" t="s">
        <v>404</v>
      </c>
      <c r="C35" s="120" t="s">
        <v>357</v>
      </c>
      <c r="D35" s="118" t="s">
        <v>359</v>
      </c>
      <c r="E35" s="117" t="s">
        <v>377</v>
      </c>
      <c r="F35" s="31"/>
      <c r="G35" s="31"/>
      <c r="H35" s="31"/>
      <c r="I35" s="31"/>
      <c r="J35" s="31"/>
      <c r="K35" s="31"/>
      <c r="L35" s="31"/>
      <c r="M35" s="31">
        <v>9</v>
      </c>
      <c r="N35" s="31">
        <v>9</v>
      </c>
      <c r="O35" s="31">
        <v>9</v>
      </c>
      <c r="P35" s="11" t="str">
        <f t="shared" si="44"/>
        <v>N/A</v>
      </c>
      <c r="Q35" s="11" t="str">
        <f t="shared" si="45"/>
        <v>N/A</v>
      </c>
      <c r="R35" s="11" t="str">
        <f t="shared" si="46"/>
        <v>N/A</v>
      </c>
      <c r="S35" s="11" t="str">
        <f t="shared" si="47"/>
        <v>N/A</v>
      </c>
      <c r="T35" s="11" t="str">
        <f t="shared" si="48"/>
        <v>N/A</v>
      </c>
      <c r="U35" s="11" t="str">
        <f t="shared" si="49"/>
        <v>N/A</v>
      </c>
      <c r="V35" s="11" t="str">
        <f t="shared" si="50"/>
        <v>N/A</v>
      </c>
      <c r="W35" s="11">
        <f t="shared" si="51"/>
        <v>18</v>
      </c>
      <c r="X35" s="11">
        <f t="shared" si="52"/>
        <v>18</v>
      </c>
      <c r="Y35" s="11" t="str">
        <f t="shared" si="35"/>
        <v>N/A</v>
      </c>
      <c r="Z35" s="11" t="str">
        <f t="shared" si="36"/>
        <v>N/A</v>
      </c>
      <c r="AA35" s="11" t="str">
        <f t="shared" si="37"/>
        <v>N/A</v>
      </c>
      <c r="AB35" s="11" t="str">
        <f t="shared" si="38"/>
        <v>N/A</v>
      </c>
      <c r="AC35" s="11" t="str">
        <f t="shared" si="39"/>
        <v>N/A</v>
      </c>
      <c r="AD35" s="11" t="str">
        <f t="shared" si="40"/>
        <v>N/A</v>
      </c>
      <c r="AE35" s="11" t="str">
        <f t="shared" si="41"/>
        <v>N/A</v>
      </c>
      <c r="AF35" s="11">
        <f t="shared" si="42"/>
        <v>0.74</v>
      </c>
      <c r="AG35" s="11">
        <f t="shared" si="43"/>
        <v>0.7</v>
      </c>
      <c r="AH35" t="e">
        <v>#N/A</v>
      </c>
      <c r="AI35" t="e">
        <v>#N/A</v>
      </c>
      <c r="AJ35" t="e">
        <v>#N/A</v>
      </c>
      <c r="AK35" t="e">
        <v>#N/A</v>
      </c>
      <c r="AL35" t="e">
        <v>#N/A</v>
      </c>
      <c r="AM35" t="e">
        <v>#N/A</v>
      </c>
      <c r="AN35" t="e">
        <v>#N/A</v>
      </c>
      <c r="AO35">
        <v>0.75</v>
      </c>
      <c r="AP35">
        <v>0.76</v>
      </c>
    </row>
    <row r="36" spans="1:42" ht="15" customHeight="1" x14ac:dyDescent="0.3">
      <c r="A36" s="11">
        <v>32</v>
      </c>
      <c r="B36" s="121" t="s">
        <v>449</v>
      </c>
      <c r="C36" s="122" t="s">
        <v>254</v>
      </c>
      <c r="D36" s="122" t="s">
        <v>266</v>
      </c>
      <c r="E36" s="122" t="s">
        <v>249</v>
      </c>
      <c r="F36" s="31"/>
      <c r="G36" s="31"/>
      <c r="H36" s="31"/>
      <c r="I36" s="31"/>
      <c r="J36" s="31">
        <v>8</v>
      </c>
      <c r="K36" s="31">
        <v>8</v>
      </c>
      <c r="L36" s="31">
        <v>7</v>
      </c>
      <c r="M36" s="31">
        <v>9</v>
      </c>
      <c r="N36" s="31"/>
      <c r="O36" s="31" t="s">
        <v>342</v>
      </c>
      <c r="P36" s="11" t="str">
        <f t="shared" si="44"/>
        <v>N/A</v>
      </c>
      <c r="Q36" s="11" t="str">
        <f t="shared" si="45"/>
        <v>N/A</v>
      </c>
      <c r="R36" s="11" t="str">
        <f t="shared" si="46"/>
        <v>N/A</v>
      </c>
      <c r="S36" s="11" t="str">
        <f t="shared" si="47"/>
        <v>N/A</v>
      </c>
      <c r="T36" s="11">
        <f t="shared" si="48"/>
        <v>16</v>
      </c>
      <c r="U36" s="11">
        <f t="shared" si="49"/>
        <v>15</v>
      </c>
      <c r="V36" s="11">
        <f t="shared" si="50"/>
        <v>16</v>
      </c>
      <c r="W36" s="11" t="str">
        <f t="shared" si="51"/>
        <v>N/A</v>
      </c>
      <c r="X36" s="11" t="str">
        <f t="shared" si="52"/>
        <v>N/A</v>
      </c>
      <c r="Y36" s="11" t="str">
        <f t="shared" si="35"/>
        <v>N/A</v>
      </c>
      <c r="Z36" s="11" t="str">
        <f t="shared" si="36"/>
        <v>N/A</v>
      </c>
      <c r="AA36" s="11" t="str">
        <f t="shared" si="37"/>
        <v>N/A</v>
      </c>
      <c r="AB36" s="11" t="str">
        <f t="shared" si="38"/>
        <v>N/A</v>
      </c>
      <c r="AC36" s="11">
        <f t="shared" si="39"/>
        <v>-0.22</v>
      </c>
      <c r="AD36" s="11">
        <f t="shared" si="40"/>
        <v>-0.52</v>
      </c>
      <c r="AE36" s="11">
        <f t="shared" si="41"/>
        <v>0.15000000000000002</v>
      </c>
      <c r="AF36" s="11" t="str">
        <f t="shared" si="42"/>
        <v>N/A</v>
      </c>
      <c r="AG36" s="11" t="str">
        <f t="shared" si="43"/>
        <v>N/A</v>
      </c>
      <c r="AH36" t="e">
        <v>#N/A</v>
      </c>
      <c r="AI36" t="e">
        <v>#N/A</v>
      </c>
      <c r="AJ36" t="e">
        <v>#N/A</v>
      </c>
      <c r="AK36" t="e">
        <v>#N/A</v>
      </c>
      <c r="AL36">
        <v>-0.22</v>
      </c>
      <c r="AM36">
        <v>0.12</v>
      </c>
      <c r="AN36">
        <v>-0.12</v>
      </c>
      <c r="AO36" t="e">
        <v>#N/A</v>
      </c>
      <c r="AP36" t="e">
        <v>#N/A</v>
      </c>
    </row>
    <row r="37" spans="1:42" ht="15" customHeight="1" x14ac:dyDescent="0.3">
      <c r="A37" s="11">
        <v>33</v>
      </c>
      <c r="B37" s="121" t="s">
        <v>450</v>
      </c>
      <c r="C37" s="122" t="s">
        <v>254</v>
      </c>
      <c r="D37" s="122" t="s">
        <v>266</v>
      </c>
      <c r="E37" s="122" t="s">
        <v>249</v>
      </c>
      <c r="F37" s="31"/>
      <c r="G37" s="31"/>
      <c r="H37" s="31"/>
      <c r="I37" s="31"/>
      <c r="J37" s="31">
        <v>8</v>
      </c>
      <c r="K37" s="31">
        <v>8</v>
      </c>
      <c r="L37" s="31"/>
      <c r="M37" s="31">
        <v>9</v>
      </c>
      <c r="N37" s="31">
        <v>5</v>
      </c>
      <c r="O37" s="31" t="s">
        <v>342</v>
      </c>
      <c r="P37" s="11" t="str">
        <f t="shared" si="44"/>
        <v>N/A</v>
      </c>
      <c r="Q37" s="11" t="str">
        <f t="shared" si="45"/>
        <v>N/A</v>
      </c>
      <c r="R37" s="11" t="str">
        <f t="shared" si="46"/>
        <v>N/A</v>
      </c>
      <c r="S37" s="11" t="str">
        <f t="shared" si="47"/>
        <v>N/A</v>
      </c>
      <c r="T37" s="11">
        <f t="shared" si="48"/>
        <v>16</v>
      </c>
      <c r="U37" s="11" t="str">
        <f t="shared" si="49"/>
        <v>N/A</v>
      </c>
      <c r="V37" s="11" t="str">
        <f t="shared" si="50"/>
        <v>N/A</v>
      </c>
      <c r="W37" s="11">
        <f t="shared" si="51"/>
        <v>14</v>
      </c>
      <c r="X37" s="11">
        <f t="shared" si="52"/>
        <v>5</v>
      </c>
      <c r="Y37" s="11" t="str">
        <f t="shared" si="35"/>
        <v>N/A</v>
      </c>
      <c r="Z37" s="11" t="str">
        <f t="shared" si="36"/>
        <v>N/A</v>
      </c>
      <c r="AA37" s="11" t="str">
        <f t="shared" si="37"/>
        <v>N/A</v>
      </c>
      <c r="AB37" s="11" t="str">
        <f t="shared" si="38"/>
        <v>N/A</v>
      </c>
      <c r="AC37" s="11">
        <f t="shared" si="39"/>
        <v>-0.22</v>
      </c>
      <c r="AD37" s="11" t="str">
        <f t="shared" si="40"/>
        <v>N/A</v>
      </c>
      <c r="AE37" s="11" t="str">
        <f t="shared" si="41"/>
        <v>N/A</v>
      </c>
      <c r="AF37" s="11">
        <f t="shared" si="42"/>
        <v>-0.48</v>
      </c>
      <c r="AG37" s="11">
        <f t="shared" si="43"/>
        <v>-3.2399999999999998</v>
      </c>
      <c r="AH37" t="e">
        <v>#N/A</v>
      </c>
      <c r="AI37" t="e">
        <v>#N/A</v>
      </c>
      <c r="AJ37" t="e">
        <v>#N/A</v>
      </c>
      <c r="AK37" t="e">
        <v>#N/A</v>
      </c>
      <c r="AL37" s="75">
        <v>-0.22</v>
      </c>
      <c r="AM37">
        <v>-1.76</v>
      </c>
      <c r="AN37" t="e">
        <v>#N/A</v>
      </c>
      <c r="AO37">
        <v>-0.75</v>
      </c>
      <c r="AP37" t="e">
        <v>#N/A</v>
      </c>
    </row>
    <row r="38" spans="1:42" ht="15" customHeight="1" x14ac:dyDescent="0.3">
      <c r="A38" s="11"/>
      <c r="B38" s="232" t="s">
        <v>484</v>
      </c>
      <c r="C38" s="233" t="s">
        <v>254</v>
      </c>
      <c r="D38" s="233" t="s">
        <v>266</v>
      </c>
      <c r="E38" s="122" t="s">
        <v>249</v>
      </c>
      <c r="F38" s="31"/>
      <c r="G38" s="31"/>
      <c r="H38" s="31"/>
      <c r="I38" s="31"/>
      <c r="J38" s="31"/>
      <c r="K38" s="31"/>
      <c r="L38" s="31"/>
      <c r="M38" s="31"/>
      <c r="N38" s="31"/>
      <c r="O38" s="31">
        <v>9</v>
      </c>
      <c r="P38" s="11" t="str">
        <f t="shared" ref="P38" si="53">IF(COUNTA(F38:G38)=2,SUM(F38:G38),"N/A")</f>
        <v>N/A</v>
      </c>
      <c r="Q38" s="11" t="str">
        <f t="shared" ref="Q38" si="54">IF(COUNTA(G38:H38)=2,SUM(G38:H38),"N/A")</f>
        <v>N/A</v>
      </c>
      <c r="R38" s="11" t="str">
        <f t="shared" ref="R38" si="55">IF(COUNTA(H38:I38)=2,SUM(H38:I38),"N/A")</f>
        <v>N/A</v>
      </c>
      <c r="S38" s="11" t="str">
        <f t="shared" ref="S38" si="56">IF(COUNTA(I38:J38)=2,SUM(I38:J38),"N/A")</f>
        <v>N/A</v>
      </c>
      <c r="T38" s="11" t="str">
        <f t="shared" ref="T38" si="57">IF(COUNTA(J38:K38)=2,SUM(J38:K38),"N/A")</f>
        <v>N/A</v>
      </c>
      <c r="U38" s="11" t="str">
        <f t="shared" ref="U38" si="58">IF(COUNTA(K38:L38)=2,SUM(K38:L38),"N/A")</f>
        <v>N/A</v>
      </c>
      <c r="V38" s="11" t="str">
        <f t="shared" ref="V38" si="59">IF(COUNTA(L38:M38)=2,SUM(L38:M38),"N/A")</f>
        <v>N/A</v>
      </c>
      <c r="W38" s="11">
        <f>IF(COUNTA(M39:N39)=2,SUM(M39:N39),"N/A")</f>
        <v>16</v>
      </c>
      <c r="X38" s="11" t="str">
        <f t="shared" ref="X38" si="60">IF(COUNTA(N38:O38)=2,SUM(N38:O38),"N/A")</f>
        <v>N/A</v>
      </c>
      <c r="Y38" s="11" t="str">
        <f t="shared" si="35"/>
        <v>N/A</v>
      </c>
      <c r="Z38" s="11" t="str">
        <f t="shared" si="36"/>
        <v>N/A</v>
      </c>
      <c r="AA38" s="11" t="str">
        <f t="shared" si="37"/>
        <v>N/A</v>
      </c>
      <c r="AB38" s="11" t="str">
        <f t="shared" si="38"/>
        <v>N/A</v>
      </c>
      <c r="AC38" s="11" t="str">
        <f t="shared" si="39"/>
        <v>N/A</v>
      </c>
      <c r="AD38" s="11" t="str">
        <f t="shared" si="40"/>
        <v>N/A</v>
      </c>
      <c r="AE38" s="11" t="str">
        <f t="shared" si="41"/>
        <v>N/A</v>
      </c>
      <c r="AF38" s="11">
        <f t="shared" si="42"/>
        <v>0.14000000000000001</v>
      </c>
      <c r="AG38" s="11" t="str">
        <f t="shared" si="43"/>
        <v>N/A</v>
      </c>
      <c r="AH38" t="e">
        <v>#N/A</v>
      </c>
      <c r="AI38" t="e">
        <v>#N/A</v>
      </c>
      <c r="AJ38" t="e">
        <v>#N/A</v>
      </c>
      <c r="AK38" t="e">
        <v>#N/A</v>
      </c>
      <c r="AL38" t="e">
        <v>#N/A</v>
      </c>
      <c r="AM38" t="e">
        <v>#N/A</v>
      </c>
      <c r="AN38" t="e">
        <v>#N/A</v>
      </c>
      <c r="AO38" t="e">
        <v>#N/A</v>
      </c>
      <c r="AP38" t="e">
        <v>#N/A</v>
      </c>
    </row>
    <row r="39" spans="1:42" ht="15" customHeight="1" x14ac:dyDescent="0.3">
      <c r="A39" s="11">
        <v>34</v>
      </c>
      <c r="B39" s="124" t="s">
        <v>87</v>
      </c>
      <c r="C39" s="125" t="s">
        <v>88</v>
      </c>
      <c r="D39" s="123" t="s">
        <v>89</v>
      </c>
      <c r="E39" s="123" t="s">
        <v>249</v>
      </c>
      <c r="F39" s="31">
        <v>9</v>
      </c>
      <c r="G39" s="31">
        <v>5</v>
      </c>
      <c r="H39" s="31">
        <v>8</v>
      </c>
      <c r="I39" s="31">
        <v>5</v>
      </c>
      <c r="J39" s="31">
        <v>7</v>
      </c>
      <c r="K39" s="31">
        <v>7</v>
      </c>
      <c r="L39" s="31">
        <v>7</v>
      </c>
      <c r="M39" s="31">
        <v>7</v>
      </c>
      <c r="N39" s="31">
        <v>9</v>
      </c>
      <c r="O39" s="31">
        <v>9</v>
      </c>
      <c r="P39" s="11">
        <f t="shared" si="44"/>
        <v>14</v>
      </c>
      <c r="Q39" s="11">
        <f t="shared" si="45"/>
        <v>13</v>
      </c>
      <c r="R39" s="11">
        <f t="shared" si="46"/>
        <v>13</v>
      </c>
      <c r="S39" s="11">
        <f t="shared" si="47"/>
        <v>12</v>
      </c>
      <c r="T39" s="11">
        <f t="shared" si="48"/>
        <v>14</v>
      </c>
      <c r="U39" s="11">
        <f t="shared" si="49"/>
        <v>14</v>
      </c>
      <c r="V39" s="11">
        <f t="shared" si="50"/>
        <v>14</v>
      </c>
      <c r="W39" s="11" t="str">
        <f>IF(COUNTA(M40:N40)=2,SUM(M40:N40),"N/A")</f>
        <v>N/A</v>
      </c>
      <c r="X39" s="11">
        <f t="shared" si="52"/>
        <v>18</v>
      </c>
      <c r="Y39" s="11">
        <f t="shared" si="35"/>
        <v>-0.8</v>
      </c>
      <c r="Z39" s="11">
        <f t="shared" si="36"/>
        <v>-1.85</v>
      </c>
      <c r="AA39" s="11">
        <f t="shared" si="37"/>
        <v>-1.0900000000000001</v>
      </c>
      <c r="AB39" s="11">
        <f t="shared" si="38"/>
        <v>-1.21</v>
      </c>
      <c r="AC39" s="11">
        <f t="shared" si="39"/>
        <v>-1.33</v>
      </c>
      <c r="AD39" s="11">
        <f t="shared" si="40"/>
        <v>-0.98</v>
      </c>
      <c r="AE39" s="11">
        <f t="shared" si="41"/>
        <v>-0.36</v>
      </c>
      <c r="AF39" s="11" t="str">
        <f t="shared" si="42"/>
        <v>N/A</v>
      </c>
      <c r="AG39" s="11">
        <f t="shared" si="43"/>
        <v>0.7</v>
      </c>
      <c r="AH39">
        <v>-0.79726278971188136</v>
      </c>
      <c r="AI39">
        <v>-1.8447704937631113</v>
      </c>
      <c r="AJ39">
        <v>-1.0876168247937634</v>
      </c>
      <c r="AK39">
        <v>-1.21</v>
      </c>
      <c r="AL39">
        <v>-1.33</v>
      </c>
      <c r="AM39">
        <v>-0.16</v>
      </c>
      <c r="AN39">
        <v>-1.04</v>
      </c>
      <c r="AO39">
        <v>0</v>
      </c>
      <c r="AP39">
        <v>0.76</v>
      </c>
    </row>
    <row r="40" spans="1:42" ht="15" customHeight="1" x14ac:dyDescent="0.3">
      <c r="A40" s="11">
        <v>35</v>
      </c>
      <c r="B40" s="98" t="s">
        <v>458</v>
      </c>
      <c r="C40" s="95" t="s">
        <v>85</v>
      </c>
      <c r="D40" s="94" t="s">
        <v>86</v>
      </c>
      <c r="E40" s="94" t="s">
        <v>356</v>
      </c>
      <c r="F40" s="31"/>
      <c r="G40" s="31"/>
      <c r="H40" s="31"/>
      <c r="I40" s="31"/>
      <c r="J40" s="31"/>
      <c r="K40" s="31"/>
      <c r="L40" s="31"/>
      <c r="M40" s="31"/>
      <c r="N40" s="31"/>
      <c r="O40" s="31">
        <v>7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42" ht="15" customHeight="1" x14ac:dyDescent="0.3">
      <c r="A41" s="11">
        <v>36</v>
      </c>
      <c r="B41" s="98" t="s">
        <v>405</v>
      </c>
      <c r="C41" s="95" t="s">
        <v>251</v>
      </c>
      <c r="D41" s="94" t="s">
        <v>158</v>
      </c>
      <c r="E41" s="94" t="s">
        <v>356</v>
      </c>
      <c r="F41" s="31"/>
      <c r="G41" s="31"/>
      <c r="H41" s="31"/>
      <c r="I41" s="31"/>
      <c r="J41" s="31"/>
      <c r="K41" s="31"/>
      <c r="L41" s="31"/>
      <c r="M41" s="31">
        <v>9</v>
      </c>
      <c r="N41" s="31">
        <v>9</v>
      </c>
      <c r="O41" s="31">
        <v>9</v>
      </c>
      <c r="P41" s="11" t="str">
        <f t="shared" si="44"/>
        <v>N/A</v>
      </c>
      <c r="Q41" s="11" t="str">
        <f t="shared" si="45"/>
        <v>N/A</v>
      </c>
      <c r="R41" s="11" t="str">
        <f t="shared" si="46"/>
        <v>N/A</v>
      </c>
      <c r="S41" s="11" t="str">
        <f t="shared" si="47"/>
        <v>N/A</v>
      </c>
      <c r="T41" s="11" t="str">
        <f t="shared" si="48"/>
        <v>N/A</v>
      </c>
      <c r="U41" s="11" t="str">
        <f t="shared" si="49"/>
        <v>N/A</v>
      </c>
      <c r="V41" s="11" t="str">
        <f>IF(COUNTA(L41:L41)=2,SUM(L41:L41),"N/A")</f>
        <v>N/A</v>
      </c>
      <c r="W41" s="11" t="str">
        <f>IF(COUNTA(#REF!)=2,SUM(#REF!),"N/A")</f>
        <v>N/A</v>
      </c>
      <c r="X41" s="11" t="str">
        <f>IF(COUNTA(O41:O41)=2,SUM(O41:O41),"N/A")</f>
        <v>N/A</v>
      </c>
      <c r="Y41" s="11" t="str">
        <f t="shared" ref="Y41:Y46" si="61">IF(P41&lt;&gt;"N/A",IF(P$50&lt;&gt;0,ROUNDUP((P41-$P$48)/$P$50,2),0),P41)</f>
        <v>N/A</v>
      </c>
      <c r="Z41" s="11" t="str">
        <f t="shared" ref="Z41:Z46" si="62">IF(Q41&lt;&gt;"N/A",IF(Q$50&lt;&gt;0,ROUNDUP((Q41-$Q$48)/$Q$50,2),0),Q41)</f>
        <v>N/A</v>
      </c>
      <c r="AA41" s="11" t="str">
        <f t="shared" ref="AA41:AA46" si="63">IF(R41&lt;&gt;"N/A",IF(R$50&lt;&gt;0,ROUNDUP((R41-$R$48)/$R$50,2),0),R41)</f>
        <v>N/A</v>
      </c>
      <c r="AB41" s="11" t="str">
        <f t="shared" ref="AB41:AB46" si="64">IF(S41&lt;&gt;"N/A",IF(S$50&lt;&gt;0,ROUNDUP((S41-$S$48)/$S$50,2),0),S41)</f>
        <v>N/A</v>
      </c>
      <c r="AC41" s="11" t="str">
        <f t="shared" ref="AC41:AC46" si="65">IF(T41&lt;&gt;"N/A",IF(T$50&lt;&gt;0,ROUNDUP((T41-$T$48)/$T$50,2),0),T41)</f>
        <v>N/A</v>
      </c>
      <c r="AD41" s="11" t="str">
        <f t="shared" ref="AD41:AD46" si="66">IF(U41&lt;&gt;"N/A",IF(U$50&lt;&gt;0,ROUNDUP((U41-$U$48)/$U$50,2),0),U41)</f>
        <v>N/A</v>
      </c>
      <c r="AE41" s="11" t="str">
        <f t="shared" ref="AE41:AE46" si="67">IF(V41&lt;&gt;"N/A",IF(V$50&lt;&gt;0,ROUNDUP((V41-$V$48)/$V$50,2),0),V41)</f>
        <v>N/A</v>
      </c>
      <c r="AF41" s="11" t="str">
        <f t="shared" ref="AF41:AF46" si="68">IF(W41&lt;&gt;"N/A",IF(W$50&lt;&gt;0,ROUNDUP((W41-$W$48)/$W$50,2),0),W41)</f>
        <v>N/A</v>
      </c>
      <c r="AG41" s="11" t="str">
        <f t="shared" ref="AG41:AG46" si="69">IF(X41&lt;&gt;"N/A",IF(X$50&lt;&gt;0,ROUNDUP((X41-$X$48)/$X$50,2),0),X41)</f>
        <v>N/A</v>
      </c>
      <c r="AH41" t="e">
        <v>#N/A</v>
      </c>
      <c r="AI41" t="e">
        <v>#N/A</v>
      </c>
      <c r="AJ41" t="e">
        <v>#N/A</v>
      </c>
      <c r="AK41" t="e">
        <v>#N/A</v>
      </c>
      <c r="AL41" t="e">
        <v>#N/A</v>
      </c>
      <c r="AM41" t="e">
        <v>#N/A</v>
      </c>
      <c r="AN41" t="e">
        <v>#N/A</v>
      </c>
      <c r="AO41">
        <v>0.75</v>
      </c>
      <c r="AP41">
        <v>0.76</v>
      </c>
    </row>
    <row r="42" spans="1:42" ht="15" customHeight="1" x14ac:dyDescent="0.3">
      <c r="A42" s="11">
        <v>38</v>
      </c>
      <c r="B42" s="141" t="s">
        <v>451</v>
      </c>
      <c r="C42" s="140" t="s">
        <v>257</v>
      </c>
      <c r="D42" s="140" t="s">
        <v>258</v>
      </c>
      <c r="E42" s="139" t="s">
        <v>340</v>
      </c>
      <c r="F42" s="31"/>
      <c r="G42" s="31"/>
      <c r="H42" s="31"/>
      <c r="I42" s="31"/>
      <c r="J42" s="31">
        <v>6</v>
      </c>
      <c r="K42" s="31"/>
      <c r="L42" s="31"/>
      <c r="M42" s="31" t="s">
        <v>342</v>
      </c>
      <c r="N42" s="31"/>
      <c r="O42" s="31" t="s">
        <v>342</v>
      </c>
      <c r="P42" s="11" t="str">
        <f t="shared" si="44"/>
        <v>N/A</v>
      </c>
      <c r="Q42" s="11" t="str">
        <f t="shared" si="45"/>
        <v>N/A</v>
      </c>
      <c r="R42" s="11" t="str">
        <f t="shared" si="46"/>
        <v>N/A</v>
      </c>
      <c r="S42" s="11" t="str">
        <f t="shared" si="47"/>
        <v>N/A</v>
      </c>
      <c r="T42" s="11" t="str">
        <f t="shared" si="48"/>
        <v>N/A</v>
      </c>
      <c r="U42" s="11" t="str">
        <f t="shared" si="49"/>
        <v>N/A</v>
      </c>
      <c r="V42" s="11" t="str">
        <f t="shared" si="50"/>
        <v>N/A</v>
      </c>
      <c r="W42" s="11" t="str">
        <f t="shared" si="51"/>
        <v>N/A</v>
      </c>
      <c r="X42" s="11" t="str">
        <f t="shared" si="52"/>
        <v>N/A</v>
      </c>
      <c r="Y42" s="11" t="str">
        <f t="shared" si="61"/>
        <v>N/A</v>
      </c>
      <c r="Z42" s="11" t="str">
        <f t="shared" si="62"/>
        <v>N/A</v>
      </c>
      <c r="AA42" s="11" t="str">
        <f t="shared" si="63"/>
        <v>N/A</v>
      </c>
      <c r="AB42" s="11" t="str">
        <f t="shared" si="64"/>
        <v>N/A</v>
      </c>
      <c r="AC42" s="11" t="str">
        <f t="shared" si="65"/>
        <v>N/A</v>
      </c>
      <c r="AD42" s="11" t="str">
        <f t="shared" si="66"/>
        <v>N/A</v>
      </c>
      <c r="AE42" s="11" t="str">
        <f t="shared" si="67"/>
        <v>N/A</v>
      </c>
      <c r="AF42" s="11" t="str">
        <f t="shared" si="68"/>
        <v>N/A</v>
      </c>
      <c r="AG42" s="11" t="str">
        <f t="shared" si="69"/>
        <v>N/A</v>
      </c>
      <c r="AH42" t="e">
        <v>#N/A</v>
      </c>
      <c r="AI42" t="e">
        <v>#N/A</v>
      </c>
      <c r="AJ42" t="e">
        <v>#N/A</v>
      </c>
      <c r="AK42" t="e">
        <v>#N/A</v>
      </c>
      <c r="AL42" t="e">
        <v>#N/A</v>
      </c>
      <c r="AM42" t="e">
        <v>#N/A</v>
      </c>
      <c r="AN42" t="e">
        <v>#N/A</v>
      </c>
      <c r="AO42" t="e">
        <v>#N/A</v>
      </c>
      <c r="AP42" t="e">
        <v>#N/A</v>
      </c>
    </row>
    <row r="43" spans="1:42" ht="15" customHeight="1" x14ac:dyDescent="0.3">
      <c r="A43" s="11">
        <v>39</v>
      </c>
      <c r="B43" s="99" t="s">
        <v>99</v>
      </c>
      <c r="C43" s="96" t="s">
        <v>100</v>
      </c>
      <c r="D43" s="96" t="s">
        <v>101</v>
      </c>
      <c r="E43" s="96" t="s">
        <v>324</v>
      </c>
      <c r="F43" s="31">
        <v>8</v>
      </c>
      <c r="G43" s="31">
        <v>6</v>
      </c>
      <c r="H43" s="31">
        <v>9</v>
      </c>
      <c r="I43" s="31">
        <v>6</v>
      </c>
      <c r="J43" s="31">
        <v>9</v>
      </c>
      <c r="K43" s="31">
        <v>9</v>
      </c>
      <c r="L43" s="31">
        <v>6</v>
      </c>
      <c r="M43" s="31" t="s">
        <v>342</v>
      </c>
      <c r="N43" s="31"/>
      <c r="O43" s="31" t="s">
        <v>342</v>
      </c>
      <c r="P43" s="11">
        <f t="shared" si="44"/>
        <v>14</v>
      </c>
      <c r="Q43" s="11">
        <f t="shared" si="45"/>
        <v>15</v>
      </c>
      <c r="R43" s="11">
        <f t="shared" si="46"/>
        <v>15</v>
      </c>
      <c r="S43" s="11">
        <f t="shared" si="47"/>
        <v>15</v>
      </c>
      <c r="T43" s="11">
        <f t="shared" si="48"/>
        <v>18</v>
      </c>
      <c r="U43" s="11">
        <f t="shared" si="49"/>
        <v>15</v>
      </c>
      <c r="V43" s="11">
        <f t="shared" si="50"/>
        <v>6</v>
      </c>
      <c r="W43" s="11" t="str">
        <f t="shared" si="51"/>
        <v>N/A</v>
      </c>
      <c r="X43" s="11" t="str">
        <f t="shared" si="52"/>
        <v>N/A</v>
      </c>
      <c r="Y43" s="11">
        <f t="shared" si="61"/>
        <v>-0.8</v>
      </c>
      <c r="Z43" s="11">
        <f t="shared" si="62"/>
        <v>-0.76</v>
      </c>
      <c r="AA43" s="11">
        <f t="shared" si="63"/>
        <v>-0.36</v>
      </c>
      <c r="AB43" s="11">
        <f t="shared" si="64"/>
        <v>-0.24000000000000002</v>
      </c>
      <c r="AC43" s="11">
        <f t="shared" si="65"/>
        <v>0.89</v>
      </c>
      <c r="AD43" s="11">
        <f t="shared" si="66"/>
        <v>-0.52</v>
      </c>
      <c r="AE43" s="11">
        <f t="shared" si="67"/>
        <v>-2.36</v>
      </c>
      <c r="AF43" s="11" t="str">
        <f t="shared" si="68"/>
        <v>N/A</v>
      </c>
      <c r="AG43" s="11" t="str">
        <f t="shared" si="69"/>
        <v>N/A</v>
      </c>
      <c r="AH43">
        <v>-0.79726278971188136</v>
      </c>
      <c r="AI43">
        <v>-0.75467883835763594</v>
      </c>
      <c r="AJ43">
        <v>-0.35347546805797331</v>
      </c>
      <c r="AK43">
        <v>-0.24000000000000002</v>
      </c>
      <c r="AL43">
        <v>0.89</v>
      </c>
      <c r="AM43">
        <v>0.12</v>
      </c>
      <c r="AN43" t="e">
        <v>#N/A</v>
      </c>
      <c r="AO43" t="e">
        <v>#N/A</v>
      </c>
      <c r="AP43" t="e">
        <v>#N/A</v>
      </c>
    </row>
    <row r="44" spans="1:42" ht="15" customHeight="1" x14ac:dyDescent="0.3">
      <c r="A44" s="11">
        <v>40</v>
      </c>
      <c r="B44" s="97" t="s">
        <v>202</v>
      </c>
      <c r="C44" s="96" t="s">
        <v>203</v>
      </c>
      <c r="D44" s="96" t="s">
        <v>204</v>
      </c>
      <c r="E44" s="96" t="s">
        <v>297</v>
      </c>
      <c r="F44" s="31">
        <v>5</v>
      </c>
      <c r="G44" s="31">
        <v>9</v>
      </c>
      <c r="H44" s="31">
        <v>5</v>
      </c>
      <c r="I44" s="31">
        <v>9</v>
      </c>
      <c r="J44" s="31">
        <v>9</v>
      </c>
      <c r="K44" s="31">
        <v>7</v>
      </c>
      <c r="L44" s="31">
        <v>6</v>
      </c>
      <c r="M44" s="31" t="s">
        <v>342</v>
      </c>
      <c r="N44" s="31"/>
      <c r="O44" s="31" t="s">
        <v>342</v>
      </c>
      <c r="P44" s="11">
        <f t="shared" si="44"/>
        <v>14</v>
      </c>
      <c r="Q44" s="11">
        <f t="shared" si="45"/>
        <v>14</v>
      </c>
      <c r="R44" s="11">
        <f t="shared" si="46"/>
        <v>14</v>
      </c>
      <c r="S44" s="11">
        <f t="shared" si="47"/>
        <v>18</v>
      </c>
      <c r="T44" s="11">
        <f t="shared" si="48"/>
        <v>16</v>
      </c>
      <c r="U44" s="11">
        <f t="shared" si="49"/>
        <v>13</v>
      </c>
      <c r="V44" s="11">
        <f t="shared" si="50"/>
        <v>6</v>
      </c>
      <c r="W44" s="11" t="str">
        <f t="shared" si="51"/>
        <v>N/A</v>
      </c>
      <c r="X44" s="11" t="str">
        <f t="shared" si="52"/>
        <v>N/A</v>
      </c>
      <c r="Y44" s="11">
        <f t="shared" si="61"/>
        <v>-0.8</v>
      </c>
      <c r="Z44" s="11">
        <f t="shared" si="62"/>
        <v>-1.3</v>
      </c>
      <c r="AA44" s="11">
        <f t="shared" si="63"/>
        <v>-0.73</v>
      </c>
      <c r="AB44" s="11">
        <f t="shared" si="64"/>
        <v>0.74</v>
      </c>
      <c r="AC44" s="11">
        <f t="shared" si="65"/>
        <v>-0.22</v>
      </c>
      <c r="AD44" s="11">
        <f t="shared" si="66"/>
        <v>-1.44</v>
      </c>
      <c r="AE44" s="11">
        <f t="shared" si="67"/>
        <v>-2.36</v>
      </c>
      <c r="AF44" s="11" t="str">
        <f t="shared" si="68"/>
        <v>N/A</v>
      </c>
      <c r="AG44" s="11" t="str">
        <f t="shared" si="69"/>
        <v>N/A</v>
      </c>
      <c r="AH44">
        <v>-0.79726278971188136</v>
      </c>
      <c r="AI44">
        <v>-1.2997246660603736</v>
      </c>
      <c r="AJ44">
        <v>-0.72054614642586834</v>
      </c>
      <c r="AK44">
        <v>0.74</v>
      </c>
      <c r="AL44">
        <v>-0.22</v>
      </c>
      <c r="AM44">
        <v>-0.42</v>
      </c>
      <c r="AN44" t="e">
        <v>#N/A</v>
      </c>
      <c r="AO44" t="e">
        <v>#N/A</v>
      </c>
      <c r="AP44" t="e">
        <v>#N/A</v>
      </c>
    </row>
    <row r="45" spans="1:42" ht="15" customHeight="1" x14ac:dyDescent="0.3">
      <c r="A45" s="11">
        <v>41</v>
      </c>
      <c r="B45" s="99" t="s">
        <v>310</v>
      </c>
      <c r="C45" s="142" t="s">
        <v>311</v>
      </c>
      <c r="D45" s="142" t="s">
        <v>312</v>
      </c>
      <c r="E45" s="96" t="s">
        <v>297</v>
      </c>
      <c r="F45" s="31"/>
      <c r="G45" s="31"/>
      <c r="H45" s="31"/>
      <c r="I45" s="31"/>
      <c r="J45" s="31">
        <v>7</v>
      </c>
      <c r="K45" s="31">
        <v>8</v>
      </c>
      <c r="L45" s="31">
        <v>7</v>
      </c>
      <c r="M45" s="31"/>
      <c r="N45" s="31"/>
      <c r="O45" s="31" t="s">
        <v>342</v>
      </c>
      <c r="P45" s="11" t="str">
        <f t="shared" si="44"/>
        <v>N/A</v>
      </c>
      <c r="Q45" s="11" t="str">
        <f t="shared" si="45"/>
        <v>N/A</v>
      </c>
      <c r="R45" s="11" t="str">
        <f t="shared" si="46"/>
        <v>N/A</v>
      </c>
      <c r="S45" s="11" t="str">
        <f t="shared" si="47"/>
        <v>N/A</v>
      </c>
      <c r="T45" s="11">
        <f t="shared" si="48"/>
        <v>15</v>
      </c>
      <c r="U45" s="11">
        <f t="shared" si="49"/>
        <v>15</v>
      </c>
      <c r="V45" s="11" t="str">
        <f t="shared" si="50"/>
        <v>N/A</v>
      </c>
      <c r="W45" s="11" t="str">
        <f t="shared" si="51"/>
        <v>N/A</v>
      </c>
      <c r="X45" s="11" t="str">
        <f t="shared" si="52"/>
        <v>N/A</v>
      </c>
      <c r="Y45" s="11" t="str">
        <f t="shared" si="61"/>
        <v>N/A</v>
      </c>
      <c r="Z45" s="11" t="str">
        <f t="shared" si="62"/>
        <v>N/A</v>
      </c>
      <c r="AA45" s="11" t="str">
        <f t="shared" si="63"/>
        <v>N/A</v>
      </c>
      <c r="AB45" s="11" t="str">
        <f t="shared" si="64"/>
        <v>N/A</v>
      </c>
      <c r="AC45" s="11">
        <f t="shared" si="65"/>
        <v>-0.77</v>
      </c>
      <c r="AD45" s="11">
        <f t="shared" si="66"/>
        <v>-0.52</v>
      </c>
      <c r="AE45" s="11" t="str">
        <f t="shared" si="67"/>
        <v>N/A</v>
      </c>
      <c r="AF45" s="11" t="str">
        <f t="shared" si="68"/>
        <v>N/A</v>
      </c>
      <c r="AG45" s="11" t="str">
        <f t="shared" si="69"/>
        <v>N/A</v>
      </c>
      <c r="AH45" t="e">
        <v>#N/A</v>
      </c>
      <c r="AI45" t="e">
        <v>#N/A</v>
      </c>
      <c r="AJ45" t="e">
        <v>#N/A</v>
      </c>
      <c r="AK45" t="e">
        <v>#N/A</v>
      </c>
      <c r="AL45">
        <v>-0.77</v>
      </c>
      <c r="AM45">
        <v>0.12</v>
      </c>
      <c r="AN45" t="e">
        <v>#N/A</v>
      </c>
      <c r="AO45" t="e">
        <v>#N/A</v>
      </c>
      <c r="AP45" t="e">
        <v>#N/A</v>
      </c>
    </row>
    <row r="46" spans="1:42" ht="15" customHeight="1" x14ac:dyDescent="0.3">
      <c r="A46" s="11">
        <v>42</v>
      </c>
      <c r="B46" s="143" t="s">
        <v>230</v>
      </c>
      <c r="C46" s="80" t="s">
        <v>231</v>
      </c>
      <c r="D46" s="80" t="s">
        <v>232</v>
      </c>
      <c r="E46" s="96" t="s">
        <v>297</v>
      </c>
      <c r="F46" s="31">
        <v>9</v>
      </c>
      <c r="G46" s="31">
        <v>8</v>
      </c>
      <c r="H46" s="31">
        <v>9</v>
      </c>
      <c r="I46" s="31">
        <v>8</v>
      </c>
      <c r="J46" s="31"/>
      <c r="K46" s="31">
        <v>9</v>
      </c>
      <c r="L46" s="31">
        <v>6</v>
      </c>
      <c r="M46" s="31"/>
      <c r="N46" s="31"/>
      <c r="O46" s="31" t="s">
        <v>342</v>
      </c>
      <c r="P46" s="11">
        <f t="shared" si="44"/>
        <v>17</v>
      </c>
      <c r="Q46" s="11">
        <f t="shared" si="45"/>
        <v>17</v>
      </c>
      <c r="R46" s="11">
        <f t="shared" si="46"/>
        <v>17</v>
      </c>
      <c r="S46" s="11" t="str">
        <f t="shared" si="47"/>
        <v>N/A</v>
      </c>
      <c r="T46" s="11" t="str">
        <f t="shared" si="48"/>
        <v>N/A</v>
      </c>
      <c r="U46" s="11">
        <f t="shared" si="49"/>
        <v>15</v>
      </c>
      <c r="V46" s="11" t="str">
        <f t="shared" si="50"/>
        <v>N/A</v>
      </c>
      <c r="W46" s="11" t="str">
        <f t="shared" si="51"/>
        <v>N/A</v>
      </c>
      <c r="X46" s="11" t="str">
        <f t="shared" si="52"/>
        <v>N/A</v>
      </c>
      <c r="Y46" s="11">
        <f t="shared" si="61"/>
        <v>0.3</v>
      </c>
      <c r="Z46" s="11">
        <f t="shared" si="62"/>
        <v>0.34</v>
      </c>
      <c r="AA46" s="11">
        <f t="shared" si="63"/>
        <v>0.39</v>
      </c>
      <c r="AB46" s="11" t="str">
        <f t="shared" si="64"/>
        <v>N/A</v>
      </c>
      <c r="AC46" s="11" t="str">
        <f t="shared" si="65"/>
        <v>N/A</v>
      </c>
      <c r="AD46" s="11">
        <f t="shared" si="66"/>
        <v>-0.52</v>
      </c>
      <c r="AE46" s="11" t="str">
        <f t="shared" si="67"/>
        <v>N/A</v>
      </c>
      <c r="AF46" s="11" t="str">
        <f t="shared" si="68"/>
        <v>N/A</v>
      </c>
      <c r="AG46" s="11" t="str">
        <f t="shared" si="69"/>
        <v>N/A</v>
      </c>
      <c r="AH46">
        <v>0.2989735461419547</v>
      </c>
      <c r="AI46">
        <v>0.33541281704783926</v>
      </c>
      <c r="AJ46">
        <v>0.38066588867781687</v>
      </c>
      <c r="AK46" t="e">
        <v>#N/A</v>
      </c>
      <c r="AL46" t="e">
        <v>#N/A</v>
      </c>
      <c r="AM46">
        <v>0.12</v>
      </c>
      <c r="AN46" t="e">
        <v>#N/A</v>
      </c>
      <c r="AO46" t="e">
        <v>#N/A</v>
      </c>
      <c r="AP46" t="e">
        <v>#N/A</v>
      </c>
    </row>
    <row r="48" spans="1:42" x14ac:dyDescent="0.25">
      <c r="J48" s="4" t="s">
        <v>242</v>
      </c>
      <c r="P48">
        <f t="shared" ref="P48:U48" si="70">AVERAGE(P4:P46)</f>
        <v>16.181818181818183</v>
      </c>
      <c r="Q48">
        <f t="shared" si="70"/>
        <v>16.384615384615383</v>
      </c>
      <c r="R48">
        <f t="shared" si="70"/>
        <v>15.962962962962964</v>
      </c>
      <c r="S48">
        <f t="shared" si="70"/>
        <v>15.73076923076923</v>
      </c>
      <c r="T48">
        <f t="shared" si="70"/>
        <v>16.392857142857142</v>
      </c>
      <c r="U48">
        <f t="shared" si="70"/>
        <v>16.125</v>
      </c>
      <c r="V48">
        <f>AVERAGE(V4:V39)</f>
        <v>15.409090909090908</v>
      </c>
      <c r="W48">
        <f>AVERAGE(W4:W39)</f>
        <v>15.566666666666666</v>
      </c>
      <c r="X48">
        <f>AVERAGE(X4:X39)</f>
        <v>15.7</v>
      </c>
    </row>
    <row r="50" spans="10:24" x14ac:dyDescent="0.25">
      <c r="J50" s="4" t="s">
        <v>243</v>
      </c>
      <c r="P50">
        <f t="shared" ref="P50:X50" si="71">STDEV(P4:P46)</f>
        <v>2.7366361630983169</v>
      </c>
      <c r="Q50">
        <f t="shared" si="71"/>
        <v>1.8347081092516677</v>
      </c>
      <c r="R50">
        <f t="shared" si="71"/>
        <v>2.7242709890266803</v>
      </c>
      <c r="S50">
        <f t="shared" si="71"/>
        <v>3.0926712377191645</v>
      </c>
      <c r="T50">
        <f t="shared" si="71"/>
        <v>1.8122890316921139</v>
      </c>
      <c r="U50">
        <f t="shared" si="71"/>
        <v>2.1732064068920196</v>
      </c>
      <c r="V50">
        <f t="shared" si="71"/>
        <v>3.9979614370543786</v>
      </c>
      <c r="W50">
        <f t="shared" si="71"/>
        <v>3.3081230571004374</v>
      </c>
      <c r="X50">
        <f t="shared" si="71"/>
        <v>3.3025590913296532</v>
      </c>
    </row>
  </sheetData>
  <mergeCells count="3">
    <mergeCell ref="P2:X2"/>
    <mergeCell ref="Y2:AG2"/>
    <mergeCell ref="AH2:AP2"/>
  </mergeCells>
  <conditionalFormatting sqref="B4:B37 B39:B46">
    <cfRule type="duplicateValues" dxfId="2" priority="6"/>
  </conditionalFormatting>
  <conditionalFormatting sqref="B38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NHÓM QBL01</vt:lpstr>
      <vt:lpstr>QBL01</vt:lpstr>
      <vt:lpstr>NHÓM QBL 02</vt:lpstr>
      <vt:lpstr>QBL 02</vt:lpstr>
      <vt:lpstr>NHÓM QBL 03</vt:lpstr>
      <vt:lpstr>QBL 03</vt:lpstr>
      <vt:lpstr>BĐ 1+2-IU</vt:lpstr>
      <vt:lpstr>CHÊNH</vt:lpstr>
      <vt:lpstr>HIEU XUAT</vt:lpstr>
      <vt:lpstr>HBV ĐL HC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Ngoại kiểm - TT Kiểm Chuẩn Chất lượng Xét nghiệm Y học</cp:lastModifiedBy>
  <cp:lastPrinted>2021-07-12T07:04:00Z</cp:lastPrinted>
  <dcterms:created xsi:type="dcterms:W3CDTF">2020-12-09T03:43:00Z</dcterms:created>
  <dcterms:modified xsi:type="dcterms:W3CDTF">2023-12-26T10:50:38Z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ADEB19534FC94BB7A6AA10E2E99C8433</vt:lpwstr>
  </property>
</Properties>
</file>