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Le Thanh Tung\Desktop\Report gửi web\HCV Định lượng\"/>
    </mc:Choice>
  </mc:AlternateContent>
  <xr:revisionPtr revIDLastSave="0" documentId="13_ncr:1_{F665E2AF-D178-4B2A-B779-9537571D897B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QCL01" sheetId="35" r:id="rId1"/>
    <sheet name="QCL02" sheetId="39" r:id="rId2"/>
    <sheet name="QCL03" sheetId="37" r:id="rId3"/>
    <sheet name="BD HCV IU" sheetId="12" r:id="rId4"/>
    <sheet name="CHENH HCV" sheetId="49" r:id="rId5"/>
    <sheet name="HIEU XUAT HCV" sheetId="50" r:id="rId6"/>
    <sheet name="HCV DL" sheetId="2" r:id="rId7"/>
  </sheets>
  <definedNames>
    <definedName name="_xlnm._FilterDatabase" localSheetId="6" hidden="1">'HCV DL'!$A$1:$AM$21</definedName>
    <definedName name="_xlcn.WorksheetConnection_Sheet1Q5Q34" hidden="1">#REF!</definedName>
  </definedNames>
  <calcPr calcId="191029"/>
  <pivotCaches>
    <pivotCache cacheId="22" r:id="rId8"/>
    <pivotCache cacheId="24" r:id="rId9"/>
    <pivotCache cacheId="25" r:id="rId10"/>
    <pivotCache cacheId="26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" i="12" l="1"/>
  <c r="AO27" i="2"/>
  <c r="AN27" i="2"/>
  <c r="AM27" i="2"/>
  <c r="AO26" i="2"/>
  <c r="AN26" i="2"/>
  <c r="AM26" i="2"/>
  <c r="AO25" i="2"/>
  <c r="AN25" i="2"/>
  <c r="AM25" i="2"/>
  <c r="AO24" i="2"/>
  <c r="AN24" i="2"/>
  <c r="AM24" i="2"/>
  <c r="AO23" i="2"/>
  <c r="AN23" i="2"/>
  <c r="AM23" i="2"/>
  <c r="AO22" i="2"/>
  <c r="AN22" i="2"/>
  <c r="AM22" i="2"/>
  <c r="AO21" i="2"/>
  <c r="AN21" i="2"/>
  <c r="AM21" i="2"/>
  <c r="AO20" i="2"/>
  <c r="AN20" i="2"/>
  <c r="AM20" i="2"/>
  <c r="AO19" i="2"/>
  <c r="AN19" i="2"/>
  <c r="AM19" i="2"/>
  <c r="AM18" i="2"/>
  <c r="AM17" i="2"/>
  <c r="AM16" i="2"/>
  <c r="AM15" i="2"/>
  <c r="AM14" i="2"/>
  <c r="AM13" i="2"/>
  <c r="AM12" i="2"/>
  <c r="AM11" i="2"/>
  <c r="AO10" i="2"/>
  <c r="AN10" i="2"/>
  <c r="AM10" i="2"/>
  <c r="AM9" i="2"/>
  <c r="AM8" i="2"/>
  <c r="AM7" i="2"/>
  <c r="AO6" i="2"/>
  <c r="AN6" i="2"/>
  <c r="AM6" i="2"/>
  <c r="AM5" i="2"/>
  <c r="AM4" i="2"/>
  <c r="AM3" i="2"/>
  <c r="AM2" i="2"/>
  <c r="Y52" i="12"/>
  <c r="Z52" i="12"/>
  <c r="Y53" i="12"/>
  <c r="Z53" i="12"/>
  <c r="Y54" i="12"/>
  <c r="Z54" i="12"/>
  <c r="Y55" i="12"/>
  <c r="Z55" i="12"/>
  <c r="Y56" i="12"/>
  <c r="Z56" i="12"/>
  <c r="Z51" i="12"/>
  <c r="Y51" i="12"/>
  <c r="E69" i="12"/>
  <c r="E77" i="12"/>
  <c r="E49" i="12"/>
  <c r="E57" i="12"/>
  <c r="E4" i="12"/>
  <c r="F4" i="12"/>
  <c r="E5" i="12"/>
  <c r="F5" i="12"/>
  <c r="E6" i="12"/>
  <c r="F6" i="12"/>
  <c r="E7" i="12"/>
  <c r="F7" i="12"/>
  <c r="E8" i="12"/>
  <c r="F8" i="12"/>
  <c r="E9" i="12"/>
  <c r="F9" i="12"/>
  <c r="E10" i="12"/>
  <c r="F10" i="12"/>
  <c r="E11" i="12"/>
  <c r="F11" i="12"/>
  <c r="E12" i="12"/>
  <c r="F12" i="12"/>
  <c r="E13" i="12"/>
  <c r="F13" i="12"/>
  <c r="E14" i="12"/>
  <c r="F14" i="12"/>
  <c r="E15" i="12"/>
  <c r="F15" i="12"/>
  <c r="E16" i="12"/>
  <c r="F16" i="12"/>
  <c r="E17" i="12"/>
  <c r="F17" i="12"/>
  <c r="E18" i="12"/>
  <c r="F18" i="12"/>
  <c r="E19" i="12"/>
  <c r="F19" i="12"/>
  <c r="E20" i="12"/>
  <c r="F20" i="12"/>
  <c r="E21" i="12"/>
  <c r="F21" i="12"/>
  <c r="E22" i="12"/>
  <c r="F22" i="12"/>
  <c r="E23" i="12"/>
  <c r="F23" i="12"/>
  <c r="E24" i="12"/>
  <c r="F24" i="12"/>
  <c r="E25" i="12"/>
  <c r="F25" i="12"/>
  <c r="E26" i="12"/>
  <c r="F26" i="12"/>
  <c r="E27" i="12"/>
  <c r="F27" i="12"/>
  <c r="E28" i="12"/>
  <c r="F28" i="12"/>
  <c r="X17" i="50"/>
  <c r="X7" i="50"/>
  <c r="F23" i="37"/>
  <c r="M30" i="2"/>
  <c r="S17" i="2"/>
  <c r="F77" i="12" s="1"/>
  <c r="R17" i="2"/>
  <c r="E48" i="12" s="1"/>
  <c r="S27" i="2"/>
  <c r="F87" i="12" s="1"/>
  <c r="R27" i="2"/>
  <c r="E58" i="12" s="1"/>
  <c r="S26" i="2"/>
  <c r="E86" i="12" s="1"/>
  <c r="R26" i="2"/>
  <c r="F57" i="12" s="1"/>
  <c r="S25" i="2"/>
  <c r="F85" i="12" s="1"/>
  <c r="R25" i="2"/>
  <c r="E56" i="12" s="1"/>
  <c r="S24" i="2"/>
  <c r="R24" i="2"/>
  <c r="S23" i="2"/>
  <c r="F83" i="12" s="1"/>
  <c r="R23" i="2"/>
  <c r="F55" i="12" s="1"/>
  <c r="S22" i="2"/>
  <c r="E82" i="12" s="1"/>
  <c r="R22" i="2"/>
  <c r="F53" i="12" s="1"/>
  <c r="S21" i="2"/>
  <c r="F81" i="12" s="1"/>
  <c r="R21" i="2"/>
  <c r="E52" i="12" s="1"/>
  <c r="S20" i="2"/>
  <c r="E80" i="12" s="1"/>
  <c r="R20" i="2"/>
  <c r="F51" i="12" s="1"/>
  <c r="S19" i="2"/>
  <c r="F79" i="12" s="1"/>
  <c r="R19" i="2"/>
  <c r="E50" i="12" s="1"/>
  <c r="S18" i="2"/>
  <c r="E78" i="12" s="1"/>
  <c r="R18" i="2"/>
  <c r="F49" i="12" s="1"/>
  <c r="S16" i="2"/>
  <c r="E76" i="12" s="1"/>
  <c r="R16" i="2"/>
  <c r="F47" i="12" s="1"/>
  <c r="S15" i="2"/>
  <c r="F75" i="12" s="1"/>
  <c r="R15" i="2"/>
  <c r="E46" i="12" s="1"/>
  <c r="S14" i="2"/>
  <c r="E17" i="37" s="1"/>
  <c r="R14" i="2"/>
  <c r="F45" i="12" s="1"/>
  <c r="S13" i="2"/>
  <c r="F73" i="12" s="1"/>
  <c r="R13" i="2"/>
  <c r="E44" i="12" s="1"/>
  <c r="S12" i="2"/>
  <c r="E72" i="12" s="1"/>
  <c r="R12" i="2"/>
  <c r="F43" i="12" s="1"/>
  <c r="S11" i="2"/>
  <c r="F71" i="12" s="1"/>
  <c r="R11" i="2"/>
  <c r="E42" i="12" s="1"/>
  <c r="S10" i="2"/>
  <c r="F13" i="37" s="1"/>
  <c r="R10" i="2"/>
  <c r="F41" i="12" s="1"/>
  <c r="S9" i="2"/>
  <c r="F69" i="12" s="1"/>
  <c r="R9" i="2"/>
  <c r="E40" i="12" s="1"/>
  <c r="S8" i="2"/>
  <c r="E68" i="12" s="1"/>
  <c r="R8" i="2"/>
  <c r="F39" i="12" s="1"/>
  <c r="S7" i="2"/>
  <c r="F67" i="12" s="1"/>
  <c r="R7" i="2"/>
  <c r="E38" i="12" s="1"/>
  <c r="S6" i="2"/>
  <c r="F9" i="37" s="1"/>
  <c r="R6" i="2"/>
  <c r="F37" i="12" s="1"/>
  <c r="S5" i="2"/>
  <c r="F65" i="12" s="1"/>
  <c r="R5" i="2"/>
  <c r="E36" i="12" s="1"/>
  <c r="S4" i="2"/>
  <c r="E7" i="37" s="1"/>
  <c r="R4" i="2"/>
  <c r="F35" i="12" s="1"/>
  <c r="S3" i="2"/>
  <c r="F63" i="12" s="1"/>
  <c r="R3" i="2"/>
  <c r="E34" i="12" s="1"/>
  <c r="S2" i="2"/>
  <c r="E5" i="37" s="1"/>
  <c r="R2" i="2"/>
  <c r="Z27" i="2"/>
  <c r="Y27" i="2"/>
  <c r="Z26" i="2"/>
  <c r="Y26" i="2"/>
  <c r="Z25" i="2"/>
  <c r="Y25" i="2"/>
  <c r="Z24" i="2"/>
  <c r="Y24" i="2"/>
  <c r="Z23" i="2"/>
  <c r="Y23" i="2"/>
  <c r="Z22" i="2"/>
  <c r="Y22" i="2"/>
  <c r="Z21" i="2"/>
  <c r="Y21" i="2"/>
  <c r="Z20" i="2"/>
  <c r="Y20" i="2"/>
  <c r="Z19" i="2"/>
  <c r="Y19" i="2"/>
  <c r="Z18" i="2"/>
  <c r="Y18" i="2"/>
  <c r="Z17" i="2"/>
  <c r="Y17" i="2"/>
  <c r="Z16" i="2"/>
  <c r="Y16" i="2"/>
  <c r="Z15" i="2"/>
  <c r="Y15" i="2"/>
  <c r="Z14" i="2"/>
  <c r="Y14" i="2"/>
  <c r="Z13" i="2"/>
  <c r="Y13" i="2"/>
  <c r="Z12" i="2"/>
  <c r="Y12" i="2"/>
  <c r="Z11" i="2"/>
  <c r="Y11" i="2"/>
  <c r="Z10" i="2"/>
  <c r="Y10" i="2"/>
  <c r="Z9" i="2"/>
  <c r="Y9" i="2"/>
  <c r="Z8" i="2"/>
  <c r="Y8" i="2"/>
  <c r="Z7" i="2"/>
  <c r="Y7" i="2"/>
  <c r="Z6" i="2"/>
  <c r="Y6" i="2"/>
  <c r="Z5" i="2"/>
  <c r="Y5" i="2"/>
  <c r="Z4" i="2"/>
  <c r="Y4" i="2"/>
  <c r="Z3" i="2"/>
  <c r="Y3" i="2"/>
  <c r="Z2" i="2"/>
  <c r="Y2" i="2"/>
  <c r="P6" i="37"/>
  <c r="P8" i="37"/>
  <c r="Z29" i="12"/>
  <c r="Z30" i="12"/>
  <c r="Z31" i="12"/>
  <c r="Z32" i="12"/>
  <c r="Z33" i="12"/>
  <c r="Z28" i="12"/>
  <c r="Y29" i="12"/>
  <c r="Y30" i="12"/>
  <c r="Y31" i="12"/>
  <c r="Y32" i="12"/>
  <c r="Y33" i="12"/>
  <c r="Y28" i="12"/>
  <c r="W13" i="12"/>
  <c r="W14" i="12" s="1"/>
  <c r="W15" i="12" s="1"/>
  <c r="W16" i="12" s="1"/>
  <c r="W17" i="12" s="1"/>
  <c r="W18" i="12" s="1"/>
  <c r="W12" i="12"/>
  <c r="E21" i="37" l="1"/>
  <c r="E55" i="12"/>
  <c r="E47" i="12"/>
  <c r="E39" i="12"/>
  <c r="E75" i="12"/>
  <c r="E67" i="12"/>
  <c r="E41" i="12"/>
  <c r="F29" i="37"/>
  <c r="E16" i="37"/>
  <c r="E53" i="12"/>
  <c r="E45" i="12"/>
  <c r="E37" i="12"/>
  <c r="E73" i="12"/>
  <c r="E65" i="12"/>
  <c r="F25" i="37"/>
  <c r="E6" i="37"/>
  <c r="E51" i="12"/>
  <c r="E43" i="12"/>
  <c r="E35" i="12"/>
  <c r="E71" i="12"/>
  <c r="E63" i="12"/>
  <c r="E13" i="37"/>
  <c r="E87" i="12"/>
  <c r="E81" i="12"/>
  <c r="E29" i="37"/>
  <c r="E27" i="37"/>
  <c r="E25" i="37"/>
  <c r="E23" i="37"/>
  <c r="E20" i="37"/>
  <c r="E15" i="37"/>
  <c r="E12" i="37"/>
  <c r="E9" i="37"/>
  <c r="F58" i="12"/>
  <c r="F56" i="12"/>
  <c r="F54" i="12"/>
  <c r="F52" i="12"/>
  <c r="F50" i="12"/>
  <c r="F48" i="12"/>
  <c r="F46" i="12"/>
  <c r="F44" i="12"/>
  <c r="F42" i="12"/>
  <c r="F40" i="12"/>
  <c r="F38" i="12"/>
  <c r="F36" i="12"/>
  <c r="F34" i="12"/>
  <c r="F86" i="12"/>
  <c r="F84" i="12"/>
  <c r="F82" i="12"/>
  <c r="F80" i="12"/>
  <c r="F78" i="12"/>
  <c r="F76" i="12"/>
  <c r="F74" i="12"/>
  <c r="F72" i="12"/>
  <c r="F70" i="12"/>
  <c r="F68" i="12"/>
  <c r="F66" i="12"/>
  <c r="F64" i="12"/>
  <c r="E83" i="12"/>
  <c r="P7" i="37"/>
  <c r="F30" i="37"/>
  <c r="F28" i="37"/>
  <c r="F26" i="37"/>
  <c r="F24" i="37"/>
  <c r="F22" i="37"/>
  <c r="E18" i="37"/>
  <c r="E14" i="37"/>
  <c r="E11" i="37"/>
  <c r="E8" i="37"/>
  <c r="E54" i="12"/>
  <c r="E84" i="12"/>
  <c r="E74" i="12"/>
  <c r="E70" i="12"/>
  <c r="E66" i="12"/>
  <c r="E64" i="12"/>
  <c r="F27" i="37"/>
  <c r="E85" i="12"/>
  <c r="E79" i="12"/>
  <c r="E30" i="37"/>
  <c r="E28" i="37"/>
  <c r="E26" i="37"/>
  <c r="E24" i="37"/>
  <c r="E22" i="37"/>
  <c r="E10" i="37"/>
  <c r="AP22" i="2"/>
  <c r="AP26" i="2"/>
  <c r="AP20" i="2"/>
  <c r="AP24" i="2"/>
  <c r="AP10" i="2"/>
  <c r="E19" i="37"/>
  <c r="AP6" i="2"/>
  <c r="AP19" i="2"/>
  <c r="AP23" i="2"/>
  <c r="AP27" i="2"/>
  <c r="AP21" i="2"/>
  <c r="AP25" i="2"/>
  <c r="P9" i="37"/>
  <c r="P5" i="37"/>
  <c r="E62" i="12"/>
  <c r="F62" i="12"/>
  <c r="G39" i="12" l="1"/>
  <c r="G63" i="12"/>
  <c r="G62" i="12"/>
  <c r="G38" i="12"/>
  <c r="G68" i="12"/>
  <c r="G67" i="12"/>
  <c r="P15" i="37"/>
  <c r="Q6" i="37" s="1"/>
  <c r="P13" i="37"/>
  <c r="P12" i="37"/>
  <c r="P8" i="39"/>
  <c r="E8" i="39"/>
  <c r="E12" i="39"/>
  <c r="E16" i="39"/>
  <c r="E21" i="39"/>
  <c r="H25" i="39"/>
  <c r="E25" i="39"/>
  <c r="I25" i="39"/>
  <c r="F25" i="39"/>
  <c r="J25" i="39"/>
  <c r="G25" i="39"/>
  <c r="H29" i="39"/>
  <c r="E29" i="39"/>
  <c r="I29" i="39"/>
  <c r="F29" i="39"/>
  <c r="J29" i="39"/>
  <c r="G29" i="39"/>
  <c r="E33" i="12"/>
  <c r="P5" i="39"/>
  <c r="F33" i="12"/>
  <c r="F22" i="39"/>
  <c r="J22" i="39"/>
  <c r="G22" i="39"/>
  <c r="E22" i="39"/>
  <c r="H22" i="39"/>
  <c r="I22" i="39"/>
  <c r="G13" i="39"/>
  <c r="H13" i="39"/>
  <c r="J13" i="39"/>
  <c r="E13" i="39"/>
  <c r="I13" i="39"/>
  <c r="F13" i="39"/>
  <c r="E17" i="39"/>
  <c r="F26" i="39"/>
  <c r="J26" i="39"/>
  <c r="H27" i="39"/>
  <c r="G26" i="39"/>
  <c r="E27" i="39"/>
  <c r="I27" i="39"/>
  <c r="E26" i="39"/>
  <c r="G27" i="39"/>
  <c r="H26" i="39"/>
  <c r="F27" i="39"/>
  <c r="J27" i="39"/>
  <c r="I26" i="39"/>
  <c r="F30" i="39"/>
  <c r="J30" i="39"/>
  <c r="G30" i="39"/>
  <c r="E30" i="39"/>
  <c r="H30" i="39"/>
  <c r="I30" i="39"/>
  <c r="P6" i="39"/>
  <c r="E6" i="39"/>
  <c r="E10" i="39"/>
  <c r="E14" i="39"/>
  <c r="E18" i="39"/>
  <c r="H23" i="39"/>
  <c r="E23" i="39"/>
  <c r="I23" i="39"/>
  <c r="G23" i="39"/>
  <c r="F23" i="39"/>
  <c r="J23" i="39"/>
  <c r="E20" i="39"/>
  <c r="P7" i="39"/>
  <c r="E7" i="39"/>
  <c r="E11" i="39"/>
  <c r="E15" i="39"/>
  <c r="F24" i="39"/>
  <c r="J24" i="39"/>
  <c r="G24" i="39"/>
  <c r="I24" i="39"/>
  <c r="H24" i="39"/>
  <c r="E24" i="39"/>
  <c r="F28" i="39"/>
  <c r="J28" i="39"/>
  <c r="G28" i="39"/>
  <c r="I28" i="39"/>
  <c r="H28" i="39"/>
  <c r="E28" i="39"/>
  <c r="E5" i="39"/>
  <c r="P9" i="39"/>
  <c r="E9" i="39"/>
  <c r="E19" i="39"/>
  <c r="Q9" i="37"/>
  <c r="I23" i="37"/>
  <c r="J24" i="37"/>
  <c r="W7" i="50"/>
  <c r="AF7" i="50" s="1"/>
  <c r="V7" i="50"/>
  <c r="U7" i="50"/>
  <c r="T7" i="50"/>
  <c r="S7" i="50"/>
  <c r="R7" i="50"/>
  <c r="Q7" i="50"/>
  <c r="P7" i="50"/>
  <c r="W19" i="12"/>
  <c r="W20" i="12" s="1"/>
  <c r="W21" i="12" s="1"/>
  <c r="H30" i="37"/>
  <c r="I24" i="37"/>
  <c r="G34" i="12" l="1"/>
  <c r="G33" i="12"/>
  <c r="Q8" i="37"/>
  <c r="Q5" i="37"/>
  <c r="Q7" i="37"/>
  <c r="P15" i="39"/>
  <c r="H23" i="35"/>
  <c r="E23" i="35"/>
  <c r="I23" i="35"/>
  <c r="F23" i="35"/>
  <c r="J23" i="35"/>
  <c r="G23" i="35"/>
  <c r="F26" i="35"/>
  <c r="J26" i="35"/>
  <c r="H27" i="35"/>
  <c r="G26" i="35"/>
  <c r="E27" i="35"/>
  <c r="I27" i="35"/>
  <c r="E26" i="35"/>
  <c r="G27" i="35"/>
  <c r="H26" i="35"/>
  <c r="F27" i="35"/>
  <c r="J27" i="35"/>
  <c r="I26" i="35"/>
  <c r="F30" i="35"/>
  <c r="J30" i="35"/>
  <c r="G30" i="35"/>
  <c r="E30" i="35"/>
  <c r="H30" i="35"/>
  <c r="I30" i="35"/>
  <c r="H25" i="35"/>
  <c r="E25" i="35"/>
  <c r="I25" i="35"/>
  <c r="G25" i="35"/>
  <c r="F25" i="35"/>
  <c r="J25" i="35"/>
  <c r="H29" i="35"/>
  <c r="E29" i="35"/>
  <c r="I29" i="35"/>
  <c r="F29" i="35"/>
  <c r="J29" i="35"/>
  <c r="G29" i="35"/>
  <c r="F24" i="35"/>
  <c r="J24" i="35"/>
  <c r="G24" i="35"/>
  <c r="E24" i="35"/>
  <c r="H24" i="35"/>
  <c r="I24" i="35"/>
  <c r="F28" i="35"/>
  <c r="J28" i="35"/>
  <c r="G28" i="35"/>
  <c r="I28" i="35"/>
  <c r="H28" i="35"/>
  <c r="E28" i="35"/>
  <c r="E9" i="35"/>
  <c r="P9" i="35"/>
  <c r="P12" i="39"/>
  <c r="Q9" i="39"/>
  <c r="P13" i="39"/>
  <c r="AS6" i="2"/>
  <c r="H25" i="37"/>
  <c r="G24" i="37"/>
  <c r="I28" i="37"/>
  <c r="J28" i="37"/>
  <c r="G28" i="37"/>
  <c r="H24" i="37"/>
  <c r="H28" i="37"/>
  <c r="G23" i="37"/>
  <c r="H26" i="37"/>
  <c r="J27" i="37"/>
  <c r="J30" i="37"/>
  <c r="G26" i="37"/>
  <c r="J25" i="37"/>
  <c r="J29" i="37"/>
  <c r="I30" i="37"/>
  <c r="I29" i="37"/>
  <c r="G25" i="37"/>
  <c r="H23" i="37"/>
  <c r="G30" i="37"/>
  <c r="H29" i="37"/>
  <c r="I27" i="37"/>
  <c r="J26" i="37"/>
  <c r="G27" i="37"/>
  <c r="J23" i="37"/>
  <c r="G29" i="37"/>
  <c r="H27" i="37"/>
  <c r="I26" i="37"/>
  <c r="I25" i="37"/>
  <c r="P4" i="50"/>
  <c r="Q4" i="50"/>
  <c r="R4" i="50"/>
  <c r="S4" i="50"/>
  <c r="T4" i="50"/>
  <c r="U4" i="50"/>
  <c r="V4" i="50"/>
  <c r="W4" i="50"/>
  <c r="X4" i="50"/>
  <c r="P5" i="50"/>
  <c r="Y5" i="50" s="1"/>
  <c r="Q5" i="50"/>
  <c r="Z5" i="50" s="1"/>
  <c r="R5" i="50"/>
  <c r="S5" i="50"/>
  <c r="AB5" i="50" s="1"/>
  <c r="T5" i="50"/>
  <c r="AC5" i="50" s="1"/>
  <c r="U5" i="50"/>
  <c r="AD5" i="50" s="1"/>
  <c r="V5" i="50"/>
  <c r="AE5" i="50" s="1"/>
  <c r="W5" i="50"/>
  <c r="X5" i="50"/>
  <c r="AA5" i="50"/>
  <c r="P6" i="50"/>
  <c r="Q6" i="50"/>
  <c r="Z6" i="50" s="1"/>
  <c r="R6" i="50"/>
  <c r="AA6" i="50" s="1"/>
  <c r="S6" i="50"/>
  <c r="AB6" i="50" s="1"/>
  <c r="T6" i="50"/>
  <c r="AC6" i="50" s="1"/>
  <c r="U6" i="50"/>
  <c r="AD6" i="50" s="1"/>
  <c r="V6" i="50"/>
  <c r="W6" i="50"/>
  <c r="X6" i="50"/>
  <c r="Y6" i="50"/>
  <c r="AE6" i="50"/>
  <c r="P8" i="50"/>
  <c r="Q8" i="50"/>
  <c r="R8" i="50"/>
  <c r="S8" i="50"/>
  <c r="T8" i="50"/>
  <c r="U8" i="50"/>
  <c r="V8" i="50"/>
  <c r="W8" i="50"/>
  <c r="X8" i="50"/>
  <c r="P9" i="50"/>
  <c r="Q9" i="50"/>
  <c r="R9" i="50"/>
  <c r="AA9" i="50" s="1"/>
  <c r="S9" i="50"/>
  <c r="AB9" i="50" s="1"/>
  <c r="T9" i="50"/>
  <c r="AC9" i="50" s="1"/>
  <c r="U9" i="50"/>
  <c r="AD9" i="50" s="1"/>
  <c r="V9" i="50"/>
  <c r="AE9" i="50" s="1"/>
  <c r="W9" i="50"/>
  <c r="X9" i="50"/>
  <c r="Y9" i="50"/>
  <c r="Z9" i="50"/>
  <c r="P10" i="50"/>
  <c r="Q10" i="50"/>
  <c r="R10" i="50"/>
  <c r="S10" i="50"/>
  <c r="T10" i="50"/>
  <c r="AC10" i="50" s="1"/>
  <c r="U10" i="50"/>
  <c r="V10" i="50"/>
  <c r="W10" i="50"/>
  <c r="X10" i="50"/>
  <c r="P11" i="50"/>
  <c r="Q11" i="50"/>
  <c r="R11" i="50"/>
  <c r="S11" i="50"/>
  <c r="T11" i="50"/>
  <c r="U11" i="50"/>
  <c r="V11" i="50"/>
  <c r="W11" i="50"/>
  <c r="AF11" i="50" s="1"/>
  <c r="X11" i="50"/>
  <c r="AG11" i="50" s="1"/>
  <c r="AT10" i="2" s="1"/>
  <c r="P12" i="50"/>
  <c r="Q12" i="50"/>
  <c r="R12" i="50"/>
  <c r="S12" i="50"/>
  <c r="T12" i="50"/>
  <c r="U12" i="50"/>
  <c r="V12" i="50"/>
  <c r="W12" i="50"/>
  <c r="X12" i="50"/>
  <c r="P13" i="50"/>
  <c r="Q13" i="50"/>
  <c r="R13" i="50"/>
  <c r="S13" i="50"/>
  <c r="T13" i="50"/>
  <c r="U13" i="50"/>
  <c r="V13" i="50"/>
  <c r="AE13" i="50" s="1"/>
  <c r="W13" i="50"/>
  <c r="AF13" i="50" s="1"/>
  <c r="X13" i="50"/>
  <c r="P14" i="50"/>
  <c r="Q14" i="50"/>
  <c r="R14" i="50"/>
  <c r="S14" i="50"/>
  <c r="T14" i="50"/>
  <c r="U14" i="50"/>
  <c r="V14" i="50"/>
  <c r="W14" i="50"/>
  <c r="X14" i="50"/>
  <c r="P15" i="50"/>
  <c r="Q15" i="50"/>
  <c r="Z15" i="50" s="1"/>
  <c r="R15" i="50"/>
  <c r="S15" i="50"/>
  <c r="AB15" i="50" s="1"/>
  <c r="T15" i="50"/>
  <c r="AC15" i="50" s="1"/>
  <c r="U15" i="50"/>
  <c r="V15" i="50"/>
  <c r="W15" i="50"/>
  <c r="X15" i="50"/>
  <c r="Y15" i="50"/>
  <c r="AA15" i="50"/>
  <c r="P16" i="50"/>
  <c r="Y16" i="50" s="1"/>
  <c r="Q16" i="50"/>
  <c r="Z16" i="50" s="1"/>
  <c r="R16" i="50"/>
  <c r="AA16" i="50" s="1"/>
  <c r="S16" i="50"/>
  <c r="T16" i="50"/>
  <c r="AC16" i="50" s="1"/>
  <c r="U16" i="50"/>
  <c r="AD16" i="50" s="1"/>
  <c r="V16" i="50"/>
  <c r="AE16" i="50" s="1"/>
  <c r="W16" i="50"/>
  <c r="X16" i="50"/>
  <c r="AB16" i="50"/>
  <c r="P17" i="50"/>
  <c r="Q17" i="50"/>
  <c r="Z17" i="50" s="1"/>
  <c r="R17" i="50"/>
  <c r="AA17" i="50" s="1"/>
  <c r="S17" i="50"/>
  <c r="AB17" i="50" s="1"/>
  <c r="T17" i="50"/>
  <c r="U17" i="50"/>
  <c r="AD17" i="50" s="1"/>
  <c r="V17" i="50"/>
  <c r="AE17" i="50" s="1"/>
  <c r="W17" i="50"/>
  <c r="AF17" i="50" s="1"/>
  <c r="Y17" i="50"/>
  <c r="AC17" i="50"/>
  <c r="P18" i="50"/>
  <c r="Y18" i="50" s="1"/>
  <c r="Q18" i="50"/>
  <c r="Z18" i="50" s="1"/>
  <c r="R18" i="50"/>
  <c r="AA18" i="50" s="1"/>
  <c r="S18" i="50"/>
  <c r="T18" i="50"/>
  <c r="AC18" i="50" s="1"/>
  <c r="U18" i="50"/>
  <c r="AD18" i="50" s="1"/>
  <c r="V18" i="50"/>
  <c r="AE18" i="50" s="1"/>
  <c r="W18" i="50"/>
  <c r="X18" i="50"/>
  <c r="AB18" i="50"/>
  <c r="P19" i="50"/>
  <c r="Q19" i="50"/>
  <c r="Z19" i="50" s="1"/>
  <c r="R19" i="50"/>
  <c r="S19" i="50"/>
  <c r="AB19" i="50" s="1"/>
  <c r="T19" i="50"/>
  <c r="AC19" i="50" s="1"/>
  <c r="U19" i="50"/>
  <c r="AD19" i="50" s="1"/>
  <c r="V19" i="50"/>
  <c r="AE19" i="50" s="1"/>
  <c r="W19" i="50"/>
  <c r="X19" i="50"/>
  <c r="Y19" i="50"/>
  <c r="AA19" i="50"/>
  <c r="P20" i="50"/>
  <c r="Q20" i="50"/>
  <c r="R20" i="50"/>
  <c r="S20" i="50"/>
  <c r="T20" i="50"/>
  <c r="U20" i="50"/>
  <c r="V20" i="50"/>
  <c r="W20" i="50"/>
  <c r="X20" i="50"/>
  <c r="AG20" i="50" s="1"/>
  <c r="AT19" i="2" s="1"/>
  <c r="P21" i="50"/>
  <c r="Q21" i="50"/>
  <c r="R21" i="50"/>
  <c r="S21" i="50"/>
  <c r="T21" i="50"/>
  <c r="U21" i="50"/>
  <c r="V21" i="50"/>
  <c r="W21" i="50"/>
  <c r="X21" i="50"/>
  <c r="P22" i="50"/>
  <c r="Y22" i="50" s="1"/>
  <c r="Q22" i="50"/>
  <c r="Z22" i="50" s="1"/>
  <c r="R22" i="50"/>
  <c r="S22" i="50"/>
  <c r="T22" i="50"/>
  <c r="U22" i="50"/>
  <c r="V22" i="50"/>
  <c r="W22" i="50"/>
  <c r="X22" i="50"/>
  <c r="AA22" i="50"/>
  <c r="AB22" i="50"/>
  <c r="P23" i="50"/>
  <c r="Q23" i="50"/>
  <c r="R23" i="50"/>
  <c r="S23" i="50"/>
  <c r="T23" i="50"/>
  <c r="U23" i="50"/>
  <c r="V23" i="50"/>
  <c r="W23" i="50"/>
  <c r="X23" i="50"/>
  <c r="P24" i="50"/>
  <c r="Q24" i="50"/>
  <c r="R24" i="50"/>
  <c r="S24" i="50"/>
  <c r="T24" i="50"/>
  <c r="U24" i="50"/>
  <c r="AD24" i="50" s="1"/>
  <c r="V24" i="50"/>
  <c r="AE24" i="50" s="1"/>
  <c r="W24" i="50"/>
  <c r="X24" i="50"/>
  <c r="AF24" i="50"/>
  <c r="P25" i="50"/>
  <c r="Q25" i="50"/>
  <c r="R25" i="50"/>
  <c r="S25" i="50"/>
  <c r="T25" i="50"/>
  <c r="U25" i="50"/>
  <c r="AD25" i="50" s="1"/>
  <c r="V25" i="50"/>
  <c r="W25" i="50"/>
  <c r="AF25" i="50" s="1"/>
  <c r="X25" i="50"/>
  <c r="AG25" i="50" s="1"/>
  <c r="AE25" i="50"/>
  <c r="P26" i="50"/>
  <c r="Y26" i="50" s="1"/>
  <c r="Q26" i="50"/>
  <c r="R26" i="50"/>
  <c r="S26" i="50"/>
  <c r="T26" i="50"/>
  <c r="U26" i="50"/>
  <c r="V26" i="50"/>
  <c r="AE26" i="50" s="1"/>
  <c r="W26" i="50"/>
  <c r="AF26" i="50" s="1"/>
  <c r="X26" i="50"/>
  <c r="AG26" i="50" s="1"/>
  <c r="AT25" i="2" s="1"/>
  <c r="P27" i="50"/>
  <c r="Y27" i="50" s="1"/>
  <c r="Q27" i="50"/>
  <c r="R27" i="50"/>
  <c r="S27" i="50"/>
  <c r="AB27" i="50" s="1"/>
  <c r="T27" i="50"/>
  <c r="U27" i="50"/>
  <c r="AD27" i="50" s="1"/>
  <c r="V27" i="50"/>
  <c r="AE27" i="50" s="1"/>
  <c r="W27" i="50"/>
  <c r="AF27" i="50" s="1"/>
  <c r="X27" i="50"/>
  <c r="AG27" i="50" s="1"/>
  <c r="AT26" i="2" s="1"/>
  <c r="Z27" i="50"/>
  <c r="AA27" i="50"/>
  <c r="AC27" i="50"/>
  <c r="P28" i="50"/>
  <c r="Y28" i="50" s="1"/>
  <c r="Q28" i="50"/>
  <c r="Z28" i="50" s="1"/>
  <c r="R28" i="50"/>
  <c r="S28" i="50"/>
  <c r="AB28" i="50" s="1"/>
  <c r="T28" i="50"/>
  <c r="AC28" i="50" s="1"/>
  <c r="U28" i="50"/>
  <c r="AD28" i="50" s="1"/>
  <c r="V28" i="50"/>
  <c r="AE28" i="50" s="1"/>
  <c r="W28" i="50"/>
  <c r="AF28" i="50" s="1"/>
  <c r="X28" i="50"/>
  <c r="AG28" i="50" s="1"/>
  <c r="AT27" i="2" s="1"/>
  <c r="AA28" i="50"/>
  <c r="P3" i="50"/>
  <c r="X3" i="50"/>
  <c r="W3" i="50"/>
  <c r="V3" i="50"/>
  <c r="U3" i="50"/>
  <c r="T3" i="50"/>
  <c r="S3" i="50"/>
  <c r="R3" i="50"/>
  <c r="Q3" i="50"/>
  <c r="P16" i="37" l="1"/>
  <c r="P14" i="37" s="1"/>
  <c r="Q3" i="37" s="1"/>
  <c r="Q15" i="37"/>
  <c r="Q16" i="37" s="1"/>
  <c r="Q8" i="39"/>
  <c r="Q7" i="39"/>
  <c r="Q5" i="39"/>
  <c r="Q6" i="39"/>
  <c r="Q31" i="50"/>
  <c r="Q30" i="50"/>
  <c r="U30" i="50"/>
  <c r="AD22" i="50" s="1"/>
  <c r="U31" i="50"/>
  <c r="R30" i="50"/>
  <c r="R31" i="50"/>
  <c r="V30" i="50"/>
  <c r="V31" i="50"/>
  <c r="P30" i="50"/>
  <c r="P31" i="50"/>
  <c r="Y14" i="50" s="1"/>
  <c r="S30" i="50"/>
  <c r="S31" i="50"/>
  <c r="W30" i="50"/>
  <c r="W31" i="50"/>
  <c r="T30" i="50"/>
  <c r="AC22" i="50" s="1"/>
  <c r="T31" i="50"/>
  <c r="X30" i="50"/>
  <c r="X31" i="50"/>
  <c r="AR6" i="2" s="1"/>
  <c r="AF6" i="50" l="1"/>
  <c r="Q2" i="37"/>
  <c r="R9" i="37" s="1"/>
  <c r="AG9" i="50"/>
  <c r="AT8" i="2" s="1"/>
  <c r="AG7" i="50"/>
  <c r="AT6" i="2" s="1"/>
  <c r="AA25" i="50"/>
  <c r="Z25" i="50"/>
  <c r="Z10" i="50"/>
  <c r="Z26" i="50"/>
  <c r="AF18" i="50"/>
  <c r="AD10" i="50"/>
  <c r="AG13" i="50"/>
  <c r="AT12" i="2" s="1"/>
  <c r="Z24" i="50"/>
  <c r="AF16" i="50"/>
  <c r="AF5" i="50"/>
  <c r="AD15" i="50"/>
  <c r="AF9" i="50"/>
  <c r="AF19" i="50"/>
  <c r="Q15" i="39"/>
  <c r="Q16" i="39" s="1"/>
  <c r="P16" i="39"/>
  <c r="P14" i="39" s="1"/>
  <c r="AG16" i="50"/>
  <c r="AT15" i="2" s="1"/>
  <c r="AA24" i="50"/>
  <c r="AG6" i="50"/>
  <c r="AT5" i="2" s="1"/>
  <c r="AG17" i="50"/>
  <c r="AT16" i="2" s="1"/>
  <c r="Y20" i="50"/>
  <c r="AA10" i="50"/>
  <c r="AQ6" i="2"/>
  <c r="AE10" i="50"/>
  <c r="AE15" i="50"/>
  <c r="AG18" i="50"/>
  <c r="AT17" i="2" s="1"/>
  <c r="AG5" i="50"/>
  <c r="AT4" i="2" s="1"/>
  <c r="Y7" i="50"/>
  <c r="AG19" i="50"/>
  <c r="AT18" i="2" s="1"/>
  <c r="AA26" i="50"/>
  <c r="AB7" i="50"/>
  <c r="AC7" i="50"/>
  <c r="AE7" i="50"/>
  <c r="AD7" i="50"/>
  <c r="AA7" i="50"/>
  <c r="Z7" i="50"/>
  <c r="AS16" i="2"/>
  <c r="AS23" i="2"/>
  <c r="AS25" i="2"/>
  <c r="AS26" i="2"/>
  <c r="AS27" i="2"/>
  <c r="AS15" i="2"/>
  <c r="AS17" i="2"/>
  <c r="AS18" i="2"/>
  <c r="AS19" i="2"/>
  <c r="AS20" i="2"/>
  <c r="AS21" i="2"/>
  <c r="AS22" i="2"/>
  <c r="AS11" i="2"/>
  <c r="AS12" i="2"/>
  <c r="AS13" i="2"/>
  <c r="AS14" i="2"/>
  <c r="AS8" i="2"/>
  <c r="AS9" i="2"/>
  <c r="AS10" i="2"/>
  <c r="AS4" i="2"/>
  <c r="AS5" i="2"/>
  <c r="AS7" i="2"/>
  <c r="AS3" i="2"/>
  <c r="Q3" i="39" l="1"/>
  <c r="Q2" i="39"/>
  <c r="R9" i="39" s="1"/>
  <c r="E19" i="35"/>
  <c r="AS24" i="2"/>
  <c r="E18" i="35" l="1"/>
  <c r="P7" i="35"/>
  <c r="E7" i="35"/>
  <c r="E21" i="35"/>
  <c r="F3" i="12"/>
  <c r="E5" i="35"/>
  <c r="E3" i="12"/>
  <c r="P5" i="35"/>
  <c r="P8" i="35"/>
  <c r="E8" i="35"/>
  <c r="R7" i="39"/>
  <c r="R8" i="39"/>
  <c r="R6" i="39"/>
  <c r="R5" i="39"/>
  <c r="L16" i="2"/>
  <c r="L6" i="2"/>
  <c r="R7" i="37"/>
  <c r="R8" i="37"/>
  <c r="L27" i="2"/>
  <c r="L23" i="2"/>
  <c r="L19" i="2"/>
  <c r="L14" i="2"/>
  <c r="L10" i="2"/>
  <c r="L5" i="2"/>
  <c r="L26" i="2"/>
  <c r="L22" i="2"/>
  <c r="L18" i="2"/>
  <c r="L13" i="2"/>
  <c r="L9" i="2"/>
  <c r="L4" i="2"/>
  <c r="L25" i="2"/>
  <c r="L21" i="2"/>
  <c r="L17" i="2"/>
  <c r="L12" i="2"/>
  <c r="L8" i="2"/>
  <c r="L3" i="2"/>
  <c r="L24" i="2"/>
  <c r="L20" i="2"/>
  <c r="L15" i="2"/>
  <c r="L11" i="2"/>
  <c r="L7" i="2"/>
  <c r="L2" i="2"/>
  <c r="R12" i="39" l="1"/>
  <c r="R13" i="39"/>
  <c r="R15" i="39"/>
  <c r="R16" i="39"/>
  <c r="R14" i="39" s="1"/>
  <c r="S3" i="39" l="1"/>
  <c r="S2" i="39"/>
  <c r="S9" i="39" l="1"/>
  <c r="S5" i="39"/>
  <c r="S7" i="39"/>
  <c r="S6" i="39"/>
  <c r="S8" i="39"/>
  <c r="S16" i="39" l="1"/>
  <c r="S14" i="39" s="1"/>
  <c r="S15" i="39"/>
  <c r="S13" i="39"/>
  <c r="S12" i="39"/>
  <c r="T3" i="39" l="1"/>
  <c r="T2" i="39"/>
  <c r="T9" i="39" s="1"/>
  <c r="T8" i="39" l="1"/>
  <c r="T5" i="39"/>
  <c r="T7" i="39"/>
  <c r="T6" i="39"/>
  <c r="T16" i="39" l="1"/>
  <c r="T14" i="39" s="1"/>
  <c r="T15" i="39"/>
  <c r="T12" i="39"/>
  <c r="T13" i="39"/>
  <c r="U2" i="39" l="1"/>
  <c r="U9" i="39" s="1"/>
  <c r="U3" i="39"/>
  <c r="U5" i="39" l="1"/>
  <c r="U8" i="39"/>
  <c r="U6" i="39"/>
  <c r="U7" i="39"/>
  <c r="U12" i="39" l="1"/>
  <c r="U16" i="39"/>
  <c r="U13" i="39"/>
  <c r="U15" i="39"/>
  <c r="U14" i="39" l="1"/>
  <c r="Z130" i="12" l="1"/>
  <c r="Z120" i="12" s="1"/>
  <c r="Z112" i="12"/>
  <c r="Z101" i="12" s="1"/>
  <c r="Y79" i="12"/>
  <c r="Z79" i="12"/>
  <c r="Y80" i="12"/>
  <c r="Z80" i="12"/>
  <c r="Y81" i="12"/>
  <c r="Z81" i="12"/>
  <c r="Y82" i="12"/>
  <c r="Z82" i="12"/>
  <c r="Y83" i="12"/>
  <c r="Z83" i="12"/>
  <c r="Y84" i="12"/>
  <c r="Z84" i="12"/>
  <c r="Y85" i="12"/>
  <c r="Z85" i="12"/>
  <c r="Y86" i="12"/>
  <c r="Z86" i="12"/>
  <c r="Y87" i="12"/>
  <c r="Z87" i="12"/>
  <c r="Z78" i="12"/>
  <c r="Y78" i="12"/>
  <c r="Z90" i="12"/>
  <c r="Y37" i="12"/>
  <c r="Y17" i="12"/>
  <c r="AC4" i="12" s="1"/>
  <c r="Y60" i="12"/>
  <c r="AC52" i="12" s="1"/>
  <c r="AA27" i="12" l="1"/>
  <c r="AC29" i="12"/>
  <c r="AB7" i="12"/>
  <c r="AA2" i="12"/>
  <c r="AA4" i="12" s="1"/>
  <c r="AB51" i="12"/>
  <c r="AA50" i="12"/>
  <c r="Z127" i="12"/>
  <c r="Z104" i="12"/>
  <c r="Z126" i="12"/>
  <c r="Z123" i="12"/>
  <c r="Z122" i="12"/>
  <c r="Z125" i="12"/>
  <c r="Z121" i="12"/>
  <c r="Z107" i="12"/>
  <c r="Z128" i="12"/>
  <c r="Z124" i="12"/>
  <c r="Z103" i="12"/>
  <c r="Z108" i="12"/>
  <c r="Z106" i="12"/>
  <c r="Z102" i="12"/>
  <c r="Z109" i="12"/>
  <c r="Z105" i="12"/>
  <c r="AA78" i="12"/>
  <c r="AA55" i="12" l="1"/>
  <c r="AA52" i="12"/>
  <c r="AA56" i="12"/>
  <c r="AA53" i="12"/>
  <c r="AA51" i="12"/>
  <c r="AA54" i="12"/>
  <c r="AA29" i="12"/>
  <c r="AA33" i="12"/>
  <c r="AA30" i="12"/>
  <c r="AA31" i="12"/>
  <c r="AA32" i="12"/>
  <c r="AA7" i="12"/>
  <c r="AA28" i="12"/>
  <c r="AA79" i="12"/>
  <c r="AS2" i="2"/>
  <c r="AA80" i="12" l="1"/>
  <c r="AR16" i="2"/>
  <c r="AG24" i="50" l="1"/>
  <c r="AG21" i="50"/>
  <c r="AT20" i="2" s="1"/>
  <c r="AG23" i="50"/>
  <c r="AT22" i="2" s="1"/>
  <c r="AG22" i="50"/>
  <c r="AT21" i="2" s="1"/>
  <c r="Z3" i="50"/>
  <c r="Z4" i="50"/>
  <c r="Z11" i="50"/>
  <c r="Z13" i="50"/>
  <c r="Z21" i="50"/>
  <c r="Z23" i="50"/>
  <c r="Z20" i="50"/>
  <c r="Z12" i="50"/>
  <c r="Z14" i="50"/>
  <c r="Z8" i="50"/>
  <c r="AD3" i="50"/>
  <c r="AD4" i="50"/>
  <c r="AD11" i="50"/>
  <c r="AD13" i="50"/>
  <c r="AD21" i="50"/>
  <c r="AD23" i="50"/>
  <c r="AD12" i="50"/>
  <c r="AD26" i="50"/>
  <c r="AD8" i="50"/>
  <c r="AD14" i="50"/>
  <c r="AD20" i="50"/>
  <c r="AA23" i="50"/>
  <c r="AA3" i="50"/>
  <c r="AA8" i="50"/>
  <c r="AA12" i="50"/>
  <c r="AA14" i="50"/>
  <c r="AA20" i="50"/>
  <c r="AA13" i="50"/>
  <c r="AA21" i="50"/>
  <c r="AA4" i="50"/>
  <c r="AA11" i="50"/>
  <c r="AC3" i="50"/>
  <c r="AC8" i="50"/>
  <c r="AC20" i="50"/>
  <c r="AC4" i="50"/>
  <c r="AC11" i="50"/>
  <c r="AC13" i="50"/>
  <c r="AC21" i="50"/>
  <c r="AC23" i="50"/>
  <c r="AC25" i="50"/>
  <c r="AC24" i="50"/>
  <c r="AC26" i="50"/>
  <c r="AC12" i="50"/>
  <c r="AC14" i="50"/>
  <c r="AG14" i="50"/>
  <c r="AT13" i="2" s="1"/>
  <c r="AG4" i="50"/>
  <c r="AT3" i="2" s="1"/>
  <c r="AG15" i="50"/>
  <c r="AT14" i="2" s="1"/>
  <c r="AG3" i="50"/>
  <c r="AT2" i="2" s="1"/>
  <c r="AG12" i="50"/>
  <c r="AT11" i="2" s="1"/>
  <c r="AG8" i="50"/>
  <c r="AT7" i="2" s="1"/>
  <c r="AG10" i="50"/>
  <c r="AT9" i="2" s="1"/>
  <c r="AB3" i="50"/>
  <c r="AB8" i="50"/>
  <c r="AB10" i="50"/>
  <c r="AB12" i="50"/>
  <c r="AB14" i="50"/>
  <c r="AB20" i="50"/>
  <c r="AB24" i="50"/>
  <c r="AB26" i="50"/>
  <c r="AB4" i="50"/>
  <c r="AB21" i="50"/>
  <c r="AB23" i="50"/>
  <c r="AB25" i="50"/>
  <c r="AB11" i="50"/>
  <c r="AB13" i="50"/>
  <c r="AQ2" i="2"/>
  <c r="AQ17" i="2"/>
  <c r="AQ12" i="2"/>
  <c r="AQ9" i="2"/>
  <c r="AQ4" i="2"/>
  <c r="AQ14" i="2"/>
  <c r="AQ11" i="2"/>
  <c r="AQ7" i="2"/>
  <c r="AQ16" i="2"/>
  <c r="AQ19" i="2"/>
  <c r="AQ18" i="2"/>
  <c r="AQ15" i="2"/>
  <c r="AQ13" i="2"/>
  <c r="AQ10" i="2"/>
  <c r="AQ8" i="2"/>
  <c r="AQ5" i="2"/>
  <c r="AQ3" i="2"/>
  <c r="AR26" i="2"/>
  <c r="AR22" i="2"/>
  <c r="AR18" i="2"/>
  <c r="AR13" i="2"/>
  <c r="AR9" i="2"/>
  <c r="AR4" i="2"/>
  <c r="AR25" i="2"/>
  <c r="AR21" i="2"/>
  <c r="AR17" i="2"/>
  <c r="AR12" i="2"/>
  <c r="AR3" i="2"/>
  <c r="AR8" i="2"/>
  <c r="AR27" i="2"/>
  <c r="AR19" i="2"/>
  <c r="AR10" i="2"/>
  <c r="AR24" i="2"/>
  <c r="AR20" i="2"/>
  <c r="AR15" i="2"/>
  <c r="AR11" i="2"/>
  <c r="AR7" i="2"/>
  <c r="AR2" i="2"/>
  <c r="AR23" i="2"/>
  <c r="AR14" i="2"/>
  <c r="AR5" i="2"/>
  <c r="AA81" i="12"/>
  <c r="AT24" i="2" l="1"/>
  <c r="AT23" i="2"/>
  <c r="AA82" i="12"/>
  <c r="AA83" i="12" l="1"/>
  <c r="AA84" i="12" l="1"/>
  <c r="AA85" i="12" l="1"/>
  <c r="AA86" i="12" l="1"/>
  <c r="AA87" i="12" l="1"/>
  <c r="E14" i="35" l="1"/>
  <c r="E12" i="35"/>
  <c r="E17" i="35"/>
  <c r="E15" i="35"/>
  <c r="E16" i="35"/>
  <c r="E11" i="35"/>
  <c r="P6" i="35"/>
  <c r="E6" i="35"/>
  <c r="E10" i="35"/>
  <c r="G13" i="35"/>
  <c r="H13" i="35"/>
  <c r="E13" i="35"/>
  <c r="I13" i="35"/>
  <c r="F13" i="35"/>
  <c r="J13" i="35"/>
  <c r="F22" i="35"/>
  <c r="J22" i="35"/>
  <c r="G22" i="35"/>
  <c r="I22" i="35"/>
  <c r="H22" i="35"/>
  <c r="E22" i="35"/>
  <c r="H22" i="37"/>
  <c r="J22" i="37"/>
  <c r="G22" i="37"/>
  <c r="I22" i="37"/>
  <c r="R6" i="37"/>
  <c r="R5" i="37"/>
  <c r="R16" i="37" l="1"/>
  <c r="R14" i="37" s="1"/>
  <c r="R13" i="37"/>
  <c r="R12" i="37"/>
  <c r="R15" i="37"/>
  <c r="P15" i="35"/>
  <c r="Q6" i="35" s="1"/>
  <c r="P16" i="35" s="1"/>
  <c r="P14" i="35" s="1"/>
  <c r="P13" i="35"/>
  <c r="P12" i="35"/>
  <c r="AB54" i="12"/>
  <c r="AB56" i="12"/>
  <c r="AB53" i="12"/>
  <c r="AB55" i="12"/>
  <c r="AB52" i="12"/>
  <c r="AB32" i="12"/>
  <c r="AB30" i="12"/>
  <c r="AB31" i="12"/>
  <c r="AB33" i="12"/>
  <c r="AB28" i="12"/>
  <c r="AB29" i="12"/>
  <c r="S2" i="37" l="1"/>
  <c r="S9" i="37" s="1"/>
  <c r="S3" i="37"/>
  <c r="Q7" i="35"/>
  <c r="Q8" i="35"/>
  <c r="Q5" i="35"/>
  <c r="Q15" i="35" s="1"/>
  <c r="Q16" i="35" s="1"/>
  <c r="Q3" i="35"/>
  <c r="Q9" i="35"/>
  <c r="Q2" i="35"/>
  <c r="S7" i="37" l="1"/>
  <c r="S8" i="37"/>
  <c r="S5" i="37"/>
  <c r="S6" i="37"/>
  <c r="R7" i="35"/>
  <c r="R5" i="35"/>
  <c r="R8" i="35"/>
  <c r="R9" i="35"/>
  <c r="R6" i="35"/>
  <c r="S15" i="37" l="1"/>
  <c r="S12" i="37"/>
  <c r="S13" i="37"/>
  <c r="S16" i="37"/>
  <c r="S14" i="37" s="1"/>
  <c r="R12" i="35"/>
  <c r="R13" i="35"/>
  <c r="R16" i="35"/>
  <c r="R14" i="35" s="1"/>
  <c r="R15" i="35"/>
  <c r="T3" i="37" l="1"/>
  <c r="T2" i="37"/>
  <c r="T9" i="37" s="1"/>
  <c r="S3" i="35"/>
  <c r="S2" i="35"/>
  <c r="T7" i="37" l="1"/>
  <c r="T8" i="37"/>
  <c r="S9" i="35"/>
  <c r="T6" i="37"/>
  <c r="T5" i="37"/>
  <c r="S6" i="35"/>
  <c r="S7" i="35"/>
  <c r="S8" i="35"/>
  <c r="S5" i="35"/>
  <c r="T13" i="37" l="1"/>
  <c r="T15" i="37"/>
  <c r="T12" i="37"/>
  <c r="T16" i="37"/>
  <c r="T14" i="37" s="1"/>
  <c r="S13" i="35"/>
  <c r="S15" i="35"/>
  <c r="S12" i="35"/>
  <c r="S16" i="35"/>
  <c r="S14" i="35" s="1"/>
  <c r="U3" i="37" l="1"/>
  <c r="U2" i="37"/>
  <c r="U9" i="37" s="1"/>
  <c r="T3" i="35"/>
  <c r="T2" i="35"/>
  <c r="U7" i="37" l="1"/>
  <c r="U8" i="37"/>
  <c r="U5" i="37"/>
  <c r="U6" i="37"/>
  <c r="T9" i="35"/>
  <c r="T8" i="35"/>
  <c r="T7" i="35"/>
  <c r="T6" i="35"/>
  <c r="T5" i="35"/>
  <c r="U13" i="37" l="1"/>
  <c r="U15" i="37"/>
  <c r="U12" i="37"/>
  <c r="U16" i="37"/>
  <c r="U14" i="37" l="1"/>
  <c r="Y3" i="50" l="1"/>
  <c r="Y4" i="50"/>
  <c r="Y11" i="50"/>
  <c r="Y13" i="50"/>
  <c r="Y21" i="50"/>
  <c r="Y23" i="50"/>
  <c r="Y25" i="50"/>
  <c r="Y10" i="50"/>
  <c r="Y12" i="50"/>
  <c r="Y24" i="50"/>
  <c r="Y8" i="50"/>
  <c r="AF12" i="50" l="1"/>
  <c r="AF3" i="50"/>
  <c r="AF4" i="50"/>
  <c r="AF14" i="50"/>
  <c r="AF23" i="50"/>
  <c r="AF8" i="50"/>
  <c r="AF20" i="50"/>
  <c r="AF21" i="50"/>
  <c r="AF10" i="50"/>
  <c r="AF22" i="50"/>
  <c r="AF15" i="50"/>
  <c r="AE8" i="50"/>
  <c r="AE22" i="50"/>
  <c r="AE4" i="50"/>
  <c r="AE12" i="50"/>
  <c r="AE11" i="50"/>
  <c r="AE14" i="50"/>
  <c r="AE23" i="50"/>
  <c r="AE21" i="50"/>
  <c r="AE20" i="50"/>
  <c r="AE3" i="50"/>
  <c r="AQ25" i="2"/>
  <c r="AQ20" i="2"/>
  <c r="AQ23" i="2"/>
  <c r="AQ22" i="2"/>
  <c r="AQ21" i="2"/>
  <c r="E20" i="35" l="1"/>
  <c r="E36" i="35" s="1"/>
  <c r="F19" i="35" s="1"/>
  <c r="F20" i="35" l="1"/>
  <c r="F18" i="35"/>
  <c r="F9" i="35"/>
  <c r="F5" i="35"/>
  <c r="F8" i="35"/>
  <c r="F7" i="35"/>
  <c r="F21" i="35"/>
  <c r="F6" i="35"/>
  <c r="F10" i="35"/>
  <c r="F15" i="35"/>
  <c r="F11" i="35"/>
  <c r="F17" i="35"/>
  <c r="F16" i="35"/>
  <c r="F12" i="35"/>
  <c r="F14" i="35"/>
  <c r="E36" i="39"/>
  <c r="F19" i="39" s="1"/>
  <c r="E33" i="39"/>
  <c r="E34" i="39"/>
  <c r="E33" i="37"/>
  <c r="E34" i="37"/>
  <c r="E36" i="37"/>
  <c r="F19" i="37" s="1"/>
  <c r="E34" i="35"/>
  <c r="E33" i="35"/>
  <c r="F15" i="37" l="1"/>
  <c r="F14" i="37"/>
  <c r="F17" i="37"/>
  <c r="F6" i="37"/>
  <c r="F12" i="37"/>
  <c r="F11" i="37"/>
  <c r="F10" i="37"/>
  <c r="F21" i="37"/>
  <c r="F8" i="37"/>
  <c r="F7" i="37"/>
  <c r="F18" i="37"/>
  <c r="F20" i="37"/>
  <c r="F16" i="37"/>
  <c r="F5" i="37"/>
  <c r="F9" i="39"/>
  <c r="F11" i="39"/>
  <c r="F15" i="39"/>
  <c r="F17" i="39"/>
  <c r="F21" i="39"/>
  <c r="F5" i="39"/>
  <c r="F7" i="39"/>
  <c r="F16" i="39"/>
  <c r="F20" i="39"/>
  <c r="F18" i="39"/>
  <c r="F8" i="39"/>
  <c r="F6" i="39"/>
  <c r="F12" i="39"/>
  <c r="F14" i="39"/>
  <c r="F10" i="39"/>
  <c r="F36" i="37" l="1"/>
  <c r="F37" i="37" s="1"/>
  <c r="E37" i="37"/>
  <c r="E35" i="37" s="1"/>
  <c r="E37" i="39"/>
  <c r="E35" i="39" s="1"/>
  <c r="F36" i="39"/>
  <c r="F37" i="39" s="1"/>
  <c r="E37" i="35"/>
  <c r="F36" i="35"/>
  <c r="F37" i="35" s="1"/>
  <c r="E35" i="35" l="1"/>
  <c r="F2" i="35" s="1"/>
  <c r="F2" i="39"/>
  <c r="G19" i="39" s="1"/>
  <c r="F3" i="39"/>
  <c r="F2" i="37"/>
  <c r="F3" i="37"/>
  <c r="G21" i="35" l="1"/>
  <c r="G16" i="35"/>
  <c r="G7" i="39"/>
  <c r="G9" i="39"/>
  <c r="G12" i="39"/>
  <c r="G14" i="39"/>
  <c r="G16" i="39"/>
  <c r="G18" i="39"/>
  <c r="G20" i="39"/>
  <c r="G21" i="39"/>
  <c r="G10" i="39"/>
  <c r="G15" i="39"/>
  <c r="G17" i="39"/>
  <c r="G8" i="39"/>
  <c r="G6" i="39"/>
  <c r="G11" i="39"/>
  <c r="G5" i="39"/>
  <c r="F3" i="35"/>
  <c r="G15" i="35" s="1"/>
  <c r="G15" i="37"/>
  <c r="G9" i="37"/>
  <c r="G13" i="37"/>
  <c r="G17" i="37"/>
  <c r="G19" i="37"/>
  <c r="G21" i="37"/>
  <c r="G6" i="37"/>
  <c r="G8" i="37"/>
  <c r="G10" i="37"/>
  <c r="G12" i="37"/>
  <c r="G11" i="37"/>
  <c r="G14" i="37"/>
  <c r="G18" i="37"/>
  <c r="G7" i="37"/>
  <c r="G16" i="37"/>
  <c r="G20" i="37"/>
  <c r="G5" i="37"/>
  <c r="G12" i="35" l="1"/>
  <c r="G19" i="35"/>
  <c r="G11" i="35"/>
  <c r="G18" i="35"/>
  <c r="G8" i="35"/>
  <c r="G20" i="35"/>
  <c r="G9" i="35"/>
  <c r="G7" i="35"/>
  <c r="G17" i="35"/>
  <c r="G6" i="35"/>
  <c r="G14" i="35"/>
  <c r="G10" i="35"/>
  <c r="G5" i="35"/>
  <c r="T13" i="35"/>
  <c r="T12" i="35"/>
  <c r="T16" i="35"/>
  <c r="T14" i="35" s="1"/>
  <c r="T15" i="35"/>
  <c r="G37" i="39"/>
  <c r="G35" i="39" s="1"/>
  <c r="G36" i="39"/>
  <c r="G33" i="39"/>
  <c r="G34" i="39"/>
  <c r="G37" i="37"/>
  <c r="G35" i="37" s="1"/>
  <c r="G36" i="37"/>
  <c r="G34" i="37"/>
  <c r="G33" i="37"/>
  <c r="G36" i="35" l="1"/>
  <c r="G33" i="35"/>
  <c r="G37" i="35"/>
  <c r="G35" i="35" s="1"/>
  <c r="G34" i="35"/>
  <c r="U3" i="35"/>
  <c r="U2" i="35"/>
  <c r="H3" i="39"/>
  <c r="H2" i="39"/>
  <c r="H3" i="37"/>
  <c r="H2" i="37"/>
  <c r="H19" i="39" l="1"/>
  <c r="H2" i="35"/>
  <c r="U5" i="35"/>
  <c r="U6" i="35"/>
  <c r="U7" i="35"/>
  <c r="U9" i="35"/>
  <c r="U8" i="35"/>
  <c r="H8" i="39"/>
  <c r="H20" i="39"/>
  <c r="H18" i="39"/>
  <c r="H16" i="39"/>
  <c r="H21" i="39"/>
  <c r="H12" i="39"/>
  <c r="H9" i="39"/>
  <c r="H7" i="39"/>
  <c r="H14" i="39"/>
  <c r="H11" i="39"/>
  <c r="H6" i="39"/>
  <c r="H17" i="39"/>
  <c r="H15" i="39"/>
  <c r="H10" i="39"/>
  <c r="H5" i="39"/>
  <c r="H3" i="35"/>
  <c r="H15" i="37"/>
  <c r="H13" i="37"/>
  <c r="H9" i="37"/>
  <c r="H16" i="37"/>
  <c r="H12" i="37"/>
  <c r="H19" i="37"/>
  <c r="H17" i="37"/>
  <c r="H11" i="37"/>
  <c r="H21" i="37"/>
  <c r="H20" i="37"/>
  <c r="H6" i="37"/>
  <c r="H18" i="37"/>
  <c r="H14" i="37"/>
  <c r="H7" i="37"/>
  <c r="H10" i="37"/>
  <c r="H8" i="37"/>
  <c r="H5" i="37"/>
  <c r="H7" i="35" l="1"/>
  <c r="H19" i="35"/>
  <c r="H14" i="35"/>
  <c r="H15" i="35"/>
  <c r="H9" i="35"/>
  <c r="H21" i="35"/>
  <c r="H10" i="35"/>
  <c r="H17" i="35"/>
  <c r="H6" i="35"/>
  <c r="H12" i="35"/>
  <c r="H20" i="35"/>
  <c r="H11" i="35"/>
  <c r="H18" i="35"/>
  <c r="H16" i="35"/>
  <c r="H8" i="35"/>
  <c r="H5" i="35"/>
  <c r="U12" i="35"/>
  <c r="U16" i="35"/>
  <c r="U13" i="35"/>
  <c r="U15" i="35"/>
  <c r="H34" i="39"/>
  <c r="H33" i="39"/>
  <c r="H36" i="39"/>
  <c r="H37" i="39"/>
  <c r="H35" i="39" s="1"/>
  <c r="H33" i="37"/>
  <c r="H37" i="37"/>
  <c r="H35" i="37" s="1"/>
  <c r="H36" i="37"/>
  <c r="H34" i="37"/>
  <c r="H37" i="35" l="1"/>
  <c r="H35" i="35" s="1"/>
  <c r="H34" i="35"/>
  <c r="H36" i="35"/>
  <c r="H33" i="35"/>
  <c r="U14" i="35"/>
  <c r="I2" i="39"/>
  <c r="I19" i="39" s="1"/>
  <c r="I3" i="39"/>
  <c r="I2" i="37"/>
  <c r="I3" i="37"/>
  <c r="I3" i="35" l="1"/>
  <c r="I2" i="35"/>
  <c r="I9" i="35" s="1"/>
  <c r="I17" i="39"/>
  <c r="I9" i="39"/>
  <c r="I12" i="39"/>
  <c r="I21" i="39"/>
  <c r="I7" i="39"/>
  <c r="I18" i="39"/>
  <c r="I20" i="39"/>
  <c r="I8" i="39"/>
  <c r="I16" i="39"/>
  <c r="I10" i="39"/>
  <c r="I15" i="39"/>
  <c r="I6" i="39"/>
  <c r="I11" i="39"/>
  <c r="I14" i="39"/>
  <c r="I5" i="39"/>
  <c r="I15" i="37"/>
  <c r="I9" i="37"/>
  <c r="I13" i="37"/>
  <c r="I10" i="37"/>
  <c r="I20" i="37"/>
  <c r="I12" i="37"/>
  <c r="I16" i="37"/>
  <c r="I6" i="37"/>
  <c r="I19" i="37"/>
  <c r="I8" i="37"/>
  <c r="I17" i="37"/>
  <c r="I14" i="37"/>
  <c r="I18" i="37"/>
  <c r="I7" i="37"/>
  <c r="I21" i="37"/>
  <c r="I11" i="37"/>
  <c r="I5" i="37"/>
  <c r="I18" i="35" l="1"/>
  <c r="I7" i="35"/>
  <c r="I10" i="35"/>
  <c r="I21" i="35"/>
  <c r="I16" i="35"/>
  <c r="I6" i="35"/>
  <c r="I5" i="35"/>
  <c r="I17" i="35"/>
  <c r="I15" i="35"/>
  <c r="I8" i="35"/>
  <c r="I20" i="35"/>
  <c r="I12" i="35"/>
  <c r="I14" i="35"/>
  <c r="I11" i="35"/>
  <c r="I19" i="35"/>
  <c r="I36" i="39"/>
  <c r="I34" i="39"/>
  <c r="I33" i="39"/>
  <c r="I37" i="39"/>
  <c r="I35" i="39" s="1"/>
  <c r="I34" i="37"/>
  <c r="I33" i="37"/>
  <c r="I37" i="37"/>
  <c r="I35" i="37" s="1"/>
  <c r="I36" i="37"/>
  <c r="I36" i="35" l="1"/>
  <c r="I34" i="35"/>
  <c r="I33" i="35"/>
  <c r="I37" i="35"/>
  <c r="I35" i="35" s="1"/>
  <c r="J2" i="39"/>
  <c r="J19" i="39" s="1"/>
  <c r="J3" i="39"/>
  <c r="J2" i="37"/>
  <c r="J3" i="37"/>
  <c r="J2" i="35" l="1"/>
  <c r="J11" i="35" s="1"/>
  <c r="J3" i="35"/>
  <c r="J15" i="37"/>
  <c r="J6" i="39"/>
  <c r="J20" i="39"/>
  <c r="J18" i="39"/>
  <c r="J7" i="39"/>
  <c r="J8" i="39"/>
  <c r="J12" i="39"/>
  <c r="J9" i="39"/>
  <c r="J17" i="39"/>
  <c r="J21" i="39"/>
  <c r="J14" i="39"/>
  <c r="J11" i="39"/>
  <c r="J15" i="39"/>
  <c r="J10" i="39"/>
  <c r="J16" i="39"/>
  <c r="J5" i="39"/>
  <c r="J13" i="37"/>
  <c r="J9" i="37"/>
  <c r="J21" i="37"/>
  <c r="J8" i="37"/>
  <c r="J20" i="37"/>
  <c r="J10" i="37"/>
  <c r="J17" i="37"/>
  <c r="J12" i="37"/>
  <c r="J11" i="37"/>
  <c r="J16" i="37"/>
  <c r="J18" i="37"/>
  <c r="J14" i="37"/>
  <c r="J7" i="37"/>
  <c r="J19" i="37"/>
  <c r="J6" i="37"/>
  <c r="J5" i="37"/>
  <c r="J5" i="35" l="1"/>
  <c r="J37" i="35" s="1"/>
  <c r="J19" i="35"/>
  <c r="J6" i="35"/>
  <c r="J12" i="35"/>
  <c r="J17" i="35"/>
  <c r="J14" i="35"/>
  <c r="J16" i="35"/>
  <c r="J9" i="35"/>
  <c r="J21" i="35"/>
  <c r="J10" i="35"/>
  <c r="J20" i="35"/>
  <c r="J8" i="35"/>
  <c r="J15" i="35"/>
  <c r="J18" i="35"/>
  <c r="J7" i="35"/>
  <c r="J36" i="39"/>
  <c r="J34" i="39"/>
  <c r="J37" i="39"/>
  <c r="J33" i="39"/>
  <c r="J33" i="35"/>
  <c r="J36" i="35"/>
  <c r="J36" i="37"/>
  <c r="J34" i="37"/>
  <c r="J33" i="37"/>
  <c r="J37" i="37"/>
  <c r="AH9" i="2" l="1"/>
  <c r="AH18" i="2"/>
  <c r="AI9" i="2"/>
  <c r="AI18" i="2"/>
  <c r="J34" i="35"/>
  <c r="AH3" i="2"/>
  <c r="AH6" i="2"/>
  <c r="AH4" i="2"/>
  <c r="AH2" i="2"/>
  <c r="AH5" i="2"/>
  <c r="AI6" i="2"/>
  <c r="AI4" i="2"/>
  <c r="AI2" i="2"/>
  <c r="AI5" i="2"/>
  <c r="AI3" i="2"/>
  <c r="AC6" i="2"/>
  <c r="AF6" i="2" s="1"/>
  <c r="AL6" i="2" s="1"/>
  <c r="AC4" i="2"/>
  <c r="AF4" i="2" s="1"/>
  <c r="AC2" i="2"/>
  <c r="AF2" i="2" s="1"/>
  <c r="AC5" i="2"/>
  <c r="AF5" i="2" s="1"/>
  <c r="AC3" i="2"/>
  <c r="AF3" i="2" s="1"/>
  <c r="AL3" i="2" s="1"/>
  <c r="AO3" i="2" s="1"/>
  <c r="AB3" i="2"/>
  <c r="AE3" i="2" s="1"/>
  <c r="AB6" i="2"/>
  <c r="AB4" i="2"/>
  <c r="AB2" i="2"/>
  <c r="AE2" i="2" s="1"/>
  <c r="AB5" i="2"/>
  <c r="AE5" i="2" s="1"/>
  <c r="AI7" i="2"/>
  <c r="AI27" i="2"/>
  <c r="AI23" i="2"/>
  <c r="AI19" i="2"/>
  <c r="AI15" i="2"/>
  <c r="AI11" i="2"/>
  <c r="AI26" i="2"/>
  <c r="AI22" i="2"/>
  <c r="AI14" i="2"/>
  <c r="AI10" i="2"/>
  <c r="AI24" i="2"/>
  <c r="AI8" i="2"/>
  <c r="AI25" i="2"/>
  <c r="AI21" i="2"/>
  <c r="AI17" i="2"/>
  <c r="AI13" i="2"/>
  <c r="AI20" i="2"/>
  <c r="AI16" i="2"/>
  <c r="AI12" i="2"/>
  <c r="AC7" i="2"/>
  <c r="AF7" i="2" s="1"/>
  <c r="AL7" i="2" s="1"/>
  <c r="AO7" i="2" s="1"/>
  <c r="AC27" i="2"/>
  <c r="AF27" i="2" s="1"/>
  <c r="AL27" i="2" s="1"/>
  <c r="AC23" i="2"/>
  <c r="AF23" i="2" s="1"/>
  <c r="AL23" i="2" s="1"/>
  <c r="AC19" i="2"/>
  <c r="AF19" i="2" s="1"/>
  <c r="AL19" i="2" s="1"/>
  <c r="AC15" i="2"/>
  <c r="AF15" i="2" s="1"/>
  <c r="AL15" i="2" s="1"/>
  <c r="AO15" i="2" s="1"/>
  <c r="AC11" i="2"/>
  <c r="AF11" i="2" s="1"/>
  <c r="AL11" i="2" s="1"/>
  <c r="AO11" i="2" s="1"/>
  <c r="AC21" i="2"/>
  <c r="AF21" i="2" s="1"/>
  <c r="AL21" i="2" s="1"/>
  <c r="AC17" i="2"/>
  <c r="AF17" i="2" s="1"/>
  <c r="AL17" i="2" s="1"/>
  <c r="AO17" i="2" s="1"/>
  <c r="AC13" i="2"/>
  <c r="AF13" i="2" s="1"/>
  <c r="AL13" i="2" s="1"/>
  <c r="AO13" i="2" s="1"/>
  <c r="AC9" i="2"/>
  <c r="AF9" i="2" s="1"/>
  <c r="AL9" i="2" s="1"/>
  <c r="AO9" i="2" s="1"/>
  <c r="AC24" i="2"/>
  <c r="AF24" i="2" s="1"/>
  <c r="AC8" i="2"/>
  <c r="AF8" i="2" s="1"/>
  <c r="AC26" i="2"/>
  <c r="AF26" i="2" s="1"/>
  <c r="AC22" i="2"/>
  <c r="AF22" i="2" s="1"/>
  <c r="AC18" i="2"/>
  <c r="AF18" i="2" s="1"/>
  <c r="AL18" i="2" s="1"/>
  <c r="AO18" i="2" s="1"/>
  <c r="AC14" i="2"/>
  <c r="AF14" i="2" s="1"/>
  <c r="AL14" i="2" s="1"/>
  <c r="AO14" i="2" s="1"/>
  <c r="AC10" i="2"/>
  <c r="AF10" i="2" s="1"/>
  <c r="AC25" i="2"/>
  <c r="AF25" i="2" s="1"/>
  <c r="AL25" i="2" s="1"/>
  <c r="AC20" i="2"/>
  <c r="AF20" i="2" s="1"/>
  <c r="AL20" i="2" s="1"/>
  <c r="AC16" i="2"/>
  <c r="AF16" i="2" s="1"/>
  <c r="AC12" i="2"/>
  <c r="AF12" i="2" s="1"/>
  <c r="AE4" i="2"/>
  <c r="AE6" i="2"/>
  <c r="AK6" i="2" s="1"/>
  <c r="J35" i="39"/>
  <c r="AH24" i="2"/>
  <c r="AH20" i="2"/>
  <c r="AH16" i="2"/>
  <c r="AH12" i="2"/>
  <c r="AH8" i="2"/>
  <c r="AH17" i="2"/>
  <c r="AH27" i="2"/>
  <c r="AH23" i="2"/>
  <c r="AH19" i="2"/>
  <c r="AH15" i="2"/>
  <c r="AH11" i="2"/>
  <c r="AH7" i="2"/>
  <c r="AH25" i="2"/>
  <c r="AH13" i="2"/>
  <c r="AH26" i="2"/>
  <c r="AH22" i="2"/>
  <c r="AH14" i="2"/>
  <c r="AH10" i="2"/>
  <c r="AH21" i="2"/>
  <c r="AB27" i="2"/>
  <c r="AE27" i="2" s="1"/>
  <c r="AB23" i="2"/>
  <c r="AE23" i="2" s="1"/>
  <c r="AB19" i="2"/>
  <c r="AE19" i="2" s="1"/>
  <c r="AB15" i="2"/>
  <c r="AE15" i="2" s="1"/>
  <c r="AB11" i="2"/>
  <c r="AE11" i="2" s="1"/>
  <c r="AB7" i="2"/>
  <c r="AE7" i="2" s="1"/>
  <c r="AB20" i="2"/>
  <c r="AE20" i="2" s="1"/>
  <c r="AK20" i="2" s="1"/>
  <c r="AB8" i="2"/>
  <c r="AE8" i="2" s="1"/>
  <c r="AK8" i="2" s="1"/>
  <c r="AN8" i="2" s="1"/>
  <c r="AB26" i="2"/>
  <c r="AE26" i="2" s="1"/>
  <c r="AB22" i="2"/>
  <c r="AE22" i="2" s="1"/>
  <c r="AB18" i="2"/>
  <c r="AE18" i="2" s="1"/>
  <c r="AK18" i="2" s="1"/>
  <c r="AN18" i="2" s="1"/>
  <c r="AB14" i="2"/>
  <c r="AE14" i="2" s="1"/>
  <c r="AK14" i="2" s="1"/>
  <c r="AN14" i="2" s="1"/>
  <c r="AB10" i="2"/>
  <c r="AE10" i="2" s="1"/>
  <c r="AK10" i="2" s="1"/>
  <c r="AB16" i="2"/>
  <c r="AE16" i="2" s="1"/>
  <c r="AB25" i="2"/>
  <c r="AE25" i="2" s="1"/>
  <c r="AB21" i="2"/>
  <c r="AE21" i="2" s="1"/>
  <c r="AK21" i="2" s="1"/>
  <c r="AB17" i="2"/>
  <c r="AE17" i="2" s="1"/>
  <c r="AK17" i="2" s="1"/>
  <c r="AN17" i="2" s="1"/>
  <c r="AB13" i="2"/>
  <c r="AE13" i="2" s="1"/>
  <c r="AB9" i="2"/>
  <c r="AE9" i="2" s="1"/>
  <c r="AK9" i="2" s="1"/>
  <c r="AN9" i="2" s="1"/>
  <c r="AB24" i="2"/>
  <c r="AE24" i="2" s="1"/>
  <c r="AK24" i="2" s="1"/>
  <c r="AB12" i="2"/>
  <c r="AE12" i="2" s="1"/>
  <c r="AK12" i="2" s="1"/>
  <c r="AN12" i="2" s="1"/>
  <c r="J35" i="37"/>
  <c r="J35" i="35"/>
  <c r="AK16" i="2" l="1"/>
  <c r="AN16" i="2" s="1"/>
  <c r="AL10" i="2"/>
  <c r="AL26" i="2"/>
  <c r="AL24" i="2"/>
  <c r="AL22" i="2"/>
  <c r="AL12" i="2"/>
  <c r="AO12" i="2" s="1"/>
  <c r="AK25" i="2"/>
  <c r="AK19" i="2"/>
  <c r="AK26" i="2"/>
  <c r="AK15" i="2"/>
  <c r="AN15" i="2" s="1"/>
  <c r="AL16" i="2"/>
  <c r="AO16" i="2" s="1"/>
  <c r="AP16" i="2" s="1"/>
  <c r="AL8" i="2"/>
  <c r="AO8" i="2" s="1"/>
  <c r="AP8" i="2" s="1"/>
  <c r="AK5" i="2"/>
  <c r="AN5" i="2" s="1"/>
  <c r="AK3" i="2"/>
  <c r="AN3" i="2" s="1"/>
  <c r="AL4" i="2"/>
  <c r="AO4" i="2" s="1"/>
  <c r="AK13" i="2"/>
  <c r="AN13" i="2" s="1"/>
  <c r="AP13" i="2" s="1"/>
  <c r="AK22" i="2"/>
  <c r="AK7" i="2"/>
  <c r="AN7" i="2" s="1"/>
  <c r="AP7" i="2" s="1"/>
  <c r="AK23" i="2"/>
  <c r="AK4" i="2"/>
  <c r="AN4" i="2" s="1"/>
  <c r="AL5" i="2"/>
  <c r="AO5" i="2" s="1"/>
  <c r="AK11" i="2"/>
  <c r="AN11" i="2" s="1"/>
  <c r="AP11" i="2" s="1"/>
  <c r="AK27" i="2"/>
  <c r="AP12" i="2"/>
  <c r="AP15" i="2"/>
  <c r="AL2" i="2"/>
  <c r="AO2" i="2" s="1"/>
  <c r="AK2" i="2"/>
  <c r="AP17" i="2"/>
  <c r="AP18" i="2"/>
  <c r="AP3" i="2"/>
  <c r="AP9" i="2"/>
  <c r="AP14" i="2"/>
  <c r="AP4" i="2" l="1"/>
  <c r="AP5" i="2"/>
  <c r="AN2" i="2"/>
  <c r="AP2" i="2" s="1"/>
  <c r="AA90" i="12" s="1"/>
  <c r="AB78" i="12" s="1"/>
  <c r="AB87" i="12" l="1"/>
  <c r="AB80" i="12"/>
  <c r="AB83" i="12"/>
  <c r="AB81" i="12"/>
  <c r="AB85" i="12"/>
  <c r="AB82" i="12"/>
  <c r="AB84" i="12"/>
  <c r="AB86" i="12"/>
  <c r="AB79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orksheetConnection_Sheet1!$Q$5:$Q$34" type="5" refreshedVersion="2" saveData="1">
    <dbPr connection="" command=""/>
  </connection>
</connections>
</file>

<file path=xl/sharedStrings.xml><?xml version="1.0" encoding="utf-8"?>
<sst xmlns="http://schemas.openxmlformats.org/spreadsheetml/2006/main" count="1724" uniqueCount="430">
  <si>
    <t>STT</t>
  </si>
  <si>
    <t>MÃ TỈNH</t>
  </si>
  <si>
    <t>HẠNG</t>
  </si>
  <si>
    <t>MÃ NK</t>
  </si>
  <si>
    <t>hệ số quy đổi</t>
  </si>
  <si>
    <t>mean 1</t>
  </si>
  <si>
    <t>mean 2</t>
  </si>
  <si>
    <t>mean 3</t>
  </si>
  <si>
    <t>chênh 1</t>
  </si>
  <si>
    <t>chênh 2</t>
  </si>
  <si>
    <t>chênh 3</t>
  </si>
  <si>
    <t>điểm 1</t>
  </si>
  <si>
    <t>điểm 2</t>
  </si>
  <si>
    <t>điểm 3</t>
  </si>
  <si>
    <t>tbinh</t>
  </si>
  <si>
    <t>sd</t>
  </si>
  <si>
    <t>tluy</t>
  </si>
  <si>
    <t>hxuat</t>
  </si>
  <si>
    <t>1</t>
  </si>
  <si>
    <t>DNG</t>
  </si>
  <si>
    <t>DNG203</t>
  </si>
  <si>
    <t>BỆNH VIỆN UNG BƯỚU ĐÀ NẴNG</t>
  </si>
  <si>
    <t>ABI</t>
  </si>
  <si>
    <t>2-8</t>
  </si>
  <si>
    <t>2</t>
  </si>
  <si>
    <t>Đạt</t>
  </si>
  <si>
    <t>4</t>
  </si>
  <si>
    <t>HCM</t>
  </si>
  <si>
    <t>5</t>
  </si>
  <si>
    <t>TW</t>
  </si>
  <si>
    <t>HCM106M</t>
  </si>
  <si>
    <t>TRUNG TÂM ĐÀO TẠO VÀ CHẨN ĐOÁN Y SINH HỌC PHÂN TỬ</t>
  </si>
  <si>
    <t>Hạt từ</t>
  </si>
  <si>
    <t>Agilent</t>
  </si>
  <si>
    <t>Nguyên vẹn</t>
  </si>
  <si>
    <t>7</t>
  </si>
  <si>
    <t>HCM107</t>
  </si>
  <si>
    <t>BỆNH VIỆN ĐHYD TP.HCM</t>
  </si>
  <si>
    <t>9</t>
  </si>
  <si>
    <t>KHA</t>
  </si>
  <si>
    <t>KHA201V</t>
  </si>
  <si>
    <t>LightPower iVA MTB qPCR Plus Kit (Việt Á)</t>
  </si>
  <si>
    <t>6</t>
  </si>
  <si>
    <t>X</t>
  </si>
  <si>
    <t>8</t>
  </si>
  <si>
    <t>11</t>
  </si>
  <si>
    <t>12/11/2021</t>
  </si>
  <si>
    <t>ĐẠT</t>
  </si>
  <si>
    <t>12</t>
  </si>
  <si>
    <t>HCM605V</t>
  </si>
  <si>
    <t>BỆNH VIỆN 30-4</t>
  </si>
  <si>
    <t>Roche</t>
  </si>
  <si>
    <t>Cobas AmpliPrep</t>
  </si>
  <si>
    <t>lạnh</t>
  </si>
  <si>
    <t>13</t>
  </si>
  <si>
    <t>DNI</t>
  </si>
  <si>
    <t>DNI201V</t>
  </si>
  <si>
    <t>BỆNH VIỆN ĐA KHOA ĐỒNG NAI</t>
  </si>
  <si>
    <t>14</t>
  </si>
  <si>
    <t>DNG201V</t>
  </si>
  <si>
    <t>BỆNH VIỆN ĐÀ NẴNG</t>
  </si>
  <si>
    <t>Tự động</t>
  </si>
  <si>
    <t>Cobas Ampliprep</t>
  </si>
  <si>
    <t>COBAS® TaqMan® Analyzer</t>
  </si>
  <si>
    <t>21/11/2021</t>
  </si>
  <si>
    <t>15</t>
  </si>
  <si>
    <t>TANBead</t>
  </si>
  <si>
    <t>16</t>
  </si>
  <si>
    <t>17</t>
  </si>
  <si>
    <t>Tốt</t>
  </si>
  <si>
    <t>18</t>
  </si>
  <si>
    <t>DNI203V</t>
  </si>
  <si>
    <t>BỆNH VIỆN ĐA KHOA THỐNG NHẤT ĐỒNG NAI</t>
  </si>
  <si>
    <t>Tand bead</t>
  </si>
  <si>
    <t>Rotor Gene Q</t>
  </si>
  <si>
    <t>Không rõ</t>
  </si>
  <si>
    <t>19</t>
  </si>
  <si>
    <t>Bán tự động</t>
  </si>
  <si>
    <t>20</t>
  </si>
  <si>
    <t>HCM101H</t>
  </si>
  <si>
    <t>BỆNH VIỆN CHỢ RẪY</t>
  </si>
  <si>
    <t>HCM604</t>
  </si>
  <si>
    <t>BỆNH VIỆN QUÂN Y 7A</t>
  </si>
  <si>
    <t>Realtime PCR</t>
  </si>
  <si>
    <t>Tách chiết thủ công</t>
  </si>
  <si>
    <t>Sacace</t>
  </si>
  <si>
    <t>3</t>
  </si>
  <si>
    <t>10</t>
  </si>
  <si>
    <t>DNG501</t>
  </si>
  <si>
    <t>CÔNG TY CỔ PHẦN BỆNH VIỆN ĐA KHOA HOÀN MỸ ĐÀ NẴNG</t>
  </si>
  <si>
    <t>SaMag Viral Nucleic Acid Extraction Kit</t>
  </si>
  <si>
    <t>SaMag-12</t>
  </si>
  <si>
    <t>Realtime PCR Sacycler</t>
  </si>
  <si>
    <t>Biorad</t>
  </si>
  <si>
    <t>BDH</t>
  </si>
  <si>
    <t>AGG</t>
  </si>
  <si>
    <t>AGG201</t>
  </si>
  <si>
    <t>BỆNH VIỆN ĐA KHOA TRUNG TÂM AN GIANG</t>
  </si>
  <si>
    <t>CFX96</t>
  </si>
  <si>
    <t>8-15</t>
  </si>
  <si>
    <t>-20</t>
  </si>
  <si>
    <t>BDH201V</t>
  </si>
  <si>
    <t>KHOA VI SINH BỆNH VIỆN ĐA KHOA TỈNH BÌNH ĐỊNH</t>
  </si>
  <si>
    <t>Qtower</t>
  </si>
  <si>
    <t>DNG102V</t>
  </si>
  <si>
    <t xml:space="preserve"> BỆNH VIỆN C ĐÀ NẴNG</t>
  </si>
  <si>
    <t>LDG</t>
  </si>
  <si>
    <t>LDG201</t>
  </si>
  <si>
    <t>BỆNH VIỆN ĐA KHOA LÂM ĐỒNG</t>
  </si>
  <si>
    <t>Hc-C.ty Việt Á</t>
  </si>
  <si>
    <t>-25</t>
  </si>
  <si>
    <t>HCM505</t>
  </si>
  <si>
    <t>chu kỳ nhiệt</t>
  </si>
  <si>
    <t>mẫu không rò rĩ</t>
  </si>
  <si>
    <t>Row Labels</t>
  </si>
  <si>
    <t>điểm</t>
  </si>
  <si>
    <t>Grand Total</t>
  </si>
  <si>
    <t>số lượng</t>
  </si>
  <si>
    <t>%</t>
  </si>
  <si>
    <t>ĐỢT 1</t>
  </si>
  <si>
    <t>ĐỢT 2</t>
  </si>
  <si>
    <t>ĐỢT 3</t>
  </si>
  <si>
    <t>Rotor Gene Q virsion 2.3.1</t>
  </si>
  <si>
    <t>SD</t>
  </si>
  <si>
    <t>MÃ
ĐƠN VỊ</t>
  </si>
  <si>
    <t>TÊN
ĐƠN VỊ</t>
  </si>
  <si>
    <t>trả kết quả</t>
  </si>
  <si>
    <t>QCL01 IU</t>
  </si>
  <si>
    <t>QCL02 IU</t>
  </si>
  <si>
    <t>QCL03 IU</t>
  </si>
  <si>
    <t>QCL 01 LIU</t>
  </si>
  <si>
    <t>QCL 02 LIU</t>
  </si>
  <si>
    <t>QCL 03 LIU</t>
  </si>
  <si>
    <t>QCL 01</t>
  </si>
  <si>
    <t>QCL 02</t>
  </si>
  <si>
    <t>QCL 03</t>
  </si>
  <si>
    <t>QCL1 LC</t>
  </si>
  <si>
    <t>QCL2 LC</t>
  </si>
  <si>
    <t>QCL3 LC</t>
  </si>
  <si>
    <t>tổng điểm</t>
  </si>
  <si>
    <t>KIT TC</t>
  </si>
  <si>
    <t>PP TC</t>
  </si>
  <si>
    <t>MAY TC</t>
  </si>
  <si>
    <t>kit PCR</t>
  </si>
  <si>
    <t>PP PCR</t>
  </si>
  <si>
    <t>máy PCR</t>
  </si>
  <si>
    <t>NNM</t>
  </si>
  <si>
    <t>NPTM</t>
  </si>
  <si>
    <t>NGKQ</t>
  </si>
  <si>
    <t>TTMKN</t>
  </si>
  <si>
    <t>ND</t>
  </si>
  <si>
    <t>NDBQ</t>
  </si>
  <si>
    <t>QCL020</t>
  </si>
  <si>
    <t>0</t>
  </si>
  <si>
    <t>Âm tính</t>
  </si>
  <si>
    <t>COBAS® AmpliPrep/COBAS® TaqMan® HCV Test, v2.0</t>
  </si>
  <si>
    <t xml:space="preserve">COBAS® AmpliPrep/COBAS® TaqMan® HCV Test, v2.0 </t>
  </si>
  <si>
    <t>QCL007</t>
  </si>
  <si>
    <t>CAP CTM</t>
  </si>
  <si>
    <t>QCL016</t>
  </si>
  <si>
    <t xml:space="preserve">QIA amp 96 virus QIA cube HT kit </t>
  </si>
  <si>
    <t>QIA cube HT Version 4.17.2</t>
  </si>
  <si>
    <t xml:space="preserve">artus HCV QS-RGQ kit </t>
  </si>
  <si>
    <t>Realtime RT PCR</t>
  </si>
  <si>
    <t>QCL006</t>
  </si>
  <si>
    <t>QIAsymphony</t>
  </si>
  <si>
    <t xml:space="preserve">artus HCV QS-RGQ Kit </t>
  </si>
  <si>
    <t>Rotor Gene Q MDX 5 Plex HRM</t>
  </si>
  <si>
    <t>DBN</t>
  </si>
  <si>
    <t>QCL022</t>
  </si>
  <si>
    <t>DBN202</t>
  </si>
  <si>
    <t>TRUNG TÂM KIỂM SOÁT BỆNH TẬT ĐIỆN BIÊN</t>
  </si>
  <si>
    <t>QIAamp® DSP Virus Spin Kit</t>
  </si>
  <si>
    <t>tự động</t>
  </si>
  <si>
    <t>Qiacube (Qiagen)</t>
  </si>
  <si>
    <t>artus HCV QS-RGQ Kit</t>
  </si>
  <si>
    <t>Rotogen Q MDx 5plex</t>
  </si>
  <si>
    <t>đá sắp tan hết</t>
  </si>
  <si>
    <t>10-12</t>
  </si>
  <si>
    <t>QCL005</t>
  </si>
  <si>
    <t>Rotor Gene Q 5 plex</t>
  </si>
  <si>
    <t>QCL018</t>
  </si>
  <si>
    <t>Accupid HBV quantification kit</t>
  </si>
  <si>
    <t>CFX-96</t>
  </si>
  <si>
    <t>QCL021</t>
  </si>
  <si>
    <t>Việt Á</t>
  </si>
  <si>
    <t xml:space="preserve">bằng tay </t>
  </si>
  <si>
    <t>Analytikjena-qRower 2.2</t>
  </si>
  <si>
    <t>QCL010</t>
  </si>
  <si>
    <t>Aurora Versa 10</t>
  </si>
  <si>
    <t>Máy Realtime PCR Agilent Technologies Stratagene Mx3000P</t>
  </si>
  <si>
    <t>QCL013</t>
  </si>
  <si>
    <t>Ribo virus (Sacace – Ý)</t>
  </si>
  <si>
    <t>HCV Real -TM Quant Dx, IVD (Sacace-Ý)</t>
  </si>
  <si>
    <t>ABI 7500 fast</t>
  </si>
  <si>
    <t>QCL001</t>
  </si>
  <si>
    <t>HCV Real-TM Quant Dx</t>
  </si>
  <si>
    <t>QCL015</t>
  </si>
  <si>
    <t>Bệnh viện FV</t>
  </si>
  <si>
    <t>Cobas Ampliprep/Cobas Taqman HCV Quantitative Test, V2.0</t>
  </si>
  <si>
    <t xml:space="preserve">Cobas Taqman 48 </t>
  </si>
  <si>
    <t>29/04/2021</t>
  </si>
  <si>
    <t>03/05/2021</t>
  </si>
  <si>
    <t>06/05/2021</t>
  </si>
  <si>
    <t>QCL017</t>
  </si>
  <si>
    <t>15,69</t>
  </si>
  <si>
    <t>Roche – Cobas AmpliPrep</t>
  </si>
  <si>
    <t>Roche- Cobas Taqman 48</t>
  </si>
  <si>
    <t>11/06/2021</t>
  </si>
  <si>
    <t>16/06/2021</t>
  </si>
  <si>
    <t>19/06/2021</t>
  </si>
  <si>
    <t>QCL008</t>
  </si>
  <si>
    <t>Count of tổng điểm2</t>
  </si>
  <si>
    <t>chênh 4</t>
  </si>
  <si>
    <t>chênh 5</t>
  </si>
  <si>
    <t>chênh 6</t>
  </si>
  <si>
    <t>ĐIỂM TÍCH LŨY</t>
  </si>
  <si>
    <t>HIỆU XUẤT</t>
  </si>
  <si>
    <t>WORD</t>
  </si>
  <si>
    <t>HCM103V</t>
  </si>
  <si>
    <t>HCM101V</t>
  </si>
  <si>
    <t>x</t>
  </si>
  <si>
    <t>BỆNH VIỆN TỈNH KHÁNH HÒA</t>
  </si>
  <si>
    <t>Máy Stratagene Mx3000P</t>
  </si>
  <si>
    <t>xi-new x*</t>
  </si>
  <si>
    <t>1st interation</t>
  </si>
  <si>
    <t>2nd</t>
  </si>
  <si>
    <t>3rd</t>
  </si>
  <si>
    <t>4th</t>
  </si>
  <si>
    <t>Average</t>
  </si>
  <si>
    <t>Variance</t>
  </si>
  <si>
    <t>New x*</t>
  </si>
  <si>
    <t>New s*</t>
  </si>
  <si>
    <t>sd1</t>
  </si>
  <si>
    <t>sd2</t>
  </si>
  <si>
    <t>sd3</t>
  </si>
  <si>
    <t>SDI1</t>
  </si>
  <si>
    <t>SDI2</t>
  </si>
  <si>
    <t>SDI3</t>
  </si>
  <si>
    <t>2,5</t>
  </si>
  <si>
    <t>AccuPid HBV</t>
  </si>
  <si>
    <t>IVD NK</t>
  </si>
  <si>
    <t>Sacace-Ý</t>
  </si>
  <si>
    <t>Hóa chất</t>
  </si>
  <si>
    <t>CAP/ CTM</t>
  </si>
  <si>
    <t xml:space="preserve">Accupid HCV </t>
  </si>
  <si>
    <t>artus HCV</t>
  </si>
  <si>
    <t xml:space="preserve">artus HCV </t>
  </si>
  <si>
    <t>Count of QCL 01 LIU2</t>
  </si>
  <si>
    <t>chênh 7</t>
  </si>
  <si>
    <t>chênh 8</t>
  </si>
  <si>
    <t>chênh 9</t>
  </si>
  <si>
    <t>QCL023</t>
  </si>
  <si>
    <t xml:space="preserve"> </t>
  </si>
  <si>
    <t>Hệ máy</t>
  </si>
  <si>
    <t>Tách chiết từ</t>
  </si>
  <si>
    <t>07/06/2022</t>
  </si>
  <si>
    <t>tách chiết bằng cột Silica</t>
  </si>
  <si>
    <t xml:space="preserve">AccuPid HBV Quantification Kit Cty Khoa Thương </t>
  </si>
  <si>
    <t>Máy Realtime PCR Agilent AriaDx</t>
  </si>
  <si>
    <t>Bộ hoá chất tách chiết DNA/RNA</t>
  </si>
  <si>
    <t>17/06/2022</t>
  </si>
  <si>
    <t>Count of QCL 02 LIU2</t>
  </si>
  <si>
    <t>Count of QCL 03 LIU2</t>
  </si>
  <si>
    <t>HCM526</t>
  </si>
  <si>
    <t>REALTIME PCR</t>
  </si>
  <si>
    <t>ROTO GENE Q</t>
  </si>
  <si>
    <t>LẠNH</t>
  </si>
  <si>
    <t>QCL024</t>
  </si>
  <si>
    <t>ACCUPID HCV QUANTIFICATION ONESTEP Q01HCV02.3A</t>
  </si>
  <si>
    <t>MẪU SERUM BẢO QUẢN LẠNH</t>
  </si>
  <si>
    <t>XÉT NGHIỆM Y KHOA ILAB</t>
  </si>
  <si>
    <t/>
  </si>
  <si>
    <t>QCL 01 IU</t>
  </si>
  <si>
    <t>4.68-4.98</t>
  </si>
  <si>
    <t>4.98-5.28</t>
  </si>
  <si>
    <t>5.28-5.58</t>
  </si>
  <si>
    <t>QCL 02 IU</t>
  </si>
  <si>
    <t>5.58-5.88</t>
  </si>
  <si>
    <t>5.88-6.18</t>
  </si>
  <si>
    <t>6.18-6.48</t>
  </si>
  <si>
    <t>14/09/2022</t>
  </si>
  <si>
    <t>15/09/2022</t>
  </si>
  <si>
    <t>21/09/2022</t>
  </si>
  <si>
    <t>29/09/2022</t>
  </si>
  <si>
    <t>Tất cả hóa chất</t>
  </si>
  <si>
    <t>Số lượng đơn vị</t>
  </si>
  <si>
    <t>Phần trăm tích lũy của các đơn vị</t>
  </si>
  <si>
    <t>Điểm của đơn vị</t>
  </si>
  <si>
    <t>Series 1</t>
  </si>
  <si>
    <t>Dưới ngưỡng phát hiện</t>
  </si>
  <si>
    <t>N/A</t>
  </si>
  <si>
    <t>Dương tính</t>
  </si>
  <si>
    <t>Kết quả đơn vị</t>
  </si>
  <si>
    <t>Abbott</t>
  </si>
  <si>
    <t>Tách chiết tự động</t>
  </si>
  <si>
    <t>CHU KỲ</t>
  </si>
  <si>
    <t>ĐỢT</t>
  </si>
  <si>
    <t>MẪU</t>
  </si>
  <si>
    <t>NGÀY TRẢ REPORT</t>
  </si>
  <si>
    <t>CBA601</t>
  </si>
  <si>
    <t>KHA211</t>
  </si>
  <si>
    <t>TNH502</t>
  </si>
  <si>
    <t>Hộp đựng mẫu nguyên vẹn, các ống chứa mấu vặn nắp kín</t>
  </si>
  <si>
    <t>QIAsymphony DSP Virus/Pathogen Mini Kit</t>
  </si>
  <si>
    <t>HBV REAL-TM QUANT DX</t>
  </si>
  <si>
    <t>CFX96 Dx System (Bio-rad)</t>
  </si>
  <si>
    <t>Bio-rad</t>
  </si>
  <si>
    <t>Cobas Tagman 48</t>
  </si>
  <si>
    <t>Hạt từ tính MGP</t>
  </si>
  <si>
    <t>Cobas AmpliPrep Version 2.0</t>
  </si>
  <si>
    <t>Cobas Tagman Version 2.0</t>
  </si>
  <si>
    <t>TANBead Nucleic Acid Extraction Kit</t>
  </si>
  <si>
    <t>Smart Lab Assit (SAL-32)</t>
  </si>
  <si>
    <t>Realtime PCR Taqman probe</t>
  </si>
  <si>
    <t>Insta Q96</t>
  </si>
  <si>
    <t>Himedia</t>
  </si>
  <si>
    <t>BIOMED PHNOM PENH MEDICAL ANALYSIS LABORATORY</t>
  </si>
  <si>
    <t>BỆNH VIỆN THỐNG NHẤT-TPHCM</t>
  </si>
  <si>
    <t xml:space="preserve">	BỆNH VIỆN BỆNH NHIỆT ĐỚI KHÁNH HÒA</t>
  </si>
  <si>
    <t>BỆNH VIỆN ĐA KHOA TƯ NHÂN LÊ NGỌC TÙNG</t>
  </si>
  <si>
    <t>Target Not Detected</t>
  </si>
  <si>
    <t>MagNa Purre 96 DNA and Viral NA Small Volume Kit</t>
  </si>
  <si>
    <t>Rotor-Gene Q5 plex</t>
  </si>
  <si>
    <t>05/5/2023</t>
  </si>
  <si>
    <t>-</t>
  </si>
  <si>
    <t>Tand bead SLA-32</t>
  </si>
  <si>
    <t>IVD NK RTqPCR Vcquant kit</t>
  </si>
  <si>
    <t xml:space="preserve">TANBead Nucleic Acid Extraction Kit </t>
  </si>
  <si>
    <t>TANBead Nanotechnology Inside</t>
  </si>
  <si>
    <t>Sacase</t>
  </si>
  <si>
    <t>Kết tủa</t>
  </si>
  <si>
    <t>SaCycler 96</t>
  </si>
  <si>
    <t>IVD NK RTqPCR VCquant kit</t>
  </si>
  <si>
    <t>Alinity</t>
  </si>
  <si>
    <t>Alinity m-Abbott</t>
  </si>
  <si>
    <t>Không phát hiện thấy HCV RNA</t>
  </si>
  <si>
    <t>Cobas Tagman HCV Quantitative Test v2.0</t>
  </si>
  <si>
    <t>KIT CAP-G/CTM HCV</t>
  </si>
  <si>
    <t>Cobas AmpliPrep Version 2.1</t>
  </si>
  <si>
    <t>AccuPid HCV Quantification Kit</t>
  </si>
  <si>
    <t>QCL027</t>
  </si>
  <si>
    <t>QCL025</t>
  </si>
  <si>
    <t>QCL028</t>
  </si>
  <si>
    <t>QCL029</t>
  </si>
  <si>
    <t>QCL026</t>
  </si>
  <si>
    <t>21</t>
  </si>
  <si>
    <t>22</t>
  </si>
  <si>
    <t>23</t>
  </si>
  <si>
    <t>24</t>
  </si>
  <si>
    <t>QCL003</t>
  </si>
  <si>
    <t>Đợt 1-2023</t>
  </si>
  <si>
    <t>QCL004B</t>
  </si>
  <si>
    <t>QCL004A</t>
  </si>
  <si>
    <t>Alinity m HCV Assay</t>
  </si>
  <si>
    <t>QCL01</t>
  </si>
  <si>
    <t>QCL03</t>
  </si>
  <si>
    <t>QCL02</t>
  </si>
  <si>
    <t>Điểm</t>
  </si>
  <si>
    <t>QCL004C</t>
  </si>
  <si>
    <t>25</t>
  </si>
  <si>
    <t>26</t>
  </si>
  <si>
    <t>HẠN TRẢ KQ</t>
  </si>
  <si>
    <t>28/6/2023</t>
  </si>
  <si>
    <t>20/6/2022</t>
  </si>
  <si>
    <t>3.85-4</t>
  </si>
  <si>
    <t>4.15-4.3</t>
  </si>
  <si>
    <t>5.05-5.2</t>
  </si>
  <si>
    <t>5.2-5.35</t>
  </si>
  <si>
    <t>5.35-5.5</t>
  </si>
  <si>
    <t>5.5-5.65</t>
  </si>
  <si>
    <t>Đợt 2-2023</t>
  </si>
  <si>
    <t>230803</t>
  </si>
  <si>
    <t>08/10/2023</t>
  </si>
  <si>
    <t>30/10/2023</t>
  </si>
  <si>
    <t>1275111</t>
  </si>
  <si>
    <t>1258356</t>
  </si>
  <si>
    <t>26/9/2023</t>
  </si>
  <si>
    <t>27/9/2023</t>
  </si>
  <si>
    <t>10/10/2023</t>
  </si>
  <si>
    <t>4000000</t>
  </si>
  <si>
    <t>3230000</t>
  </si>
  <si>
    <t>2870000</t>
  </si>
  <si>
    <t>1640000</t>
  </si>
  <si>
    <t>1320000</t>
  </si>
  <si>
    <t>02/10/2023</t>
  </si>
  <si>
    <t>03/10/2023</t>
  </si>
  <si>
    <t>1570000</t>
  </si>
  <si>
    <t>1620000</t>
  </si>
  <si>
    <t>29/9/2023</t>
  </si>
  <si>
    <t>966000</t>
  </si>
  <si>
    <t>1430000</t>
  </si>
  <si>
    <t>Không phát hiện</t>
  </si>
  <si>
    <t>2710000</t>
  </si>
  <si>
    <t>2400000</t>
  </si>
  <si>
    <t>125247</t>
  </si>
  <si>
    <t>129012</t>
  </si>
  <si>
    <t>28/9/2023</t>
  </si>
  <si>
    <t>1050000</t>
  </si>
  <si>
    <t>1020000</t>
  </si>
  <si>
    <t>25/9/2023</t>
  </si>
  <si>
    <t>04/10/2023</t>
  </si>
  <si>
    <t>05/10/2023</t>
  </si>
  <si>
    <t>3900000</t>
  </si>
  <si>
    <t>1469033</t>
  </si>
  <si>
    <t>1079787</t>
  </si>
  <si>
    <t>860000</t>
  </si>
  <si>
    <t>660000</t>
  </si>
  <si>
    <t>1537638</t>
  </si>
  <si>
    <t>1370178</t>
  </si>
  <si>
    <t>06/10/2023</t>
  </si>
  <si>
    <t>5230000</t>
  </si>
  <si>
    <t>6240000</t>
  </si>
  <si>
    <t>773250</t>
  </si>
  <si>
    <t>533250</t>
  </si>
  <si>
    <t>Đợt 3-2023</t>
  </si>
  <si>
    <t>484000</t>
  </si>
  <si>
    <t>702000</t>
  </si>
  <si>
    <t>5.1-5.32</t>
  </si>
  <si>
    <t>5.54-5.76</t>
  </si>
  <si>
    <t>5.76-5.98</t>
  </si>
  <si>
    <t>5.98-6.2</t>
  </si>
  <si>
    <t>6.2-6.42</t>
  </si>
  <si>
    <t>6.42-6.64</t>
  </si>
  <si>
    <t>5.11-5.31</t>
  </si>
  <si>
    <t>5.71-5.91</t>
  </si>
  <si>
    <t>5.91-6.11</t>
  </si>
  <si>
    <t>6.11-6.31</t>
  </si>
  <si>
    <t>6.31-6.51</t>
  </si>
  <si>
    <t>6.51-6.71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</si>
</sst>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Times New Roman"/>
      <charset val="163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b/>
      <sz val="10"/>
      <color theme="1"/>
      <name val="Times New Roman"/>
      <family val="1"/>
    </font>
    <font>
      <sz val="8"/>
      <name val="Times New Roman"/>
      <family val="1"/>
    </font>
    <font>
      <sz val="12"/>
      <color rgb="FFFF0000"/>
      <name val="Times New Roman"/>
      <family val="1"/>
    </font>
    <font>
      <sz val="10"/>
      <color rgb="FFFF0000"/>
      <name val="Times New Roman"/>
      <family val="1"/>
    </font>
    <font>
      <b/>
      <sz val="12"/>
      <color rgb="FFFF0000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rgb="FF0070C0"/>
        <bgColor theme="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5E1D7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94CCB"/>
        <bgColor indexed="64"/>
      </patternFill>
    </fill>
    <fill>
      <patternFill patternType="solid">
        <fgColor rgb="FFDC603A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rgb="FFFF6600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7">
    <xf numFmtId="0" fontId="0" fillId="0" borderId="0"/>
    <xf numFmtId="0" fontId="12" fillId="0" borderId="0"/>
    <xf numFmtId="0" fontId="4" fillId="0" borderId="0"/>
    <xf numFmtId="0" fontId="4" fillId="0" borderId="0"/>
    <xf numFmtId="0" fontId="2" fillId="0" borderId="0"/>
    <xf numFmtId="0" fontId="1" fillId="0" borderId="0"/>
    <xf numFmtId="0" fontId="1" fillId="0" borderId="0"/>
  </cellStyleXfs>
  <cellXfs count="220">
    <xf numFmtId="0" fontId="0" fillId="0" borderId="0" xfId="0"/>
    <xf numFmtId="0" fontId="0" fillId="0" borderId="1" xfId="0" applyBorder="1"/>
    <xf numFmtId="49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/>
    <xf numFmtId="0" fontId="0" fillId="0" borderId="0" xfId="0" applyAlignment="1">
      <alignment horizontal="left"/>
    </xf>
    <xf numFmtId="0" fontId="0" fillId="0" borderId="2" xfId="0" applyBorder="1"/>
    <xf numFmtId="0" fontId="4" fillId="0" borderId="0" xfId="2"/>
    <xf numFmtId="0" fontId="0" fillId="0" borderId="0" xfId="0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wrapText="1"/>
    </xf>
    <xf numFmtId="49" fontId="4" fillId="18" borderId="1" xfId="0" applyNumberFormat="1" applyFont="1" applyFill="1" applyBorder="1" applyAlignment="1">
      <alignment vertical="center" wrapText="1"/>
    </xf>
    <xf numFmtId="0" fontId="15" fillId="0" borderId="0" xfId="0" applyFont="1" applyAlignment="1">
      <alignment wrapText="1"/>
    </xf>
    <xf numFmtId="0" fontId="15" fillId="0" borderId="1" xfId="0" applyFont="1" applyBorder="1" applyAlignment="1">
      <alignment horizontal="right" vertical="top"/>
    </xf>
    <xf numFmtId="0" fontId="15" fillId="0" borderId="1" xfId="0" applyFont="1" applyBorder="1" applyAlignment="1">
      <alignment vertical="center"/>
    </xf>
    <xf numFmtId="0" fontId="15" fillId="9" borderId="1" xfId="0" applyFont="1" applyFill="1" applyBorder="1" applyAlignment="1">
      <alignment horizontal="right" vertical="top"/>
    </xf>
    <xf numFmtId="0" fontId="14" fillId="0" borderId="0" xfId="0" applyFont="1"/>
    <xf numFmtId="49" fontId="14" fillId="7" borderId="1" xfId="0" applyNumberFormat="1" applyFont="1" applyFill="1" applyBorder="1" applyAlignment="1">
      <alignment vertical="center" wrapText="1"/>
    </xf>
    <xf numFmtId="49" fontId="14" fillId="20" borderId="1" xfId="0" applyNumberFormat="1" applyFont="1" applyFill="1" applyBorder="1" applyAlignment="1">
      <alignment vertical="center" wrapText="1"/>
    </xf>
    <xf numFmtId="49" fontId="4" fillId="17" borderId="1" xfId="0" applyNumberFormat="1" applyFont="1" applyFill="1" applyBorder="1" applyAlignment="1">
      <alignment vertical="center" wrapText="1"/>
    </xf>
    <xf numFmtId="49" fontId="0" fillId="0" borderId="0" xfId="0" applyNumberFormat="1"/>
    <xf numFmtId="0" fontId="0" fillId="0" borderId="0" xfId="0" pivotButton="1"/>
    <xf numFmtId="49" fontId="16" fillId="3" borderId="1" xfId="0" applyNumberFormat="1" applyFont="1" applyFill="1" applyBorder="1" applyAlignment="1">
      <alignment vertical="center" wrapText="1"/>
    </xf>
    <xf numFmtId="49" fontId="14" fillId="4" borderId="1" xfId="0" applyNumberFormat="1" applyFont="1" applyFill="1" applyBorder="1" applyAlignment="1">
      <alignment vertical="center" wrapText="1"/>
    </xf>
    <xf numFmtId="49" fontId="14" fillId="6" borderId="1" xfId="0" applyNumberFormat="1" applyFont="1" applyFill="1" applyBorder="1" applyAlignment="1">
      <alignment vertical="center" wrapText="1"/>
    </xf>
    <xf numFmtId="49" fontId="13" fillId="5" borderId="2" xfId="0" applyNumberFormat="1" applyFont="1" applyFill="1" applyBorder="1" applyAlignment="1">
      <alignment vertical="center" wrapText="1"/>
    </xf>
    <xf numFmtId="49" fontId="14" fillId="0" borderId="0" xfId="0" applyNumberFormat="1" applyFont="1" applyAlignment="1">
      <alignment vertical="center" wrapText="1"/>
    </xf>
    <xf numFmtId="0" fontId="14" fillId="0" borderId="1" xfId="0" applyFont="1" applyBorder="1"/>
    <xf numFmtId="0" fontId="4" fillId="0" borderId="0" xfId="2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9" fontId="8" fillId="20" borderId="1" xfId="0" applyNumberFormat="1" applyFont="1" applyFill="1" applyBorder="1" applyAlignment="1">
      <alignment vertical="center" wrapText="1"/>
    </xf>
    <xf numFmtId="0" fontId="8" fillId="0" borderId="0" xfId="2" applyFont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3" fillId="3" borderId="1" xfId="0" applyNumberFormat="1" applyFont="1" applyFill="1" applyBorder="1" applyAlignment="1">
      <alignment vertical="center" wrapText="1"/>
    </xf>
    <xf numFmtId="0" fontId="17" fillId="0" borderId="1" xfId="2" applyFont="1" applyBorder="1"/>
    <xf numFmtId="0" fontId="17" fillId="0" borderId="1" xfId="0" applyFont="1" applyBorder="1"/>
    <xf numFmtId="0" fontId="17" fillId="13" borderId="1" xfId="2" applyFont="1" applyFill="1" applyBorder="1"/>
    <xf numFmtId="0" fontId="17" fillId="14" borderId="1" xfId="2" applyFont="1" applyFill="1" applyBorder="1"/>
    <xf numFmtId="0" fontId="17" fillId="8" borderId="1" xfId="2" applyFont="1" applyFill="1" applyBorder="1"/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left" vertical="center" wrapText="1"/>
      <protection hidden="1"/>
    </xf>
    <xf numFmtId="0" fontId="4" fillId="0" borderId="0" xfId="0" applyFont="1" applyAlignment="1" applyProtection="1">
      <alignment horizontal="left" vertical="center" wrapText="1"/>
      <protection hidden="1"/>
    </xf>
    <xf numFmtId="0" fontId="15" fillId="0" borderId="1" xfId="0" applyFont="1" applyBorder="1"/>
    <xf numFmtId="0" fontId="0" fillId="0" borderId="0" xfId="0" applyAlignment="1">
      <alignment horizontal="right"/>
    </xf>
    <xf numFmtId="49" fontId="8" fillId="4" borderId="1" xfId="0" applyNumberFormat="1" applyFont="1" applyFill="1" applyBorder="1" applyAlignment="1">
      <alignment vertical="center" wrapText="1"/>
    </xf>
    <xf numFmtId="49" fontId="10" fillId="4" borderId="1" xfId="0" applyNumberFormat="1" applyFont="1" applyFill="1" applyBorder="1" applyAlignment="1">
      <alignment vertical="center" wrapText="1"/>
    </xf>
    <xf numFmtId="0" fontId="4" fillId="7" borderId="0" xfId="0" applyFont="1" applyFill="1"/>
    <xf numFmtId="0" fontId="0" fillId="12" borderId="0" xfId="0" applyFill="1"/>
    <xf numFmtId="0" fontId="4" fillId="0" borderId="0" xfId="3"/>
    <xf numFmtId="0" fontId="9" fillId="0" borderId="1" xfId="3" applyFont="1" applyBorder="1" applyAlignment="1">
      <alignment horizontal="center"/>
    </xf>
    <xf numFmtId="0" fontId="4" fillId="0" borderId="1" xfId="3" applyBorder="1"/>
    <xf numFmtId="0" fontId="4" fillId="0" borderId="0" xfId="0" applyFont="1" applyAlignment="1">
      <alignment horizontal="left"/>
    </xf>
    <xf numFmtId="49" fontId="20" fillId="18" borderId="1" xfId="0" applyNumberFormat="1" applyFont="1" applyFill="1" applyBorder="1" applyAlignment="1" applyProtection="1">
      <alignment horizontal="left" vertical="top" wrapText="1"/>
      <protection hidden="1"/>
    </xf>
    <xf numFmtId="49" fontId="10" fillId="28" borderId="1" xfId="0" applyNumberFormat="1" applyFont="1" applyFill="1" applyBorder="1" applyAlignment="1" applyProtection="1">
      <alignment horizontal="left" vertical="top" wrapText="1"/>
      <protection hidden="1"/>
    </xf>
    <xf numFmtId="49" fontId="8" fillId="7" borderId="1" xfId="0" applyNumberFormat="1" applyFont="1" applyFill="1" applyBorder="1" applyAlignment="1" applyProtection="1">
      <alignment horizontal="left" vertical="top" wrapText="1"/>
      <protection hidden="1"/>
    </xf>
    <xf numFmtId="49" fontId="8" fillId="11" borderId="1" xfId="0" applyNumberFormat="1" applyFont="1" applyFill="1" applyBorder="1" applyAlignment="1" applyProtection="1">
      <alignment horizontal="left" vertical="top" wrapText="1"/>
      <protection hidden="1"/>
    </xf>
    <xf numFmtId="49" fontId="4" fillId="7" borderId="1" xfId="0" applyNumberFormat="1" applyFont="1" applyFill="1" applyBorder="1" applyAlignment="1" applyProtection="1">
      <alignment horizontal="left" vertical="top" wrapText="1"/>
      <protection hidden="1"/>
    </xf>
    <xf numFmtId="49" fontId="4" fillId="11" borderId="1" xfId="0" applyNumberFormat="1" applyFont="1" applyFill="1" applyBorder="1" applyAlignment="1" applyProtection="1">
      <alignment horizontal="left" vertical="top" wrapText="1"/>
      <protection hidden="1"/>
    </xf>
    <xf numFmtId="49" fontId="5" fillId="28" borderId="1" xfId="0" applyNumberFormat="1" applyFont="1" applyFill="1" applyBorder="1" applyAlignment="1" applyProtection="1">
      <alignment horizontal="left" vertical="top" wrapText="1"/>
      <protection hidden="1"/>
    </xf>
    <xf numFmtId="49" fontId="4" fillId="7" borderId="1" xfId="0" applyNumberFormat="1" applyFont="1" applyFill="1" applyBorder="1" applyAlignment="1" applyProtection="1">
      <alignment horizontal="left" vertical="top" wrapText="1"/>
      <protection locked="0"/>
    </xf>
    <xf numFmtId="49" fontId="4" fillId="11" borderId="1" xfId="0" applyNumberFormat="1" applyFont="1" applyFill="1" applyBorder="1" applyAlignment="1" applyProtection="1">
      <alignment horizontal="left" vertical="top" wrapText="1"/>
      <protection locked="0"/>
    </xf>
    <xf numFmtId="49" fontId="5" fillId="28" borderId="1" xfId="0" applyNumberFormat="1" applyFont="1" applyFill="1" applyBorder="1" applyAlignment="1" applyProtection="1">
      <alignment horizontal="left" vertical="top" wrapText="1"/>
      <protection locked="0"/>
    </xf>
    <xf numFmtId="49" fontId="6" fillId="2" borderId="1" xfId="0" applyNumberFormat="1" applyFont="1" applyFill="1" applyBorder="1" applyAlignment="1" applyProtection="1">
      <alignment horizontal="left" vertical="top" wrapText="1"/>
      <protection locked="0"/>
    </xf>
    <xf numFmtId="49" fontId="6" fillId="3" borderId="1" xfId="0" applyNumberFormat="1" applyFont="1" applyFill="1" applyBorder="1" applyAlignment="1" applyProtection="1">
      <alignment horizontal="left" vertical="top" wrapText="1"/>
      <protection locked="0"/>
    </xf>
    <xf numFmtId="49" fontId="6" fillId="3" borderId="1" xfId="0" applyNumberFormat="1" applyFont="1" applyFill="1" applyBorder="1" applyAlignment="1">
      <alignment horizontal="left" vertical="top" wrapText="1"/>
    </xf>
    <xf numFmtId="49" fontId="6" fillId="0" borderId="0" xfId="0" applyNumberFormat="1" applyFont="1" applyAlignment="1">
      <alignment horizontal="left" vertical="top" wrapText="1"/>
    </xf>
    <xf numFmtId="49" fontId="5" fillId="4" borderId="1" xfId="0" applyNumberFormat="1" applyFont="1" applyFill="1" applyBorder="1" applyAlignment="1" applyProtection="1">
      <alignment horizontal="left" vertical="top" wrapText="1"/>
      <protection locked="0"/>
    </xf>
    <xf numFmtId="49" fontId="5" fillId="4" borderId="1" xfId="0" applyNumberFormat="1" applyFont="1" applyFill="1" applyBorder="1" applyAlignment="1" applyProtection="1">
      <alignment horizontal="left" vertical="top" wrapText="1"/>
      <protection hidden="1"/>
    </xf>
    <xf numFmtId="0" fontId="5" fillId="4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49" fontId="4" fillId="4" borderId="1" xfId="0" quotePrefix="1" applyNumberFormat="1" applyFont="1" applyFill="1" applyBorder="1" applyAlignment="1">
      <alignment horizontal="left" vertical="top" wrapText="1"/>
    </xf>
    <xf numFmtId="49" fontId="5" fillId="4" borderId="1" xfId="0" applyNumberFormat="1" applyFont="1" applyFill="1" applyBorder="1" applyAlignment="1">
      <alignment horizontal="left" vertical="top" wrapText="1"/>
    </xf>
    <xf numFmtId="49" fontId="5" fillId="7" borderId="1" xfId="0" applyNumberFormat="1" applyFont="1" applyFill="1" applyBorder="1" applyAlignment="1">
      <alignment horizontal="left" vertical="top" wrapText="1"/>
    </xf>
    <xf numFmtId="49" fontId="4" fillId="4" borderId="0" xfId="0" applyNumberFormat="1" applyFont="1" applyFill="1" applyAlignment="1">
      <alignment horizontal="left" vertical="top" wrapText="1"/>
    </xf>
    <xf numFmtId="49" fontId="4" fillId="4" borderId="1" xfId="0" applyNumberFormat="1" applyFont="1" applyFill="1" applyBorder="1" applyAlignment="1">
      <alignment horizontal="left" vertical="top" wrapText="1"/>
    </xf>
    <xf numFmtId="49" fontId="4" fillId="25" borderId="4" xfId="0" applyNumberFormat="1" applyFont="1" applyFill="1" applyBorder="1" applyAlignment="1" applyProtection="1">
      <alignment horizontal="left" vertical="top" wrapText="1"/>
      <protection hidden="1"/>
    </xf>
    <xf numFmtId="49" fontId="5" fillId="25" borderId="4" xfId="0" applyNumberFormat="1" applyFont="1" applyFill="1" applyBorder="1" applyAlignment="1" applyProtection="1">
      <alignment horizontal="left" vertical="top" wrapText="1"/>
      <protection hidden="1"/>
    </xf>
    <xf numFmtId="0" fontId="4" fillId="25" borderId="1" xfId="0" applyFont="1" applyFill="1" applyBorder="1" applyAlignment="1">
      <alignment horizontal="left" vertical="top" wrapText="1"/>
    </xf>
    <xf numFmtId="49" fontId="4" fillId="25" borderId="1" xfId="0" quotePrefix="1" applyNumberFormat="1" applyFont="1" applyFill="1" applyBorder="1" applyAlignment="1">
      <alignment horizontal="left" vertical="top" wrapText="1"/>
    </xf>
    <xf numFmtId="49" fontId="5" fillId="25" borderId="4" xfId="0" applyNumberFormat="1" applyFont="1" applyFill="1" applyBorder="1" applyAlignment="1">
      <alignment horizontal="left" vertical="top" wrapText="1"/>
    </xf>
    <xf numFmtId="49" fontId="4" fillId="25" borderId="0" xfId="0" applyNumberFormat="1" applyFont="1" applyFill="1" applyAlignment="1">
      <alignment horizontal="left" vertical="top" wrapText="1"/>
    </xf>
    <xf numFmtId="49" fontId="4" fillId="25" borderId="1" xfId="0" applyNumberFormat="1" applyFont="1" applyFill="1" applyBorder="1" applyAlignment="1" applyProtection="1">
      <alignment horizontal="left" vertical="top" wrapText="1"/>
      <protection hidden="1"/>
    </xf>
    <xf numFmtId="49" fontId="5" fillId="25" borderId="1" xfId="0" applyNumberFormat="1" applyFont="1" applyFill="1" applyBorder="1" applyAlignment="1" applyProtection="1">
      <alignment horizontal="left" vertical="top" wrapText="1"/>
      <protection hidden="1"/>
    </xf>
    <xf numFmtId="0" fontId="5" fillId="26" borderId="1" xfId="0" applyFont="1" applyFill="1" applyBorder="1" applyAlignment="1">
      <alignment horizontal="left" vertical="top" wrapText="1"/>
    </xf>
    <xf numFmtId="49" fontId="5" fillId="25" borderId="1" xfId="0" applyNumberFormat="1" applyFont="1" applyFill="1" applyBorder="1" applyAlignment="1">
      <alignment horizontal="left" vertical="top" wrapText="1"/>
    </xf>
    <xf numFmtId="49" fontId="4" fillId="25" borderId="1" xfId="0" applyNumberFormat="1" applyFont="1" applyFill="1" applyBorder="1" applyAlignment="1">
      <alignment horizontal="left" vertical="top" wrapText="1"/>
    </xf>
    <xf numFmtId="49" fontId="5" fillId="25" borderId="1" xfId="1" applyNumberFormat="1" applyFont="1" applyFill="1" applyBorder="1" applyAlignment="1" applyProtection="1">
      <alignment horizontal="left" vertical="top" wrapText="1"/>
      <protection hidden="1"/>
    </xf>
    <xf numFmtId="49" fontId="4" fillId="25" borderId="1" xfId="1" applyNumberFormat="1" applyFont="1" applyFill="1" applyBorder="1" applyAlignment="1" applyProtection="1">
      <alignment horizontal="left" vertical="top" wrapText="1"/>
      <protection hidden="1"/>
    </xf>
    <xf numFmtId="49" fontId="4" fillId="19" borderId="1" xfId="0" applyNumberFormat="1" applyFont="1" applyFill="1" applyBorder="1" applyAlignment="1" applyProtection="1">
      <alignment horizontal="left" vertical="top" wrapText="1"/>
      <protection hidden="1"/>
    </xf>
    <xf numFmtId="49" fontId="5" fillId="19" borderId="1" xfId="0" applyNumberFormat="1" applyFont="1" applyFill="1" applyBorder="1" applyAlignment="1" applyProtection="1">
      <alignment horizontal="left" vertical="top" wrapText="1"/>
      <protection hidden="1"/>
    </xf>
    <xf numFmtId="0" fontId="4" fillId="19" borderId="1" xfId="0" applyFont="1" applyFill="1" applyBorder="1" applyAlignment="1">
      <alignment horizontal="left" vertical="top" wrapText="1"/>
    </xf>
    <xf numFmtId="49" fontId="4" fillId="19" borderId="1" xfId="0" applyNumberFormat="1" applyFont="1" applyFill="1" applyBorder="1" applyAlignment="1">
      <alignment horizontal="left" vertical="top" wrapText="1"/>
    </xf>
    <xf numFmtId="49" fontId="4" fillId="19" borderId="1" xfId="0" quotePrefix="1" applyNumberFormat="1" applyFont="1" applyFill="1" applyBorder="1" applyAlignment="1">
      <alignment horizontal="left" vertical="top" wrapText="1"/>
    </xf>
    <xf numFmtId="49" fontId="5" fillId="19" borderId="1" xfId="0" applyNumberFormat="1" applyFont="1" applyFill="1" applyBorder="1" applyAlignment="1">
      <alignment horizontal="left" vertical="top" wrapText="1"/>
    </xf>
    <xf numFmtId="49" fontId="4" fillId="19" borderId="0" xfId="0" applyNumberFormat="1" applyFont="1" applyFill="1" applyAlignment="1">
      <alignment horizontal="left" vertical="top" wrapText="1"/>
    </xf>
    <xf numFmtId="49" fontId="19" fillId="19" borderId="1" xfId="0" applyNumberFormat="1" applyFont="1" applyFill="1" applyBorder="1" applyAlignment="1" applyProtection="1">
      <alignment horizontal="left" vertical="top" wrapText="1"/>
      <protection hidden="1"/>
    </xf>
    <xf numFmtId="0" fontId="19" fillId="19" borderId="1" xfId="0" applyFont="1" applyFill="1" applyBorder="1" applyAlignment="1">
      <alignment horizontal="left" vertical="top" wrapText="1"/>
    </xf>
    <xf numFmtId="49" fontId="4" fillId="20" borderId="1" xfId="0" applyNumberFormat="1" applyFont="1" applyFill="1" applyBorder="1" applyAlignment="1" applyProtection="1">
      <alignment horizontal="left" vertical="top" wrapText="1"/>
      <protection hidden="1"/>
    </xf>
    <xf numFmtId="49" fontId="5" fillId="20" borderId="1" xfId="0" applyNumberFormat="1" applyFont="1" applyFill="1" applyBorder="1" applyAlignment="1" applyProtection="1">
      <alignment horizontal="left" vertical="top" wrapText="1"/>
      <protection hidden="1"/>
    </xf>
    <xf numFmtId="0" fontId="4" fillId="20" borderId="1" xfId="0" applyFont="1" applyFill="1" applyBorder="1" applyAlignment="1">
      <alignment horizontal="left" vertical="top" wrapText="1"/>
    </xf>
    <xf numFmtId="49" fontId="4" fillId="20" borderId="1" xfId="0" quotePrefix="1" applyNumberFormat="1" applyFont="1" applyFill="1" applyBorder="1" applyAlignment="1">
      <alignment horizontal="left" vertical="top" wrapText="1"/>
    </xf>
    <xf numFmtId="49" fontId="5" fillId="20" borderId="1" xfId="0" applyNumberFormat="1" applyFont="1" applyFill="1" applyBorder="1" applyAlignment="1">
      <alignment horizontal="left" vertical="top" wrapText="1"/>
    </xf>
    <xf numFmtId="49" fontId="4" fillId="20" borderId="0" xfId="0" applyNumberFormat="1" applyFont="1" applyFill="1" applyAlignment="1">
      <alignment horizontal="left" vertical="top" wrapText="1"/>
    </xf>
    <xf numFmtId="49" fontId="4" fillId="24" borderId="1" xfId="0" applyNumberFormat="1" applyFont="1" applyFill="1" applyBorder="1" applyAlignment="1" applyProtection="1">
      <alignment horizontal="left" vertical="top" wrapText="1"/>
      <protection hidden="1"/>
    </xf>
    <xf numFmtId="49" fontId="5" fillId="24" borderId="1" xfId="0" applyNumberFormat="1" applyFont="1" applyFill="1" applyBorder="1" applyAlignment="1" applyProtection="1">
      <alignment horizontal="left" vertical="top" wrapText="1"/>
      <protection hidden="1"/>
    </xf>
    <xf numFmtId="0" fontId="4" fillId="24" borderId="1" xfId="0" applyFont="1" applyFill="1" applyBorder="1" applyAlignment="1">
      <alignment horizontal="left" vertical="top" wrapText="1"/>
    </xf>
    <xf numFmtId="49" fontId="4" fillId="24" borderId="1" xfId="0" quotePrefix="1" applyNumberFormat="1" applyFont="1" applyFill="1" applyBorder="1" applyAlignment="1">
      <alignment horizontal="left" vertical="top" wrapText="1"/>
    </xf>
    <xf numFmtId="49" fontId="5" fillId="24" borderId="1" xfId="0" applyNumberFormat="1" applyFont="1" applyFill="1" applyBorder="1" applyAlignment="1">
      <alignment horizontal="left" vertical="top" wrapText="1"/>
    </xf>
    <xf numFmtId="49" fontId="4" fillId="24" borderId="0" xfId="0" applyNumberFormat="1" applyFont="1" applyFill="1" applyAlignment="1">
      <alignment horizontal="left" vertical="top" wrapText="1"/>
    </xf>
    <xf numFmtId="49" fontId="4" fillId="7" borderId="1" xfId="0" applyNumberFormat="1" applyFont="1" applyFill="1" applyBorder="1" applyAlignment="1">
      <alignment horizontal="left" vertical="top" wrapText="1"/>
    </xf>
    <xf numFmtId="0" fontId="4" fillId="7" borderId="1" xfId="0" applyFont="1" applyFill="1" applyBorder="1" applyAlignment="1">
      <alignment horizontal="left" vertical="top" wrapText="1"/>
    </xf>
    <xf numFmtId="49" fontId="4" fillId="7" borderId="0" xfId="0" applyNumberFormat="1" applyFont="1" applyFill="1" applyAlignment="1">
      <alignment horizontal="left" vertical="top" wrapText="1"/>
    </xf>
    <xf numFmtId="49" fontId="4" fillId="11" borderId="1" xfId="0" applyNumberFormat="1" applyFont="1" applyFill="1" applyBorder="1" applyAlignment="1">
      <alignment horizontal="left" vertical="top" wrapText="1"/>
    </xf>
    <xf numFmtId="0" fontId="4" fillId="11" borderId="1" xfId="0" applyFont="1" applyFill="1" applyBorder="1" applyAlignment="1">
      <alignment horizontal="left" vertical="top" wrapText="1"/>
    </xf>
    <xf numFmtId="49" fontId="4" fillId="11" borderId="0" xfId="0" applyNumberFormat="1" applyFont="1" applyFill="1" applyAlignment="1">
      <alignment horizontal="left" vertical="top" wrapText="1"/>
    </xf>
    <xf numFmtId="49" fontId="19" fillId="18" borderId="1" xfId="0" applyNumberFormat="1" applyFont="1" applyFill="1" applyBorder="1" applyAlignment="1" applyProtection="1">
      <alignment horizontal="left" vertical="top" wrapText="1"/>
      <protection hidden="1"/>
    </xf>
    <xf numFmtId="0" fontId="19" fillId="18" borderId="1" xfId="0" applyFont="1" applyFill="1" applyBorder="1" applyAlignment="1">
      <alignment horizontal="left" vertical="top" wrapText="1"/>
    </xf>
    <xf numFmtId="49" fontId="19" fillId="18" borderId="1" xfId="0" quotePrefix="1" applyNumberFormat="1" applyFont="1" applyFill="1" applyBorder="1" applyAlignment="1">
      <alignment horizontal="left" vertical="top" wrapText="1"/>
    </xf>
    <xf numFmtId="49" fontId="19" fillId="18" borderId="1" xfId="0" applyNumberFormat="1" applyFont="1" applyFill="1" applyBorder="1" applyAlignment="1">
      <alignment horizontal="left" vertical="top" wrapText="1"/>
    </xf>
    <xf numFmtId="49" fontId="19" fillId="18" borderId="0" xfId="0" applyNumberFormat="1" applyFont="1" applyFill="1" applyAlignment="1">
      <alignment horizontal="left" vertical="top" wrapText="1"/>
    </xf>
    <xf numFmtId="0" fontId="5" fillId="28" borderId="1" xfId="0" applyFont="1" applyFill="1" applyBorder="1" applyAlignment="1">
      <alignment horizontal="left" vertical="top" wrapText="1"/>
    </xf>
    <xf numFmtId="49" fontId="5" fillId="28" borderId="1" xfId="0" quotePrefix="1" applyNumberFormat="1" applyFont="1" applyFill="1" applyBorder="1" applyAlignment="1">
      <alignment horizontal="left" vertical="top" wrapText="1"/>
    </xf>
    <xf numFmtId="49" fontId="5" fillId="28" borderId="1" xfId="0" applyNumberFormat="1" applyFont="1" applyFill="1" applyBorder="1" applyAlignment="1">
      <alignment horizontal="left" vertical="top" wrapText="1"/>
    </xf>
    <xf numFmtId="49" fontId="5" fillId="28" borderId="0" xfId="0" applyNumberFormat="1" applyFont="1" applyFill="1" applyAlignment="1">
      <alignment horizontal="left" vertical="top" wrapText="1"/>
    </xf>
    <xf numFmtId="49" fontId="4" fillId="28" borderId="1" xfId="0" quotePrefix="1" applyNumberFormat="1" applyFont="1" applyFill="1" applyBorder="1" applyAlignment="1">
      <alignment horizontal="left" vertical="top" wrapText="1"/>
    </xf>
    <xf numFmtId="49" fontId="4" fillId="28" borderId="0" xfId="0" applyNumberFormat="1" applyFont="1" applyFill="1" applyAlignment="1">
      <alignment horizontal="left" vertical="top" wrapText="1"/>
    </xf>
    <xf numFmtId="49" fontId="4" fillId="0" borderId="0" xfId="0" applyNumberFormat="1" applyFont="1" applyAlignment="1">
      <alignment horizontal="left" vertical="top" wrapText="1"/>
    </xf>
    <xf numFmtId="49" fontId="6" fillId="23" borderId="0" xfId="0" applyNumberFormat="1" applyFont="1" applyFill="1" applyAlignment="1">
      <alignment horizontal="left" vertical="top" wrapText="1"/>
    </xf>
    <xf numFmtId="49" fontId="4" fillId="23" borderId="0" xfId="0" applyNumberFormat="1" applyFont="1" applyFill="1" applyAlignment="1">
      <alignment horizontal="left" vertical="top" wrapText="1"/>
    </xf>
    <xf numFmtId="49" fontId="19" fillId="23" borderId="0" xfId="0" applyNumberFormat="1" applyFont="1" applyFill="1" applyAlignment="1">
      <alignment horizontal="left" vertical="top" wrapText="1"/>
    </xf>
    <xf numFmtId="49" fontId="5" fillId="23" borderId="0" xfId="0" applyNumberFormat="1" applyFont="1" applyFill="1" applyAlignment="1">
      <alignment horizontal="left" vertical="top" wrapText="1"/>
    </xf>
    <xf numFmtId="49" fontId="10" fillId="4" borderId="1" xfId="0" applyNumberFormat="1" applyFont="1" applyFill="1" applyBorder="1" applyAlignment="1" applyProtection="1">
      <alignment horizontal="left" vertical="top" wrapText="1"/>
      <protection hidden="1"/>
    </xf>
    <xf numFmtId="49" fontId="8" fillId="25" borderId="4" xfId="0" applyNumberFormat="1" applyFont="1" applyFill="1" applyBorder="1" applyAlignment="1" applyProtection="1">
      <alignment horizontal="left" vertical="top" wrapText="1"/>
      <protection hidden="1"/>
    </xf>
    <xf numFmtId="49" fontId="10" fillId="25" borderId="4" xfId="0" applyNumberFormat="1" applyFont="1" applyFill="1" applyBorder="1" applyAlignment="1" applyProtection="1">
      <alignment horizontal="left" vertical="top" wrapText="1"/>
      <protection hidden="1"/>
    </xf>
    <xf numFmtId="49" fontId="8" fillId="25" borderId="1" xfId="0" applyNumberFormat="1" applyFont="1" applyFill="1" applyBorder="1" applyAlignment="1" applyProtection="1">
      <alignment horizontal="left" vertical="top" wrapText="1"/>
      <protection hidden="1"/>
    </xf>
    <xf numFmtId="49" fontId="10" fillId="25" borderId="1" xfId="0" applyNumberFormat="1" applyFont="1" applyFill="1" applyBorder="1" applyAlignment="1" applyProtection="1">
      <alignment horizontal="left" vertical="top" wrapText="1"/>
      <protection hidden="1"/>
    </xf>
    <xf numFmtId="49" fontId="8" fillId="25" borderId="1" xfId="0" applyNumberFormat="1" applyFont="1" applyFill="1" applyBorder="1" applyAlignment="1">
      <alignment horizontal="left" vertical="top" wrapText="1"/>
    </xf>
    <xf numFmtId="49" fontId="10" fillId="25" borderId="1" xfId="1" applyNumberFormat="1" applyFont="1" applyFill="1" applyBorder="1" applyAlignment="1" applyProtection="1">
      <alignment horizontal="left" vertical="top" wrapText="1"/>
      <protection hidden="1"/>
    </xf>
    <xf numFmtId="49" fontId="8" fillId="25" borderId="1" xfId="1" applyNumberFormat="1" applyFont="1" applyFill="1" applyBorder="1" applyAlignment="1" applyProtection="1">
      <alignment horizontal="left" vertical="top" wrapText="1"/>
      <protection hidden="1"/>
    </xf>
    <xf numFmtId="49" fontId="8" fillId="19" borderId="1" xfId="0" applyNumberFormat="1" applyFont="1" applyFill="1" applyBorder="1" applyAlignment="1" applyProtection="1">
      <alignment horizontal="left" vertical="top" wrapText="1"/>
      <protection hidden="1"/>
    </xf>
    <xf numFmtId="49" fontId="10" fillId="19" borderId="1" xfId="0" applyNumberFormat="1" applyFont="1" applyFill="1" applyBorder="1" applyAlignment="1" applyProtection="1">
      <alignment horizontal="left" vertical="top" wrapText="1"/>
      <protection hidden="1"/>
    </xf>
    <xf numFmtId="49" fontId="20" fillId="19" borderId="1" xfId="0" applyNumberFormat="1" applyFont="1" applyFill="1" applyBorder="1" applyAlignment="1" applyProtection="1">
      <alignment horizontal="left" vertical="top" wrapText="1"/>
      <protection hidden="1"/>
    </xf>
    <xf numFmtId="49" fontId="8" fillId="20" borderId="1" xfId="0" applyNumberFormat="1" applyFont="1" applyFill="1" applyBorder="1" applyAlignment="1" applyProtection="1">
      <alignment horizontal="left" vertical="top" wrapText="1"/>
      <protection hidden="1"/>
    </xf>
    <xf numFmtId="49" fontId="10" fillId="20" borderId="1" xfId="0" applyNumberFormat="1" applyFont="1" applyFill="1" applyBorder="1" applyAlignment="1" applyProtection="1">
      <alignment horizontal="left" vertical="top" wrapText="1"/>
      <protection hidden="1"/>
    </xf>
    <xf numFmtId="49" fontId="8" fillId="24" borderId="1" xfId="0" applyNumberFormat="1" applyFont="1" applyFill="1" applyBorder="1" applyAlignment="1" applyProtection="1">
      <alignment horizontal="left" vertical="top" wrapText="1"/>
      <protection hidden="1"/>
    </xf>
    <xf numFmtId="49" fontId="10" fillId="24" borderId="1" xfId="0" applyNumberFormat="1" applyFont="1" applyFill="1" applyBorder="1" applyAlignment="1" applyProtection="1">
      <alignment horizontal="left" vertical="top" wrapText="1"/>
      <protection hidden="1"/>
    </xf>
    <xf numFmtId="49" fontId="8" fillId="7" borderId="1" xfId="0" applyNumberFormat="1" applyFont="1" applyFill="1" applyBorder="1" applyAlignment="1">
      <alignment horizontal="left" vertical="top" wrapText="1"/>
    </xf>
    <xf numFmtId="49" fontId="8" fillId="19" borderId="1" xfId="0" applyNumberFormat="1" applyFont="1" applyFill="1" applyBorder="1" applyAlignment="1">
      <alignment horizontal="left" vertical="top" wrapText="1"/>
    </xf>
    <xf numFmtId="49" fontId="8" fillId="11" borderId="1" xfId="0" applyNumberFormat="1" applyFont="1" applyFill="1" applyBorder="1" applyAlignment="1">
      <alignment horizontal="left" vertical="top" wrapText="1"/>
    </xf>
    <xf numFmtId="49" fontId="10" fillId="28" borderId="1" xfId="0" applyNumberFormat="1" applyFont="1" applyFill="1" applyBorder="1" applyAlignment="1">
      <alignment horizontal="left" vertical="top" wrapText="1"/>
    </xf>
    <xf numFmtId="49" fontId="5" fillId="10" borderId="1" xfId="0" applyNumberFormat="1" applyFont="1" applyFill="1" applyBorder="1" applyAlignment="1">
      <alignment horizontal="left" vertical="top" wrapText="1"/>
    </xf>
    <xf numFmtId="49" fontId="4" fillId="25" borderId="4" xfId="0" applyNumberFormat="1" applyFont="1" applyFill="1" applyBorder="1" applyAlignment="1">
      <alignment horizontal="left" vertical="top" wrapText="1"/>
    </xf>
    <xf numFmtId="49" fontId="7" fillId="26" borderId="4" xfId="0" applyNumberFormat="1" applyFont="1" applyFill="1" applyBorder="1" applyAlignment="1">
      <alignment horizontal="left" vertical="top" wrapText="1"/>
    </xf>
    <xf numFmtId="49" fontId="5" fillId="26" borderId="1" xfId="0" applyNumberFormat="1" applyFont="1" applyFill="1" applyBorder="1" applyAlignment="1">
      <alignment horizontal="left" vertical="top" wrapText="1"/>
    </xf>
    <xf numFmtId="49" fontId="7" fillId="27" borderId="1" xfId="0" applyNumberFormat="1" applyFont="1" applyFill="1" applyBorder="1" applyAlignment="1">
      <alignment horizontal="left" vertical="top" wrapText="1"/>
    </xf>
    <xf numFmtId="49" fontId="4" fillId="20" borderId="1" xfId="0" applyNumberFormat="1" applyFont="1" applyFill="1" applyBorder="1" applyAlignment="1">
      <alignment horizontal="left" vertical="top" wrapText="1"/>
    </xf>
    <xf numFmtId="49" fontId="7" fillId="21" borderId="1" xfId="0" applyNumberFormat="1" applyFont="1" applyFill="1" applyBorder="1" applyAlignment="1">
      <alignment horizontal="left" vertical="top" wrapText="1"/>
    </xf>
    <xf numFmtId="49" fontId="4" fillId="24" borderId="1" xfId="0" applyNumberFormat="1" applyFont="1" applyFill="1" applyBorder="1" applyAlignment="1">
      <alignment horizontal="left" vertical="top" wrapText="1"/>
    </xf>
    <xf numFmtId="49" fontId="5" fillId="11" borderId="1" xfId="0" applyNumberFormat="1" applyFont="1" applyFill="1" applyBorder="1" applyAlignment="1">
      <alignment horizontal="left" vertical="top" wrapText="1"/>
    </xf>
    <xf numFmtId="49" fontId="19" fillId="22" borderId="1" xfId="0" applyNumberFormat="1" applyFont="1" applyFill="1" applyBorder="1" applyAlignment="1">
      <alignment horizontal="left" vertical="top" wrapText="1"/>
    </xf>
    <xf numFmtId="49" fontId="11" fillId="28" borderId="1" xfId="0" applyNumberFormat="1" applyFont="1" applyFill="1" applyBorder="1" applyAlignment="1">
      <alignment horizontal="left" vertical="top" wrapText="1"/>
    </xf>
    <xf numFmtId="49" fontId="5" fillId="29" borderId="1" xfId="0" applyNumberFormat="1" applyFont="1" applyFill="1" applyBorder="1" applyAlignment="1">
      <alignment horizontal="left" vertical="top" wrapText="1"/>
    </xf>
    <xf numFmtId="49" fontId="4" fillId="9" borderId="0" xfId="0" applyNumberFormat="1" applyFont="1" applyFill="1" applyAlignment="1">
      <alignment horizontal="left" vertical="top" wrapText="1"/>
    </xf>
    <xf numFmtId="49" fontId="19" fillId="25" borderId="1" xfId="0" applyNumberFormat="1" applyFont="1" applyFill="1" applyBorder="1" applyAlignment="1" applyProtection="1">
      <alignment horizontal="left" vertical="top" wrapText="1"/>
      <protection hidden="1"/>
    </xf>
    <xf numFmtId="49" fontId="19" fillId="25" borderId="1" xfId="0" applyNumberFormat="1" applyFont="1" applyFill="1" applyBorder="1" applyAlignment="1">
      <alignment horizontal="left" vertical="top" wrapText="1"/>
    </xf>
    <xf numFmtId="49" fontId="19" fillId="26" borderId="1" xfId="0" applyNumberFormat="1" applyFont="1" applyFill="1" applyBorder="1" applyAlignment="1">
      <alignment horizontal="left" vertical="top" wrapText="1"/>
    </xf>
    <xf numFmtId="49" fontId="19" fillId="25" borderId="1" xfId="0" quotePrefix="1" applyNumberFormat="1" applyFont="1" applyFill="1" applyBorder="1" applyAlignment="1">
      <alignment horizontal="left" vertical="top" wrapText="1"/>
    </xf>
    <xf numFmtId="49" fontId="19" fillId="25" borderId="0" xfId="0" applyNumberFormat="1" applyFont="1" applyFill="1" applyAlignment="1">
      <alignment horizontal="left" vertical="top" wrapText="1"/>
    </xf>
    <xf numFmtId="0" fontId="9" fillId="0" borderId="1" xfId="2" applyFont="1" applyBorder="1"/>
    <xf numFmtId="0" fontId="9" fillId="0" borderId="1" xfId="2" applyFont="1" applyBorder="1" applyAlignment="1">
      <alignment horizontal="center"/>
    </xf>
    <xf numFmtId="49" fontId="4" fillId="4" borderId="1" xfId="0" applyNumberFormat="1" applyFont="1" applyFill="1" applyBorder="1" applyAlignment="1" applyProtection="1">
      <alignment horizontal="left" vertical="top" wrapText="1"/>
      <protection locked="0"/>
    </xf>
    <xf numFmtId="49" fontId="9" fillId="19" borderId="1" xfId="0" applyNumberFormat="1" applyFont="1" applyFill="1" applyBorder="1" applyAlignment="1">
      <alignment horizontal="left" vertical="top" wrapText="1"/>
    </xf>
    <xf numFmtId="49" fontId="19" fillId="4" borderId="1" xfId="0" applyNumberFormat="1" applyFont="1" applyFill="1" applyBorder="1" applyAlignment="1" applyProtection="1">
      <alignment horizontal="left" vertical="top" wrapText="1"/>
      <protection locked="0"/>
    </xf>
    <xf numFmtId="2" fontId="8" fillId="0" borderId="1" xfId="0" applyNumberFormat="1" applyFont="1" applyBorder="1" applyAlignment="1">
      <alignment horizontal="center" vertical="center" wrapText="1"/>
    </xf>
    <xf numFmtId="2" fontId="15" fillId="0" borderId="1" xfId="0" applyNumberFormat="1" applyFont="1" applyBorder="1" applyAlignment="1">
      <alignment horizontal="right" vertical="top"/>
    </xf>
    <xf numFmtId="2" fontId="15" fillId="9" borderId="1" xfId="0" applyNumberFormat="1" applyFont="1" applyFill="1" applyBorder="1" applyAlignment="1">
      <alignment horizontal="right" vertical="top"/>
    </xf>
    <xf numFmtId="0" fontId="4" fillId="0" borderId="0" xfId="0" applyFont="1" applyAlignment="1">
      <alignment horizontal="center" vertical="center"/>
    </xf>
    <xf numFmtId="49" fontId="19" fillId="4" borderId="4" xfId="0" applyNumberFormat="1" applyFont="1" applyFill="1" applyBorder="1" applyAlignment="1" applyProtection="1">
      <alignment horizontal="left" vertical="top" wrapText="1"/>
      <protection hidden="1"/>
    </xf>
    <xf numFmtId="49" fontId="19" fillId="4" borderId="1" xfId="0" applyNumberFormat="1" applyFont="1" applyFill="1" applyBorder="1" applyAlignment="1" applyProtection="1">
      <alignment horizontal="left" vertical="top" wrapText="1"/>
      <protection hidden="1"/>
    </xf>
    <xf numFmtId="49" fontId="19" fillId="4" borderId="1" xfId="0" applyNumberFormat="1" applyFont="1" applyFill="1" applyBorder="1" applyAlignment="1">
      <alignment horizontal="left" vertical="top" wrapText="1"/>
    </xf>
    <xf numFmtId="49" fontId="19" fillId="10" borderId="1" xfId="0" applyNumberFormat="1" applyFont="1" applyFill="1" applyBorder="1" applyAlignment="1">
      <alignment horizontal="left" vertical="top" wrapText="1"/>
    </xf>
    <xf numFmtId="49" fontId="19" fillId="4" borderId="0" xfId="0" applyNumberFormat="1" applyFont="1" applyFill="1" applyAlignment="1">
      <alignment horizontal="left" vertical="top" wrapText="1"/>
    </xf>
    <xf numFmtId="49" fontId="5" fillId="7" borderId="1" xfId="0" applyNumberFormat="1" applyFont="1" applyFill="1" applyBorder="1" applyAlignment="1" applyProtection="1">
      <alignment horizontal="left" vertical="top" wrapText="1"/>
      <protection locked="0"/>
    </xf>
    <xf numFmtId="49" fontId="5" fillId="7" borderId="1" xfId="0" applyNumberFormat="1" applyFont="1" applyFill="1" applyBorder="1" applyAlignment="1" applyProtection="1">
      <alignment horizontal="left" vertical="top" wrapText="1"/>
      <protection hidden="1"/>
    </xf>
    <xf numFmtId="49" fontId="5" fillId="7" borderId="0" xfId="0" applyNumberFormat="1" applyFont="1" applyFill="1" applyAlignment="1">
      <alignment horizontal="left" vertical="top" wrapText="1"/>
    </xf>
    <xf numFmtId="49" fontId="6" fillId="16" borderId="1" xfId="0" applyNumberFormat="1" applyFont="1" applyFill="1" applyBorder="1" applyAlignment="1">
      <alignment horizontal="left" vertical="top" wrapText="1"/>
    </xf>
    <xf numFmtId="49" fontId="6" fillId="12" borderId="1" xfId="0" applyNumberFormat="1" applyFont="1" applyFill="1" applyBorder="1" applyAlignment="1">
      <alignment horizontal="left" vertical="top" wrapText="1"/>
    </xf>
    <xf numFmtId="49" fontId="6" fillId="17" borderId="1" xfId="0" applyNumberFormat="1" applyFont="1" applyFill="1" applyBorder="1" applyAlignment="1">
      <alignment horizontal="left" vertical="top" wrapText="1"/>
    </xf>
    <xf numFmtId="49" fontId="6" fillId="3" borderId="1" xfId="1" applyNumberFormat="1" applyFont="1" applyFill="1" applyBorder="1" applyAlignment="1" applyProtection="1">
      <alignment horizontal="left" vertical="top" wrapText="1"/>
      <protection locked="0"/>
    </xf>
    <xf numFmtId="49" fontId="11" fillId="4" borderId="1" xfId="0" applyNumberFormat="1" applyFont="1" applyFill="1" applyBorder="1" applyAlignment="1">
      <alignment horizontal="left" vertical="top" wrapText="1"/>
    </xf>
    <xf numFmtId="49" fontId="21" fillId="25" borderId="1" xfId="0" applyNumberFormat="1" applyFont="1" applyFill="1" applyBorder="1" applyAlignment="1">
      <alignment horizontal="left" vertical="top" wrapText="1"/>
    </xf>
    <xf numFmtId="49" fontId="11" fillId="19" borderId="1" xfId="0" applyNumberFormat="1" applyFont="1" applyFill="1" applyBorder="1" applyAlignment="1">
      <alignment horizontal="left" vertical="top" wrapText="1"/>
    </xf>
    <xf numFmtId="49" fontId="11" fillId="20" borderId="1" xfId="0" applyNumberFormat="1" applyFont="1" applyFill="1" applyBorder="1" applyAlignment="1">
      <alignment horizontal="left" vertical="top" wrapText="1"/>
    </xf>
    <xf numFmtId="49" fontId="11" fillId="24" borderId="1" xfId="0" applyNumberFormat="1" applyFont="1" applyFill="1" applyBorder="1" applyAlignment="1">
      <alignment horizontal="left" vertical="top" wrapText="1"/>
    </xf>
    <xf numFmtId="49" fontId="21" fillId="18" borderId="1" xfId="0" applyNumberFormat="1" applyFont="1" applyFill="1" applyBorder="1" applyAlignment="1">
      <alignment horizontal="left" vertical="top" wrapText="1"/>
    </xf>
    <xf numFmtId="49" fontId="4" fillId="28" borderId="1" xfId="0" applyNumberFormat="1" applyFont="1" applyFill="1" applyBorder="1" applyAlignment="1">
      <alignment horizontal="left" vertical="top"/>
    </xf>
    <xf numFmtId="49" fontId="4" fillId="28" borderId="1" xfId="0" applyNumberFormat="1" applyFont="1" applyFill="1" applyBorder="1" applyAlignment="1">
      <alignment horizontal="left" vertical="top" wrapText="1"/>
    </xf>
    <xf numFmtId="49" fontId="5" fillId="25" borderId="1" xfId="0" quotePrefix="1" applyNumberFormat="1" applyFont="1" applyFill="1" applyBorder="1" applyAlignment="1">
      <alignment horizontal="left" vertical="top" wrapText="1"/>
    </xf>
    <xf numFmtId="49" fontId="5" fillId="25" borderId="4" xfId="0" quotePrefix="1" applyNumberFormat="1" applyFont="1" applyFill="1" applyBorder="1" applyAlignment="1">
      <alignment horizontal="left" vertical="top" wrapText="1"/>
    </xf>
    <xf numFmtId="49" fontId="5" fillId="4" borderId="1" xfId="0" quotePrefix="1" applyNumberFormat="1" applyFont="1" applyFill="1" applyBorder="1" applyAlignment="1">
      <alignment horizontal="left" vertical="top" wrapText="1"/>
    </xf>
    <xf numFmtId="49" fontId="4" fillId="25" borderId="4" xfId="0" quotePrefix="1" applyNumberFormat="1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center"/>
    </xf>
    <xf numFmtId="0" fontId="9" fillId="8" borderId="6" xfId="2" applyFont="1" applyFill="1" applyBorder="1" applyAlignment="1">
      <alignment horizontal="center"/>
    </xf>
    <xf numFmtId="0" fontId="9" fillId="8" borderId="0" xfId="2" applyFont="1" applyFill="1" applyAlignment="1">
      <alignment horizontal="center"/>
    </xf>
    <xf numFmtId="0" fontId="9" fillId="13" borderId="2" xfId="2" applyFont="1" applyFill="1" applyBorder="1" applyAlignment="1">
      <alignment horizontal="center"/>
    </xf>
    <xf numFmtId="0" fontId="9" fillId="13" borderId="3" xfId="2" applyFont="1" applyFill="1" applyBorder="1" applyAlignment="1">
      <alignment horizontal="center"/>
    </xf>
    <xf numFmtId="0" fontId="9" fillId="13" borderId="5" xfId="2" applyFont="1" applyFill="1" applyBorder="1" applyAlignment="1">
      <alignment horizontal="center"/>
    </xf>
    <xf numFmtId="0" fontId="9" fillId="14" borderId="2" xfId="2" applyFont="1" applyFill="1" applyBorder="1" applyAlignment="1">
      <alignment horizontal="center"/>
    </xf>
    <xf numFmtId="0" fontId="9" fillId="14" borderId="3" xfId="2" applyFont="1" applyFill="1" applyBorder="1" applyAlignment="1">
      <alignment horizontal="center"/>
    </xf>
    <xf numFmtId="0" fontId="9" fillId="14" borderId="5" xfId="2" applyFont="1" applyFill="1" applyBorder="1" applyAlignment="1">
      <alignment horizontal="center"/>
    </xf>
  </cellXfs>
  <cellStyles count="7">
    <cellStyle name="Normal" xfId="0" builtinId="0"/>
    <cellStyle name="Normal 2" xfId="1" xr:uid="{00000000-0005-0000-0000-000002000000}"/>
    <cellStyle name="Normal 2 2" xfId="5" xr:uid="{58E5C4CD-010A-411D-815F-C73829C46D78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5 2" xfId="6" xr:uid="{6DA57FD5-FC22-4431-A67B-0D6E4C1670FD}"/>
  </cellStyles>
  <dxfs count="6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6600"/>
      <color rgb="FFFF0066"/>
      <color rgb="FF66FFFF"/>
      <color rgb="FFFF99FF"/>
      <color rgb="FFDBCE3B"/>
      <color rgb="FF35E1D7"/>
      <color rgb="FFFF66FF"/>
      <color rgb="FF00FF00"/>
      <color rgb="FF00FF99"/>
      <color rgb="FFDC60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351737282839645"/>
          <c:y val="8.2734129716626303E-2"/>
          <c:w val="0.76792182227221595"/>
          <c:h val="0.714165289713932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'BD HCV IU'!$Z$50</c:f>
              <c:strCache>
                <c:ptCount val="1"/>
                <c:pt idx="0">
                  <c:v>Tất cả hóa chất</c:v>
                </c:pt>
              </c:strCache>
            </c:strRef>
          </c:tx>
          <c:invertIfNegative val="0"/>
          <c:cat>
            <c:strRef>
              <c:f>'BD HCV IU'!$Y$51:$Y$56</c:f>
              <c:strCache>
                <c:ptCount val="6"/>
                <c:pt idx="0">
                  <c:v>5.11-5.31</c:v>
                </c:pt>
                <c:pt idx="1">
                  <c:v>5.71-5.91</c:v>
                </c:pt>
                <c:pt idx="2">
                  <c:v>5.91-6.11</c:v>
                </c:pt>
                <c:pt idx="3">
                  <c:v>6.11-6.31</c:v>
                </c:pt>
                <c:pt idx="4">
                  <c:v>6.31-6.51</c:v>
                </c:pt>
                <c:pt idx="5">
                  <c:v>6.51-6.71</c:v>
                </c:pt>
              </c:strCache>
            </c:strRef>
          </c:cat>
          <c:val>
            <c:numRef>
              <c:f>'BD HCV IU'!$Z$51:$Z$56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9-4780-8848-1D28BFC0B402}"/>
            </c:ext>
          </c:extLst>
        </c:ser>
        <c:ser>
          <c:idx val="2"/>
          <c:order val="2"/>
          <c:tx>
            <c:strRef>
              <c:f>'BD HCV IU'!$AB$50</c:f>
              <c:strCache>
                <c:ptCount val="1"/>
                <c:pt idx="0">
                  <c:v>Kết quả đơn vị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2"/>
              <a:srcRect/>
              <a:stretch>
                <a:fillRect l="20000" t="20000" r="20000" b="20000"/>
              </a:stretch>
            </a:blipFill>
          </c:spPr>
          <c:invertIfNegative val="0"/>
          <c:cat>
            <c:strRef>
              <c:f>'BD HCV IU'!$Y$51:$Y$56</c:f>
              <c:strCache>
                <c:ptCount val="6"/>
                <c:pt idx="0">
                  <c:v>5.11-5.31</c:v>
                </c:pt>
                <c:pt idx="1">
                  <c:v>5.71-5.91</c:v>
                </c:pt>
                <c:pt idx="2">
                  <c:v>5.91-6.11</c:v>
                </c:pt>
                <c:pt idx="3">
                  <c:v>6.11-6.31</c:v>
                </c:pt>
                <c:pt idx="4">
                  <c:v>6.31-6.51</c:v>
                </c:pt>
                <c:pt idx="5">
                  <c:v>6.51-6.71</c:v>
                </c:pt>
              </c:strCache>
            </c:strRef>
          </c:cat>
          <c:val>
            <c:numRef>
              <c:f>'BD HCV IU'!$AB$51:$AB$56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9-4780-8848-1D28BFC0B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482719744"/>
        <c:axId val="482716944"/>
      </c:barChart>
      <c:barChart>
        <c:barDir val="col"/>
        <c:grouping val="stacked"/>
        <c:varyColors val="0"/>
        <c:ser>
          <c:idx val="1"/>
          <c:order val="1"/>
          <c:tx>
            <c:strRef>
              <c:f>'BD HCV IU'!$AA$50</c:f>
              <c:strCache>
                <c:ptCount val="1"/>
                <c:pt idx="0">
                  <c:v>artus HCV</c:v>
                </c:pt>
              </c:strCache>
            </c:strRef>
          </c:tx>
          <c:invertIfNegative val="0"/>
          <c:cat>
            <c:strRef>
              <c:f>'BD HCV IU'!$Y$51:$Y$56</c:f>
              <c:strCache>
                <c:ptCount val="6"/>
                <c:pt idx="0">
                  <c:v>5.11-5.31</c:v>
                </c:pt>
                <c:pt idx="1">
                  <c:v>5.71-5.91</c:v>
                </c:pt>
                <c:pt idx="2">
                  <c:v>5.91-6.11</c:v>
                </c:pt>
                <c:pt idx="3">
                  <c:v>6.11-6.31</c:v>
                </c:pt>
                <c:pt idx="4">
                  <c:v>6.31-6.51</c:v>
                </c:pt>
                <c:pt idx="5">
                  <c:v>6.51-6.71</c:v>
                </c:pt>
              </c:strCache>
            </c:strRef>
          </c:cat>
          <c:val>
            <c:numRef>
              <c:f>'BD HCV IU'!$AA$51:$AA$56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A9-4780-8848-1D28BFC0B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482716384"/>
        <c:axId val="482718064"/>
      </c:barChart>
      <c:dateAx>
        <c:axId val="48271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GB" b="1"/>
                  <a:t>Log</a:t>
                </a:r>
                <a:r>
                  <a:rPr lang="en-GB" b="1" baseline="0"/>
                  <a:t>10 IU</a:t>
                </a:r>
                <a:r>
                  <a:rPr lang="en-GB" b="1"/>
                  <a:t>/mL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en-US"/>
          </a:p>
        </c:txPr>
        <c:crossAx val="482716944"/>
        <c:crosses val="autoZero"/>
        <c:auto val="0"/>
        <c:lblOffset val="100"/>
        <c:baseTimeUnit val="days"/>
        <c:majorUnit val="1"/>
      </c:dateAx>
      <c:valAx>
        <c:axId val="482716944"/>
        <c:scaling>
          <c:orientation val="minMax"/>
          <c:max val="8"/>
          <c:min val="0"/>
        </c:scaling>
        <c:delete val="0"/>
        <c:axPos val="l"/>
        <c:majorGridlines/>
        <c:minorGridlines>
          <c:spPr>
            <a:ln>
              <a:solidFill>
                <a:schemeClr val="bg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n-GB" b="1"/>
                  <a:t>Số</a:t>
                </a:r>
                <a:r>
                  <a:rPr lang="en-GB" b="1" baseline="0"/>
                  <a:t> lượng đơn vị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0"/>
              <c:y val="0.382977744220328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en-US"/>
          </a:p>
        </c:txPr>
        <c:crossAx val="482719744"/>
        <c:crossesAt val="1"/>
        <c:crossBetween val="between"/>
        <c:majorUnit val="2"/>
      </c:valAx>
      <c:valAx>
        <c:axId val="482718064"/>
        <c:scaling>
          <c:orientation val="minMax"/>
          <c:max val="7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482716384"/>
        <c:crosses val="max"/>
        <c:crossBetween val="between"/>
        <c:majorUnit val="1"/>
      </c:valAx>
      <c:dateAx>
        <c:axId val="48271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2718064"/>
        <c:crosses val="autoZero"/>
        <c:auto val="0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13507635409210211"/>
          <c:y val="6.9788230868535556E-2"/>
          <c:w val="0.36431919694248743"/>
          <c:h val="0.21547290838705738"/>
        </c:manualLayout>
      </c:layout>
      <c:overlay val="0"/>
      <c:spPr>
        <a:ln>
          <a:solidFill>
            <a:schemeClr val="accent5">
              <a:lumMod val="40000"/>
              <a:lumOff val="60000"/>
            </a:schemeClr>
          </a:solidFill>
        </a:ln>
      </c:spPr>
      <c:txPr>
        <a:bodyPr/>
        <a:lstStyle/>
        <a:p>
          <a:pPr>
            <a:defRPr sz="1000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351737282839645"/>
          <c:y val="8.2734129716626303E-2"/>
          <c:w val="0.76792182227221595"/>
          <c:h val="0.714165289713932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'BD HCV IU'!$Z$2</c:f>
              <c:strCache>
                <c:ptCount val="1"/>
                <c:pt idx="0">
                  <c:v>Tất cả hóa chất</c:v>
                </c:pt>
              </c:strCache>
            </c:strRef>
          </c:tx>
          <c:invertIfNegative val="0"/>
          <c:cat>
            <c:strRef>
              <c:f>'BD HCV IU'!$Y$3:$Y$8</c:f>
              <c:strCache>
                <c:ptCount val="5"/>
                <c:pt idx="1">
                  <c:v>Âm tính</c:v>
                </c:pt>
                <c:pt idx="4">
                  <c:v>Dương tính</c:v>
                </c:pt>
              </c:strCache>
            </c:strRef>
          </c:cat>
          <c:val>
            <c:numRef>
              <c:f>'BD HCV IU'!$Z$3:$Z$8</c:f>
              <c:numCache>
                <c:formatCode>General</c:formatCode>
                <c:ptCount val="6"/>
                <c:pt idx="1">
                  <c:v>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D2-45EC-9EBC-50D01CB138B0}"/>
            </c:ext>
          </c:extLst>
        </c:ser>
        <c:ser>
          <c:idx val="2"/>
          <c:order val="2"/>
          <c:tx>
            <c:strRef>
              <c:f>'BD HCV IU'!$AB$2</c:f>
              <c:strCache>
                <c:ptCount val="1"/>
                <c:pt idx="0">
                  <c:v>Kết quả đơn vị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2"/>
              <a:srcRect/>
              <a:stretch>
                <a:fillRect l="20000" t="20000" r="20000" b="20000"/>
              </a:stretch>
            </a:blipFill>
          </c:spPr>
          <c:invertIfNegative val="0"/>
          <c:cat>
            <c:strRef>
              <c:f>'BD HCV IU'!$Y$3:$Y$8</c:f>
              <c:strCache>
                <c:ptCount val="5"/>
                <c:pt idx="1">
                  <c:v>Âm tính</c:v>
                </c:pt>
                <c:pt idx="4">
                  <c:v>Dương tính</c:v>
                </c:pt>
              </c:strCache>
            </c:strRef>
          </c:cat>
          <c:val>
            <c:numRef>
              <c:f>'BD HCV IU'!$AB$3:$AB$8</c:f>
              <c:numCache>
                <c:formatCode>General</c:formatCode>
                <c:ptCount val="6"/>
                <c:pt idx="1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D2-45EC-9EBC-50D01CB13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482719744"/>
        <c:axId val="482716944"/>
      </c:barChart>
      <c:barChart>
        <c:barDir val="col"/>
        <c:grouping val="stacked"/>
        <c:varyColors val="0"/>
        <c:ser>
          <c:idx val="1"/>
          <c:order val="1"/>
          <c:tx>
            <c:strRef>
              <c:f>'BD HCV IU'!$AA$2</c:f>
              <c:strCache>
                <c:ptCount val="1"/>
                <c:pt idx="0">
                  <c:v>artus HCV</c:v>
                </c:pt>
              </c:strCache>
            </c:strRef>
          </c:tx>
          <c:invertIfNegative val="0"/>
          <c:cat>
            <c:strRef>
              <c:f>'BD HCV IU'!$Y$3:$Y$8</c:f>
              <c:strCache>
                <c:ptCount val="5"/>
                <c:pt idx="1">
                  <c:v>Âm tính</c:v>
                </c:pt>
                <c:pt idx="4">
                  <c:v>Dương tính</c:v>
                </c:pt>
              </c:strCache>
            </c:strRef>
          </c:cat>
          <c:val>
            <c:numRef>
              <c:f>'BD HCV IU'!$AA$3:$AA$8</c:f>
              <c:numCache>
                <c:formatCode>General</c:formatCode>
                <c:ptCount val="6"/>
                <c:pt idx="1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D2-45EC-9EBC-50D01CB13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482716384"/>
        <c:axId val="482718064"/>
      </c:barChart>
      <c:dateAx>
        <c:axId val="48271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GB" b="1"/>
                  <a:t>Log</a:t>
                </a:r>
                <a:r>
                  <a:rPr lang="en-GB" b="1" baseline="0"/>
                  <a:t>10 IU</a:t>
                </a:r>
                <a:r>
                  <a:rPr lang="en-GB" b="1"/>
                  <a:t>/mL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en-US"/>
          </a:p>
        </c:txPr>
        <c:crossAx val="482716944"/>
        <c:crosses val="autoZero"/>
        <c:auto val="0"/>
        <c:lblOffset val="100"/>
        <c:baseTimeUnit val="days"/>
        <c:majorUnit val="1"/>
      </c:dateAx>
      <c:valAx>
        <c:axId val="482716944"/>
        <c:scaling>
          <c:orientation val="minMax"/>
          <c:max val="18"/>
          <c:min val="0"/>
        </c:scaling>
        <c:delete val="0"/>
        <c:axPos val="l"/>
        <c:majorGridlines/>
        <c:minorGridlines>
          <c:spPr>
            <a:ln>
              <a:solidFill>
                <a:schemeClr val="bg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n-GB" b="1"/>
                  <a:t>Số</a:t>
                </a:r>
                <a:r>
                  <a:rPr lang="en-GB" b="1" baseline="0"/>
                  <a:t> lượng đơn vị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0"/>
              <c:y val="0.382977744220328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en-US"/>
          </a:p>
        </c:txPr>
        <c:crossAx val="482719744"/>
        <c:crossesAt val="1"/>
        <c:crossBetween val="between"/>
        <c:majorUnit val="2"/>
      </c:valAx>
      <c:valAx>
        <c:axId val="482718064"/>
        <c:scaling>
          <c:orientation val="minMax"/>
          <c:max val="7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482716384"/>
        <c:crosses val="max"/>
        <c:crossBetween val="between"/>
        <c:majorUnit val="1"/>
      </c:valAx>
      <c:dateAx>
        <c:axId val="48271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2718064"/>
        <c:crosses val="autoZero"/>
        <c:auto val="0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5381770737960081"/>
          <c:y val="2.6974724489714011E-2"/>
          <c:w val="0.36431919694248743"/>
          <c:h val="0.21547290838705738"/>
        </c:manualLayout>
      </c:layout>
      <c:overlay val="0"/>
      <c:spPr>
        <a:ln>
          <a:solidFill>
            <a:schemeClr val="accent5">
              <a:lumMod val="40000"/>
              <a:lumOff val="60000"/>
            </a:schemeClr>
          </a:solidFill>
        </a:ln>
      </c:spPr>
      <c:txPr>
        <a:bodyPr/>
        <a:lstStyle/>
        <a:p>
          <a:pPr>
            <a:defRPr sz="1000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351737282839645"/>
          <c:y val="8.2734129716626303E-2"/>
          <c:w val="0.87648253559779277"/>
          <c:h val="0.774406286563577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'BD HCV IU'!$Z$27</c:f>
              <c:strCache>
                <c:ptCount val="1"/>
                <c:pt idx="0">
                  <c:v>Tất cả hóa chất</c:v>
                </c:pt>
              </c:strCache>
            </c:strRef>
          </c:tx>
          <c:invertIfNegative val="0"/>
          <c:cat>
            <c:strRef>
              <c:f>'BD HCV IU'!$Y$28:$Y$33</c:f>
              <c:strCache>
                <c:ptCount val="6"/>
                <c:pt idx="0">
                  <c:v>5.1-5.32</c:v>
                </c:pt>
                <c:pt idx="1">
                  <c:v>5.54-5.76</c:v>
                </c:pt>
                <c:pt idx="2">
                  <c:v>5.76-5.98</c:v>
                </c:pt>
                <c:pt idx="3">
                  <c:v>5.98-6.2</c:v>
                </c:pt>
                <c:pt idx="4">
                  <c:v>6.2-6.42</c:v>
                </c:pt>
                <c:pt idx="5">
                  <c:v>6.42-6.64</c:v>
                </c:pt>
              </c:strCache>
            </c:strRef>
          </c:cat>
          <c:val>
            <c:numRef>
              <c:f>'BD HCV IU'!$Z$28:$Z$33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3-47C6-A21C-3B75AB25B657}"/>
            </c:ext>
          </c:extLst>
        </c:ser>
        <c:ser>
          <c:idx val="2"/>
          <c:order val="2"/>
          <c:tx>
            <c:strRef>
              <c:f>'BD HCV IU'!$AB$27</c:f>
              <c:strCache>
                <c:ptCount val="1"/>
                <c:pt idx="0">
                  <c:v>Kết quả đơn vị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2"/>
              <a:srcRect/>
              <a:stretch>
                <a:fillRect l="20000" t="20000" r="20000" b="20000"/>
              </a:stretch>
            </a:blipFill>
          </c:spPr>
          <c:invertIfNegative val="0"/>
          <c:cat>
            <c:strRef>
              <c:f>'BD HCV IU'!$Y$28:$Y$33</c:f>
              <c:strCache>
                <c:ptCount val="6"/>
                <c:pt idx="0">
                  <c:v>5.1-5.32</c:v>
                </c:pt>
                <c:pt idx="1">
                  <c:v>5.54-5.76</c:v>
                </c:pt>
                <c:pt idx="2">
                  <c:v>5.76-5.98</c:v>
                </c:pt>
                <c:pt idx="3">
                  <c:v>5.98-6.2</c:v>
                </c:pt>
                <c:pt idx="4">
                  <c:v>6.2-6.42</c:v>
                </c:pt>
                <c:pt idx="5">
                  <c:v>6.42-6.64</c:v>
                </c:pt>
              </c:strCache>
            </c:strRef>
          </c:cat>
          <c:val>
            <c:numRef>
              <c:f>'BD HCV IU'!$AB$28:$AB$33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73-47C6-A21C-3B75AB25B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482719744"/>
        <c:axId val="482716944"/>
      </c:barChart>
      <c:barChart>
        <c:barDir val="col"/>
        <c:grouping val="stacked"/>
        <c:varyColors val="0"/>
        <c:ser>
          <c:idx val="1"/>
          <c:order val="1"/>
          <c:tx>
            <c:strRef>
              <c:f>'BD HCV IU'!$AA$27</c:f>
              <c:strCache>
                <c:ptCount val="1"/>
                <c:pt idx="0">
                  <c:v>artus HCV</c:v>
                </c:pt>
              </c:strCache>
            </c:strRef>
          </c:tx>
          <c:invertIfNegative val="0"/>
          <c:cat>
            <c:strRef>
              <c:f>'BD HCV IU'!$Y$28:$Y$33</c:f>
              <c:strCache>
                <c:ptCount val="6"/>
                <c:pt idx="0">
                  <c:v>5.1-5.32</c:v>
                </c:pt>
                <c:pt idx="1">
                  <c:v>5.54-5.76</c:v>
                </c:pt>
                <c:pt idx="2">
                  <c:v>5.76-5.98</c:v>
                </c:pt>
                <c:pt idx="3">
                  <c:v>5.98-6.2</c:v>
                </c:pt>
                <c:pt idx="4">
                  <c:v>6.2-6.42</c:v>
                </c:pt>
                <c:pt idx="5">
                  <c:v>6.42-6.64</c:v>
                </c:pt>
              </c:strCache>
            </c:strRef>
          </c:cat>
          <c:val>
            <c:numRef>
              <c:f>'BD HCV IU'!$AA$28:$AA$33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3-47C6-A21C-3B75AB25B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482716384"/>
        <c:axId val="482718064"/>
      </c:barChart>
      <c:dateAx>
        <c:axId val="48271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GB" b="1"/>
                  <a:t>Log</a:t>
                </a:r>
                <a:r>
                  <a:rPr lang="en-GB" b="1" baseline="0"/>
                  <a:t>10 IU</a:t>
                </a:r>
                <a:r>
                  <a:rPr lang="en-GB" b="1"/>
                  <a:t>/mL</a:t>
                </a:r>
              </a:p>
            </c:rich>
          </c:tx>
          <c:layout>
            <c:manualLayout>
              <c:xMode val="edge"/>
              <c:yMode val="edge"/>
              <c:x val="0.43557814639164338"/>
              <c:y val="0.91817759225879902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en-US"/>
          </a:p>
        </c:txPr>
        <c:crossAx val="482716944"/>
        <c:crosses val="autoZero"/>
        <c:auto val="0"/>
        <c:lblOffset val="100"/>
        <c:baseTimeUnit val="days"/>
        <c:majorUnit val="1"/>
      </c:dateAx>
      <c:valAx>
        <c:axId val="482716944"/>
        <c:scaling>
          <c:orientation val="minMax"/>
          <c:max val="8"/>
          <c:min val="0"/>
        </c:scaling>
        <c:delete val="0"/>
        <c:axPos val="l"/>
        <c:majorGridlines/>
        <c:minorGridlines>
          <c:spPr>
            <a:ln>
              <a:solidFill>
                <a:schemeClr val="bg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n-GB" b="1"/>
                  <a:t>Số</a:t>
                </a:r>
                <a:r>
                  <a:rPr lang="en-GB" b="1" baseline="0"/>
                  <a:t> lượng đơn vị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0"/>
              <c:y val="0.382977744220328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en-US"/>
          </a:p>
        </c:txPr>
        <c:crossAx val="482719744"/>
        <c:crossesAt val="1"/>
        <c:crossBetween val="between"/>
        <c:majorUnit val="2"/>
      </c:valAx>
      <c:valAx>
        <c:axId val="482718064"/>
        <c:scaling>
          <c:orientation val="minMax"/>
          <c:max val="7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482716384"/>
        <c:crosses val="max"/>
        <c:crossBetween val="between"/>
        <c:majorUnit val="1"/>
      </c:valAx>
      <c:dateAx>
        <c:axId val="48271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2718064"/>
        <c:crosses val="autoZero"/>
        <c:auto val="0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1273914391824941"/>
          <c:y val="8.1836321664611217E-2"/>
          <c:w val="0.36431919694248743"/>
          <c:h val="0.21547290838705738"/>
        </c:manualLayout>
      </c:layout>
      <c:overlay val="0"/>
      <c:spPr>
        <a:ln>
          <a:solidFill>
            <a:schemeClr val="accent5">
              <a:lumMod val="40000"/>
              <a:lumOff val="60000"/>
            </a:schemeClr>
          </a:solidFill>
        </a:ln>
      </c:spPr>
      <c:txPr>
        <a:bodyPr/>
        <a:lstStyle/>
        <a:p>
          <a:pPr>
            <a:defRPr sz="1000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cap="none" spc="0" normalizeH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PHÂN BỐ ĐIỂM CÁC ĐƠN VỊ TRONG </a:t>
            </a:r>
          </a:p>
          <a:p>
            <a:pPr algn="ctr">
              <a:defRPr sz="16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ĐỢT</a:t>
            </a:r>
            <a:r>
              <a:rPr lang="en-US" sz="16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NÀY</a:t>
            </a:r>
            <a:endParaRPr lang="en-US" sz="16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1637391479911162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cap="none" spc="0" normalizeH="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836726690997256E-2"/>
          <c:y val="0.18048661800486621"/>
          <c:w val="0.45766560164699277"/>
          <c:h val="0.6317632776523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'BD HCV IU'!$Z$77</c:f>
              <c:strCache>
                <c:ptCount val="1"/>
                <c:pt idx="0">
                  <c:v>Số lượng đơn vị</c:v>
                </c:pt>
              </c:strCache>
            </c:strRef>
          </c:tx>
          <c:spPr>
            <a:solidFill>
              <a:schemeClr val="tx2"/>
            </a:solidFill>
            <a:ln w="12700">
              <a:solidFill>
                <a:schemeClr val="tx2"/>
              </a:solidFill>
            </a:ln>
            <a:effectLst/>
          </c:spPr>
          <c:invertIfNegative val="0"/>
          <c:cat>
            <c:numRef>
              <c:f>'BD HCV IU'!$Y$78:$Y$87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'BD HCV IU'!$Z$78:$Z$87</c:f>
              <c:numCache>
                <c:formatCode>General</c:formatCode>
                <c:ptCount val="10"/>
                <c:pt idx="0">
                  <c:v>8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5-4706-A133-1F4D409C1144}"/>
            </c:ext>
          </c:extLst>
        </c:ser>
        <c:ser>
          <c:idx val="2"/>
          <c:order val="2"/>
          <c:tx>
            <c:strRef>
              <c:f>'BD HCV IU'!$AB$77</c:f>
              <c:strCache>
                <c:ptCount val="1"/>
                <c:pt idx="0">
                  <c:v>Điểm của đơn vị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numRef>
              <c:f>'BD HCV IU'!$Y$78:$Y$87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'BD HCV IU'!$AB$78:$AB$87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E5-4706-A133-1F4D409C1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152120992"/>
        <c:axId val="219353024"/>
      </c:barChart>
      <c:lineChart>
        <c:grouping val="standard"/>
        <c:varyColors val="0"/>
        <c:ser>
          <c:idx val="1"/>
          <c:order val="1"/>
          <c:tx>
            <c:strRef>
              <c:f>'BD HCV IU'!$AA$77</c:f>
              <c:strCache>
                <c:ptCount val="1"/>
                <c:pt idx="0">
                  <c:v>Phần trăm tích lũy của các đơn vị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cat>
            <c:numRef>
              <c:f>'BD HCV IU'!$Y$78:$Y$87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'BD HCV IU'!$AA$78:$AA$87</c:f>
              <c:numCache>
                <c:formatCode>General</c:formatCode>
                <c:ptCount val="10"/>
                <c:pt idx="0">
                  <c:v>53.333333333333336</c:v>
                </c:pt>
                <c:pt idx="1">
                  <c:v>66.666666666666671</c:v>
                </c:pt>
                <c:pt idx="2">
                  <c:v>86.666666666666671</c:v>
                </c:pt>
                <c:pt idx="3">
                  <c:v>86.666666666666671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E5-4706-A133-1F4D409C1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354144"/>
        <c:axId val="219353584"/>
      </c:lineChart>
      <c:catAx>
        <c:axId val="15212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cap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Điểm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9353024"/>
        <c:crosses val="autoZero"/>
        <c:auto val="1"/>
        <c:lblAlgn val="ctr"/>
        <c:lblOffset val="100"/>
        <c:noMultiLvlLbl val="0"/>
      </c:catAx>
      <c:valAx>
        <c:axId val="21935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cap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Số lượng đơn vị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2120992"/>
        <c:crosses val="autoZero"/>
        <c:crossBetween val="between"/>
      </c:valAx>
      <c:valAx>
        <c:axId val="219353584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cap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Phần trăm tích lũy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9354144"/>
        <c:crosses val="max"/>
        <c:crossBetween val="between"/>
      </c:valAx>
      <c:catAx>
        <c:axId val="21935414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19353584"/>
        <c:crosses val="max"/>
        <c:auto val="1"/>
        <c:lblAlgn val="ctr"/>
        <c:lblOffset val="100"/>
        <c:noMultiLvlLbl val="0"/>
      </c:catAx>
      <c:spPr>
        <a:solidFill>
          <a:schemeClr val="lt1"/>
        </a:solidFill>
        <a:ln w="3175" cap="flat" cmpd="sng" algn="ctr">
          <a:solidFill>
            <a:schemeClr val="tx1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68524363996096427"/>
          <c:y val="0.28674737363255948"/>
          <c:w val="0.26475640460052852"/>
          <c:h val="0.350841726179576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THEO DÕI CHÊNH LỆCH </a:t>
            </a:r>
          </a:p>
          <a:p>
            <a:pPr>
              <a:defRPr/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KẾT QUẢ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ĐƠN VỊ SO VỚI TRUNG BÌNH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93799212598423"/>
          <c:y val="0.22894736842105268"/>
          <c:w val="0.85474719305920088"/>
          <c:h val="0.66930584334852883"/>
        </c:manualLayout>
      </c:layout>
      <c:scatterChart>
        <c:scatterStyle val="lineMarker"/>
        <c:varyColors val="0"/>
        <c:ser>
          <c:idx val="0"/>
          <c:order val="0"/>
          <c:tx>
            <c:strRef>
              <c:f>'BD HCV IU'!$Z$100</c:f>
              <c:strCache>
                <c:ptCount val="1"/>
                <c:pt idx="0">
                  <c:v>Series 1</c:v>
                </c:pt>
              </c:strCache>
            </c:strRef>
          </c:tx>
          <c:spPr>
            <a:ln w="158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6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'BD HCV IU'!$Y$101:$Y$109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'BD HCV IU'!$Z$101:$Z$109</c:f>
              <c:numCache>
                <c:formatCode>General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-9.9999999999999645E-2</c:v>
                </c:pt>
                <c:pt idx="4">
                  <c:v>-4.0000000000000036E-2</c:v>
                </c:pt>
                <c:pt idx="5">
                  <c:v>0</c:v>
                </c:pt>
                <c:pt idx="6">
                  <c:v>0</c:v>
                </c:pt>
                <c:pt idx="7">
                  <c:v>0.48000000000000043</c:v>
                </c:pt>
                <c:pt idx="8">
                  <c:v>0.50999999999999979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7-46B1-BF72-4ECADF9AB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56384"/>
        <c:axId val="219356944"/>
      </c:scatterChart>
      <c:valAx>
        <c:axId val="219356384"/>
        <c:scaling>
          <c:orientation val="minMax"/>
          <c:max val="9"/>
          <c:min val="1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56944"/>
        <c:crosses val="autoZero"/>
        <c:crossBetween val="midCat"/>
      </c:valAx>
      <c:valAx>
        <c:axId val="219356944"/>
        <c:scaling>
          <c:orientation val="minMax"/>
          <c:max val="1.5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Log10(bản sao/mL)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56384"/>
        <c:crosses val="autoZero"/>
        <c:crossBetween val="midCat"/>
      </c:valAx>
      <c:spPr>
        <a:solidFill>
          <a:schemeClr val="lt1"/>
        </a:solidFill>
        <a:ln w="3175" cap="flat" cmpd="sng" algn="ctr">
          <a:solidFill>
            <a:schemeClr val="tx1"/>
          </a:solidFill>
          <a:prstDash val="solid"/>
        </a:ln>
        <a:effectLst/>
      </c:spPr>
    </c:plotArea>
    <c:plotVisOnly val="1"/>
    <c:dispBlanksAs val="zero"/>
    <c:showDLblsOverMax val="0"/>
  </c:chart>
  <c:spPr>
    <a:solidFill>
      <a:schemeClr val="lt1"/>
    </a:solidFill>
    <a:ln w="3175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Xếp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hạng hiệu suất hiện tại là: 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 HCV IU'!$Z$119</c:f>
              <c:strCache>
                <c:ptCount val="1"/>
                <c:pt idx="0">
                  <c:v>Series 1</c:v>
                </c:pt>
              </c:strCache>
            </c:strRef>
          </c:tx>
          <c:spPr>
            <a:ln w="158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6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'BD HCV IU'!$Y$120:$Y$128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'BD HCV IU'!$Z$120:$Z$128</c:f>
              <c:numCache>
                <c:formatCode>General</c:formatCode>
                <c:ptCount val="9"/>
                <c:pt idx="0">
                  <c:v>0.55000000000000004</c:v>
                </c:pt>
                <c:pt idx="1">
                  <c:v>0.7</c:v>
                </c:pt>
                <c:pt idx="2">
                  <c:v>0.38</c:v>
                </c:pt>
                <c:pt idx="3">
                  <c:v>0.22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-0.51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5-4D38-B227-DDA7A830D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59184"/>
        <c:axId val="219359744"/>
      </c:scatterChart>
      <c:valAx>
        <c:axId val="219359184"/>
        <c:scaling>
          <c:orientation val="minMax"/>
          <c:max val="9"/>
          <c:min val="1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9359744"/>
        <c:crosses val="autoZero"/>
        <c:crossBetween val="midCat"/>
      </c:valAx>
      <c:valAx>
        <c:axId val="219359744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Xếp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hạng hiệu suất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59184"/>
        <c:crosses val="autoZero"/>
        <c:crossBetween val="midCat"/>
      </c:valAx>
      <c:spPr>
        <a:gradFill>
          <a:gsLst>
            <a:gs pos="82000">
              <a:schemeClr val="bg1"/>
            </a:gs>
            <a:gs pos="85000">
              <a:srgbClr val="FF0000"/>
            </a:gs>
            <a:gs pos="91000">
              <a:srgbClr val="FF0000"/>
            </a:gs>
            <a:gs pos="95000">
              <a:srgbClr val="FF0000"/>
            </a:gs>
          </a:gsLst>
          <a:lin ang="5400000" scaled="1"/>
        </a:gradFill>
        <a:ln w="3175" cap="flat" cmpd="sng" algn="ctr">
          <a:solidFill>
            <a:schemeClr val="tx1"/>
          </a:solidFill>
          <a:prstDash val="solid"/>
        </a:ln>
        <a:effectLst/>
      </c:spPr>
    </c:plotArea>
    <c:plotVisOnly val="1"/>
    <c:dispBlanksAs val="zero"/>
    <c:showDLblsOverMax val="0"/>
  </c:chart>
  <c:spPr>
    <a:solidFill>
      <a:schemeClr val="lt1"/>
    </a:solidFill>
    <a:ln w="3175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685799</xdr:colOff>
      <xdr:row>49</xdr:row>
      <xdr:rowOff>0</xdr:rowOff>
    </xdr:from>
    <xdr:to>
      <xdr:col>34</xdr:col>
      <xdr:colOff>409575</xdr:colOff>
      <xdr:row>62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</xdr:row>
      <xdr:rowOff>0</xdr:rowOff>
    </xdr:from>
    <xdr:to>
      <xdr:col>34</xdr:col>
      <xdr:colOff>533400</xdr:colOff>
      <xdr:row>17</xdr:row>
      <xdr:rowOff>228600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133350</xdr:colOff>
      <xdr:row>22</xdr:row>
      <xdr:rowOff>257175</xdr:rowOff>
    </xdr:from>
    <xdr:to>
      <xdr:col>35</xdr:col>
      <xdr:colOff>9525</xdr:colOff>
      <xdr:row>36</xdr:row>
      <xdr:rowOff>371475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76</xdr:row>
      <xdr:rowOff>66675</xdr:rowOff>
    </xdr:from>
    <xdr:to>
      <xdr:col>36</xdr:col>
      <xdr:colOff>571500</xdr:colOff>
      <xdr:row>94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99</xdr:row>
      <xdr:rowOff>0</xdr:rowOff>
    </xdr:from>
    <xdr:to>
      <xdr:col>35</xdr:col>
      <xdr:colOff>0</xdr:colOff>
      <xdr:row>113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118</xdr:row>
      <xdr:rowOff>0</xdr:rowOff>
    </xdr:from>
    <xdr:to>
      <xdr:col>34</xdr:col>
      <xdr:colOff>533400</xdr:colOff>
      <xdr:row>130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0.18525</cdr:x>
      <cdr:y>0.09691</cdr:y>
    </cdr:from>
    <cdr:to>
      <cdr:x>0.20846</cdr:x>
      <cdr:y>0.12518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A2E90D5B-D600-1E69-05C2-C840ADFC6F6E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21100" y="283382"/>
          <a:ext cx="77819" cy="82666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0.18525</cdr:x>
      <cdr:y>0.09691</cdr:y>
    </cdr:from>
    <cdr:to>
      <cdr:x>0.20846</cdr:x>
      <cdr:y>0.12518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C630F01F-1A2B-B876-7862-39E6F0800F8A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21100" y="283382"/>
          <a:ext cx="77819" cy="82666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0.18525</cdr:x>
      <cdr:y>0.09691</cdr:y>
    </cdr:from>
    <cdr:to>
      <cdr:x>0.20846</cdr:x>
      <cdr:y>0.12518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E3D95C5F-A12E-2222-9762-469E5C6221AB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21100" y="283382"/>
          <a:ext cx="77819" cy="82666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0.70289</cdr:x>
      <cdr:y>0.43239</cdr:y>
    </cdr:from>
    <cdr:to>
      <cdr:x>0.75891</cdr:x>
      <cdr:y>0.4832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77D1DC9A-D92C-2EB3-E06B-A32FB344946E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 rot="16200000">
          <a:off x="4006851" y="1530350"/>
          <a:ext cx="187326" cy="314324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0.73571</cdr:x>
      <cdr:y>0.11163</cdr:y>
    </cdr:from>
    <cdr:to>
      <cdr:x>0.90714</cdr:x>
      <cdr:y>0.55814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3924300" y="228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0.73214</cdr:x>
      <cdr:y>0.04651</cdr:y>
    </cdr:from>
    <cdr:to>
      <cdr:x>0.90179</cdr:x>
      <cdr:y>0.17674</cdr:y>
    </cdr:to>
    <cdr:sp macro="" textlink="">
      <cdr:nvSpPr>
        <cdr:cNvPr id="3" name="Text Box 2"/>
        <cdr:cNvSpPr txBox="1"/>
      </cdr:nvSpPr>
      <cdr:spPr>
        <a:xfrm xmlns:a="http://schemas.openxmlformats.org/drawingml/2006/main">
          <a:off x="3905250" y="95250"/>
          <a:ext cx="9048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 Thanh Tung" refreshedDate="45161.4222912037" createdVersion="8" refreshedVersion="8" minRefreshableVersion="3" recordCount="15" xr:uid="{A23DE525-A33B-408B-B4BE-469A3EE0AA8E}">
  <cacheSource type="worksheet">
    <worksheetSource ref="H2:I17" sheet="BD HCV IU"/>
  </cacheSource>
  <cacheFields count="2">
    <cacheField name="QCL 01 LIU" numFmtId="0">
      <sharedItems containsSemiMixedTypes="0" containsString="0" containsNumber="1" minValue="3.8499999999999996" maxValue="5.5299999999999994" count="12">
        <n v="5.3999999999999995"/>
        <n v="5.41"/>
        <n v="5.21"/>
        <n v="5.45"/>
        <n v="5.26"/>
        <n v="5.5299999999999994"/>
        <n v="5.3599999999999994"/>
        <n v="5.13"/>
        <n v="5.2"/>
        <n v="3.8499999999999996"/>
        <n v="5.39"/>
        <n v="4.1899999999999995"/>
      </sharedItems>
      <fieldGroup base="0">
        <rangePr startNum="3.8499999999999996" endNum="5.5299999999999994" groupInterval="0.15"/>
        <groupItems count="14">
          <s v="&lt;3.85"/>
          <s v="3.85-4"/>
          <s v="4-4.15"/>
          <s v="4.15-4.3"/>
          <s v="4.3-4.45"/>
          <s v="4.45-4.6"/>
          <s v="4.6-4.75"/>
          <s v="4.75-4.9"/>
          <s v="4.9-5.05"/>
          <s v="5.05-5.2"/>
          <s v="5.2-5.35"/>
          <s v="5.35-5.5"/>
          <s v="5.5-5.65"/>
          <s v="&gt;5.65"/>
        </groupItems>
      </fieldGroup>
    </cacheField>
    <cacheField name="QCL 01 LIU2" numFmtId="0">
      <sharedItems containsSemiMixedTypes="0" containsString="0" containsNumber="1" minValue="3.8499999999999996" maxValue="5.529999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 Thanh Tung" refreshedDate="45211.589976967596" createdVersion="8" refreshedVersion="8" minRefreshableVersion="3" recordCount="15" xr:uid="{4B5F5C67-EFAB-4C3A-959D-4A50CCD18E47}">
  <cacheSource type="worksheet">
    <worksheetSource ref="H32:I47" sheet="BD HCV IU"/>
  </cacheSource>
  <cacheFields count="2">
    <cacheField name="QCL 02 LIU" numFmtId="0">
      <sharedItems containsSemiMixedTypes="0" containsString="0" containsNumber="1" minValue="5.0999999999999996" maxValue="6.59" count="14">
        <n v="6.11"/>
        <n v="6.51"/>
        <n v="6.21"/>
        <n v="6.2"/>
        <n v="5.98"/>
        <n v="6.43"/>
        <n v="5.0999999999999996"/>
        <n v="6.02"/>
        <n v="6.59"/>
        <n v="6.17"/>
        <n v="5.93"/>
        <n v="6.19"/>
        <n v="5.68"/>
        <n v="5.89"/>
      </sharedItems>
      <fieldGroup base="0">
        <rangePr startNum="5.0999999999999996" endNum="6.59" groupInterval="0.22"/>
        <groupItems count="9">
          <s v="&lt;5.1"/>
          <s v="5.1-5.32"/>
          <s v="5.32-5.54"/>
          <s v="5.54-5.76"/>
          <s v="5.76-5.98"/>
          <s v="5.98-6.2"/>
          <s v="6.2-6.42"/>
          <s v="6.42-6.64"/>
          <s v="&gt;6.64"/>
        </groupItems>
      </fieldGroup>
    </cacheField>
    <cacheField name="QCL 02 LIU2" numFmtId="0">
      <sharedItems containsSemiMixedTypes="0" containsString="0" containsNumber="1" minValue="5.0999999999999996" maxValue="6.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 Thanh Tung" refreshedDate="45211.592454166668" createdVersion="8" refreshedVersion="8" minRefreshableVersion="3" recordCount="15" xr:uid="{9A81DCFE-FE83-49FE-AE94-F214F335A7E9}">
  <cacheSource type="worksheet">
    <worksheetSource ref="H61:I76" sheet="BD HCV IU"/>
  </cacheSource>
  <cacheFields count="2">
    <cacheField name="QCL 03 LIU" numFmtId="0">
      <sharedItems containsSemiMixedTypes="0" containsString="0" containsNumber="1" minValue="5.1100000000000003" maxValue="6.6" count="14">
        <n v="6.1"/>
        <n v="6.46"/>
        <n v="6.12"/>
        <n v="6.21"/>
        <n v="6.16"/>
        <n v="6.38"/>
        <n v="5.1100000000000003"/>
        <n v="6.01"/>
        <n v="6.6"/>
        <n v="6.03"/>
        <n v="5.82"/>
        <n v="6.14"/>
        <n v="5.85"/>
        <n v="5.73"/>
      </sharedItems>
      <fieldGroup base="0">
        <rangePr startNum="5.1100000000000003" endNum="6.6" groupInterval="0.2"/>
        <groupItems count="10">
          <s v="&lt;5.11"/>
          <s v="5.11-5.31"/>
          <s v="5.31-5.51"/>
          <s v="5.51-5.71"/>
          <s v="5.71-5.91"/>
          <s v="5.91-6.11"/>
          <s v="6.11-6.31"/>
          <s v="6.31-6.51"/>
          <s v="6.51-6.71"/>
          <s v="&gt;6.71"/>
        </groupItems>
      </fieldGroup>
    </cacheField>
    <cacheField name="QCL 03 LIU2" numFmtId="0">
      <sharedItems containsSemiMixedTypes="0" containsString="0" containsNumber="1" minValue="5.1100000000000003" maxValue="6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 Thanh Tung" refreshedDate="45211.595395601849" createdVersion="8" refreshedVersion="8" minRefreshableVersion="3" recordCount="15" xr:uid="{6D895A52-8043-45D9-B3F9-99B65F982226}">
  <cacheSource type="worksheet">
    <worksheetSource ref="R2:S17" sheet="BD HCV IU"/>
  </cacheSource>
  <cacheFields count="2">
    <cacheField name="tổng điểm" numFmtId="0">
      <sharedItems containsSemiMixedTypes="0" containsString="0" containsNumber="1" containsInteger="1" minValue="5" maxValue="9" count="4">
        <n v="9"/>
        <n v="7"/>
        <n v="5"/>
        <n v="8"/>
      </sharedItems>
    </cacheField>
    <cacheField name="tổng điểm2" numFmtId="0">
      <sharedItems containsSemiMixedTypes="0" containsString="0" containsNumber="1" containsInteger="1" minValue="5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5.3999999999999995"/>
  </r>
  <r>
    <x v="1"/>
    <n v="5.41"/>
  </r>
  <r>
    <x v="2"/>
    <n v="5.21"/>
  </r>
  <r>
    <x v="3"/>
    <n v="5.45"/>
  </r>
  <r>
    <x v="4"/>
    <n v="5.26"/>
  </r>
  <r>
    <x v="5"/>
    <n v="5.5299999999999994"/>
  </r>
  <r>
    <x v="6"/>
    <n v="5.3599999999999994"/>
  </r>
  <r>
    <x v="7"/>
    <n v="5.13"/>
  </r>
  <r>
    <x v="8"/>
    <n v="5.2"/>
  </r>
  <r>
    <x v="2"/>
    <n v="5.21"/>
  </r>
  <r>
    <x v="9"/>
    <n v="3.8499999999999996"/>
  </r>
  <r>
    <x v="10"/>
    <n v="5.39"/>
  </r>
  <r>
    <x v="10"/>
    <n v="5.39"/>
  </r>
  <r>
    <x v="0"/>
    <n v="5.3999999999999995"/>
  </r>
  <r>
    <x v="11"/>
    <n v="4.18999999999999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6.11"/>
  </r>
  <r>
    <x v="1"/>
    <n v="6.51"/>
  </r>
  <r>
    <x v="2"/>
    <n v="6.21"/>
  </r>
  <r>
    <x v="3"/>
    <n v="6.2"/>
  </r>
  <r>
    <x v="4"/>
    <n v="5.98"/>
  </r>
  <r>
    <x v="5"/>
    <n v="6.43"/>
  </r>
  <r>
    <x v="6"/>
    <n v="5.0999999999999996"/>
  </r>
  <r>
    <x v="7"/>
    <n v="6.02"/>
  </r>
  <r>
    <x v="8"/>
    <n v="6.59"/>
  </r>
  <r>
    <x v="9"/>
    <n v="6.17"/>
  </r>
  <r>
    <x v="10"/>
    <n v="5.93"/>
  </r>
  <r>
    <x v="11"/>
    <n v="6.19"/>
  </r>
  <r>
    <x v="12"/>
    <n v="5.68"/>
  </r>
  <r>
    <x v="7"/>
    <n v="6.02"/>
  </r>
  <r>
    <x v="13"/>
    <n v="5.8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6.1"/>
  </r>
  <r>
    <x v="1"/>
    <n v="6.46"/>
  </r>
  <r>
    <x v="2"/>
    <n v="6.12"/>
  </r>
  <r>
    <x v="3"/>
    <n v="6.21"/>
  </r>
  <r>
    <x v="4"/>
    <n v="6.16"/>
  </r>
  <r>
    <x v="5"/>
    <n v="6.38"/>
  </r>
  <r>
    <x v="6"/>
    <n v="5.1100000000000003"/>
  </r>
  <r>
    <x v="7"/>
    <n v="6.01"/>
  </r>
  <r>
    <x v="8"/>
    <n v="6.6"/>
  </r>
  <r>
    <x v="9"/>
    <n v="6.03"/>
  </r>
  <r>
    <x v="10"/>
    <n v="5.82"/>
  </r>
  <r>
    <x v="11"/>
    <n v="6.14"/>
  </r>
  <r>
    <x v="12"/>
    <n v="5.85"/>
  </r>
  <r>
    <x v="0"/>
    <n v="6.1"/>
  </r>
  <r>
    <x v="13"/>
    <n v="5.7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9"/>
  </r>
  <r>
    <x v="1"/>
    <n v="7"/>
  </r>
  <r>
    <x v="0"/>
    <n v="9"/>
  </r>
  <r>
    <x v="0"/>
    <n v="9"/>
  </r>
  <r>
    <x v="0"/>
    <n v="9"/>
  </r>
  <r>
    <x v="1"/>
    <n v="7"/>
  </r>
  <r>
    <x v="2"/>
    <n v="5"/>
  </r>
  <r>
    <x v="0"/>
    <n v="9"/>
  </r>
  <r>
    <x v="2"/>
    <n v="5"/>
  </r>
  <r>
    <x v="0"/>
    <n v="9"/>
  </r>
  <r>
    <x v="3"/>
    <n v="8"/>
  </r>
  <r>
    <x v="0"/>
    <n v="9"/>
  </r>
  <r>
    <x v="1"/>
    <n v="7"/>
  </r>
  <r>
    <x v="0"/>
    <n v="9"/>
  </r>
  <r>
    <x v="3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5513A0-4473-4960-A4E9-D4DDE8017769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3:L40" firstHeaderRow="1" firstDataRow="1" firstDataCol="1"/>
  <pivotFields count="2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0"/>
  </rowFields>
  <rowItems count="7">
    <i>
      <x v="1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QCL 02 LIU2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79247D-83AB-48D8-8263-AD181DAB16C7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:L10" firstHeaderRow="1" firstDataRow="1" firstDataCol="1"/>
  <pivotFields count="2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</pivotFields>
  <rowFields count="1">
    <field x="0"/>
  </rowFields>
  <rowItems count="7">
    <i>
      <x v="1"/>
    </i>
    <i>
      <x v="3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QCL 01 LIU2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7FF79A-B328-4587-AA7E-2EBCA719A113}" name="PivotTable5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19:R24" firstHeaderRow="1" firstDataRow="1" firstDataCol="1"/>
  <pivotFields count="2">
    <pivotField axis="axisRow" showAll="0">
      <items count="5">
        <item x="2"/>
        <item x="1"/>
        <item x="3"/>
        <item x="0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ổng điểm2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7CC9CE-6890-4161-849E-7400E1C19D9D}" name="PivotTable4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62:L69" firstHeaderRow="1" firstDataRow="1" firstDataCol="1"/>
  <pivotFields count="2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7">
    <i>
      <x v="1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QCL 03 LIU2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17" displayName="Table17" ref="Y77:AB87" totalsRowShown="0">
  <tableColumns count="4">
    <tableColumn id="1" xr3:uid="{00000000-0010-0000-0300-000001000000}" name="Điểm" dataDxfId="5">
      <calculatedColumnFormula>U12</calculatedColumnFormula>
    </tableColumn>
    <tableColumn id="2" xr3:uid="{00000000-0010-0000-0300-000002000000}" name="Số lượng đơn vị" dataDxfId="4">
      <calculatedColumnFormula>V12</calculatedColumnFormula>
    </tableColumn>
    <tableColumn id="3" xr3:uid="{00000000-0010-0000-0300-000003000000}" name="Phần trăm tích lũy của các đơn vị" dataDxfId="3">
      <calculatedColumnFormula>W12</calculatedColumnFormula>
    </tableColumn>
    <tableColumn id="4" xr3:uid="{00000000-0010-0000-0300-000004000000}" name="Điểm của đơn vị" dataDxfId="2">
      <calculatedColumnFormula>IF(Table17[[#This Row],[Điểm]]=$AA$90,0.5,0)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18" displayName="Table18" ref="Y100:Z109" totalsRowShown="0">
  <tableColumns count="2">
    <tableColumn id="1" xr3:uid="{00000000-0010-0000-0400-000001000000}" name=" "/>
    <tableColumn id="2" xr3:uid="{00000000-0010-0000-0400-000002000000}" name="Series 1" dataDxfId="1">
      <calculatedColumnFormula>VLOOKUP($Z$112,'CHENH HCV'!$B:$M,4,0)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19" displayName="Table19" ref="Y119:Z128" totalsRowShown="0">
  <tableColumns count="2">
    <tableColumn id="1" xr3:uid="{00000000-0010-0000-0500-000001000000}" name=" "/>
    <tableColumn id="2" xr3:uid="{00000000-0010-0000-0500-000002000000}" name="Series 1">
      <calculatedColumnFormula>VLOOKUP($Z$130,'HIEU XUAT HCV'!$B:$AL,33,0)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37"/>
  <sheetViews>
    <sheetView topLeftCell="A3" workbookViewId="0">
      <selection activeCell="BN2" sqref="BN2"/>
    </sheetView>
  </sheetViews>
  <sheetFormatPr defaultRowHeight="15.75" x14ac:dyDescent="0.25"/>
  <cols>
    <col min="1" max="1" width="4.25" bestFit="1" customWidth="1"/>
    <col min="2" max="2" width="7.875" bestFit="1" customWidth="1"/>
    <col min="3" max="3" width="10.125" bestFit="1" customWidth="1"/>
    <col min="4" max="4" width="24.5" style="13" customWidth="1"/>
    <col min="5" max="5" width="10.5" bestFit="1" customWidth="1"/>
    <col min="6" max="6" width="8.375" bestFit="1" customWidth="1"/>
    <col min="7" max="10" width="10.5" bestFit="1" customWidth="1"/>
    <col min="14" max="14" width="12.25" customWidth="1"/>
    <col min="15" max="15" width="26.75" customWidth="1"/>
  </cols>
  <sheetData>
    <row r="1" spans="1:21" ht="30" x14ac:dyDescent="0.25">
      <c r="F1" s="15" t="s">
        <v>224</v>
      </c>
      <c r="G1" s="15" t="s">
        <v>225</v>
      </c>
      <c r="H1" s="15" t="s">
        <v>226</v>
      </c>
      <c r="I1" s="15" t="s">
        <v>227</v>
      </c>
      <c r="J1" s="15" t="s">
        <v>228</v>
      </c>
      <c r="O1" s="13"/>
      <c r="Q1" s="15" t="s">
        <v>224</v>
      </c>
      <c r="R1" s="15" t="s">
        <v>225</v>
      </c>
      <c r="S1" s="15" t="s">
        <v>226</v>
      </c>
      <c r="T1" s="15" t="s">
        <v>227</v>
      </c>
      <c r="U1" s="15" t="s">
        <v>228</v>
      </c>
    </row>
    <row r="2" spans="1:21" x14ac:dyDescent="0.25">
      <c r="F2" s="15" t="e">
        <f>E36-E35</f>
        <v>#NUM!</v>
      </c>
      <c r="G2" s="15"/>
      <c r="H2" s="15" t="e">
        <f>G36-G35</f>
        <v>#NUM!</v>
      </c>
      <c r="I2" s="15" t="e">
        <f>H36-H35</f>
        <v>#NUM!</v>
      </c>
      <c r="J2" s="15" t="e">
        <f>I36-I35</f>
        <v>#NUM!</v>
      </c>
      <c r="O2" s="13"/>
      <c r="Q2" s="15" t="e">
        <f>P15-P14</f>
        <v>#NUM!</v>
      </c>
      <c r="R2" s="15"/>
      <c r="S2" s="15" t="e">
        <f t="shared" ref="S2:U2" si="0">R15-R14</f>
        <v>#NUM!</v>
      </c>
      <c r="T2" s="15" t="e">
        <f t="shared" si="0"/>
        <v>#NUM!</v>
      </c>
      <c r="U2" s="15" t="e">
        <f t="shared" si="0"/>
        <v>#NUM!</v>
      </c>
    </row>
    <row r="3" spans="1:21" x14ac:dyDescent="0.25">
      <c r="F3" s="15" t="e">
        <f>E36+E35</f>
        <v>#NUM!</v>
      </c>
      <c r="G3" s="15"/>
      <c r="H3" s="15" t="e">
        <f>G36+G35</f>
        <v>#NUM!</v>
      </c>
      <c r="I3" s="15" t="e">
        <f>H36+H35</f>
        <v>#NUM!</v>
      </c>
      <c r="J3" s="15" t="e">
        <f>I36+I35</f>
        <v>#NUM!</v>
      </c>
      <c r="O3" s="13"/>
      <c r="Q3" s="15" t="e">
        <f>P15+P14</f>
        <v>#NUM!</v>
      </c>
      <c r="R3" s="15"/>
      <c r="S3" s="15" t="e">
        <f t="shared" ref="S3:U3" si="1">R15+R14</f>
        <v>#NUM!</v>
      </c>
      <c r="T3" s="15" t="e">
        <f t="shared" si="1"/>
        <v>#NUM!</v>
      </c>
      <c r="U3" s="15" t="e">
        <f t="shared" si="1"/>
        <v>#NUM!</v>
      </c>
    </row>
    <row r="4" spans="1:21" ht="31.5" x14ac:dyDescent="0.25">
      <c r="A4" t="s">
        <v>0</v>
      </c>
      <c r="B4" s="47" t="s">
        <v>3</v>
      </c>
      <c r="C4" s="47" t="s">
        <v>124</v>
      </c>
      <c r="D4" s="48" t="s">
        <v>125</v>
      </c>
      <c r="E4" s="32" t="s">
        <v>273</v>
      </c>
      <c r="F4" s="33"/>
      <c r="G4" s="33"/>
      <c r="H4" s="33"/>
      <c r="I4" s="33"/>
      <c r="J4" s="33"/>
      <c r="L4" t="s">
        <v>0</v>
      </c>
      <c r="M4" s="47" t="s">
        <v>3</v>
      </c>
      <c r="N4" s="47" t="s">
        <v>124</v>
      </c>
      <c r="O4" s="48" t="s">
        <v>125</v>
      </c>
      <c r="P4" s="32" t="s">
        <v>273</v>
      </c>
      <c r="Q4" s="33"/>
      <c r="R4" s="33"/>
      <c r="S4" s="33"/>
      <c r="T4" s="33"/>
      <c r="U4" s="33"/>
    </row>
    <row r="5" spans="1:21" x14ac:dyDescent="0.25">
      <c r="A5">
        <v>1</v>
      </c>
      <c r="B5" s="77" t="s">
        <v>152</v>
      </c>
      <c r="C5" s="77" t="s">
        <v>59</v>
      </c>
      <c r="D5" s="77" t="s">
        <v>60</v>
      </c>
      <c r="E5" s="32" t="str">
        <f>IF(VLOOKUP(B5,'HCV DL'!D:Q,14,0)&lt;&gt;"",VLOOKUP(B5,'HCV DL'!D:Q,14,0),"")</f>
        <v>0</v>
      </c>
      <c r="F5" s="33" t="e">
        <f>IF(VLOOKUP(B5,'HCV DL'!D:AF,14,0)&lt;&gt;"",ABS(E5-$E$36),"")</f>
        <v>#NUM!</v>
      </c>
      <c r="G5" s="183" t="e">
        <f>IF(VLOOKUP(B5,'HCV DL'!D:AF,14,0)&lt;&gt;"",IF(E5&lt;$F$2,$F$2,IF(E5&gt;$F$3,$F$3,E5)),"")</f>
        <v>#NUM!</v>
      </c>
      <c r="H5" s="183" t="e">
        <f>IF(VLOOKUP(B5,'HCV DL'!D:AF,14,0)&lt;&gt;"",IF(G5&lt;$H$2,$H$2,IF(G5&gt;$H$3,$H$3,G5)),"")</f>
        <v>#NUM!</v>
      </c>
      <c r="I5" s="183" t="e">
        <f>IF(VLOOKUP(B5,'HCV DL'!D:AF,14,0)&lt;&gt;"",IF(H5&lt;$I$2,$I$2,IF(H5&gt;$I$3,$I$3,H5)),"")</f>
        <v>#NUM!</v>
      </c>
      <c r="J5" s="183" t="e">
        <f>IF(VLOOKUP(B5,'HCV DL'!D:AF,14,0)&lt;&gt;"",IF(I5&lt;$J$2,$J$2,IF(I5&gt;$J$3,$J$3,I5)),"")</f>
        <v>#NUM!</v>
      </c>
      <c r="L5">
        <v>1</v>
      </c>
      <c r="M5" s="77" t="s">
        <v>152</v>
      </c>
      <c r="N5" s="77" t="s">
        <v>59</v>
      </c>
      <c r="O5" s="77" t="s">
        <v>60</v>
      </c>
      <c r="P5" s="32" t="str">
        <f>IF(VLOOKUP(M5,'HCV DL'!D:AF,14,0)&lt;&gt;"",VLOOKUP(M5,'HCV DL'!D:AF,14,0),"")</f>
        <v>0</v>
      </c>
      <c r="Q5" s="33" t="e">
        <f>IF(VLOOKUP(M5,'HCV DL'!D:AF,14,0)&lt;&gt;"",ABS(P5-$P$15),"")</f>
        <v>#NUM!</v>
      </c>
      <c r="R5" s="183" t="e">
        <f>IF(VLOOKUP(M5,'HCV DL'!D:AF,14,0)&lt;&gt;"",IF(P5&lt;$Q$2,$Q$2,IF(P5&gt;$Q$3,$Q$3,E5)),"")</f>
        <v>#NUM!</v>
      </c>
      <c r="S5" s="183" t="e">
        <f>IF(VLOOKUP(M5,'HCV DL'!D:AF,14,0)&lt;&gt;"",IF(R5&lt;$S$2,$S$2,IF(R5&gt;$S$3,$S$3,R5)),"")</f>
        <v>#NUM!</v>
      </c>
      <c r="T5" s="183" t="e">
        <f>IF(VLOOKUP(M5,'HCV DL'!D:AF,14,0)&lt;&gt;"",IF(S5&lt;$T$2,$T$2,IF(S5&gt;$T$3,$T$3,S5)),"")</f>
        <v>#NUM!</v>
      </c>
      <c r="U5" s="183" t="e">
        <f>IF(VLOOKUP(M5,'HCV DL'!D:AF,14,0)&lt;&gt;"",IF(T5&lt;$U$2,$U$2,IF(T5&gt;$U$3,$U$3,T5)),"")</f>
        <v>#NUM!</v>
      </c>
    </row>
    <row r="6" spans="1:21" ht="31.5" x14ac:dyDescent="0.25">
      <c r="A6">
        <v>2</v>
      </c>
      <c r="B6" s="77" t="s">
        <v>157</v>
      </c>
      <c r="C6" s="77" t="s">
        <v>56</v>
      </c>
      <c r="D6" s="77" t="s">
        <v>57</v>
      </c>
      <c r="E6" s="32" t="str">
        <f>IF(VLOOKUP(B6,'HCV DL'!D:Q,14,0)&lt;&gt;"",VLOOKUP(B6,'HCV DL'!D:Q,14,0),"")</f>
        <v>Dưới ngưỡng phát hiện</v>
      </c>
      <c r="F6" s="33" t="e">
        <f>IF(VLOOKUP(B6,'HCV DL'!D:AF,14,0)&lt;&gt;"",ABS(E6-$E$36),"")</f>
        <v>#VALUE!</v>
      </c>
      <c r="G6" s="183" t="e">
        <f>IF(VLOOKUP(B6,'HCV DL'!D:AF,14,0)&lt;&gt;"",IF(E6&lt;$F$2,$F$2,IF(E6&gt;$F$3,$F$3,E6)),"")</f>
        <v>#NUM!</v>
      </c>
      <c r="H6" s="183" t="e">
        <f>IF(VLOOKUP(B6,'HCV DL'!D:AF,14,0)&lt;&gt;"",IF(G6&lt;$H$2,$H$2,IF(G6&gt;$H$3,$H$3,G6)),"")</f>
        <v>#NUM!</v>
      </c>
      <c r="I6" s="183" t="e">
        <f>IF(VLOOKUP(B6,'HCV DL'!D:AF,14,0)&lt;&gt;"",IF(H6&lt;$I$2,$I$2,IF(H6&gt;$I$3,$I$3,H6)),"")</f>
        <v>#NUM!</v>
      </c>
      <c r="J6" s="183" t="e">
        <f>IF(VLOOKUP(B6,'HCV DL'!D:AF,14,0)&lt;&gt;"",IF(I6&lt;$J$2,$J$2,IF(I6&gt;$J$3,$J$3,I6)),"")</f>
        <v>#NUM!</v>
      </c>
      <c r="L6">
        <v>2</v>
      </c>
      <c r="M6" s="77" t="s">
        <v>157</v>
      </c>
      <c r="N6" s="77" t="s">
        <v>56</v>
      </c>
      <c r="O6" s="77" t="s">
        <v>57</v>
      </c>
      <c r="P6" s="32" t="str">
        <f>IF(VLOOKUP(M6,'HCV DL'!D:AF,14,0)&lt;&gt;"",VLOOKUP(M6,'HCV DL'!D:AF,14,0),"")</f>
        <v>Dưới ngưỡng phát hiện</v>
      </c>
      <c r="Q6" s="33" t="e">
        <f>IF(VLOOKUP(M6,'HCV DL'!D:AF,14,0)&lt;&gt;"",ABS(P6-$P$15),"")</f>
        <v>#VALUE!</v>
      </c>
      <c r="R6" s="183" t="e">
        <f>IF(VLOOKUP(M6,'HCV DL'!D:AF,14,0)&lt;&gt;"",IF(P6&lt;$Q$2,$Q$2,IF(P6&gt;$Q$3,$Q$3,E6)),"")</f>
        <v>#NUM!</v>
      </c>
      <c r="S6" s="183" t="e">
        <f>IF(VLOOKUP(M6,'HCV DL'!D:AF,14,0)&lt;&gt;"",IF(R6&lt;$S$2,$S$2,IF(R6&gt;$S$3,$S$3,R6)),"")</f>
        <v>#NUM!</v>
      </c>
      <c r="T6" s="183" t="e">
        <f>IF(VLOOKUP(M6,'HCV DL'!D:AF,14,0)&lt;&gt;"",IF(S6&lt;$T$2,$T$2,IF(S6&gt;$T$3,$T$3,S6)),"")</f>
        <v>#NUM!</v>
      </c>
      <c r="U6" s="183" t="e">
        <f>IF(VLOOKUP(M6,'HCV DL'!D:AF,14,0)&lt;&gt;"",IF(T6&lt;$U$2,$U$2,IF(T6&gt;$U$3,$U$3,T6)),"")</f>
        <v>#NUM!</v>
      </c>
    </row>
    <row r="7" spans="1:21" ht="31.5" x14ac:dyDescent="0.25">
      <c r="A7">
        <v>3</v>
      </c>
      <c r="B7" s="77" t="s">
        <v>345</v>
      </c>
      <c r="C7" s="77" t="s">
        <v>219</v>
      </c>
      <c r="D7" s="77" t="s">
        <v>318</v>
      </c>
      <c r="E7" s="32" t="str">
        <f>IF(VLOOKUP(B7,'HCV DL'!D:Q,14,0)&lt;&gt;"",VLOOKUP(B7,'HCV DL'!D:Q,14,0),"")</f>
        <v>Không phát hiện thấy HCV RNA</v>
      </c>
      <c r="F7" s="33" t="e">
        <f>IF(VLOOKUP(B7,'HCV DL'!D:AF,14,0)&lt;&gt;"",ABS(E7-$E$36),"")</f>
        <v>#VALUE!</v>
      </c>
      <c r="G7" s="183" t="e">
        <f>IF(VLOOKUP(B7,'HCV DL'!D:AF,14,0)&lt;&gt;"",IF(E7&lt;$F$2,$F$2,IF(E7&gt;$F$3,$F$3,E7)),"")</f>
        <v>#NUM!</v>
      </c>
      <c r="H7" s="183" t="e">
        <f>IF(VLOOKUP(B7,'HCV DL'!D:AF,14,0)&lt;&gt;"",IF(G7&lt;$H$2,$H$2,IF(G7&gt;$H$3,$H$3,G7)),"")</f>
        <v>#NUM!</v>
      </c>
      <c r="I7" s="183" t="e">
        <f>IF(VLOOKUP(B7,'HCV DL'!D:AF,14,0)&lt;&gt;"",IF(H7&lt;$I$2,$I$2,IF(H7&gt;$I$3,$I$3,H7)),"")</f>
        <v>#NUM!</v>
      </c>
      <c r="J7" s="183" t="e">
        <f>IF(VLOOKUP(B7,'HCV DL'!D:AF,14,0)&lt;&gt;"",IF(I7&lt;$J$2,$J$2,IF(I7&gt;$J$3,$J$3,I7)),"")</f>
        <v>#NUM!</v>
      </c>
      <c r="L7">
        <v>3</v>
      </c>
      <c r="M7" s="77" t="s">
        <v>345</v>
      </c>
      <c r="N7" s="77" t="s">
        <v>219</v>
      </c>
      <c r="O7" s="77" t="s">
        <v>318</v>
      </c>
      <c r="P7" s="32" t="str">
        <f>IF(VLOOKUP(M7,'HCV DL'!D:AF,14,0)&lt;&gt;"",VLOOKUP(M7,'HCV DL'!D:AF,14,0),"")</f>
        <v>Không phát hiện thấy HCV RNA</v>
      </c>
      <c r="Q7" s="33" t="e">
        <f>IF(VLOOKUP(M7,'HCV DL'!D:AF,14,0)&lt;&gt;"",ABS(P7-$P$15),"")</f>
        <v>#VALUE!</v>
      </c>
      <c r="R7" s="183" t="e">
        <f>IF(VLOOKUP(M7,'HCV DL'!D:AF,14,0)&lt;&gt;"",IF(P7&lt;$Q$2,$Q$2,IF(P7&gt;$Q$3,$Q$3,E7)),"")</f>
        <v>#NUM!</v>
      </c>
      <c r="S7" s="183" t="e">
        <f>IF(VLOOKUP(M7,'HCV DL'!D:AF,14,0)&lt;&gt;"",IF(R7&lt;$S$2,$S$2,IF(R7&gt;$S$3,$S$3,R7)),"")</f>
        <v>#NUM!</v>
      </c>
      <c r="T7" s="183" t="e">
        <f>IF(VLOOKUP(M7,'HCV DL'!D:AF,14,0)&lt;&gt;"",IF(S7&lt;$T$2,$T$2,IF(S7&gt;$T$3,$T$3,S7)),"")</f>
        <v>#NUM!</v>
      </c>
      <c r="U7" s="183" t="e">
        <f>IF(VLOOKUP(M7,'HCV DL'!D:AF,14,0)&lt;&gt;"",IF(T7&lt;$U$2,$U$2,IF(T7&gt;$U$3,$U$3,T7)),"")</f>
        <v>#NUM!</v>
      </c>
    </row>
    <row r="8" spans="1:21" ht="31.5" x14ac:dyDescent="0.25">
      <c r="A8">
        <v>4</v>
      </c>
      <c r="B8" s="77" t="s">
        <v>341</v>
      </c>
      <c r="C8" s="77" t="s">
        <v>301</v>
      </c>
      <c r="D8" s="77" t="s">
        <v>319</v>
      </c>
      <c r="E8" s="32" t="str">
        <f>IF(VLOOKUP(B8,'HCV DL'!D:Q,14,0)&lt;&gt;"",VLOOKUP(B8,'HCV DL'!D:Q,14,0),"")</f>
        <v>Target Not Detected</v>
      </c>
      <c r="F8" s="33" t="e">
        <f>IF(VLOOKUP(B8,'HCV DL'!D:AF,14,0)&lt;&gt;"",ABS(E8-$E$36),"")</f>
        <v>#VALUE!</v>
      </c>
      <c r="G8" s="183" t="e">
        <f>IF(VLOOKUP(B8,'HCV DL'!D:AF,14,0)&lt;&gt;"",IF(E8&lt;$F$2,$F$2,IF(E8&gt;$F$3,$F$3,E8)),"")</f>
        <v>#NUM!</v>
      </c>
      <c r="H8" s="183" t="e">
        <f>IF(VLOOKUP(B8,'HCV DL'!D:AF,14,0)&lt;&gt;"",IF(G8&lt;$H$2,$H$2,IF(G8&gt;$H$3,$H$3,G8)),"")</f>
        <v>#NUM!</v>
      </c>
      <c r="I8" s="183" t="e">
        <f>IF(VLOOKUP(B8,'HCV DL'!D:AF,14,0)&lt;&gt;"",IF(H8&lt;$I$2,$I$2,IF(H8&gt;$I$3,$I$3,H8)),"")</f>
        <v>#NUM!</v>
      </c>
      <c r="J8" s="183" t="e">
        <f>IF(VLOOKUP(B8,'HCV DL'!D:AF,14,0)&lt;&gt;"",IF(I8&lt;$J$2,$J$2,IF(I8&gt;$J$3,$J$3,I8)),"")</f>
        <v>#NUM!</v>
      </c>
      <c r="L8">
        <v>4</v>
      </c>
      <c r="M8" s="77" t="s">
        <v>341</v>
      </c>
      <c r="N8" s="77" t="s">
        <v>301</v>
      </c>
      <c r="O8" s="77" t="s">
        <v>319</v>
      </c>
      <c r="P8" s="32" t="str">
        <f>IF(VLOOKUP(M8,'HCV DL'!D:AF,14,0)&lt;&gt;"",VLOOKUP(M8,'HCV DL'!D:AF,14,0),"")</f>
        <v>Target Not Detected</v>
      </c>
      <c r="Q8" s="33" t="e">
        <f>IF(VLOOKUP(M8,'HCV DL'!D:AF,14,0)&lt;&gt;"",ABS(P8-$P$15),"")</f>
        <v>#VALUE!</v>
      </c>
      <c r="R8" s="183" t="e">
        <f>IF(VLOOKUP(M8,'HCV DL'!D:AF,14,0)&lt;&gt;"",IF(P8&lt;$Q$2,$Q$2,IF(P8&gt;$Q$3,$Q$3,E8)),"")</f>
        <v>#NUM!</v>
      </c>
      <c r="S8" s="183" t="e">
        <f>IF(VLOOKUP(M8,'HCV DL'!D:AF,14,0)&lt;&gt;"",IF(R8&lt;$S$2,$S$2,IF(R8&gt;$S$3,$S$3,R8)),"")</f>
        <v>#NUM!</v>
      </c>
      <c r="T8" s="183" t="e">
        <f>IF(VLOOKUP(M8,'HCV DL'!D:AF,14,0)&lt;&gt;"",IF(S8&lt;$T$2,$T$2,IF(S8&gt;$T$3,$T$3,S8)),"")</f>
        <v>#NUM!</v>
      </c>
      <c r="U8" s="183" t="e">
        <f>IF(VLOOKUP(M8,'HCV DL'!D:AF,14,0)&lt;&gt;"",IF(T8&lt;$U$2,$U$2,IF(T8&gt;$U$3,$U$3,T8)),"")</f>
        <v>#NUM!</v>
      </c>
    </row>
    <row r="9" spans="1:21" ht="31.5" x14ac:dyDescent="0.25">
      <c r="A9">
        <v>5</v>
      </c>
      <c r="B9" s="77" t="s">
        <v>353</v>
      </c>
      <c r="C9" s="77" t="s">
        <v>36</v>
      </c>
      <c r="D9" s="77" t="s">
        <v>37</v>
      </c>
      <c r="E9" s="32" t="str">
        <f>IF(VLOOKUP(B9,'HCV DL'!D:Q,14,0)&lt;&gt;"",VLOOKUP(B9,'HCV DL'!D:Q,14,0),"")</f>
        <v/>
      </c>
      <c r="F9" s="33" t="str">
        <f>IF(VLOOKUP(B9,'HCV DL'!D:AF,14,0)&lt;&gt;"",ABS(E9-$E$36),"")</f>
        <v/>
      </c>
      <c r="G9" s="183" t="str">
        <f>IF(VLOOKUP(B9,'HCV DL'!D:AF,14,0)&lt;&gt;"",IF(E9&lt;$F$2,$F$2,IF(E9&gt;$F$3,$F$3,E9)),"")</f>
        <v/>
      </c>
      <c r="H9" s="183" t="str">
        <f>IF(VLOOKUP(B9,'HCV DL'!D:AF,14,0)&lt;&gt;"",IF(G9&lt;$H$2,$H$2,IF(G9&gt;$H$3,$H$3,G9)),"")</f>
        <v/>
      </c>
      <c r="I9" s="183" t="str">
        <f>IF(VLOOKUP(B9,'HCV DL'!D:AF,14,0)&lt;&gt;"",IF(H9&lt;$I$2,$I$2,IF(H9&gt;$I$3,$I$3,H9)),"")</f>
        <v/>
      </c>
      <c r="J9" s="183" t="str">
        <f>IF(VLOOKUP(B9,'HCV DL'!D:AF,14,0)&lt;&gt;"",IF(I9&lt;$J$2,$J$2,IF(I9&gt;$J$3,$J$3,I9)),"")</f>
        <v/>
      </c>
      <c r="L9">
        <v>5</v>
      </c>
      <c r="M9" s="77" t="s">
        <v>353</v>
      </c>
      <c r="N9" s="77" t="s">
        <v>36</v>
      </c>
      <c r="O9" s="77" t="s">
        <v>37</v>
      </c>
      <c r="P9" s="32" t="str">
        <f>IF(VLOOKUP(M9,'HCV DL'!D:AF,14,0)&lt;&gt;"",VLOOKUP(M9,'HCV DL'!D:AF,14,0),"")</f>
        <v/>
      </c>
      <c r="Q9" s="33" t="str">
        <f>IF(VLOOKUP(M9,'HCV DL'!D:AF,14,0)&lt;&gt;"",ABS(P9-$P$15),"")</f>
        <v/>
      </c>
      <c r="R9" s="183" t="str">
        <f>IF(VLOOKUP(M9,'HCV DL'!D:AF,14,0)&lt;&gt;"",IF(P9&lt;$Q$2,$Q$2,IF(P9&gt;$Q$3,$Q$3,E9)),"")</f>
        <v/>
      </c>
      <c r="S9" s="183" t="str">
        <f>IF(VLOOKUP(M9,'HCV DL'!D:AF,14,0)&lt;&gt;"",IF(R9&lt;$S$2,$S$2,IF(R9&gt;$S$3,$S$3,R9)),"")</f>
        <v/>
      </c>
      <c r="T9" s="183" t="str">
        <f>IF(VLOOKUP(M9,'HCV DL'!D:AF,14,0)&lt;&gt;"",IF(S9&lt;$T$2,$T$2,IF(S9&gt;$T$3,$T$3,S9)),"")</f>
        <v/>
      </c>
      <c r="U9" s="183" t="str">
        <f>IF(VLOOKUP(M9,'HCV DL'!D:AF,14,0)&lt;&gt;"",IF(T9&lt;$U$2,$U$2,IF(T9&gt;$U$3,$U$3,T9)),"")</f>
        <v/>
      </c>
    </row>
    <row r="10" spans="1:21" ht="47.25" x14ac:dyDescent="0.25">
      <c r="A10">
        <v>6</v>
      </c>
      <c r="B10" s="85" t="s">
        <v>195</v>
      </c>
      <c r="C10" s="86" t="s">
        <v>88</v>
      </c>
      <c r="D10" s="85" t="s">
        <v>89</v>
      </c>
      <c r="E10" s="32" t="str">
        <f>IF(VLOOKUP(B10,'HCV DL'!D:Q,14,0)&lt;&gt;"",VLOOKUP(B10,'HCV DL'!D:Q,14,0),"")</f>
        <v>0</v>
      </c>
      <c r="F10" s="33" t="e">
        <f>IF(VLOOKUP(B10,'HCV DL'!D:AF,14,0)&lt;&gt;"",ABS(E10-$E$36),"")</f>
        <v>#NUM!</v>
      </c>
      <c r="G10" s="183" t="e">
        <f>IF(VLOOKUP(B10,'HCV DL'!D:AF,14,0)&lt;&gt;"",IF(E10&lt;$F$2,$F$2,IF(E10&gt;$F$3,$F$3,E10)),"")</f>
        <v>#NUM!</v>
      </c>
      <c r="H10" s="183" t="e">
        <f>IF(VLOOKUP(B10,'HCV DL'!D:AF,14,0)&lt;&gt;"",IF(G10&lt;$H$2,$H$2,IF(G10&gt;$H$3,$H$3,G10)),"")</f>
        <v>#NUM!</v>
      </c>
      <c r="I10" s="183" t="e">
        <f>IF(VLOOKUP(B10,'HCV DL'!D:AF,14,0)&lt;&gt;"",IF(H10&lt;$I$2,$I$2,IF(H10&gt;$I$3,$I$3,H10)),"")</f>
        <v>#NUM!</v>
      </c>
      <c r="J10" s="183" t="e">
        <f>IF(VLOOKUP(B10,'HCV DL'!D:AF,14,0)&lt;&gt;"",IF(I10&lt;$J$2,$J$2,IF(I10&gt;$J$3,$J$3,I10)),"")</f>
        <v>#NUM!</v>
      </c>
    </row>
    <row r="11" spans="1:21" ht="47.25" x14ac:dyDescent="0.25">
      <c r="A11">
        <v>7</v>
      </c>
      <c r="B11" s="91" t="s">
        <v>350</v>
      </c>
      <c r="C11" s="92" t="s">
        <v>30</v>
      </c>
      <c r="D11" s="91" t="s">
        <v>31</v>
      </c>
      <c r="E11" s="32" t="str">
        <f>IF(VLOOKUP(B11,'HCV DL'!D:Q,14,0)&lt;&gt;"",VLOOKUP(B11,'HCV DL'!D:Q,14,0),"")</f>
        <v>Âm tính</v>
      </c>
      <c r="F11" s="33" t="e">
        <f>IF(VLOOKUP(B11,'HCV DL'!D:AF,14,0)&lt;&gt;"",ABS(E11-$E$36),"")</f>
        <v>#VALUE!</v>
      </c>
      <c r="G11" s="183" t="e">
        <f>IF(VLOOKUP(B11,'HCV DL'!D:AF,14,0)&lt;&gt;"",IF(E11&lt;$F$2,$F$2,IF(E11&gt;$F$3,$F$3,E11)),"")</f>
        <v>#NUM!</v>
      </c>
      <c r="H11" s="183" t="e">
        <f>IF(VLOOKUP(B11,'HCV DL'!D:AF,14,0)&lt;&gt;"",IF(G11&lt;$H$2,$H$2,IF(G11&gt;$H$3,$H$3,G11)),"")</f>
        <v>#NUM!</v>
      </c>
      <c r="I11" s="183" t="e">
        <f>IF(VLOOKUP(B11,'HCV DL'!D:AF,14,0)&lt;&gt;"",IF(H11&lt;$I$2,$I$2,IF(H11&gt;$I$3,$I$3,H11)),"")</f>
        <v>#NUM!</v>
      </c>
      <c r="J11" s="183" t="e">
        <f>IF(VLOOKUP(B11,'HCV DL'!D:AF,14,0)&lt;&gt;"",IF(I11&lt;$J$2,$J$2,IF(I11&gt;$J$3,$J$3,I11)),"")</f>
        <v>#NUM!</v>
      </c>
    </row>
    <row r="12" spans="1:21" ht="47.25" x14ac:dyDescent="0.25">
      <c r="A12">
        <v>8</v>
      </c>
      <c r="B12" s="95" t="s">
        <v>211</v>
      </c>
      <c r="C12" s="96" t="s">
        <v>101</v>
      </c>
      <c r="D12" s="97" t="s">
        <v>102</v>
      </c>
      <c r="E12" s="32" t="str">
        <f>IF(VLOOKUP(B12,'HCV DL'!D:Q,14,0)&lt;&gt;"",VLOOKUP(B12,'HCV DL'!D:Q,14,0),"")</f>
        <v>0</v>
      </c>
      <c r="F12" s="33" t="e">
        <f>IF(VLOOKUP(B12,'HCV DL'!D:AF,14,0)&lt;&gt;"",ABS(E12-$E$36),"")</f>
        <v>#NUM!</v>
      </c>
      <c r="G12" s="183" t="e">
        <f>IF(VLOOKUP(B12,'HCV DL'!D:AF,14,0)&lt;&gt;"",IF(E12&lt;$F$2,$F$2,IF(E12&gt;$F$3,$F$3,E12)),"")</f>
        <v>#NUM!</v>
      </c>
      <c r="H12" s="183" t="e">
        <f>IF(VLOOKUP(B12,'HCV DL'!D:AF,14,0)&lt;&gt;"",IF(G12&lt;$H$2,$H$2,IF(G12&gt;$H$3,$H$3,G12)),"")</f>
        <v>#NUM!</v>
      </c>
      <c r="I12" s="183" t="e">
        <f>IF(VLOOKUP(B12,'HCV DL'!D:AF,14,0)&lt;&gt;"",IF(H12&lt;$I$2,$I$2,IF(H12&gt;$I$3,$I$3,H12)),"")</f>
        <v>#NUM!</v>
      </c>
      <c r="J12" s="183" t="e">
        <f>IF(VLOOKUP(B12,'HCV DL'!D:AF,14,0)&lt;&gt;"",IF(I12&lt;$J$2,$J$2,IF(I12&gt;$J$3,$J$3,I12)),"")</f>
        <v>#NUM!</v>
      </c>
      <c r="O12" s="30" t="s">
        <v>229</v>
      </c>
      <c r="P12" s="16" t="e">
        <f>AVERAGE(P5:P9)</f>
        <v>#DIV/0!</v>
      </c>
      <c r="Q12" s="16"/>
      <c r="R12" s="184" t="e">
        <f>AVERAGE(R5:R9)</f>
        <v>#NUM!</v>
      </c>
      <c r="S12" s="184" t="e">
        <f t="shared" ref="S12:U12" si="2">AVERAGE(S5:S9)</f>
        <v>#NUM!</v>
      </c>
      <c r="T12" s="184" t="e">
        <f t="shared" si="2"/>
        <v>#NUM!</v>
      </c>
      <c r="U12" s="184" t="e">
        <f t="shared" si="2"/>
        <v>#NUM!</v>
      </c>
    </row>
    <row r="13" spans="1:21" ht="31.5" x14ac:dyDescent="0.25">
      <c r="A13">
        <v>9</v>
      </c>
      <c r="B13" s="92" t="s">
        <v>359</v>
      </c>
      <c r="C13" s="92" t="s">
        <v>36</v>
      </c>
      <c r="D13" s="92" t="s">
        <v>37</v>
      </c>
      <c r="E13" s="32" t="str">
        <f>IF(VLOOKUP(B13,'HCV DL'!D:Q,14,0)&lt;&gt;"",VLOOKUP(B13,'HCV DL'!D:Q,14,0),"")</f>
        <v/>
      </c>
      <c r="F13" s="33" t="str">
        <f>IF(VLOOKUP(B13,'HCV DL'!D:AF,14,0)&lt;&gt;"",ABS(E13-$E$36),"")</f>
        <v/>
      </c>
      <c r="G13" s="183" t="str">
        <f>IF(VLOOKUP(B13,'HCV DL'!D:AF,14,0)&lt;&gt;"",IF(E13&lt;$F$2,$F$2,IF(E13&gt;$F$3,$F$3,E13)),"")</f>
        <v/>
      </c>
      <c r="H13" s="183" t="str">
        <f>IF(VLOOKUP(B13,'HCV DL'!D:AF,14,0)&lt;&gt;"",IF(G13&lt;$H$2,$H$2,IF(G13&gt;$H$3,$H$3,G13)),"")</f>
        <v/>
      </c>
      <c r="I13" s="183" t="str">
        <f>IF(VLOOKUP(B13,'HCV DL'!D:AF,14,0)&lt;&gt;"",IF(H13&lt;$I$2,$I$2,IF(H13&gt;$I$3,$I$3,H13)),"")</f>
        <v/>
      </c>
      <c r="J13" s="183" t="str">
        <f>IF(VLOOKUP(B13,'HCV DL'!D:AF,14,0)&lt;&gt;"",IF(I13&lt;$J$2,$J$2,IF(I13&gt;$J$3,$J$3,I13)),"")</f>
        <v/>
      </c>
      <c r="O13" s="17" t="s">
        <v>123</v>
      </c>
      <c r="P13" s="16" t="e">
        <f>_xlfn.STDEV.S(P5:P9)</f>
        <v>#DIV/0!</v>
      </c>
      <c r="Q13" s="16"/>
      <c r="R13" s="16" t="e">
        <f>_xlfn.STDEV.S(R5:R9)</f>
        <v>#NUM!</v>
      </c>
      <c r="S13" s="16" t="e">
        <f t="shared" ref="S13:U13" si="3">_xlfn.STDEV.S(S5:S9)</f>
        <v>#NUM!</v>
      </c>
      <c r="T13" s="16" t="e">
        <f t="shared" si="3"/>
        <v>#NUM!</v>
      </c>
      <c r="U13" s="16" t="e">
        <f t="shared" si="3"/>
        <v>#NUM!</v>
      </c>
    </row>
    <row r="14" spans="1:21" x14ac:dyDescent="0.25">
      <c r="A14">
        <v>10</v>
      </c>
      <c r="B14" s="98" t="s">
        <v>164</v>
      </c>
      <c r="C14" s="99" t="s">
        <v>79</v>
      </c>
      <c r="D14" s="98" t="s">
        <v>80</v>
      </c>
      <c r="E14" s="32" t="str">
        <f>IF(VLOOKUP(B14,'HCV DL'!D:Q,14,0)&lt;&gt;"",VLOOKUP(B14,'HCV DL'!D:Q,14,0),"")</f>
        <v>-</v>
      </c>
      <c r="F14" s="33" t="e">
        <f>IF(VLOOKUP(B14,'HCV DL'!D:AF,14,0)&lt;&gt;"",ABS(E14-$E$36),"")</f>
        <v>#VALUE!</v>
      </c>
      <c r="G14" s="183" t="e">
        <f>IF(VLOOKUP(B14,'HCV DL'!D:AF,14,0)&lt;&gt;"",IF(E14&lt;$F$2,$F$2,IF(E14&gt;$F$3,$F$3,E14)),"")</f>
        <v>#NUM!</v>
      </c>
      <c r="H14" s="183" t="e">
        <f>IF(VLOOKUP(B14,'HCV DL'!D:AF,14,0)&lt;&gt;"",IF(G14&lt;$H$2,$H$2,IF(G14&gt;$H$3,$H$3,G14)),"")</f>
        <v>#NUM!</v>
      </c>
      <c r="I14" s="183" t="e">
        <f>IF(VLOOKUP(B14,'HCV DL'!D:AF,14,0)&lt;&gt;"",IF(H14&lt;$I$2,$I$2,IF(H14&gt;$I$3,$I$3,H14)),"")</f>
        <v>#NUM!</v>
      </c>
      <c r="J14" s="183" t="e">
        <f>IF(VLOOKUP(B14,'HCV DL'!D:AF,14,0)&lt;&gt;"",IF(I14&lt;$J$2,$J$2,IF(I14&gt;$J$3,$J$3,I14)),"")</f>
        <v>#NUM!</v>
      </c>
      <c r="O14" s="17" t="s">
        <v>230</v>
      </c>
      <c r="P14" s="16" t="e">
        <f>1.5*P16</f>
        <v>#VALUE!</v>
      </c>
      <c r="Q14" s="16"/>
      <c r="R14" s="16" t="e">
        <f>1.5*R16</f>
        <v>#NUM!</v>
      </c>
      <c r="S14" s="16" t="e">
        <f t="shared" ref="S14:U14" si="4">1.5*S16</f>
        <v>#NUM!</v>
      </c>
      <c r="T14" s="16" t="e">
        <f t="shared" si="4"/>
        <v>#NUM!</v>
      </c>
      <c r="U14" s="16" t="e">
        <f t="shared" si="4"/>
        <v>#NUM!</v>
      </c>
    </row>
    <row r="15" spans="1:21" x14ac:dyDescent="0.25">
      <c r="A15">
        <v>11</v>
      </c>
      <c r="B15" s="105" t="s">
        <v>159</v>
      </c>
      <c r="C15" s="105" t="s">
        <v>81</v>
      </c>
      <c r="D15" s="105" t="s">
        <v>82</v>
      </c>
      <c r="E15" s="32" t="str">
        <f>IF(VLOOKUP(B15,'HCV DL'!D:Q,14,0)&lt;&gt;"",VLOOKUP(B15,'HCV DL'!D:Q,14,0),"")</f>
        <v>Dưới ngưỡng phát hiện</v>
      </c>
      <c r="F15" s="33" t="e">
        <f>IF(VLOOKUP(B15,'HCV DL'!D:AF,14,0)&lt;&gt;"",ABS(E15-$E$36),"")</f>
        <v>#VALUE!</v>
      </c>
      <c r="G15" s="183" t="e">
        <f>IF(VLOOKUP(B15,'HCV DL'!D:AF,14,0)&lt;&gt;"",IF(E15&lt;$F$2,$F$2,IF(E15&gt;$F$3,$F$3,E15)),"")</f>
        <v>#NUM!</v>
      </c>
      <c r="H15" s="183" t="e">
        <f>IF(VLOOKUP(B15,'HCV DL'!D:AF,14,0)&lt;&gt;"",IF(G15&lt;$H$2,$H$2,IF(G15&gt;$H$3,$H$3,G15)),"")</f>
        <v>#NUM!</v>
      </c>
      <c r="I15" s="183" t="e">
        <f>IF(VLOOKUP(B15,'HCV DL'!D:AF,14,0)&lt;&gt;"",IF(H15&lt;$I$2,$I$2,IF(H15&gt;$I$3,$I$3,H15)),"")</f>
        <v>#NUM!</v>
      </c>
      <c r="J15" s="183" t="e">
        <f>IF(VLOOKUP(B15,'HCV DL'!D:AF,14,0)&lt;&gt;"",IF(I15&lt;$J$2,$J$2,IF(I15&gt;$J$3,$J$3,I15)),"")</f>
        <v>#NUM!</v>
      </c>
      <c r="O15" s="17" t="s">
        <v>231</v>
      </c>
      <c r="P15" s="16" t="e">
        <f>MEDIAN(P5:P9)</f>
        <v>#NUM!</v>
      </c>
      <c r="Q15" s="16" t="e">
        <f>MEDIAN(Q5:Q9)</f>
        <v>#NUM!</v>
      </c>
      <c r="R15" s="185" t="e">
        <f>AVERAGE(R5:R9)</f>
        <v>#NUM!</v>
      </c>
      <c r="S15" s="185" t="e">
        <f t="shared" ref="S15:U15" si="5">AVERAGE(S5:S9)</f>
        <v>#NUM!</v>
      </c>
      <c r="T15" s="185" t="e">
        <f t="shared" si="5"/>
        <v>#NUM!</v>
      </c>
      <c r="U15" s="185" t="e">
        <f t="shared" si="5"/>
        <v>#NUM!</v>
      </c>
    </row>
    <row r="16" spans="1:21" ht="31.5" x14ac:dyDescent="0.25">
      <c r="A16">
        <v>12</v>
      </c>
      <c r="B16" s="107" t="s">
        <v>179</v>
      </c>
      <c r="C16" s="108" t="s">
        <v>71</v>
      </c>
      <c r="D16" s="107" t="s">
        <v>72</v>
      </c>
      <c r="E16" s="32" t="str">
        <f>IF(VLOOKUP(B16,'HCV DL'!D:Q,14,0)&lt;&gt;"",VLOOKUP(B16,'HCV DL'!D:Q,14,0),"")</f>
        <v>Dưới ngưỡng phát hiện</v>
      </c>
      <c r="F16" s="33" t="e">
        <f>IF(VLOOKUP(B16,'HCV DL'!D:AF,14,0)&lt;&gt;"",ABS(E16-$E$36),"")</f>
        <v>#VALUE!</v>
      </c>
      <c r="G16" s="183" t="e">
        <f>IF(VLOOKUP(B16,'HCV DL'!D:AF,14,0)&lt;&gt;"",IF(E16&lt;$F$2,$F$2,IF(E16&gt;$F$3,$F$3,E16)),"")</f>
        <v>#NUM!</v>
      </c>
      <c r="H16" s="183" t="e">
        <f>IF(VLOOKUP(B16,'HCV DL'!D:AF,14,0)&lt;&gt;"",IF(G16&lt;$H$2,$H$2,IF(G16&gt;$H$3,$H$3,G16)),"")</f>
        <v>#NUM!</v>
      </c>
      <c r="I16" s="183" t="e">
        <f>IF(VLOOKUP(B16,'HCV DL'!D:AF,14,0)&lt;&gt;"",IF(H16&lt;$I$2,$I$2,IF(H16&gt;$I$3,$I$3,H16)),"")</f>
        <v>#NUM!</v>
      </c>
      <c r="J16" s="183" t="e">
        <f>IF(VLOOKUP(B16,'HCV DL'!D:AF,14,0)&lt;&gt;"",IF(I16&lt;$J$2,$J$2,IF(I16&gt;$J$3,$J$3,I16)),"")</f>
        <v>#NUM!</v>
      </c>
      <c r="O16" s="17" t="s">
        <v>232</v>
      </c>
      <c r="P16" s="16" t="e">
        <f>1.483*MEDIAN(Q6:Q9)</f>
        <v>#VALUE!</v>
      </c>
      <c r="Q16" s="16" t="e">
        <f>1.483*Q15</f>
        <v>#NUM!</v>
      </c>
      <c r="R16" s="18" t="e">
        <f>1.134*_xlfn.STDEV.S(R5:R9)</f>
        <v>#NUM!</v>
      </c>
      <c r="S16" s="18" t="e">
        <f t="shared" ref="S16:U16" si="6">1.134*_xlfn.STDEV.S(S5:S9)</f>
        <v>#NUM!</v>
      </c>
      <c r="T16" s="18" t="e">
        <f t="shared" si="6"/>
        <v>#NUM!</v>
      </c>
      <c r="U16" s="18" t="e">
        <f t="shared" si="6"/>
        <v>#NUM!</v>
      </c>
    </row>
    <row r="17" spans="1:10" ht="31.5" x14ac:dyDescent="0.25">
      <c r="A17">
        <v>13</v>
      </c>
      <c r="B17" s="113" t="s">
        <v>268</v>
      </c>
      <c r="C17" s="114" t="s">
        <v>264</v>
      </c>
      <c r="D17" s="113" t="s">
        <v>271</v>
      </c>
      <c r="E17" s="32" t="str">
        <f>IF(VLOOKUP(B17,'HCV DL'!D:Q,14,0)&lt;&gt;"",VLOOKUP(B17,'HCV DL'!D:Q,14,0),"")</f>
        <v>X</v>
      </c>
      <c r="F17" s="33" t="e">
        <f>IF(VLOOKUP(B17,'HCV DL'!D:AF,14,0)&lt;&gt;"",ABS(E17-$E$36),"")</f>
        <v>#VALUE!</v>
      </c>
      <c r="G17" s="183" t="e">
        <f>IF(VLOOKUP(B17,'HCV DL'!D:AF,14,0)&lt;&gt;"",IF(E17&lt;$F$2,$F$2,IF(E17&gt;$F$3,$F$3,E17)),"")</f>
        <v>#NUM!</v>
      </c>
      <c r="H17" s="183" t="e">
        <f>IF(VLOOKUP(B17,'HCV DL'!D:AF,14,0)&lt;&gt;"",IF(G17&lt;$H$2,$H$2,IF(G17&gt;$H$3,$H$3,G17)),"")</f>
        <v>#NUM!</v>
      </c>
      <c r="I17" s="183" t="e">
        <f>IF(VLOOKUP(B17,'HCV DL'!D:AF,14,0)&lt;&gt;"",IF(H17&lt;$I$2,$I$2,IF(H17&gt;$I$3,$I$3,H17)),"")</f>
        <v>#NUM!</v>
      </c>
      <c r="J17" s="183" t="e">
        <f>IF(VLOOKUP(B17,'HCV DL'!D:AF,14,0)&lt;&gt;"",IF(I17&lt;$J$2,$J$2,IF(I17&gt;$J$3,$J$3,I17)),"")</f>
        <v>#NUM!</v>
      </c>
    </row>
    <row r="18" spans="1:10" x14ac:dyDescent="0.25">
      <c r="A18">
        <v>14</v>
      </c>
      <c r="B18" s="66" t="s">
        <v>342</v>
      </c>
      <c r="C18" s="119" t="s">
        <v>220</v>
      </c>
      <c r="D18" s="119" t="s">
        <v>80</v>
      </c>
      <c r="E18" s="32" t="str">
        <f>IF(VLOOKUP(B18,'HCV DL'!D:Q,14,0)&lt;&gt;"",VLOOKUP(B18,'HCV DL'!D:Q,14,0),"")</f>
        <v>Âm tính</v>
      </c>
      <c r="F18" s="33" t="e">
        <f>IF(VLOOKUP(B18,'HCV DL'!D:AF,14,0)&lt;&gt;"",ABS(E18-$E$36),"")</f>
        <v>#VALUE!</v>
      </c>
      <c r="G18" s="183" t="e">
        <f>IF(VLOOKUP(B18,'HCV DL'!D:AF,14,0)&lt;&gt;"",IF(E18&lt;$F$2,$F$2,IF(E18&gt;$F$3,$F$3,E18)),"")</f>
        <v>#NUM!</v>
      </c>
      <c r="H18" s="183" t="e">
        <f>IF(VLOOKUP(B18,'HCV DL'!D:AF,14,0)&lt;&gt;"",IF(G18&lt;$H$2,$H$2,IF(G18&gt;$H$3,$H$3,G18)),"")</f>
        <v>#NUM!</v>
      </c>
      <c r="I18" s="183" t="e">
        <f>IF(VLOOKUP(B18,'HCV DL'!D:AF,14,0)&lt;&gt;"",IF(H18&lt;$I$2,$I$2,IF(H18&gt;$I$3,$I$3,H18)),"")</f>
        <v>#NUM!</v>
      </c>
      <c r="J18" s="183" t="e">
        <f>IF(VLOOKUP(B18,'HCV DL'!D:AF,14,0)&lt;&gt;"",IF(I18&lt;$J$2,$J$2,IF(I18&gt;$J$3,$J$3,I18)),"")</f>
        <v>#NUM!</v>
      </c>
    </row>
    <row r="19" spans="1:10" ht="31.5" x14ac:dyDescent="0.25">
      <c r="A19">
        <v>15</v>
      </c>
      <c r="B19" s="66" t="s">
        <v>352</v>
      </c>
      <c r="C19" s="119" t="s">
        <v>36</v>
      </c>
      <c r="D19" s="119" t="s">
        <v>37</v>
      </c>
      <c r="E19" s="32" t="str">
        <f>IF(VLOOKUP(B19,'HCV DL'!D:Q,14,0)&lt;&gt;"",VLOOKUP(B19,'HCV DL'!D:Q,14,0),"")</f>
        <v>Dưới ngưỡng phát hiện</v>
      </c>
      <c r="F19" s="33" t="e">
        <f>IF(VLOOKUP(B19,'HCV DL'!D:AF,14,0)&lt;&gt;"",ABS(E19-$E$36),"")</f>
        <v>#VALUE!</v>
      </c>
      <c r="G19" s="183" t="e">
        <f>IF(VLOOKUP(B19,'HCV DL'!D:AF,14,0)&lt;&gt;"",IF(E19&lt;$F$2,$F$2,IF(E19&gt;$F$3,$F$3,E19)),"")</f>
        <v>#NUM!</v>
      </c>
      <c r="H19" s="183" t="e">
        <f>IF(VLOOKUP(B19,'HCV DL'!D:AF,14,0)&lt;&gt;"",IF(G19&lt;$H$2,$H$2,IF(G19&gt;$H$3,$H$3,G19)),"")</f>
        <v>#NUM!</v>
      </c>
      <c r="I19" s="183" t="e">
        <f>IF(VLOOKUP(B19,'HCV DL'!D:AF,14,0)&lt;&gt;"",IF(H19&lt;$I$2,$I$2,IF(H19&gt;$I$3,$I$3,H19)),"")</f>
        <v>#NUM!</v>
      </c>
      <c r="J19" s="183" t="e">
        <f>IF(VLOOKUP(B19,'HCV DL'!D:AF,14,0)&lt;&gt;"",IF(I19&lt;$J$2,$J$2,IF(I19&gt;$J$3,$J$3,I19)),"")</f>
        <v>#NUM!</v>
      </c>
    </row>
    <row r="20" spans="1:10" ht="47.25" x14ac:dyDescent="0.25">
      <c r="A20">
        <v>16</v>
      </c>
      <c r="B20" s="101" t="s">
        <v>343</v>
      </c>
      <c r="C20" s="101" t="s">
        <v>302</v>
      </c>
      <c r="D20" s="101" t="s">
        <v>320</v>
      </c>
      <c r="E20" s="32" t="str">
        <f>IF(VLOOKUP(B20,'HCV DL'!D:Q,14,0)&lt;&gt;"",VLOOKUP(B20,'HCV DL'!D:Q,14,0),"")</f>
        <v>0</v>
      </c>
      <c r="F20" s="33" t="e">
        <f>IF(VLOOKUP(B20,'HCV DL'!D:AF,14,0)&lt;&gt;"",ABS(E20-$E$36),"")</f>
        <v>#NUM!</v>
      </c>
      <c r="G20" s="183" t="e">
        <f>IF(VLOOKUP(B20,'HCV DL'!D:AF,14,0)&lt;&gt;"",IF(E20&lt;$F$2,$F$2,IF(E20&gt;$F$3,$F$3,E20)),"")</f>
        <v>#NUM!</v>
      </c>
      <c r="H20" s="183" t="e">
        <f>IF(VLOOKUP(B20,'HCV DL'!D:AF,14,0)&lt;&gt;"",IF(G20&lt;$H$2,$H$2,IF(G20&gt;$H$3,$H$3,G20)),"")</f>
        <v>#NUM!</v>
      </c>
      <c r="I20" s="183" t="e">
        <f>IF(VLOOKUP(B20,'HCV DL'!D:AF,14,0)&lt;&gt;"",IF(H20&lt;$I$2,$I$2,IF(H20&gt;$I$3,$I$3,H20)),"")</f>
        <v>#NUM!</v>
      </c>
      <c r="J20" s="183" t="e">
        <f>IF(VLOOKUP(B20,'HCV DL'!D:AF,14,0)&lt;&gt;"",IF(I20&lt;$J$2,$J$2,IF(I20&gt;$J$3,$J$3,I20)),"")</f>
        <v>#NUM!</v>
      </c>
    </row>
    <row r="21" spans="1:10" ht="47.25" x14ac:dyDescent="0.25">
      <c r="A21">
        <v>17</v>
      </c>
      <c r="B21" s="67" t="s">
        <v>344</v>
      </c>
      <c r="C21" s="122" t="s">
        <v>300</v>
      </c>
      <c r="D21" s="122" t="s">
        <v>317</v>
      </c>
      <c r="E21" s="32" t="str">
        <f>IF(VLOOKUP(B21,'HCV DL'!D:Q,14,0)&lt;&gt;"",VLOOKUP(B21,'HCV DL'!D:Q,14,0),"")</f>
        <v>N/A</v>
      </c>
      <c r="F21" s="33" t="e">
        <f>IF(VLOOKUP(B21,'HCV DL'!D:AF,14,0)&lt;&gt;"",ABS(E21-$E$36),"")</f>
        <v>#VALUE!</v>
      </c>
      <c r="G21" s="183" t="e">
        <f>IF(VLOOKUP(B21,'HCV DL'!D:AF,14,0)&lt;&gt;"",IF(E21&lt;$F$2,$F$2,IF(E21&gt;$F$3,$F$3,E21)),"")</f>
        <v>#NUM!</v>
      </c>
      <c r="H21" s="183" t="e">
        <f>IF(VLOOKUP(B21,'HCV DL'!D:AF,14,0)&lt;&gt;"",IF(G21&lt;$H$2,$H$2,IF(G21&gt;$H$3,$H$3,G21)),"")</f>
        <v>#NUM!</v>
      </c>
      <c r="I21" s="183" t="e">
        <f>IF(VLOOKUP(B21,'HCV DL'!D:AF,14,0)&lt;&gt;"",IF(H21&lt;$I$2,$I$2,IF(H21&gt;$I$3,$I$3,H21)),"")</f>
        <v>#NUM!</v>
      </c>
      <c r="J21" s="183" t="e">
        <f>IF(VLOOKUP(B21,'HCV DL'!D:AF,14,0)&lt;&gt;"",IF(I21&lt;$J$2,$J$2,IF(I21&gt;$J$3,$J$3,I21)),"")</f>
        <v>#NUM!</v>
      </c>
    </row>
    <row r="22" spans="1:10" x14ac:dyDescent="0.25">
      <c r="A22">
        <v>18</v>
      </c>
      <c r="B22" s="125" t="s">
        <v>184</v>
      </c>
      <c r="C22" s="125" t="s">
        <v>104</v>
      </c>
      <c r="D22" s="125" t="s">
        <v>105</v>
      </c>
      <c r="E22" s="32" t="str">
        <f>IF(VLOOKUP(B22,'HCV DL'!D:Q,14,0)&lt;&gt;"",VLOOKUP(B22,'HCV DL'!D:Q,14,0),"")</f>
        <v/>
      </c>
      <c r="F22" s="33" t="str">
        <f>IF(VLOOKUP(B22,'HCV DL'!D:AF,14,0)&lt;&gt;"",ABS(E22-$E$36),"")</f>
        <v/>
      </c>
      <c r="G22" s="183" t="str">
        <f>IF(VLOOKUP(B22,'HCV DL'!D:AF,14,0)&lt;&gt;"",IF(E22&lt;$F$2,$F$2,IF(E22&gt;$F$3,$F$3,E22)),"")</f>
        <v/>
      </c>
      <c r="H22" s="183" t="str">
        <f>IF(VLOOKUP(B22,'HCV DL'!D:AF,14,0)&lt;&gt;"",IF(G22&lt;$H$2,$H$2,IF(G22&gt;$H$3,$H$3,G22)),"")</f>
        <v/>
      </c>
      <c r="I22" s="183" t="str">
        <f>IF(VLOOKUP(B22,'HCV DL'!D:AF,14,0)&lt;&gt;"",IF(H22&lt;$I$2,$I$2,IF(H22&gt;$I$3,$I$3,H22)),"")</f>
        <v/>
      </c>
      <c r="J22" s="183" t="str">
        <f>IF(VLOOKUP(B22,'HCV DL'!D:AF,14,0)&lt;&gt;"",IF(I22&lt;$J$2,$J$2,IF(I22&gt;$J$3,$J$3,I22)),"")</f>
        <v/>
      </c>
    </row>
    <row r="23" spans="1:10" ht="31.5" x14ac:dyDescent="0.25">
      <c r="A23">
        <v>19</v>
      </c>
      <c r="B23" s="68" t="s">
        <v>191</v>
      </c>
      <c r="C23" s="68" t="s">
        <v>20</v>
      </c>
      <c r="D23" s="68" t="s">
        <v>21</v>
      </c>
      <c r="E23" s="32" t="str">
        <f>IF(VLOOKUP(B23,'HCV DL'!D:Q,14,0)&lt;&gt;"",VLOOKUP(B23,'HCV DL'!D:Q,14,0),"")</f>
        <v/>
      </c>
      <c r="F23" s="33" t="str">
        <f>IF(VLOOKUP(B23,'HCV DL'!D:AF,14,0)&lt;&gt;"",ABS(E23-$E$36),"")</f>
        <v/>
      </c>
      <c r="G23" s="183" t="str">
        <f>IF(VLOOKUP(B23,'HCV DL'!D:AF,14,0)&lt;&gt;"",IF(E23&lt;$F$2,$F$2,IF(E23&gt;$F$3,$F$3,E23)),"")</f>
        <v/>
      </c>
      <c r="H23" s="183" t="str">
        <f>IF(VLOOKUP(B23,'HCV DL'!D:AF,14,0)&lt;&gt;"",IF(G23&lt;$H$2,$H$2,IF(G23&gt;$H$3,$H$3,G23)),"")</f>
        <v/>
      </c>
      <c r="I23" s="183" t="str">
        <f>IF(VLOOKUP(B23,'HCV DL'!D:AF,14,0)&lt;&gt;"",IF(H23&lt;$I$2,$I$2,IF(H23&gt;$I$3,$I$3,H23)),"")</f>
        <v/>
      </c>
      <c r="J23" s="183" t="str">
        <f>IF(VLOOKUP(B23,'HCV DL'!D:AF,14,0)&lt;&gt;"",IF(I23&lt;$J$2,$J$2,IF(I23&gt;$J$3,$J$3,I23)),"")</f>
        <v/>
      </c>
    </row>
    <row r="24" spans="1:10" ht="31.5" x14ac:dyDescent="0.25">
      <c r="A24">
        <v>20</v>
      </c>
      <c r="B24" s="68" t="s">
        <v>252</v>
      </c>
      <c r="C24" s="68" t="s">
        <v>40</v>
      </c>
      <c r="D24" s="68" t="s">
        <v>222</v>
      </c>
      <c r="E24" s="32" t="str">
        <f>IF(VLOOKUP(B24,'HCV DL'!D:Q,14,0)&lt;&gt;"",VLOOKUP(B24,'HCV DL'!D:Q,14,0),"")</f>
        <v/>
      </c>
      <c r="F24" s="33" t="str">
        <f>IF(VLOOKUP(B24,'HCV DL'!D:AF,14,0)&lt;&gt;"",ABS(E24-$E$36),"")</f>
        <v/>
      </c>
      <c r="G24" s="183" t="str">
        <f>IF(VLOOKUP(B24,'HCV DL'!D:AF,14,0)&lt;&gt;"",IF(E24&lt;$F$2,$F$2,IF(E24&gt;$F$3,$F$3,E24)),"")</f>
        <v/>
      </c>
      <c r="H24" s="183" t="str">
        <f>IF(VLOOKUP(B24,'HCV DL'!D:AF,14,0)&lt;&gt;"",IF(G24&lt;$H$2,$H$2,IF(G24&gt;$H$3,$H$3,G24)),"")</f>
        <v/>
      </c>
      <c r="I24" s="183" t="str">
        <f>IF(VLOOKUP(B24,'HCV DL'!D:AF,14,0)&lt;&gt;"",IF(H24&lt;$I$2,$I$2,IF(H24&gt;$I$3,$I$3,H24)),"")</f>
        <v/>
      </c>
      <c r="J24" s="183" t="str">
        <f>IF(VLOOKUP(B24,'HCV DL'!D:AF,14,0)&lt;&gt;"",IF(I24&lt;$J$2,$J$2,IF(I24&gt;$J$3,$J$3,I24)),"")</f>
        <v/>
      </c>
    </row>
    <row r="25" spans="1:10" ht="31.5" x14ac:dyDescent="0.25">
      <c r="A25">
        <v>21</v>
      </c>
      <c r="B25" s="68" t="s">
        <v>181</v>
      </c>
      <c r="C25" s="68" t="s">
        <v>96</v>
      </c>
      <c r="D25" s="68" t="s">
        <v>97</v>
      </c>
      <c r="E25" s="32" t="str">
        <f>IF(VLOOKUP(B25,'HCV DL'!D:Q,14,0)&lt;&gt;"",VLOOKUP(B25,'HCV DL'!D:Q,14,0),"")</f>
        <v/>
      </c>
      <c r="F25" s="33" t="str">
        <f>IF(VLOOKUP(B25,'HCV DL'!D:AF,14,0)&lt;&gt;"",ABS(E25-$E$36),"")</f>
        <v/>
      </c>
      <c r="G25" s="183" t="str">
        <f>IF(VLOOKUP(B25,'HCV DL'!D:AF,14,0)&lt;&gt;"",IF(E25&lt;$F$2,$F$2,IF(E25&gt;$F$3,$F$3,E25)),"")</f>
        <v/>
      </c>
      <c r="H25" s="183" t="str">
        <f>IF(VLOOKUP(B25,'HCV DL'!D:AF,14,0)&lt;&gt;"",IF(G25&lt;$H$2,$H$2,IF(G25&gt;$H$3,$H$3,G25)),"")</f>
        <v/>
      </c>
      <c r="I25" s="183" t="str">
        <f>IF(VLOOKUP(B25,'HCV DL'!D:AF,14,0)&lt;&gt;"",IF(H25&lt;$I$2,$I$2,IF(H25&gt;$I$3,$I$3,H25)),"")</f>
        <v/>
      </c>
      <c r="J25" s="183" t="str">
        <f>IF(VLOOKUP(B25,'HCV DL'!D:AF,14,0)&lt;&gt;"",IF(I25&lt;$J$2,$J$2,IF(I25&gt;$J$3,$J$3,I25)),"")</f>
        <v/>
      </c>
    </row>
    <row r="26" spans="1:10" ht="31.5" x14ac:dyDescent="0.25">
      <c r="A26">
        <v>22</v>
      </c>
      <c r="B26" s="68" t="s">
        <v>188</v>
      </c>
      <c r="C26" s="68" t="s">
        <v>107</v>
      </c>
      <c r="D26" s="68" t="s">
        <v>108</v>
      </c>
      <c r="E26" s="32" t="str">
        <f>IF(VLOOKUP(B26,'HCV DL'!D:Q,14,0)&lt;&gt;"",VLOOKUP(B26,'HCV DL'!D:Q,14,0),"")</f>
        <v/>
      </c>
      <c r="F26" s="33" t="str">
        <f>IF(VLOOKUP(B26,'HCV DL'!D:AF,14,0)&lt;&gt;"",ABS(E26-$E$36),"")</f>
        <v/>
      </c>
      <c r="G26" s="183" t="str">
        <f>IF(VLOOKUP(B26,'HCV DL'!D:AF,14,0)&lt;&gt;"",IF(E26&lt;$F$2,$F$2,IF(E26&gt;$F$3,$F$3,E26)),"")</f>
        <v/>
      </c>
      <c r="H26" s="183" t="str">
        <f>IF(VLOOKUP(B26,'HCV DL'!D:AF,14,0)&lt;&gt;"",IF(G26&lt;$H$2,$H$2,IF(G26&gt;$H$3,$H$3,G26)),"")</f>
        <v/>
      </c>
      <c r="I26" s="183" t="str">
        <f>IF(VLOOKUP(B26,'HCV DL'!D:AF,14,0)&lt;&gt;"",IF(H26&lt;$I$2,$I$2,IF(H26&gt;$I$3,$I$3,H26)),"")</f>
        <v/>
      </c>
      <c r="J26" s="183" t="str">
        <f>IF(VLOOKUP(B26,'HCV DL'!D:AF,14,0)&lt;&gt;"",IF(I26&lt;$J$2,$J$2,IF(I26&gt;$J$3,$J$3,I26)),"")</f>
        <v/>
      </c>
    </row>
    <row r="27" spans="1:10" ht="31.5" x14ac:dyDescent="0.25">
      <c r="A27">
        <v>23</v>
      </c>
      <c r="B27" s="68" t="s">
        <v>188</v>
      </c>
      <c r="C27" s="68" t="s">
        <v>107</v>
      </c>
      <c r="D27" s="68" t="s">
        <v>108</v>
      </c>
      <c r="E27" s="32" t="str">
        <f>IF(VLOOKUP(B27,'HCV DL'!D:Q,14,0)&lt;&gt;"",VLOOKUP(B27,'HCV DL'!D:Q,14,0),"")</f>
        <v/>
      </c>
      <c r="F27" s="33" t="str">
        <f>IF(VLOOKUP(B27,'HCV DL'!D:AF,14,0)&lt;&gt;"",ABS(E27-$E$36),"")</f>
        <v/>
      </c>
      <c r="G27" s="183" t="str">
        <f>IF(VLOOKUP(B27,'HCV DL'!D:AF,14,0)&lt;&gt;"",IF(E27&lt;$F$2,$F$2,IF(E27&gt;$F$3,$F$3,E27)),"")</f>
        <v/>
      </c>
      <c r="H27" s="183" t="str">
        <f>IF(VLOOKUP(B27,'HCV DL'!D:AF,14,0)&lt;&gt;"",IF(G27&lt;$H$2,$H$2,IF(G27&gt;$H$3,$H$3,G27)),"")</f>
        <v/>
      </c>
      <c r="I27" s="183" t="str">
        <f>IF(VLOOKUP(B27,'HCV DL'!D:AF,14,0)&lt;&gt;"",IF(H27&lt;$I$2,$I$2,IF(H27&gt;$I$3,$I$3,H27)),"")</f>
        <v/>
      </c>
      <c r="J27" s="183" t="str">
        <f>IF(VLOOKUP(B27,'HCV DL'!D:AF,14,0)&lt;&gt;"",IF(I27&lt;$J$2,$J$2,IF(I27&gt;$J$3,$J$3,I27)),"")</f>
        <v/>
      </c>
    </row>
    <row r="28" spans="1:10" ht="31.5" x14ac:dyDescent="0.25">
      <c r="A28">
        <v>24</v>
      </c>
      <c r="B28" s="132" t="s">
        <v>169</v>
      </c>
      <c r="C28" s="132" t="s">
        <v>170</v>
      </c>
      <c r="D28" s="132" t="s">
        <v>171</v>
      </c>
      <c r="E28" s="32" t="str">
        <f>IF(VLOOKUP(B28,'HCV DL'!D:Q,14,0)&lt;&gt;"",VLOOKUP(B28,'HCV DL'!D:Q,14,0),"")</f>
        <v/>
      </c>
      <c r="F28" s="33" t="str">
        <f>IF(VLOOKUP(B28,'HCV DL'!D:AF,14,0)&lt;&gt;"",ABS(E28-$E$36),"")</f>
        <v/>
      </c>
      <c r="G28" s="183" t="str">
        <f>IF(VLOOKUP(B28,'HCV DL'!D:AF,14,0)&lt;&gt;"",IF(E28&lt;$F$2,$F$2,IF(E28&gt;$F$3,$F$3,E28)),"")</f>
        <v/>
      </c>
      <c r="H28" s="183" t="str">
        <f>IF(VLOOKUP(B28,'HCV DL'!D:AF,14,0)&lt;&gt;"",IF(G28&lt;$H$2,$H$2,IF(G28&gt;$H$3,$H$3,G28)),"")</f>
        <v/>
      </c>
      <c r="I28" s="183" t="str">
        <f>IF(VLOOKUP(B28,'HCV DL'!D:AF,14,0)&lt;&gt;"",IF(H28&lt;$I$2,$I$2,IF(H28&gt;$I$3,$I$3,H28)),"")</f>
        <v/>
      </c>
      <c r="J28" s="183" t="str">
        <f>IF(VLOOKUP(B28,'HCV DL'!D:AF,14,0)&lt;&gt;"",IF(I28&lt;$J$2,$J$2,IF(I28&gt;$J$3,$J$3,I28)),"")</f>
        <v/>
      </c>
    </row>
    <row r="29" spans="1:10" x14ac:dyDescent="0.25">
      <c r="A29">
        <v>25</v>
      </c>
      <c r="B29" s="68" t="s">
        <v>197</v>
      </c>
      <c r="C29" s="68" t="s">
        <v>111</v>
      </c>
      <c r="D29" s="68" t="s">
        <v>198</v>
      </c>
      <c r="E29" s="32" t="str">
        <f>IF(VLOOKUP(B29,'HCV DL'!D:Q,14,0)&lt;&gt;"",VLOOKUP(B29,'HCV DL'!D:Q,14,0),"")</f>
        <v/>
      </c>
      <c r="F29" s="33" t="str">
        <f>IF(VLOOKUP(B29,'HCV DL'!D:AF,14,0)&lt;&gt;"",ABS(E29-$E$36),"")</f>
        <v/>
      </c>
      <c r="G29" s="183" t="str">
        <f>IF(VLOOKUP(B29,'HCV DL'!D:AF,14,0)&lt;&gt;"",IF(E29&lt;$F$2,$F$2,IF(E29&gt;$F$3,$F$3,E29)),"")</f>
        <v/>
      </c>
      <c r="H29" s="183" t="str">
        <f>IF(VLOOKUP(B29,'HCV DL'!D:AF,14,0)&lt;&gt;"",IF(G29&lt;$H$2,$H$2,IF(G29&gt;$H$3,$H$3,G29)),"")</f>
        <v/>
      </c>
      <c r="I29" s="183" t="str">
        <f>IF(VLOOKUP(B29,'HCV DL'!D:AF,14,0)&lt;&gt;"",IF(H29&lt;$I$2,$I$2,IF(H29&gt;$I$3,$I$3,H29)),"")</f>
        <v/>
      </c>
      <c r="J29" s="183" t="str">
        <f>IF(VLOOKUP(B29,'HCV DL'!D:AF,14,0)&lt;&gt;"",IF(I29&lt;$J$2,$J$2,IF(I29&gt;$J$3,$J$3,I29)),"")</f>
        <v/>
      </c>
    </row>
    <row r="30" spans="1:10" x14ac:dyDescent="0.25">
      <c r="B30" s="68" t="s">
        <v>204</v>
      </c>
      <c r="C30" s="68" t="s">
        <v>49</v>
      </c>
      <c r="D30" s="68" t="s">
        <v>50</v>
      </c>
      <c r="E30" s="32" t="str">
        <f>IF(VLOOKUP(B30,'HCV DL'!D:Q,14,0)&lt;&gt;"",VLOOKUP(B30,'HCV DL'!D:Q,14,0),"")</f>
        <v/>
      </c>
      <c r="F30" s="33" t="str">
        <f>IF(VLOOKUP(B30,'HCV DL'!D:AF,14,0)&lt;&gt;"",ABS(E30-$E$36),"")</f>
        <v/>
      </c>
      <c r="G30" s="183" t="str">
        <f>IF(VLOOKUP(B30,'HCV DL'!D:AF,14,0)&lt;&gt;"",IF(E30&lt;$F$2,$F$2,IF(E30&gt;$F$3,$F$3,E30)),"")</f>
        <v/>
      </c>
      <c r="H30" s="183" t="str">
        <f>IF(VLOOKUP(B30,'HCV DL'!D:AF,14,0)&lt;&gt;"",IF(G30&lt;$H$2,$H$2,IF(G30&gt;$H$3,$H$3,G30)),"")</f>
        <v/>
      </c>
      <c r="I30" s="183" t="str">
        <f>IF(VLOOKUP(B30,'HCV DL'!D:AF,14,0)&lt;&gt;"",IF(H30&lt;$I$2,$I$2,IF(H30&gt;$I$3,$I$3,H30)),"")</f>
        <v/>
      </c>
      <c r="J30" s="183" t="str">
        <f>IF(VLOOKUP(B30,'HCV DL'!D:AF,14,0)&lt;&gt;"",IF(I30&lt;$J$2,$J$2,IF(I30&gt;$J$3,$J$3,I30)),"")</f>
        <v/>
      </c>
    </row>
    <row r="31" spans="1:10" x14ac:dyDescent="0.25">
      <c r="B31" s="49"/>
      <c r="C31" s="50"/>
      <c r="D31" s="51"/>
    </row>
    <row r="32" spans="1:10" x14ac:dyDescent="0.25">
      <c r="B32" s="49"/>
      <c r="C32" s="50"/>
      <c r="D32" s="51"/>
    </row>
    <row r="33" spans="4:10" x14ac:dyDescent="0.25">
      <c r="D33" s="30" t="s">
        <v>229</v>
      </c>
      <c r="E33" s="16" t="e">
        <f>AVERAGE(E5:E30)</f>
        <v>#DIV/0!</v>
      </c>
      <c r="F33" s="16"/>
      <c r="G33" s="16" t="e">
        <f>AVERAGE(G5:G30)</f>
        <v>#NUM!</v>
      </c>
      <c r="H33" s="16" t="e">
        <f t="shared" ref="H33:J33" si="7">AVERAGE(H5:H30)</f>
        <v>#NUM!</v>
      </c>
      <c r="I33" s="16" t="e">
        <f t="shared" si="7"/>
        <v>#NUM!</v>
      </c>
      <c r="J33" s="16" t="e">
        <f t="shared" si="7"/>
        <v>#NUM!</v>
      </c>
    </row>
    <row r="34" spans="4:10" x14ac:dyDescent="0.25">
      <c r="D34" s="17" t="s">
        <v>123</v>
      </c>
      <c r="E34" s="16" t="e">
        <f>_xlfn.STDEV.S(E5:E30)</f>
        <v>#DIV/0!</v>
      </c>
      <c r="F34" s="16"/>
      <c r="G34" s="16" t="e">
        <f>_xlfn.STDEV.S(G5:G30)</f>
        <v>#NUM!</v>
      </c>
      <c r="H34" s="16" t="e">
        <f t="shared" ref="H34:J34" si="8">_xlfn.STDEV.S(H5:H30)</f>
        <v>#NUM!</v>
      </c>
      <c r="I34" s="16" t="e">
        <f t="shared" si="8"/>
        <v>#NUM!</v>
      </c>
      <c r="J34" s="16" t="e">
        <f t="shared" si="8"/>
        <v>#NUM!</v>
      </c>
    </row>
    <row r="35" spans="4:10" x14ac:dyDescent="0.25">
      <c r="D35" s="17" t="s">
        <v>230</v>
      </c>
      <c r="E35" s="16" t="e">
        <f>1.5*E37</f>
        <v>#NUM!</v>
      </c>
      <c r="F35" s="16"/>
      <c r="G35" s="16" t="e">
        <f>1.5*G37</f>
        <v>#NUM!</v>
      </c>
      <c r="H35" s="16" t="e">
        <f t="shared" ref="H35:J35" si="9">1.5*H37</f>
        <v>#NUM!</v>
      </c>
      <c r="I35" s="16" t="e">
        <f t="shared" si="9"/>
        <v>#NUM!</v>
      </c>
      <c r="J35" s="16" t="e">
        <f t="shared" si="9"/>
        <v>#NUM!</v>
      </c>
    </row>
    <row r="36" spans="4:10" x14ac:dyDescent="0.25">
      <c r="D36" s="17" t="s">
        <v>231</v>
      </c>
      <c r="E36" s="16" t="e">
        <f>MEDIAN(E5:E30)</f>
        <v>#NUM!</v>
      </c>
      <c r="F36" s="16" t="e">
        <f>MEDIAN(F5:F30)</f>
        <v>#NUM!</v>
      </c>
      <c r="G36" s="18" t="e">
        <f>AVERAGE(G5:G30)</f>
        <v>#NUM!</v>
      </c>
      <c r="H36" s="18" t="e">
        <f t="shared" ref="H36:J36" si="10">AVERAGE(H5:H30)</f>
        <v>#NUM!</v>
      </c>
      <c r="I36" s="18" t="e">
        <f t="shared" si="10"/>
        <v>#NUM!</v>
      </c>
      <c r="J36" s="18" t="e">
        <f t="shared" si="10"/>
        <v>#NUM!</v>
      </c>
    </row>
    <row r="37" spans="4:10" x14ac:dyDescent="0.25">
      <c r="D37" s="17" t="s">
        <v>232</v>
      </c>
      <c r="E37" s="16" t="e">
        <f>1.483*MEDIAN(F5:F30)</f>
        <v>#NUM!</v>
      </c>
      <c r="F37" s="16" t="e">
        <f>1.483*F36</f>
        <v>#NUM!</v>
      </c>
      <c r="G37" s="18" t="e">
        <f>1.134*_xlfn.STDEV.S(G5:G30)</f>
        <v>#NUM!</v>
      </c>
      <c r="H37" s="18" t="e">
        <f t="shared" ref="H37:J37" si="11">1.134*_xlfn.STDEV.S(H5:H30)</f>
        <v>#NUM!</v>
      </c>
      <c r="I37" s="18" t="e">
        <f t="shared" si="11"/>
        <v>#NUM!</v>
      </c>
      <c r="J37" s="18" t="e">
        <f t="shared" si="11"/>
        <v>#NUM!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37"/>
  <sheetViews>
    <sheetView topLeftCell="A7" workbookViewId="0">
      <selection activeCell="BN2" sqref="BN2"/>
    </sheetView>
  </sheetViews>
  <sheetFormatPr defaultRowHeight="15.75" x14ac:dyDescent="0.25"/>
  <cols>
    <col min="1" max="1" width="4.25" bestFit="1" customWidth="1"/>
    <col min="3" max="3" width="10.875" customWidth="1"/>
    <col min="4" max="4" width="24.5" style="13" customWidth="1"/>
    <col min="5" max="5" width="10.5" bestFit="1" customWidth="1"/>
    <col min="6" max="6" width="8.375" bestFit="1" customWidth="1"/>
    <col min="7" max="10" width="10.5" bestFit="1" customWidth="1"/>
    <col min="14" max="14" width="12.25" customWidth="1"/>
    <col min="15" max="15" width="26.75" customWidth="1"/>
  </cols>
  <sheetData>
    <row r="1" spans="1:21" ht="30" x14ac:dyDescent="0.25">
      <c r="F1" s="15" t="s">
        <v>224</v>
      </c>
      <c r="G1" s="15" t="s">
        <v>225</v>
      </c>
      <c r="H1" s="15" t="s">
        <v>226</v>
      </c>
      <c r="I1" s="15" t="s">
        <v>227</v>
      </c>
      <c r="J1" s="15" t="s">
        <v>228</v>
      </c>
      <c r="O1" s="13"/>
      <c r="Q1" s="15" t="s">
        <v>224</v>
      </c>
      <c r="R1" s="15" t="s">
        <v>225</v>
      </c>
      <c r="S1" s="15" t="s">
        <v>226</v>
      </c>
      <c r="T1" s="15" t="s">
        <v>227</v>
      </c>
      <c r="U1" s="15" t="s">
        <v>228</v>
      </c>
    </row>
    <row r="2" spans="1:21" x14ac:dyDescent="0.25">
      <c r="F2" s="15">
        <f>E36-E35</f>
        <v>5.8208150000000005</v>
      </c>
      <c r="G2" s="15"/>
      <c r="H2" s="15">
        <f>G36-G35</f>
        <v>5.7638702279290133</v>
      </c>
      <c r="I2" s="15">
        <f>H36-H35</f>
        <v>5.7638702279290133</v>
      </c>
      <c r="J2" s="15">
        <f>I36-I35</f>
        <v>5.7638702279290133</v>
      </c>
      <c r="O2" s="13"/>
      <c r="Q2" s="15">
        <f>P15-P14</f>
        <v>6.0937750000000008</v>
      </c>
      <c r="R2" s="15"/>
      <c r="S2" s="15">
        <f t="shared" ref="S2:U2" si="0">R15-R14</f>
        <v>6.0654579012989922</v>
      </c>
      <c r="T2" s="15">
        <f t="shared" si="0"/>
        <v>6.0654579012989922</v>
      </c>
      <c r="U2" s="15">
        <f t="shared" si="0"/>
        <v>6.0654579012989922</v>
      </c>
    </row>
    <row r="3" spans="1:21" x14ac:dyDescent="0.25">
      <c r="F3" s="15">
        <f>E36+E35</f>
        <v>6.3991850000000001</v>
      </c>
      <c r="G3" s="15"/>
      <c r="H3" s="15">
        <f>G36+G35</f>
        <v>6.4440211054043193</v>
      </c>
      <c r="I3" s="15">
        <f>H36+H35</f>
        <v>6.4440211054043193</v>
      </c>
      <c r="J3" s="15">
        <f>I36+I35</f>
        <v>6.4440211054043193</v>
      </c>
      <c r="O3" s="13"/>
      <c r="Q3" s="15">
        <f>P15+P14</f>
        <v>6.3162249999999993</v>
      </c>
      <c r="R3" s="15"/>
      <c r="S3" s="15">
        <f t="shared" ref="S3:U3" si="1">R15+R14</f>
        <v>6.3526545987010072</v>
      </c>
      <c r="T3" s="15">
        <f t="shared" si="1"/>
        <v>6.3526545987010072</v>
      </c>
      <c r="U3" s="15">
        <f t="shared" si="1"/>
        <v>6.3526545987010072</v>
      </c>
    </row>
    <row r="4" spans="1:21" ht="31.5" x14ac:dyDescent="0.25">
      <c r="A4" t="s">
        <v>0</v>
      </c>
      <c r="B4" s="47" t="s">
        <v>3</v>
      </c>
      <c r="C4" s="47" t="s">
        <v>124</v>
      </c>
      <c r="D4" s="48" t="s">
        <v>125</v>
      </c>
      <c r="E4" s="32" t="s">
        <v>277</v>
      </c>
      <c r="F4" s="33"/>
      <c r="G4" s="33"/>
      <c r="H4" s="33"/>
      <c r="I4" s="33"/>
      <c r="J4" s="33"/>
      <c r="L4" t="s">
        <v>0</v>
      </c>
      <c r="M4" s="47" t="s">
        <v>3</v>
      </c>
      <c r="N4" s="47" t="s">
        <v>124</v>
      </c>
      <c r="O4" s="48" t="s">
        <v>125</v>
      </c>
      <c r="P4" s="32" t="s">
        <v>273</v>
      </c>
      <c r="Q4" s="33"/>
      <c r="R4" s="33"/>
      <c r="S4" s="33"/>
      <c r="T4" s="33"/>
      <c r="U4" s="33"/>
    </row>
    <row r="5" spans="1:21" x14ac:dyDescent="0.25">
      <c r="A5">
        <v>1</v>
      </c>
      <c r="B5" s="77" t="s">
        <v>152</v>
      </c>
      <c r="C5" s="77" t="s">
        <v>59</v>
      </c>
      <c r="D5" s="77" t="s">
        <v>60</v>
      </c>
      <c r="E5" s="32">
        <f>IF(VLOOKUP(B5,'HCV DL'!D:R,15,0)&lt;&gt;"",VLOOKUP(B5,'HCV DL'!D:R,15,0),"")</f>
        <v>6.11</v>
      </c>
      <c r="F5" s="33">
        <f>IF(VLOOKUP(B5,'HCV DL'!D:AF,15,0)&lt;&gt;"",ABS(E5-$E$36),"")</f>
        <v>0</v>
      </c>
      <c r="G5" s="35">
        <f>IF(VLOOKUP(B5,'HCV DL'!D:AF,15,0)&lt;&gt;"",IF(E5&lt;$F$2,$F$2,IF(E5&gt;$F$3,$F$3,E5)),"")</f>
        <v>6.11</v>
      </c>
      <c r="H5" s="35">
        <f>IF(VLOOKUP(B5,'HCV DL'!D:AF,15,0)&lt;&gt;"",IF(G5&lt;$H$2,$H$2,IF(G5&gt;$H$3,$H$3,G5)),"")</f>
        <v>6.11</v>
      </c>
      <c r="I5" s="35">
        <f>IF(VLOOKUP(B5,'HCV DL'!D:AF,15,0)&lt;&gt;"",IF(H5&lt;$I$2,$I$2,IF(H5&gt;$I$3,$I$3,H5)),"")</f>
        <v>6.11</v>
      </c>
      <c r="J5" s="35">
        <f>IF(VLOOKUP(B5,'HCV DL'!D:AF,15,0)&lt;&gt;"",IF(I5&lt;$J$2,$J$2,IF(I5&gt;$J$3,$J$3,I5)),"")</f>
        <v>6.11</v>
      </c>
      <c r="L5">
        <v>1</v>
      </c>
      <c r="M5" s="77" t="s">
        <v>152</v>
      </c>
      <c r="N5" s="77" t="s">
        <v>59</v>
      </c>
      <c r="O5" s="77" t="s">
        <v>60</v>
      </c>
      <c r="P5" s="32">
        <f>IF(VLOOKUP(M5,'HCV DL'!D:AF,15,0)&lt;&gt;"",VLOOKUP(M5,'HCV DL'!D:AF,15,0),"")</f>
        <v>6.11</v>
      </c>
      <c r="Q5" s="33">
        <f>IF(VLOOKUP(M5,'HCV DL'!D:AF,15,0)&lt;&gt;"",ABS(P5-$P$15),"")</f>
        <v>9.4999999999999751E-2</v>
      </c>
      <c r="R5" s="183">
        <f>IF(VLOOKUP(M5,'HCV DL'!D:AF,15,0)&lt;&gt;"",IF(P5&lt;$Q$2,$Q$2,IF(P5&gt;$Q$3,$Q$3,E5)),"")</f>
        <v>6.11</v>
      </c>
      <c r="S5" s="183">
        <f>IF(VLOOKUP(M5,'HCV DL'!D:AF,15,0)&lt;&gt;"",IF(R5&lt;$S$2,$S$2,IF(R5&gt;$S$3,$S$3,R5)),"")</f>
        <v>6.11</v>
      </c>
      <c r="T5" s="183">
        <f>IF(VLOOKUP(M5,'HCV DL'!D:AF,15,0)&lt;&gt;"",IF(S5&lt;$T$2,$T$2,IF(S5&gt;$T$3,$T$3,S5)),"")</f>
        <v>6.11</v>
      </c>
      <c r="U5" s="183">
        <f>IF(VLOOKUP(M5,'HCV DL'!D:AF,15,0)&lt;&gt;"",IF(T5&lt;$U$2,$U$2,IF(T5&gt;$U$3,$U$3,T5)),"")</f>
        <v>6.11</v>
      </c>
    </row>
    <row r="6" spans="1:21" ht="31.5" x14ac:dyDescent="0.25">
      <c r="A6">
        <v>2</v>
      </c>
      <c r="B6" s="77" t="s">
        <v>157</v>
      </c>
      <c r="C6" s="77" t="s">
        <v>56</v>
      </c>
      <c r="D6" s="77" t="s">
        <v>57</v>
      </c>
      <c r="E6" s="32">
        <f>IF(VLOOKUP(B6,'HCV DL'!D:R,15,0)&lt;&gt;"",VLOOKUP(B6,'HCV DL'!D:R,15,0),"")</f>
        <v>6.51</v>
      </c>
      <c r="F6" s="33">
        <f>IF(VLOOKUP(B6,'HCV DL'!D:AF,15,0)&lt;&gt;"",ABS(E6-$E$36),"")</f>
        <v>0.39999999999999947</v>
      </c>
      <c r="G6" s="35">
        <f>IF(VLOOKUP(B6,'HCV DL'!D:AF,15,0)&lt;&gt;"",IF(E6&lt;$F$2,$F$2,IF(E6&gt;$F$3,$F$3,E6)),"")</f>
        <v>6.3991850000000001</v>
      </c>
      <c r="H6" s="35">
        <f>IF(VLOOKUP(B6,'HCV DL'!D:AF,15,0)&lt;&gt;"",IF(G6&lt;$H$2,$H$2,IF(G6&gt;$H$3,$H$3,G6)),"")</f>
        <v>6.3991850000000001</v>
      </c>
      <c r="I6" s="35">
        <f>IF(VLOOKUP(B6,'HCV DL'!D:AF,15,0)&lt;&gt;"",IF(H6&lt;$I$2,$I$2,IF(H6&gt;$I$3,$I$3,H6)),"")</f>
        <v>6.3991850000000001</v>
      </c>
      <c r="J6" s="35">
        <f>IF(VLOOKUP(B6,'HCV DL'!D:AF,15,0)&lt;&gt;"",IF(I6&lt;$J$2,$J$2,IF(I6&gt;$J$3,$J$3,I6)),"")</f>
        <v>6.3991850000000001</v>
      </c>
      <c r="L6">
        <v>2</v>
      </c>
      <c r="M6" s="77" t="s">
        <v>157</v>
      </c>
      <c r="N6" s="77" t="s">
        <v>56</v>
      </c>
      <c r="O6" s="77" t="s">
        <v>57</v>
      </c>
      <c r="P6" s="32">
        <f>IF(VLOOKUP(M6,'HCV DL'!D:AF,15,0)&lt;&gt;"",VLOOKUP(M6,'HCV DL'!D:AF,15,0),"")</f>
        <v>6.51</v>
      </c>
      <c r="Q6" s="33">
        <f>IF(VLOOKUP(M6,'HCV DL'!D:AF,15,0)&lt;&gt;"",ABS(P6-$P$15),"")</f>
        <v>0.30499999999999972</v>
      </c>
      <c r="R6" s="183">
        <f>IF(VLOOKUP(M6,'HCV DL'!D:AF,15,0)&lt;&gt;"",IF(P6&lt;$Q$2,$Q$2,IF(P6&gt;$Q$3,$Q$3,E6)),"")</f>
        <v>6.3162249999999993</v>
      </c>
      <c r="S6" s="183">
        <f>IF(VLOOKUP(M6,'HCV DL'!D:AF,15,0)&lt;&gt;"",IF(R6&lt;$S$2,$S$2,IF(R6&gt;$S$3,$S$3,R6)),"")</f>
        <v>6.3162249999999993</v>
      </c>
      <c r="T6" s="183">
        <f>IF(VLOOKUP(M6,'HCV DL'!D:AF,15,0)&lt;&gt;"",IF(S6&lt;$T$2,$T$2,IF(S6&gt;$T$3,$T$3,S6)),"")</f>
        <v>6.3162249999999993</v>
      </c>
      <c r="U6" s="183">
        <f>IF(VLOOKUP(M6,'HCV DL'!D:AF,15,0)&lt;&gt;"",IF(T6&lt;$U$2,$U$2,IF(T6&gt;$U$3,$U$3,T6)),"")</f>
        <v>6.3162249999999993</v>
      </c>
    </row>
    <row r="7" spans="1:21" ht="31.5" x14ac:dyDescent="0.25">
      <c r="A7">
        <v>3</v>
      </c>
      <c r="B7" s="77" t="s">
        <v>345</v>
      </c>
      <c r="C7" s="77" t="s">
        <v>219</v>
      </c>
      <c r="D7" s="77" t="s">
        <v>318</v>
      </c>
      <c r="E7" s="32">
        <f>IF(VLOOKUP(B7,'HCV DL'!D:R,15,0)&lt;&gt;"",VLOOKUP(B7,'HCV DL'!D:R,15,0),"")</f>
        <v>6.21</v>
      </c>
      <c r="F7" s="33">
        <f>IF(VLOOKUP(B7,'HCV DL'!D:AF,15,0)&lt;&gt;"",ABS(E7-$E$36),"")</f>
        <v>9.9999999999999645E-2</v>
      </c>
      <c r="G7" s="35">
        <f>IF(VLOOKUP(B7,'HCV DL'!D:AF,15,0)&lt;&gt;"",IF(E7&lt;$F$2,$F$2,IF(E7&gt;$F$3,$F$3,E7)),"")</f>
        <v>6.21</v>
      </c>
      <c r="H7" s="35">
        <f>IF(VLOOKUP(B7,'HCV DL'!D:AF,15,0)&lt;&gt;"",IF(G7&lt;$H$2,$H$2,IF(G7&gt;$H$3,$H$3,G7)),"")</f>
        <v>6.21</v>
      </c>
      <c r="I7" s="35">
        <f>IF(VLOOKUP(B7,'HCV DL'!D:AF,15,0)&lt;&gt;"",IF(H7&lt;$I$2,$I$2,IF(H7&gt;$I$3,$I$3,H7)),"")</f>
        <v>6.21</v>
      </c>
      <c r="J7" s="35">
        <f>IF(VLOOKUP(B7,'HCV DL'!D:AF,15,0)&lt;&gt;"",IF(I7&lt;$J$2,$J$2,IF(I7&gt;$J$3,$J$3,I7)),"")</f>
        <v>6.21</v>
      </c>
      <c r="L7">
        <v>3</v>
      </c>
      <c r="M7" s="77" t="s">
        <v>345</v>
      </c>
      <c r="N7" s="77" t="s">
        <v>219</v>
      </c>
      <c r="O7" s="77" t="s">
        <v>318</v>
      </c>
      <c r="P7" s="32">
        <f>IF(VLOOKUP(M7,'HCV DL'!D:AF,15,0)&lt;&gt;"",VLOOKUP(M7,'HCV DL'!D:AF,15,0),"")</f>
        <v>6.21</v>
      </c>
      <c r="Q7" s="33">
        <f>IF(VLOOKUP(M7,'HCV DL'!D:AF,15,0)&lt;&gt;"",ABS(P7-$P$15),"")</f>
        <v>4.9999999999998934E-3</v>
      </c>
      <c r="R7" s="183">
        <f>IF(VLOOKUP(M7,'HCV DL'!D:AF,15,0)&lt;&gt;"",IF(P7&lt;$Q$2,$Q$2,IF(P7&gt;$Q$3,$Q$3,E7)),"")</f>
        <v>6.21</v>
      </c>
      <c r="S7" s="183">
        <f>IF(VLOOKUP(M7,'HCV DL'!D:AF,15,0)&lt;&gt;"",IF(R7&lt;$S$2,$S$2,IF(R7&gt;$S$3,$S$3,R7)),"")</f>
        <v>6.21</v>
      </c>
      <c r="T7" s="183">
        <f>IF(VLOOKUP(M7,'HCV DL'!D:AF,15,0)&lt;&gt;"",IF(S7&lt;$T$2,$T$2,IF(S7&gt;$T$3,$T$3,S7)),"")</f>
        <v>6.21</v>
      </c>
      <c r="U7" s="183">
        <f>IF(VLOOKUP(M7,'HCV DL'!D:AF,15,0)&lt;&gt;"",IF(T7&lt;$U$2,$U$2,IF(T7&gt;$U$3,$U$3,T7)),"")</f>
        <v>6.21</v>
      </c>
    </row>
    <row r="8" spans="1:21" ht="31.5" x14ac:dyDescent="0.25">
      <c r="A8">
        <v>4</v>
      </c>
      <c r="B8" s="77" t="s">
        <v>341</v>
      </c>
      <c r="C8" s="77" t="s">
        <v>301</v>
      </c>
      <c r="D8" s="77" t="s">
        <v>319</v>
      </c>
      <c r="E8" s="32">
        <f>IF(VLOOKUP(B8,'HCV DL'!D:R,15,0)&lt;&gt;"",VLOOKUP(B8,'HCV DL'!D:R,15,0),"")</f>
        <v>6.2</v>
      </c>
      <c r="F8" s="33">
        <f>IF(VLOOKUP(B8,'HCV DL'!D:AF,15,0)&lt;&gt;"",ABS(E8-$E$36),"")</f>
        <v>8.9999999999999858E-2</v>
      </c>
      <c r="G8" s="35">
        <f>IF(VLOOKUP(B8,'HCV DL'!D:AF,15,0)&lt;&gt;"",IF(E8&lt;$F$2,$F$2,IF(E8&gt;$F$3,$F$3,E8)),"")</f>
        <v>6.2</v>
      </c>
      <c r="H8" s="35">
        <f>IF(VLOOKUP(B8,'HCV DL'!D:AF,15,0)&lt;&gt;"",IF(G8&lt;$H$2,$H$2,IF(G8&gt;$H$3,$H$3,G8)),"")</f>
        <v>6.2</v>
      </c>
      <c r="I8" s="35">
        <f>IF(VLOOKUP(B8,'HCV DL'!D:AF,15,0)&lt;&gt;"",IF(H8&lt;$I$2,$I$2,IF(H8&gt;$I$3,$I$3,H8)),"")</f>
        <v>6.2</v>
      </c>
      <c r="J8" s="35">
        <f>IF(VLOOKUP(B8,'HCV DL'!D:AF,15,0)&lt;&gt;"",IF(I8&lt;$J$2,$J$2,IF(I8&gt;$J$3,$J$3,I8)),"")</f>
        <v>6.2</v>
      </c>
      <c r="L8">
        <v>4</v>
      </c>
      <c r="M8" s="77" t="s">
        <v>341</v>
      </c>
      <c r="N8" s="77" t="s">
        <v>301</v>
      </c>
      <c r="O8" s="77" t="s">
        <v>319</v>
      </c>
      <c r="P8" s="32">
        <f>IF(VLOOKUP(M8,'HCV DL'!D:AF,15,0)&lt;&gt;"",VLOOKUP(M8,'HCV DL'!D:AF,15,0),"")</f>
        <v>6.2</v>
      </c>
      <c r="Q8" s="33">
        <f>IF(VLOOKUP(M8,'HCV DL'!D:AF,15,0)&lt;&gt;"",ABS(P8-$P$15),"")</f>
        <v>4.9999999999998934E-3</v>
      </c>
      <c r="R8" s="183">
        <f>IF(VLOOKUP(M8,'HCV DL'!D:AF,15,0)&lt;&gt;"",IF(P8&lt;$Q$2,$Q$2,IF(P8&gt;$Q$3,$Q$3,E8)),"")</f>
        <v>6.2</v>
      </c>
      <c r="S8" s="183">
        <f>IF(VLOOKUP(M8,'HCV DL'!D:AF,15,0)&lt;&gt;"",IF(R8&lt;$S$2,$S$2,IF(R8&gt;$S$3,$S$3,R8)),"")</f>
        <v>6.2</v>
      </c>
      <c r="T8" s="183">
        <f>IF(VLOOKUP(M8,'HCV DL'!D:AF,15,0)&lt;&gt;"",IF(S8&lt;$T$2,$T$2,IF(S8&gt;$T$3,$T$3,S8)),"")</f>
        <v>6.2</v>
      </c>
      <c r="U8" s="183">
        <f>IF(VLOOKUP(M8,'HCV DL'!D:AF,15,0)&lt;&gt;"",IF(T8&lt;$U$2,$U$2,IF(T8&gt;$U$3,$U$3,T8)),"")</f>
        <v>6.2</v>
      </c>
    </row>
    <row r="9" spans="1:21" ht="31.5" x14ac:dyDescent="0.25">
      <c r="A9">
        <v>5</v>
      </c>
      <c r="B9" s="77" t="s">
        <v>353</v>
      </c>
      <c r="C9" s="77" t="s">
        <v>36</v>
      </c>
      <c r="D9" s="77" t="s">
        <v>37</v>
      </c>
      <c r="E9" s="32" t="str">
        <f>IF(VLOOKUP(B9,'HCV DL'!D:R,15,0)&lt;&gt;"",VLOOKUP(B9,'HCV DL'!D:R,15,0),"")</f>
        <v/>
      </c>
      <c r="F9" s="33" t="str">
        <f>IF(VLOOKUP(B9,'HCV DL'!D:AF,15,0)&lt;&gt;"",ABS(E9-$E$36),"")</f>
        <v/>
      </c>
      <c r="G9" s="35" t="str">
        <f>IF(VLOOKUP(B9,'HCV DL'!D:AF,15,0)&lt;&gt;"",IF(E9&lt;$F$2,$F$2,IF(E9&gt;$F$3,$F$3,E9)),"")</f>
        <v/>
      </c>
      <c r="H9" s="35" t="str">
        <f>IF(VLOOKUP(B9,'HCV DL'!D:AF,15,0)&lt;&gt;"",IF(G9&lt;$H$2,$H$2,IF(G9&gt;$H$3,$H$3,G9)),"")</f>
        <v/>
      </c>
      <c r="I9" s="35" t="str">
        <f>IF(VLOOKUP(B9,'HCV DL'!D:AF,15,0)&lt;&gt;"",IF(H9&lt;$I$2,$I$2,IF(H9&gt;$I$3,$I$3,H9)),"")</f>
        <v/>
      </c>
      <c r="J9" s="35" t="str">
        <f>IF(VLOOKUP(B9,'HCV DL'!D:AF,15,0)&lt;&gt;"",IF(I9&lt;$J$2,$J$2,IF(I9&gt;$J$3,$J$3,I9)),"")</f>
        <v/>
      </c>
      <c r="L9">
        <v>5</v>
      </c>
      <c r="M9" s="77" t="s">
        <v>353</v>
      </c>
      <c r="N9" s="77" t="s">
        <v>36</v>
      </c>
      <c r="O9" s="77" t="s">
        <v>37</v>
      </c>
      <c r="P9" s="32" t="str">
        <f>IF(VLOOKUP(M9,'HCV DL'!D:AF,15,0)&lt;&gt;"",VLOOKUP(M9,'HCV DL'!D:AF,15,0),"")</f>
        <v/>
      </c>
      <c r="Q9" s="33" t="str">
        <f>IF(VLOOKUP(M9,'HCV DL'!D:AF,15,0)&lt;&gt;"",ABS(P9-$P$15),"")</f>
        <v/>
      </c>
      <c r="R9" s="183" t="str">
        <f>IF(VLOOKUP(M9,'HCV DL'!D:AF,15,0)&lt;&gt;"",IF(P9&lt;$Q$2,$Q$2,IF(P9&gt;$Q$3,$Q$3,E9)),"")</f>
        <v/>
      </c>
      <c r="S9" s="183" t="str">
        <f>IF(VLOOKUP(M9,'HCV DL'!D:AF,15,0)&lt;&gt;"",IF(R9&lt;$S$2,$S$2,IF(R9&gt;$S$3,$S$3,R9)),"")</f>
        <v/>
      </c>
      <c r="T9" s="183" t="str">
        <f>IF(VLOOKUP(M9,'HCV DL'!D:AF,15,0)&lt;&gt;"",IF(S9&lt;$T$2,$T$2,IF(S9&gt;$T$3,$T$3,S9)),"")</f>
        <v/>
      </c>
      <c r="U9" s="183" t="str">
        <f>IF(VLOOKUP(M9,'HCV DL'!D:AF,15,0)&lt;&gt;"",IF(T9&lt;$U$2,$U$2,IF(T9&gt;$U$3,$U$3,T9)),"")</f>
        <v/>
      </c>
    </row>
    <row r="10" spans="1:21" ht="47.25" x14ac:dyDescent="0.25">
      <c r="A10">
        <v>6</v>
      </c>
      <c r="B10" s="85" t="s">
        <v>195</v>
      </c>
      <c r="C10" s="86" t="s">
        <v>88</v>
      </c>
      <c r="D10" s="85" t="s">
        <v>89</v>
      </c>
      <c r="E10" s="32">
        <f>IF(VLOOKUP(B10,'HCV DL'!D:R,15,0)&lt;&gt;"",VLOOKUP(B10,'HCV DL'!D:R,15,0),"")</f>
        <v>5.98</v>
      </c>
      <c r="F10" s="33">
        <f>IF(VLOOKUP(B10,'HCV DL'!D:AF,15,0)&lt;&gt;"",ABS(E10-$E$36),"")</f>
        <v>0.12999999999999989</v>
      </c>
      <c r="G10" s="35">
        <f>IF(VLOOKUP(B10,'HCV DL'!D:AF,15,0)&lt;&gt;"",IF(E10&lt;$F$2,$F$2,IF(E10&gt;$F$3,$F$3,E10)),"")</f>
        <v>5.98</v>
      </c>
      <c r="H10" s="35">
        <f>IF(VLOOKUP(B10,'HCV DL'!D:AF,15,0)&lt;&gt;"",IF(G10&lt;$H$2,$H$2,IF(G10&gt;$H$3,$H$3,G10)),"")</f>
        <v>5.98</v>
      </c>
      <c r="I10" s="35">
        <f>IF(VLOOKUP(B10,'HCV DL'!D:AF,15,0)&lt;&gt;"",IF(H10&lt;$I$2,$I$2,IF(H10&gt;$I$3,$I$3,H10)),"")</f>
        <v>5.98</v>
      </c>
      <c r="J10" s="35">
        <f>IF(VLOOKUP(B10,'HCV DL'!D:AF,15,0)&lt;&gt;"",IF(I10&lt;$J$2,$J$2,IF(I10&gt;$J$3,$J$3,I10)),"")</f>
        <v>5.98</v>
      </c>
    </row>
    <row r="11" spans="1:21" ht="47.25" x14ac:dyDescent="0.25">
      <c r="A11">
        <v>7</v>
      </c>
      <c r="B11" s="91" t="s">
        <v>350</v>
      </c>
      <c r="C11" s="92" t="s">
        <v>30</v>
      </c>
      <c r="D11" s="91" t="s">
        <v>31</v>
      </c>
      <c r="E11" s="32">
        <f>IF(VLOOKUP(B11,'HCV DL'!D:R,15,0)&lt;&gt;"",VLOOKUP(B11,'HCV DL'!D:R,15,0),"")</f>
        <v>6.43</v>
      </c>
      <c r="F11" s="33">
        <f>IF(VLOOKUP(B11,'HCV DL'!D:AF,15,0)&lt;&gt;"",ABS(E11-$E$36),"")</f>
        <v>0.3199999999999994</v>
      </c>
      <c r="G11" s="35">
        <f>IF(VLOOKUP(B11,'HCV DL'!D:AF,15,0)&lt;&gt;"",IF(E11&lt;$F$2,$F$2,IF(E11&gt;$F$3,$F$3,E11)),"")</f>
        <v>6.3991850000000001</v>
      </c>
      <c r="H11" s="35">
        <f>IF(VLOOKUP(B11,'HCV DL'!D:AF,15,0)&lt;&gt;"",IF(G11&lt;$H$2,$H$2,IF(G11&gt;$H$3,$H$3,G11)),"")</f>
        <v>6.3991850000000001</v>
      </c>
      <c r="I11" s="35">
        <f>IF(VLOOKUP(B11,'HCV DL'!D:AF,15,0)&lt;&gt;"",IF(H11&lt;$I$2,$I$2,IF(H11&gt;$I$3,$I$3,H11)),"")</f>
        <v>6.3991850000000001</v>
      </c>
      <c r="J11" s="35">
        <f>IF(VLOOKUP(B11,'HCV DL'!D:AF,15,0)&lt;&gt;"",IF(I11&lt;$J$2,$J$2,IF(I11&gt;$J$3,$J$3,I11)),"")</f>
        <v>6.3991850000000001</v>
      </c>
    </row>
    <row r="12" spans="1:21" ht="47.25" x14ac:dyDescent="0.25">
      <c r="A12">
        <v>8</v>
      </c>
      <c r="B12" s="95" t="s">
        <v>211</v>
      </c>
      <c r="C12" s="96" t="s">
        <v>101</v>
      </c>
      <c r="D12" s="97" t="s">
        <v>102</v>
      </c>
      <c r="E12" s="32">
        <f>IF(VLOOKUP(B12,'HCV DL'!D:R,15,0)&lt;&gt;"",VLOOKUP(B12,'HCV DL'!D:R,15,0),"")</f>
        <v>5.0999999999999996</v>
      </c>
      <c r="F12" s="33">
        <f>IF(VLOOKUP(B12,'HCV DL'!D:AF,15,0)&lt;&gt;"",ABS(E12-$E$36),"")</f>
        <v>1.0100000000000007</v>
      </c>
      <c r="G12" s="35">
        <f>IF(VLOOKUP(B12,'HCV DL'!D:AF,15,0)&lt;&gt;"",IF(E12&lt;$F$2,$F$2,IF(E12&gt;$F$3,$F$3,E12)),"")</f>
        <v>5.8208150000000005</v>
      </c>
      <c r="H12" s="35">
        <f>IF(VLOOKUP(B12,'HCV DL'!D:AF,15,0)&lt;&gt;"",IF(G12&lt;$H$2,$H$2,IF(G12&gt;$H$3,$H$3,G12)),"")</f>
        <v>5.8208150000000005</v>
      </c>
      <c r="I12" s="35">
        <f>IF(VLOOKUP(B12,'HCV DL'!D:AF,15,0)&lt;&gt;"",IF(H12&lt;$I$2,$I$2,IF(H12&gt;$I$3,$I$3,H12)),"")</f>
        <v>5.8208150000000005</v>
      </c>
      <c r="J12" s="35">
        <f>IF(VLOOKUP(B12,'HCV DL'!D:AF,15,0)&lt;&gt;"",IF(I12&lt;$J$2,$J$2,IF(I12&gt;$J$3,$J$3,I12)),"")</f>
        <v>5.8208150000000005</v>
      </c>
      <c r="O12" s="30" t="s">
        <v>229</v>
      </c>
      <c r="P12" s="16">
        <f>AVERAGE(P5:P9)</f>
        <v>6.2575000000000003</v>
      </c>
      <c r="Q12" s="16"/>
      <c r="R12" s="184">
        <f>AVERAGE(R5:R9)</f>
        <v>6.2090562499999997</v>
      </c>
      <c r="S12" s="184">
        <f t="shared" ref="S12:U12" si="2">AVERAGE(S5:S9)</f>
        <v>6.2090562499999997</v>
      </c>
      <c r="T12" s="184">
        <f t="shared" si="2"/>
        <v>6.2090562499999997</v>
      </c>
      <c r="U12" s="184">
        <f t="shared" si="2"/>
        <v>6.2090562499999997</v>
      </c>
    </row>
    <row r="13" spans="1:21" ht="31.5" x14ac:dyDescent="0.25">
      <c r="A13">
        <v>9</v>
      </c>
      <c r="B13" s="92" t="s">
        <v>359</v>
      </c>
      <c r="C13" s="92" t="s">
        <v>36</v>
      </c>
      <c r="D13" s="92" t="s">
        <v>37</v>
      </c>
      <c r="E13" s="32" t="str">
        <f>IF(VLOOKUP(B13,'HCV DL'!D:R,15,0)&lt;&gt;"",VLOOKUP(B13,'HCV DL'!D:R,15,0),"")</f>
        <v/>
      </c>
      <c r="F13" s="33" t="str">
        <f>IF(VLOOKUP(B13,'HCV DL'!D:AF,15,0)&lt;&gt;"",ABS(E13-$E$36),"")</f>
        <v/>
      </c>
      <c r="G13" s="35" t="str">
        <f>IF(VLOOKUP(B13,'HCV DL'!D:AF,15,0)&lt;&gt;"",IF(E13&lt;$F$2,$F$2,IF(E13&gt;$F$3,$F$3,E13)),"")</f>
        <v/>
      </c>
      <c r="H13" s="35" t="str">
        <f>IF(VLOOKUP(B13,'HCV DL'!D:AF,15,0)&lt;&gt;"",IF(G13&lt;$H$2,$H$2,IF(G13&gt;$H$3,$H$3,G13)),"")</f>
        <v/>
      </c>
      <c r="I13" s="35" t="str">
        <f>IF(VLOOKUP(B13,'HCV DL'!D:AF,15,0)&lt;&gt;"",IF(H13&lt;$I$2,$I$2,IF(H13&gt;$I$3,$I$3,H13)),"")</f>
        <v/>
      </c>
      <c r="J13" s="35" t="str">
        <f>IF(VLOOKUP(B13,'HCV DL'!D:AF,15,0)&lt;&gt;"",IF(I13&lt;$J$2,$J$2,IF(I13&gt;$J$3,$J$3,I13)),"")</f>
        <v/>
      </c>
      <c r="O13" s="17" t="s">
        <v>123</v>
      </c>
      <c r="P13" s="16">
        <f>_xlfn.STDEV.S(P5:P9)</f>
        <v>0.17423642940938977</v>
      </c>
      <c r="Q13" s="16"/>
      <c r="R13" s="16">
        <f>_xlfn.STDEV.S(R5:R9)</f>
        <v>8.4419958084072724E-2</v>
      </c>
      <c r="S13" s="16">
        <f t="shared" ref="S13:U13" si="3">_xlfn.STDEV.S(S5:S9)</f>
        <v>8.4419958084072724E-2</v>
      </c>
      <c r="T13" s="16">
        <f t="shared" si="3"/>
        <v>8.4419958084072724E-2</v>
      </c>
      <c r="U13" s="16">
        <f t="shared" si="3"/>
        <v>8.4419958084072724E-2</v>
      </c>
    </row>
    <row r="14" spans="1:21" x14ac:dyDescent="0.25">
      <c r="A14">
        <v>10</v>
      </c>
      <c r="B14" s="98" t="s">
        <v>164</v>
      </c>
      <c r="C14" s="99" t="s">
        <v>79</v>
      </c>
      <c r="D14" s="98" t="s">
        <v>80</v>
      </c>
      <c r="E14" s="32">
        <f>IF(VLOOKUP(B14,'HCV DL'!D:R,15,0)&lt;&gt;"",VLOOKUP(B14,'HCV DL'!D:R,15,0),"")</f>
        <v>6.02</v>
      </c>
      <c r="F14" s="33">
        <f>IF(VLOOKUP(B14,'HCV DL'!D:AF,15,0)&lt;&gt;"",ABS(E14-$E$36),"")</f>
        <v>9.0000000000000746E-2</v>
      </c>
      <c r="G14" s="35">
        <f>IF(VLOOKUP(B14,'HCV DL'!D:AF,15,0)&lt;&gt;"",IF(E14&lt;$F$2,$F$2,IF(E14&gt;$F$3,$F$3,E14)),"")</f>
        <v>6.02</v>
      </c>
      <c r="H14" s="35">
        <f>IF(VLOOKUP(B14,'HCV DL'!D:AF,15,0)&lt;&gt;"",IF(G14&lt;$H$2,$H$2,IF(G14&gt;$H$3,$H$3,G14)),"")</f>
        <v>6.02</v>
      </c>
      <c r="I14" s="35">
        <f>IF(VLOOKUP(B14,'HCV DL'!D:AF,15,0)&lt;&gt;"",IF(H14&lt;$I$2,$I$2,IF(H14&gt;$I$3,$I$3,H14)),"")</f>
        <v>6.02</v>
      </c>
      <c r="J14" s="35">
        <f>IF(VLOOKUP(B14,'HCV DL'!D:AF,15,0)&lt;&gt;"",IF(I14&lt;$J$2,$J$2,IF(I14&gt;$J$3,$J$3,I14)),"")</f>
        <v>6.02</v>
      </c>
      <c r="O14" s="17" t="s">
        <v>230</v>
      </c>
      <c r="P14" s="16">
        <f>1.5*P16</f>
        <v>0.11122499999999962</v>
      </c>
      <c r="Q14" s="16"/>
      <c r="R14" s="16">
        <f>1.5*R16</f>
        <v>0.14359834870100768</v>
      </c>
      <c r="S14" s="16">
        <f t="shared" ref="S14:U14" si="4">1.5*S16</f>
        <v>0.14359834870100768</v>
      </c>
      <c r="T14" s="16">
        <f t="shared" si="4"/>
        <v>0.14359834870100768</v>
      </c>
      <c r="U14" s="16">
        <f t="shared" si="4"/>
        <v>0.14359834870100768</v>
      </c>
    </row>
    <row r="15" spans="1:21" x14ac:dyDescent="0.25">
      <c r="A15">
        <v>11</v>
      </c>
      <c r="B15" s="105" t="s">
        <v>159</v>
      </c>
      <c r="C15" s="105" t="s">
        <v>81</v>
      </c>
      <c r="D15" s="105" t="s">
        <v>82</v>
      </c>
      <c r="E15" s="32">
        <f>IF(VLOOKUP(B15,'HCV DL'!D:R,15,0)&lt;&gt;"",VLOOKUP(B15,'HCV DL'!D:R,15,0),"")</f>
        <v>6.59</v>
      </c>
      <c r="F15" s="33">
        <f>IF(VLOOKUP(B15,'HCV DL'!D:AF,15,0)&lt;&gt;"",ABS(E15-$E$36),"")</f>
        <v>0.47999999999999954</v>
      </c>
      <c r="G15" s="35">
        <f>IF(VLOOKUP(B15,'HCV DL'!D:AF,15,0)&lt;&gt;"",IF(E15&lt;$F$2,$F$2,IF(E15&gt;$F$3,$F$3,E15)),"")</f>
        <v>6.3991850000000001</v>
      </c>
      <c r="H15" s="35">
        <f>IF(VLOOKUP(B15,'HCV DL'!D:AF,15,0)&lt;&gt;"",IF(G15&lt;$H$2,$H$2,IF(G15&gt;$H$3,$H$3,G15)),"")</f>
        <v>6.3991850000000001</v>
      </c>
      <c r="I15" s="35">
        <f>IF(VLOOKUP(B15,'HCV DL'!D:AF,15,0)&lt;&gt;"",IF(H15&lt;$I$2,$I$2,IF(H15&gt;$I$3,$I$3,H15)),"")</f>
        <v>6.3991850000000001</v>
      </c>
      <c r="J15" s="35">
        <f>IF(VLOOKUP(B15,'HCV DL'!D:AF,15,0)&lt;&gt;"",IF(I15&lt;$J$2,$J$2,IF(I15&gt;$J$3,$J$3,I15)),"")</f>
        <v>6.3991850000000001</v>
      </c>
      <c r="O15" s="17" t="s">
        <v>231</v>
      </c>
      <c r="P15" s="16">
        <f>MEDIAN(P5:P9)</f>
        <v>6.2050000000000001</v>
      </c>
      <c r="Q15" s="16">
        <f>MEDIAN(Q5:Q9)</f>
        <v>4.9999999999999822E-2</v>
      </c>
      <c r="R15" s="185">
        <f>AVERAGE(R5:R9)</f>
        <v>6.2090562499999997</v>
      </c>
      <c r="S15" s="185">
        <f t="shared" ref="S15:U15" si="5">AVERAGE(S5:S9)</f>
        <v>6.2090562499999997</v>
      </c>
      <c r="T15" s="185">
        <f t="shared" si="5"/>
        <v>6.2090562499999997</v>
      </c>
      <c r="U15" s="185">
        <f t="shared" si="5"/>
        <v>6.2090562499999997</v>
      </c>
    </row>
    <row r="16" spans="1:21" ht="31.5" x14ac:dyDescent="0.25">
      <c r="A16">
        <v>12</v>
      </c>
      <c r="B16" s="107" t="s">
        <v>179</v>
      </c>
      <c r="C16" s="108" t="s">
        <v>71</v>
      </c>
      <c r="D16" s="107" t="s">
        <v>72</v>
      </c>
      <c r="E16" s="32">
        <f>IF(VLOOKUP(B16,'HCV DL'!D:R,15,0)&lt;&gt;"",VLOOKUP(B16,'HCV DL'!D:R,15,0),"")</f>
        <v>6.17</v>
      </c>
      <c r="F16" s="33">
        <f>IF(VLOOKUP(B16,'HCV DL'!D:AF,15,0)&lt;&gt;"",ABS(E16-$E$36),"")</f>
        <v>5.9999999999999609E-2</v>
      </c>
      <c r="G16" s="35">
        <f>IF(VLOOKUP(B16,'HCV DL'!D:AF,15,0)&lt;&gt;"",IF(E16&lt;$F$2,$F$2,IF(E16&gt;$F$3,$F$3,E16)),"")</f>
        <v>6.17</v>
      </c>
      <c r="H16" s="35">
        <f>IF(VLOOKUP(B16,'HCV DL'!D:AF,15,0)&lt;&gt;"",IF(G16&lt;$H$2,$H$2,IF(G16&gt;$H$3,$H$3,G16)),"")</f>
        <v>6.17</v>
      </c>
      <c r="I16" s="35">
        <f>IF(VLOOKUP(B16,'HCV DL'!D:AF,15,0)&lt;&gt;"",IF(H16&lt;$I$2,$I$2,IF(H16&gt;$I$3,$I$3,H16)),"")</f>
        <v>6.17</v>
      </c>
      <c r="J16" s="35">
        <f>IF(VLOOKUP(B16,'HCV DL'!D:AF,15,0)&lt;&gt;"",IF(I16&lt;$J$2,$J$2,IF(I16&gt;$J$3,$J$3,I16)),"")</f>
        <v>6.17</v>
      </c>
      <c r="O16" s="17" t="s">
        <v>232</v>
      </c>
      <c r="P16" s="16">
        <f>1.483*MEDIAN(Q5:Q9)</f>
        <v>7.4149999999999744E-2</v>
      </c>
      <c r="Q16" s="16">
        <f>1.483*Q15</f>
        <v>7.4149999999999744E-2</v>
      </c>
      <c r="R16" s="18">
        <f>1.134*_xlfn.STDEV.S(R5:R9)</f>
        <v>9.573223246733846E-2</v>
      </c>
      <c r="S16" s="18">
        <f t="shared" ref="S16:U16" si="6">1.134*_xlfn.STDEV.S(S5:S9)</f>
        <v>9.573223246733846E-2</v>
      </c>
      <c r="T16" s="18">
        <f t="shared" si="6"/>
        <v>9.573223246733846E-2</v>
      </c>
      <c r="U16" s="18">
        <f t="shared" si="6"/>
        <v>9.573223246733846E-2</v>
      </c>
    </row>
    <row r="17" spans="1:10" ht="31.5" x14ac:dyDescent="0.25">
      <c r="A17">
        <v>13</v>
      </c>
      <c r="B17" s="113" t="s">
        <v>268</v>
      </c>
      <c r="C17" s="114" t="s">
        <v>264</v>
      </c>
      <c r="D17" s="113" t="s">
        <v>271</v>
      </c>
      <c r="E17" s="32">
        <f>IF(VLOOKUP(B17,'HCV DL'!D:R,15,0)&lt;&gt;"",VLOOKUP(B17,'HCV DL'!D:R,15,0),"")</f>
        <v>5.93</v>
      </c>
      <c r="F17" s="33">
        <f>IF(VLOOKUP(B17,'HCV DL'!D:AF,15,0)&lt;&gt;"",ABS(E17-$E$36),"")</f>
        <v>0.1800000000000006</v>
      </c>
      <c r="G17" s="35">
        <f>IF(VLOOKUP(B17,'HCV DL'!D:AF,15,0)&lt;&gt;"",IF(E17&lt;$F$2,$F$2,IF(E17&gt;$F$3,$F$3,E17)),"")</f>
        <v>5.93</v>
      </c>
      <c r="H17" s="35">
        <f>IF(VLOOKUP(B17,'HCV DL'!D:AF,15,0)&lt;&gt;"",IF(G17&lt;$H$2,$H$2,IF(G17&gt;$H$3,$H$3,G17)),"")</f>
        <v>5.93</v>
      </c>
      <c r="I17" s="35">
        <f>IF(VLOOKUP(B17,'HCV DL'!D:AF,15,0)&lt;&gt;"",IF(H17&lt;$I$2,$I$2,IF(H17&gt;$I$3,$I$3,H17)),"")</f>
        <v>5.93</v>
      </c>
      <c r="J17" s="35">
        <f>IF(VLOOKUP(B17,'HCV DL'!D:AF,15,0)&lt;&gt;"",IF(I17&lt;$J$2,$J$2,IF(I17&gt;$J$3,$J$3,I17)),"")</f>
        <v>5.93</v>
      </c>
    </row>
    <row r="18" spans="1:10" x14ac:dyDescent="0.25">
      <c r="A18">
        <v>14</v>
      </c>
      <c r="B18" s="66" t="s">
        <v>342</v>
      </c>
      <c r="C18" s="119" t="s">
        <v>220</v>
      </c>
      <c r="D18" s="119" t="s">
        <v>80</v>
      </c>
      <c r="E18" s="32">
        <f>IF(VLOOKUP(B18,'HCV DL'!D:R,15,0)&lt;&gt;"",VLOOKUP(B18,'HCV DL'!D:R,15,0),"")</f>
        <v>6.19</v>
      </c>
      <c r="F18" s="33">
        <f>IF(VLOOKUP(B18,'HCV DL'!D:AF,15,0)&lt;&gt;"",ABS(E18-$E$36),"")</f>
        <v>8.0000000000000071E-2</v>
      </c>
      <c r="G18" s="35">
        <f>IF(VLOOKUP(B18,'HCV DL'!D:AF,15,0)&lt;&gt;"",IF(E18&lt;$F$2,$F$2,IF(E18&gt;$F$3,$F$3,E18)),"")</f>
        <v>6.19</v>
      </c>
      <c r="H18" s="35">
        <f>IF(VLOOKUP(B18,'HCV DL'!D:AF,15,0)&lt;&gt;"",IF(G18&lt;$H$2,$H$2,IF(G18&gt;$H$3,$H$3,G18)),"")</f>
        <v>6.19</v>
      </c>
      <c r="I18" s="35">
        <f>IF(VLOOKUP(B18,'HCV DL'!D:AF,15,0)&lt;&gt;"",IF(H18&lt;$I$2,$I$2,IF(H18&gt;$I$3,$I$3,H18)),"")</f>
        <v>6.19</v>
      </c>
      <c r="J18" s="35">
        <f>IF(VLOOKUP(B18,'HCV DL'!D:AF,15,0)&lt;&gt;"",IF(I18&lt;$J$2,$J$2,IF(I18&gt;$J$3,$J$3,I18)),"")</f>
        <v>6.19</v>
      </c>
    </row>
    <row r="19" spans="1:10" ht="31.5" x14ac:dyDescent="0.25">
      <c r="A19">
        <v>15</v>
      </c>
      <c r="B19" s="66" t="s">
        <v>352</v>
      </c>
      <c r="C19" s="119" t="s">
        <v>36</v>
      </c>
      <c r="D19" s="119" t="s">
        <v>37</v>
      </c>
      <c r="E19" s="32">
        <f>IF(VLOOKUP(B19,'HCV DL'!D:R,15,0)&lt;&gt;"",VLOOKUP(B19,'HCV DL'!D:R,15,0),"")</f>
        <v>5.68</v>
      </c>
      <c r="F19" s="33">
        <f>IF(VLOOKUP(B19,'HCV DL'!D:AF,15,0)&lt;&gt;"",ABS(E19-$E$36),"")</f>
        <v>0.4300000000000006</v>
      </c>
      <c r="G19" s="35">
        <f>IF(VLOOKUP(B19,'HCV DL'!D:AF,15,0)&lt;&gt;"",IF(E19&lt;$F$2,$F$2,IF(E19&gt;$F$3,$F$3,E19)),"")</f>
        <v>5.8208150000000005</v>
      </c>
      <c r="H19" s="35">
        <f>IF(VLOOKUP(B19,'HCV DL'!D:AF,15,0)&lt;&gt;"",IF(G19&lt;$H$2,$H$2,IF(G19&gt;$H$3,$H$3,G19)),"")</f>
        <v>5.8208150000000005</v>
      </c>
      <c r="I19" s="35">
        <f>IF(VLOOKUP(B19,'HCV DL'!D:AF,15,0)&lt;&gt;"",IF(H19&lt;$I$2,$I$2,IF(H19&gt;$I$3,$I$3,H19)),"")</f>
        <v>5.8208150000000005</v>
      </c>
      <c r="J19" s="35">
        <f>IF(VLOOKUP(B19,'HCV DL'!D:AF,15,0)&lt;&gt;"",IF(I19&lt;$J$2,$J$2,IF(I19&gt;$J$3,$J$3,I19)),"")</f>
        <v>5.8208150000000005</v>
      </c>
    </row>
    <row r="20" spans="1:10" ht="47.25" x14ac:dyDescent="0.25">
      <c r="A20">
        <v>16</v>
      </c>
      <c r="B20" s="101" t="s">
        <v>343</v>
      </c>
      <c r="C20" s="101" t="s">
        <v>302</v>
      </c>
      <c r="D20" s="101" t="s">
        <v>320</v>
      </c>
      <c r="E20" s="32">
        <f>IF(VLOOKUP(B20,'HCV DL'!D:R,15,0)&lt;&gt;"",VLOOKUP(B20,'HCV DL'!D:R,15,0),"")</f>
        <v>6.02</v>
      </c>
      <c r="F20" s="33">
        <f>IF(VLOOKUP(B20,'HCV DL'!D:AF,15,0)&lt;&gt;"",ABS(E20-$E$36),"")</f>
        <v>9.0000000000000746E-2</v>
      </c>
      <c r="G20" s="35">
        <f>IF(VLOOKUP(B20,'HCV DL'!D:AF,15,0)&lt;&gt;"",IF(E20&lt;$F$2,$F$2,IF(E20&gt;$F$3,$F$3,E20)),"")</f>
        <v>6.02</v>
      </c>
      <c r="H20" s="35">
        <f>IF(VLOOKUP(B20,'HCV DL'!D:AF,15,0)&lt;&gt;"",IF(G20&lt;$H$2,$H$2,IF(G20&gt;$H$3,$H$3,G20)),"")</f>
        <v>6.02</v>
      </c>
      <c r="I20" s="35">
        <f>IF(VLOOKUP(B20,'HCV DL'!D:AF,15,0)&lt;&gt;"",IF(H20&lt;$I$2,$I$2,IF(H20&gt;$I$3,$I$3,H20)),"")</f>
        <v>6.02</v>
      </c>
      <c r="J20" s="35">
        <f>IF(VLOOKUP(B20,'HCV DL'!D:AF,15,0)&lt;&gt;"",IF(I20&lt;$J$2,$J$2,IF(I20&gt;$J$3,$J$3,I20)),"")</f>
        <v>6.02</v>
      </c>
    </row>
    <row r="21" spans="1:10" ht="47.25" x14ac:dyDescent="0.25">
      <c r="A21">
        <v>17</v>
      </c>
      <c r="B21" s="67" t="s">
        <v>344</v>
      </c>
      <c r="C21" s="122" t="s">
        <v>300</v>
      </c>
      <c r="D21" s="122" t="s">
        <v>317</v>
      </c>
      <c r="E21" s="32">
        <f>IF(VLOOKUP(B21,'HCV DL'!D:R,15,0)&lt;&gt;"",VLOOKUP(B21,'HCV DL'!D:R,15,0),"")</f>
        <v>5.89</v>
      </c>
      <c r="F21" s="33">
        <f>IF(VLOOKUP(B21,'HCV DL'!D:AF,15,0)&lt;&gt;"",ABS(E21-$E$36),"")</f>
        <v>0.22000000000000064</v>
      </c>
      <c r="G21" s="35">
        <f>IF(VLOOKUP(B21,'HCV DL'!D:AF,15,0)&lt;&gt;"",IF(E21&lt;$F$2,$F$2,IF(E21&gt;$F$3,$F$3,E21)),"")</f>
        <v>5.89</v>
      </c>
      <c r="H21" s="35">
        <f>IF(VLOOKUP(B21,'HCV DL'!D:AF,15,0)&lt;&gt;"",IF(G21&lt;$H$2,$H$2,IF(G21&gt;$H$3,$H$3,G21)),"")</f>
        <v>5.89</v>
      </c>
      <c r="I21" s="35">
        <f>IF(VLOOKUP(B21,'HCV DL'!D:AF,15,0)&lt;&gt;"",IF(H21&lt;$I$2,$I$2,IF(H21&gt;$I$3,$I$3,H21)),"")</f>
        <v>5.89</v>
      </c>
      <c r="J21" s="35">
        <f>IF(VLOOKUP(B21,'HCV DL'!D:AF,15,0)&lt;&gt;"",IF(I21&lt;$J$2,$J$2,IF(I21&gt;$J$3,$J$3,I21)),"")</f>
        <v>5.89</v>
      </c>
    </row>
    <row r="22" spans="1:10" x14ac:dyDescent="0.25">
      <c r="A22">
        <v>18</v>
      </c>
      <c r="B22" s="125" t="s">
        <v>184</v>
      </c>
      <c r="C22" s="125" t="s">
        <v>104</v>
      </c>
      <c r="D22" s="125" t="s">
        <v>105</v>
      </c>
      <c r="E22" s="32" t="str">
        <f>IF(VLOOKUP(B22,'HCV DL'!D:R,15,0)&lt;&gt;"",VLOOKUP(B22,'HCV DL'!D:R,15,0),"")</f>
        <v/>
      </c>
      <c r="F22" s="33" t="str">
        <f>IF(VLOOKUP(B22,'HCV DL'!D:AF,15,0)&lt;&gt;"",ABS(E22-$E$36),"")</f>
        <v/>
      </c>
      <c r="G22" s="35" t="str">
        <f>IF(VLOOKUP(B22,'HCV DL'!D:AF,15,0)&lt;&gt;"",IF(E22&lt;$F$2,$F$2,IF(E22&gt;$F$3,$F$3,E22)),"")</f>
        <v/>
      </c>
      <c r="H22" s="35" t="str">
        <f>IF(VLOOKUP(B22,'HCV DL'!D:AF,15,0)&lt;&gt;"",IF(G22&lt;$H$2,$H$2,IF(G22&gt;$H$3,$H$3,G22)),"")</f>
        <v/>
      </c>
      <c r="I22" s="35" t="str">
        <f>IF(VLOOKUP(B22,'HCV DL'!D:AF,15,0)&lt;&gt;"",IF(H22&lt;$I$2,$I$2,IF(H22&gt;$I$3,$I$3,H22)),"")</f>
        <v/>
      </c>
      <c r="J22" s="35" t="str">
        <f>IF(VLOOKUP(B22,'HCV DL'!D:AF,15,0)&lt;&gt;"",IF(I22&lt;$J$2,$J$2,IF(I22&gt;$J$3,$J$3,I22)),"")</f>
        <v/>
      </c>
    </row>
    <row r="23" spans="1:10" ht="31.5" x14ac:dyDescent="0.25">
      <c r="A23">
        <v>19</v>
      </c>
      <c r="B23" s="68" t="s">
        <v>191</v>
      </c>
      <c r="C23" s="68" t="s">
        <v>20</v>
      </c>
      <c r="D23" s="68" t="s">
        <v>21</v>
      </c>
      <c r="E23" s="32" t="str">
        <f>IF(VLOOKUP(B23,'HCV DL'!D:R,15,0)&lt;&gt;"",VLOOKUP(B23,'HCV DL'!D:R,15,0),"")</f>
        <v/>
      </c>
      <c r="F23" s="33" t="str">
        <f>IF(VLOOKUP(B23,'HCV DL'!D:AF,15,0)&lt;&gt;"",ABS(E23-$E$36),"")</f>
        <v/>
      </c>
      <c r="G23" s="35" t="str">
        <f>IF(VLOOKUP(B23,'HCV DL'!D:AF,15,0)&lt;&gt;"",IF(E23&lt;$F$2,$F$2,IF(E23&gt;$F$3,$F$3,E23)),"")</f>
        <v/>
      </c>
      <c r="H23" s="35" t="str">
        <f>IF(VLOOKUP(B23,'HCV DL'!D:AF,15,0)&lt;&gt;"",IF(G23&lt;$H$2,$H$2,IF(G23&gt;$H$3,$H$3,G23)),"")</f>
        <v/>
      </c>
      <c r="I23" s="35" t="str">
        <f>IF(VLOOKUP(B23,'HCV DL'!D:AF,15,0)&lt;&gt;"",IF(H23&lt;$I$2,$I$2,IF(H23&gt;$I$3,$I$3,H23)),"")</f>
        <v/>
      </c>
      <c r="J23" s="35" t="str">
        <f>IF(VLOOKUP(B23,'HCV DL'!D:AF,15,0)&lt;&gt;"",IF(I23&lt;$J$2,$J$2,IF(I23&gt;$J$3,$J$3,I23)),"")</f>
        <v/>
      </c>
    </row>
    <row r="24" spans="1:10" ht="31.5" x14ac:dyDescent="0.25">
      <c r="A24">
        <v>20</v>
      </c>
      <c r="B24" s="68" t="s">
        <v>252</v>
      </c>
      <c r="C24" s="68" t="s">
        <v>40</v>
      </c>
      <c r="D24" s="68" t="s">
        <v>222</v>
      </c>
      <c r="E24" s="32" t="str">
        <f>IF(VLOOKUP(B24,'HCV DL'!D:R,15,0)&lt;&gt;"",VLOOKUP(B24,'HCV DL'!D:R,15,0),"")</f>
        <v/>
      </c>
      <c r="F24" s="33" t="str">
        <f>IF(VLOOKUP(B24,'HCV DL'!D:AF,15,0)&lt;&gt;"",ABS(E24-$E$36),"")</f>
        <v/>
      </c>
      <c r="G24" s="35" t="str">
        <f>IF(VLOOKUP(B24,'HCV DL'!D:AF,15,0)&lt;&gt;"",IF(E24&lt;$F$2,$F$2,IF(E24&gt;$F$3,$F$3,E24)),"")</f>
        <v/>
      </c>
      <c r="H24" s="35" t="str">
        <f>IF(VLOOKUP(B24,'HCV DL'!D:AF,15,0)&lt;&gt;"",IF(G24&lt;$H$2,$H$2,IF(G24&gt;$H$3,$H$3,G24)),"")</f>
        <v/>
      </c>
      <c r="I24" s="35" t="str">
        <f>IF(VLOOKUP(B24,'HCV DL'!D:AF,15,0)&lt;&gt;"",IF(H24&lt;$I$2,$I$2,IF(H24&gt;$I$3,$I$3,H24)),"")</f>
        <v/>
      </c>
      <c r="J24" s="35" t="str">
        <f>IF(VLOOKUP(B24,'HCV DL'!D:AF,15,0)&lt;&gt;"",IF(I24&lt;$J$2,$J$2,IF(I24&gt;$J$3,$J$3,I24)),"")</f>
        <v/>
      </c>
    </row>
    <row r="25" spans="1:10" ht="31.5" x14ac:dyDescent="0.25">
      <c r="A25">
        <v>21</v>
      </c>
      <c r="B25" s="68" t="s">
        <v>181</v>
      </c>
      <c r="C25" s="68" t="s">
        <v>96</v>
      </c>
      <c r="D25" s="68" t="s">
        <v>97</v>
      </c>
      <c r="E25" s="32" t="str">
        <f>IF(VLOOKUP(B25,'HCV DL'!D:R,15,0)&lt;&gt;"",VLOOKUP(B25,'HCV DL'!D:R,15,0),"")</f>
        <v/>
      </c>
      <c r="F25" s="33" t="str">
        <f>IF(VLOOKUP(B25,'HCV DL'!D:AF,15,0)&lt;&gt;"",ABS(E25-$E$36),"")</f>
        <v/>
      </c>
      <c r="G25" s="35" t="str">
        <f>IF(VLOOKUP(B25,'HCV DL'!D:AF,15,0)&lt;&gt;"",IF(E25&lt;$F$2,$F$2,IF(E25&gt;$F$3,$F$3,E25)),"")</f>
        <v/>
      </c>
      <c r="H25" s="35" t="str">
        <f>IF(VLOOKUP(B25,'HCV DL'!D:AF,15,0)&lt;&gt;"",IF(G25&lt;$H$2,$H$2,IF(G25&gt;$H$3,$H$3,G25)),"")</f>
        <v/>
      </c>
      <c r="I25" s="35" t="str">
        <f>IF(VLOOKUP(B25,'HCV DL'!D:AF,15,0)&lt;&gt;"",IF(H25&lt;$I$2,$I$2,IF(H25&gt;$I$3,$I$3,H25)),"")</f>
        <v/>
      </c>
      <c r="J25" s="35" t="str">
        <f>IF(VLOOKUP(B25,'HCV DL'!D:AF,15,0)&lt;&gt;"",IF(I25&lt;$J$2,$J$2,IF(I25&gt;$J$3,$J$3,I25)),"")</f>
        <v/>
      </c>
    </row>
    <row r="26" spans="1:10" ht="31.5" x14ac:dyDescent="0.25">
      <c r="A26">
        <v>22</v>
      </c>
      <c r="B26" s="68" t="s">
        <v>188</v>
      </c>
      <c r="C26" s="68" t="s">
        <v>107</v>
      </c>
      <c r="D26" s="68" t="s">
        <v>108</v>
      </c>
      <c r="E26" s="32" t="str">
        <f>IF(VLOOKUP(B26,'HCV DL'!D:R,15,0)&lt;&gt;"",VLOOKUP(B26,'HCV DL'!D:R,15,0),"")</f>
        <v/>
      </c>
      <c r="F26" s="33" t="str">
        <f>IF(VLOOKUP(B26,'HCV DL'!D:AF,15,0)&lt;&gt;"",ABS(E26-$E$36),"")</f>
        <v/>
      </c>
      <c r="G26" s="35" t="str">
        <f>IF(VLOOKUP(B26,'HCV DL'!D:AF,15,0)&lt;&gt;"",IF(E26&lt;$F$2,$F$2,IF(E26&gt;$F$3,$F$3,E26)),"")</f>
        <v/>
      </c>
      <c r="H26" s="35" t="str">
        <f>IF(VLOOKUP(B26,'HCV DL'!D:AF,15,0)&lt;&gt;"",IF(G26&lt;$H$2,$H$2,IF(G26&gt;$H$3,$H$3,G26)),"")</f>
        <v/>
      </c>
      <c r="I26" s="35" t="str">
        <f>IF(VLOOKUP(B26,'HCV DL'!D:AF,15,0)&lt;&gt;"",IF(H26&lt;$I$2,$I$2,IF(H26&gt;$I$3,$I$3,H26)),"")</f>
        <v/>
      </c>
      <c r="J26" s="35" t="str">
        <f>IF(VLOOKUP(B26,'HCV DL'!D:AF,15,0)&lt;&gt;"",IF(I26&lt;$J$2,$J$2,IF(I26&gt;$J$3,$J$3,I26)),"")</f>
        <v/>
      </c>
    </row>
    <row r="27" spans="1:10" ht="31.5" x14ac:dyDescent="0.25">
      <c r="A27">
        <v>23</v>
      </c>
      <c r="B27" s="68" t="s">
        <v>188</v>
      </c>
      <c r="C27" s="68" t="s">
        <v>107</v>
      </c>
      <c r="D27" s="68" t="s">
        <v>108</v>
      </c>
      <c r="E27" s="32" t="str">
        <f>IF(VLOOKUP(B27,'HCV DL'!D:R,15,0)&lt;&gt;"",VLOOKUP(B27,'HCV DL'!D:R,15,0),"")</f>
        <v/>
      </c>
      <c r="F27" s="33" t="str">
        <f>IF(VLOOKUP(B27,'HCV DL'!D:AF,15,0)&lt;&gt;"",ABS(E27-$E$36),"")</f>
        <v/>
      </c>
      <c r="G27" s="35" t="str">
        <f>IF(VLOOKUP(B27,'HCV DL'!D:AF,15,0)&lt;&gt;"",IF(E27&lt;$F$2,$F$2,IF(E27&gt;$F$3,$F$3,E27)),"")</f>
        <v/>
      </c>
      <c r="H27" s="35" t="str">
        <f>IF(VLOOKUP(B27,'HCV DL'!D:AF,15,0)&lt;&gt;"",IF(G27&lt;$H$2,$H$2,IF(G27&gt;$H$3,$H$3,G27)),"")</f>
        <v/>
      </c>
      <c r="I27" s="35" t="str">
        <f>IF(VLOOKUP(B27,'HCV DL'!D:AF,15,0)&lt;&gt;"",IF(H27&lt;$I$2,$I$2,IF(H27&gt;$I$3,$I$3,H27)),"")</f>
        <v/>
      </c>
      <c r="J27" s="35" t="str">
        <f>IF(VLOOKUP(B27,'HCV DL'!D:AF,15,0)&lt;&gt;"",IF(I27&lt;$J$2,$J$2,IF(I27&gt;$J$3,$J$3,I27)),"")</f>
        <v/>
      </c>
    </row>
    <row r="28" spans="1:10" ht="31.5" x14ac:dyDescent="0.25">
      <c r="A28">
        <v>24</v>
      </c>
      <c r="B28" s="132" t="s">
        <v>169</v>
      </c>
      <c r="C28" s="132" t="s">
        <v>170</v>
      </c>
      <c r="D28" s="132" t="s">
        <v>171</v>
      </c>
      <c r="E28" s="32" t="str">
        <f>IF(VLOOKUP(B28,'HCV DL'!D:R,15,0)&lt;&gt;"",VLOOKUP(B28,'HCV DL'!D:R,15,0),"")</f>
        <v/>
      </c>
      <c r="F28" s="33" t="str">
        <f>IF(VLOOKUP(B28,'HCV DL'!D:AF,15,0)&lt;&gt;"",ABS(E28-$E$36),"")</f>
        <v/>
      </c>
      <c r="G28" s="35" t="str">
        <f>IF(VLOOKUP(B28,'HCV DL'!D:AF,15,0)&lt;&gt;"",IF(E28&lt;$F$2,$F$2,IF(E28&gt;$F$3,$F$3,E28)),"")</f>
        <v/>
      </c>
      <c r="H28" s="35" t="str">
        <f>IF(VLOOKUP(B28,'HCV DL'!D:AF,15,0)&lt;&gt;"",IF(G28&lt;$H$2,$H$2,IF(G28&gt;$H$3,$H$3,G28)),"")</f>
        <v/>
      </c>
      <c r="I28" s="35" t="str">
        <f>IF(VLOOKUP(B28,'HCV DL'!D:AF,15,0)&lt;&gt;"",IF(H28&lt;$I$2,$I$2,IF(H28&gt;$I$3,$I$3,H28)),"")</f>
        <v/>
      </c>
      <c r="J28" s="35" t="str">
        <f>IF(VLOOKUP(B28,'HCV DL'!D:AF,15,0)&lt;&gt;"",IF(I28&lt;$J$2,$J$2,IF(I28&gt;$J$3,$J$3,I28)),"")</f>
        <v/>
      </c>
    </row>
    <row r="29" spans="1:10" x14ac:dyDescent="0.25">
      <c r="A29">
        <v>25</v>
      </c>
      <c r="B29" s="68" t="s">
        <v>197</v>
      </c>
      <c r="C29" s="68" t="s">
        <v>111</v>
      </c>
      <c r="D29" s="68" t="s">
        <v>198</v>
      </c>
      <c r="E29" s="32" t="str">
        <f>IF(VLOOKUP(B29,'HCV DL'!D:R,15,0)&lt;&gt;"",VLOOKUP(B29,'HCV DL'!D:R,15,0),"")</f>
        <v/>
      </c>
      <c r="F29" s="33" t="str">
        <f>IF(VLOOKUP(B29,'HCV DL'!D:AF,15,0)&lt;&gt;"",ABS(E29-$E$36),"")</f>
        <v/>
      </c>
      <c r="G29" s="35" t="str">
        <f>IF(VLOOKUP(B29,'HCV DL'!D:AF,15,0)&lt;&gt;"",IF(E29&lt;$F$2,$F$2,IF(E29&gt;$F$3,$F$3,E29)),"")</f>
        <v/>
      </c>
      <c r="H29" s="35" t="str">
        <f>IF(VLOOKUP(B29,'HCV DL'!D:AF,15,0)&lt;&gt;"",IF(G29&lt;$H$2,$H$2,IF(G29&gt;$H$3,$H$3,G29)),"")</f>
        <v/>
      </c>
      <c r="I29" s="35" t="str">
        <f>IF(VLOOKUP(B29,'HCV DL'!D:AF,15,0)&lt;&gt;"",IF(H29&lt;$I$2,$I$2,IF(H29&gt;$I$3,$I$3,H29)),"")</f>
        <v/>
      </c>
      <c r="J29" s="35" t="str">
        <f>IF(VLOOKUP(B29,'HCV DL'!D:AF,15,0)&lt;&gt;"",IF(I29&lt;$J$2,$J$2,IF(I29&gt;$J$3,$J$3,I29)),"")</f>
        <v/>
      </c>
    </row>
    <row r="30" spans="1:10" x14ac:dyDescent="0.25">
      <c r="B30" s="68" t="s">
        <v>204</v>
      </c>
      <c r="C30" s="68" t="s">
        <v>49</v>
      </c>
      <c r="D30" s="68" t="s">
        <v>50</v>
      </c>
      <c r="E30" s="32" t="str">
        <f>IF(VLOOKUP(B30,'HCV DL'!D:R,15,0)&lt;&gt;"",VLOOKUP(B30,'HCV DL'!D:R,15,0),"")</f>
        <v/>
      </c>
      <c r="F30" s="33" t="str">
        <f>IF(VLOOKUP(B30,'HCV DL'!D:AF,15,0)&lt;&gt;"",ABS(E30-$E$36),"")</f>
        <v/>
      </c>
      <c r="G30" s="35" t="str">
        <f>IF(VLOOKUP(B30,'HCV DL'!D:AF,15,0)&lt;&gt;"",IF(E30&lt;$F$2,$F$2,IF(E30&gt;$F$3,$F$3,E30)),"")</f>
        <v/>
      </c>
      <c r="H30" s="35" t="str">
        <f>IF(VLOOKUP(B30,'HCV DL'!D:AF,15,0)&lt;&gt;"",IF(G30&lt;$H$2,$H$2,IF(G30&gt;$H$3,$H$3,G30)),"")</f>
        <v/>
      </c>
      <c r="I30" s="35" t="str">
        <f>IF(VLOOKUP(B30,'HCV DL'!D:AF,15,0)&lt;&gt;"",IF(H30&lt;$I$2,$I$2,IF(H30&gt;$I$3,$I$3,H30)),"")</f>
        <v/>
      </c>
      <c r="J30" s="35" t="str">
        <f>IF(VLOOKUP(B30,'HCV DL'!D:AF,15,0)&lt;&gt;"",IF(I30&lt;$J$2,$J$2,IF(I30&gt;$J$3,$J$3,I30)),"")</f>
        <v/>
      </c>
    </row>
    <row r="31" spans="1:10" x14ac:dyDescent="0.25">
      <c r="B31" s="49"/>
      <c r="C31" s="50"/>
      <c r="D31" s="51"/>
    </row>
    <row r="32" spans="1:10" x14ac:dyDescent="0.25">
      <c r="B32" s="49"/>
      <c r="C32" s="50"/>
      <c r="D32" s="51"/>
    </row>
    <row r="33" spans="4:10" x14ac:dyDescent="0.25">
      <c r="D33" s="30" t="s">
        <v>229</v>
      </c>
      <c r="E33" s="16">
        <f>AVERAGE(E5:E30)</f>
        <v>6.0686666666666671</v>
      </c>
      <c r="F33" s="16"/>
      <c r="G33" s="16">
        <f>AVERAGE(G5:G30)</f>
        <v>6.1039456666666663</v>
      </c>
      <c r="H33" s="16">
        <f t="shared" ref="H33:J33" si="7">AVERAGE(H5:H30)</f>
        <v>6.1039456666666663</v>
      </c>
      <c r="I33" s="16">
        <f t="shared" si="7"/>
        <v>6.1039456666666663</v>
      </c>
      <c r="J33" s="16">
        <f t="shared" si="7"/>
        <v>6.1039456666666663</v>
      </c>
    </row>
    <row r="34" spans="4:10" x14ac:dyDescent="0.25">
      <c r="D34" s="17" t="s">
        <v>123</v>
      </c>
      <c r="E34" s="16">
        <f>_xlfn.STDEV.S(E5:E30)</f>
        <v>0.35997751252517091</v>
      </c>
      <c r="F34" s="16"/>
      <c r="G34" s="16">
        <f>_xlfn.STDEV.S(G5:G30)</f>
        <v>0.19992677174465179</v>
      </c>
      <c r="H34" s="16">
        <f t="shared" ref="H34:J34" si="8">_xlfn.STDEV.S(H5:H30)</f>
        <v>0.19992677174465179</v>
      </c>
      <c r="I34" s="16">
        <f t="shared" si="8"/>
        <v>0.19992677174465179</v>
      </c>
      <c r="J34" s="16">
        <f t="shared" si="8"/>
        <v>0.19992677174465179</v>
      </c>
    </row>
    <row r="35" spans="4:10" x14ac:dyDescent="0.25">
      <c r="D35" s="17" t="s">
        <v>230</v>
      </c>
      <c r="E35" s="16">
        <f>1.5*E37</f>
        <v>0.2891849999999998</v>
      </c>
      <c r="F35" s="16"/>
      <c r="G35" s="16">
        <f>1.5*G37</f>
        <v>0.34007543873765267</v>
      </c>
      <c r="H35" s="16">
        <f t="shared" ref="H35:J35" si="9">1.5*H37</f>
        <v>0.34007543873765267</v>
      </c>
      <c r="I35" s="16">
        <f t="shared" si="9"/>
        <v>0.34007543873765267</v>
      </c>
      <c r="J35" s="16">
        <f t="shared" si="9"/>
        <v>0.34007543873765267</v>
      </c>
    </row>
    <row r="36" spans="4:10" x14ac:dyDescent="0.25">
      <c r="D36" s="17" t="s">
        <v>231</v>
      </c>
      <c r="E36" s="16">
        <f>MEDIAN(E5:E30)</f>
        <v>6.11</v>
      </c>
      <c r="F36" s="16">
        <f>MEDIAN(F5:F30)</f>
        <v>0.12999999999999989</v>
      </c>
      <c r="G36" s="18">
        <f>AVERAGE(G5:G30)</f>
        <v>6.1039456666666663</v>
      </c>
      <c r="H36" s="18">
        <f t="shared" ref="H36:J36" si="10">AVERAGE(H5:H30)</f>
        <v>6.1039456666666663</v>
      </c>
      <c r="I36" s="18">
        <f t="shared" si="10"/>
        <v>6.1039456666666663</v>
      </c>
      <c r="J36" s="18">
        <f t="shared" si="10"/>
        <v>6.1039456666666663</v>
      </c>
    </row>
    <row r="37" spans="4:10" x14ac:dyDescent="0.25">
      <c r="D37" s="17" t="s">
        <v>232</v>
      </c>
      <c r="E37" s="16">
        <f>1.483*MEDIAN(F5:F30)</f>
        <v>0.19278999999999985</v>
      </c>
      <c r="F37" s="16">
        <f>1.483*F36</f>
        <v>0.19278999999999985</v>
      </c>
      <c r="G37" s="18">
        <f>1.134*_xlfn.STDEV.S(G5:G30)</f>
        <v>0.22671695915843509</v>
      </c>
      <c r="H37" s="18">
        <f t="shared" ref="H37:J37" si="11">1.134*_xlfn.STDEV.S(H5:H30)</f>
        <v>0.22671695915843509</v>
      </c>
      <c r="I37" s="18">
        <f t="shared" si="11"/>
        <v>0.22671695915843509</v>
      </c>
      <c r="J37" s="18">
        <f t="shared" si="11"/>
        <v>0.22671695915843509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37"/>
  <sheetViews>
    <sheetView topLeftCell="A5" workbookViewId="0">
      <selection activeCell="BN2" sqref="BN2"/>
    </sheetView>
  </sheetViews>
  <sheetFormatPr defaultRowHeight="15.75" x14ac:dyDescent="0.25"/>
  <cols>
    <col min="1" max="1" width="4.25" bestFit="1" customWidth="1"/>
    <col min="3" max="3" width="10.875" customWidth="1"/>
    <col min="4" max="4" width="24.5" style="13" customWidth="1"/>
    <col min="5" max="5" width="10.5" bestFit="1" customWidth="1"/>
    <col min="6" max="6" width="8.375" bestFit="1" customWidth="1"/>
    <col min="7" max="10" width="10.5" bestFit="1" customWidth="1"/>
    <col min="14" max="14" width="12.25" customWidth="1"/>
    <col min="15" max="15" width="26.75" customWidth="1"/>
  </cols>
  <sheetData>
    <row r="1" spans="1:21" ht="30" x14ac:dyDescent="0.25">
      <c r="F1" s="15" t="s">
        <v>224</v>
      </c>
      <c r="G1" s="15" t="s">
        <v>225</v>
      </c>
      <c r="H1" s="15" t="s">
        <v>226</v>
      </c>
      <c r="I1" s="15" t="s">
        <v>227</v>
      </c>
      <c r="J1" s="15" t="s">
        <v>228</v>
      </c>
      <c r="O1" s="13"/>
      <c r="Q1" s="15" t="s">
        <v>224</v>
      </c>
      <c r="R1" s="15" t="s">
        <v>225</v>
      </c>
      <c r="S1" s="15" t="s">
        <v>226</v>
      </c>
      <c r="T1" s="15" t="s">
        <v>227</v>
      </c>
      <c r="U1" s="15" t="s">
        <v>228</v>
      </c>
    </row>
    <row r="2" spans="1:21" x14ac:dyDescent="0.25">
      <c r="F2" s="15">
        <f>E36-E35</f>
        <v>5.8553049999999986</v>
      </c>
      <c r="G2" s="15"/>
      <c r="H2" s="15">
        <f>G36-G35</f>
        <v>5.784139181524921</v>
      </c>
      <c r="I2" s="15">
        <f>H36-H35</f>
        <v>5.784139181524921</v>
      </c>
      <c r="J2" s="15">
        <f>I36-I35</f>
        <v>5.784139181524921</v>
      </c>
      <c r="O2" s="13"/>
      <c r="Q2" s="15">
        <f>P15-P14</f>
        <v>6.0648974999999998</v>
      </c>
      <c r="R2" s="15"/>
      <c r="S2" s="15">
        <f t="shared" ref="S2:U2" si="0">R15-R14</f>
        <v>6.0420626204531169</v>
      </c>
      <c r="T2" s="15">
        <f t="shared" si="0"/>
        <v>6.0420626204531169</v>
      </c>
      <c r="U2" s="15">
        <f t="shared" si="0"/>
        <v>6.0420626204531169</v>
      </c>
    </row>
    <row r="3" spans="1:21" x14ac:dyDescent="0.25">
      <c r="F3" s="15">
        <f>E36+E35</f>
        <v>6.3446950000000006</v>
      </c>
      <c r="G3" s="15"/>
      <c r="H3" s="15">
        <f>G36+G35</f>
        <v>6.3925681518084119</v>
      </c>
      <c r="I3" s="15">
        <f>H36+H35</f>
        <v>6.3925681518084119</v>
      </c>
      <c r="J3" s="15">
        <f>I36+I35</f>
        <v>6.3925681518084119</v>
      </c>
      <c r="O3" s="13"/>
      <c r="Q3" s="15">
        <f>P15+P14</f>
        <v>6.2651025000000002</v>
      </c>
      <c r="R3" s="15"/>
      <c r="S3" s="15">
        <f t="shared" ref="S3:U3" si="1">R15+R14</f>
        <v>6.3054886295468835</v>
      </c>
      <c r="T3" s="15">
        <f t="shared" si="1"/>
        <v>6.3054886295468835</v>
      </c>
      <c r="U3" s="15">
        <f t="shared" si="1"/>
        <v>6.3054886295468835</v>
      </c>
    </row>
    <row r="4" spans="1:21" ht="31.5" x14ac:dyDescent="0.25">
      <c r="A4" t="s">
        <v>0</v>
      </c>
      <c r="B4" s="47" t="s">
        <v>3</v>
      </c>
      <c r="C4" s="47" t="s">
        <v>124</v>
      </c>
      <c r="D4" s="48" t="s">
        <v>125</v>
      </c>
      <c r="E4" s="32" t="s">
        <v>277</v>
      </c>
      <c r="F4" s="33"/>
      <c r="G4" s="33"/>
      <c r="H4" s="33"/>
      <c r="I4" s="33"/>
      <c r="J4" s="33"/>
      <c r="L4" t="s">
        <v>0</v>
      </c>
      <c r="M4" s="47" t="s">
        <v>3</v>
      </c>
      <c r="N4" s="47" t="s">
        <v>124</v>
      </c>
      <c r="O4" s="48" t="s">
        <v>125</v>
      </c>
      <c r="P4" s="32" t="s">
        <v>273</v>
      </c>
      <c r="Q4" s="33"/>
      <c r="R4" s="33"/>
      <c r="S4" s="33"/>
      <c r="T4" s="33"/>
      <c r="U4" s="33"/>
    </row>
    <row r="5" spans="1:21" x14ac:dyDescent="0.25">
      <c r="A5">
        <v>1</v>
      </c>
      <c r="B5" s="77" t="s">
        <v>152</v>
      </c>
      <c r="C5" s="77" t="s">
        <v>59</v>
      </c>
      <c r="D5" s="77" t="s">
        <v>60</v>
      </c>
      <c r="E5" s="36">
        <f>IF(VLOOKUP(B5,'HCV DL'!D:S,16,0)&lt;&gt;"",VLOOKUP(B5,'HCV DL'!D:S,16,0),"")</f>
        <v>6.1</v>
      </c>
      <c r="F5" s="34">
        <f>IF(VLOOKUP(B5,'HCV DL'!D:AF,16,0)&lt;&gt;"",ABS(E5-$E$36),"")</f>
        <v>0</v>
      </c>
      <c r="G5" s="35">
        <f>IF(VLOOKUP(B5,'HCV DL'!D:AQ,15,0)&lt;&gt;"",IF(E5&lt;$F$2,$F$2,IF(E5&gt;$F$3,$F$3,E5)),"")</f>
        <v>6.1</v>
      </c>
      <c r="H5" s="35">
        <f>IF(VLOOKUP(B5,'HCV DL'!D:AQ,15,0)&lt;&gt;"",IF(G5&lt;$H$2,$H$2,IF(G5&gt;$H$3,$H$3,G5)),"")</f>
        <v>6.1</v>
      </c>
      <c r="I5" s="35">
        <f>IF(VLOOKUP(B5,'HCV DL'!D:AQ,15,0)&lt;&gt;"",IF(H5&lt;$I$2,$I$2,IF(H5&gt;$I$3,$I$3,H5)),"")</f>
        <v>6.1</v>
      </c>
      <c r="J5" s="35">
        <f>IF(VLOOKUP(B5,'HCV DL'!D:AQ,15,0)&lt;&gt;"",IF(I5&lt;$J$2,$J$2,IF(I5&gt;$J$3,$J$3,I5)),"")</f>
        <v>6.1</v>
      </c>
      <c r="L5">
        <v>1</v>
      </c>
      <c r="M5" s="77" t="s">
        <v>152</v>
      </c>
      <c r="N5" s="77" t="s">
        <v>59</v>
      </c>
      <c r="O5" s="77" t="s">
        <v>60</v>
      </c>
      <c r="P5" s="32">
        <f>IF(VLOOKUP(M5,'HCV DL'!D:AF,16,0)&lt;&gt;"",VLOOKUP(M5,'HCV DL'!D:AF,16,0),"")</f>
        <v>6.1</v>
      </c>
      <c r="Q5" s="33">
        <f>IF(VLOOKUP(M5,'HCV DL'!D:AF,16,0)&lt;&gt;"",ABS(P5-$P$15),"")</f>
        <v>6.5000000000000391E-2</v>
      </c>
      <c r="R5" s="183">
        <f>IF(VLOOKUP(M5,'HCV DL'!D:AF,16,0)&lt;&gt;"",IF(P5&lt;$Q$2,$Q$2,IF(P5&gt;$Q$3,$Q$3,E5)),"")</f>
        <v>6.1</v>
      </c>
      <c r="S5" s="183">
        <f>IF(VLOOKUP(M5,'HCV DL'!D:AF,16,0)&lt;&gt;"",IF(R5&lt;$S$2,$S$2,IF(R5&gt;$S$3,$S$3,R5)),"")</f>
        <v>6.1</v>
      </c>
      <c r="T5" s="183">
        <f>IF(VLOOKUP(M5,'HCV DL'!D:AF,16,0)&lt;&gt;"",IF(S5&lt;$T$2,$T$2,IF(S5&gt;$T$3,$T$3,S5)),"")</f>
        <v>6.1</v>
      </c>
      <c r="U5" s="183">
        <f>IF(VLOOKUP(M5,'HCV DL'!D:AF,16,0)&lt;&gt;"",IF(T5&lt;$U$2,$U$2,IF(T5&gt;$U$3,$U$3,T5)),"")</f>
        <v>6.1</v>
      </c>
    </row>
    <row r="6" spans="1:21" ht="31.5" x14ac:dyDescent="0.25">
      <c r="A6">
        <v>2</v>
      </c>
      <c r="B6" s="77" t="s">
        <v>157</v>
      </c>
      <c r="C6" s="77" t="s">
        <v>56</v>
      </c>
      <c r="D6" s="77" t="s">
        <v>57</v>
      </c>
      <c r="E6" s="36">
        <f>IF(VLOOKUP(B6,'HCV DL'!D:S,16,0)&lt;&gt;"",VLOOKUP(B6,'HCV DL'!D:S,16,0),"")</f>
        <v>6.46</v>
      </c>
      <c r="F6" s="34">
        <f>IF(VLOOKUP(B6,'HCV DL'!D:AF,16,0)&lt;&gt;"",ABS(E6-$E$36),"")</f>
        <v>0.36000000000000032</v>
      </c>
      <c r="G6" s="35">
        <f>IF(VLOOKUP(B6,'HCV DL'!D:AQ,15,0)&lt;&gt;"",IF(E6&lt;$F$2,$F$2,IF(E6&gt;$F$3,$F$3,E6)),"")</f>
        <v>6.3446950000000006</v>
      </c>
      <c r="H6" s="35">
        <f>IF(VLOOKUP(B6,'HCV DL'!D:AQ,15,0)&lt;&gt;"",IF(G6&lt;$H$2,$H$2,IF(G6&gt;$H$3,$H$3,G6)),"")</f>
        <v>6.3446950000000006</v>
      </c>
      <c r="I6" s="35">
        <f>IF(VLOOKUP(B6,'HCV DL'!D:AQ,15,0)&lt;&gt;"",IF(H6&lt;$I$2,$I$2,IF(H6&gt;$I$3,$I$3,H6)),"")</f>
        <v>6.3446950000000006</v>
      </c>
      <c r="J6" s="35">
        <f>IF(VLOOKUP(B6,'HCV DL'!D:AQ,15,0)&lt;&gt;"",IF(I6&lt;$J$2,$J$2,IF(I6&gt;$J$3,$J$3,I6)),"")</f>
        <v>6.3446950000000006</v>
      </c>
      <c r="L6">
        <v>2</v>
      </c>
      <c r="M6" s="77" t="s">
        <v>157</v>
      </c>
      <c r="N6" s="77" t="s">
        <v>56</v>
      </c>
      <c r="O6" s="77" t="s">
        <v>57</v>
      </c>
      <c r="P6" s="32">
        <f>IF(VLOOKUP(M6,'HCV DL'!D:AF,16,0)&lt;&gt;"",VLOOKUP(M6,'HCV DL'!D:AF,16,0),"")</f>
        <v>6.46</v>
      </c>
      <c r="Q6" s="33">
        <f>IF(VLOOKUP(M6,'HCV DL'!D:AF,16,0)&lt;&gt;"",ABS(P6-$P$15),"")</f>
        <v>0.29499999999999993</v>
      </c>
      <c r="R6" s="183">
        <f>IF(VLOOKUP(M6,'HCV DL'!D:AF,16,0)&lt;&gt;"",IF(P6&lt;$Q$2,$Q$2,IF(P6&gt;$Q$3,$Q$3,E6)),"")</f>
        <v>6.2651025000000002</v>
      </c>
      <c r="S6" s="183">
        <f>IF(VLOOKUP(M6,'HCV DL'!D:AF,16,0)&lt;&gt;"",IF(R6&lt;$S$2,$S$2,IF(R6&gt;$S$3,$S$3,R6)),"")</f>
        <v>6.2651025000000002</v>
      </c>
      <c r="T6" s="183">
        <f>IF(VLOOKUP(M6,'HCV DL'!D:AF,16,0)&lt;&gt;"",IF(S6&lt;$T$2,$T$2,IF(S6&gt;$T$3,$T$3,S6)),"")</f>
        <v>6.2651025000000002</v>
      </c>
      <c r="U6" s="183">
        <f>IF(VLOOKUP(M6,'HCV DL'!D:AF,16,0)&lt;&gt;"",IF(T6&lt;$U$2,$U$2,IF(T6&gt;$U$3,$U$3,T6)),"")</f>
        <v>6.2651025000000002</v>
      </c>
    </row>
    <row r="7" spans="1:21" ht="31.5" x14ac:dyDescent="0.25">
      <c r="A7">
        <v>3</v>
      </c>
      <c r="B7" s="77" t="s">
        <v>345</v>
      </c>
      <c r="C7" s="77" t="s">
        <v>219</v>
      </c>
      <c r="D7" s="77" t="s">
        <v>318</v>
      </c>
      <c r="E7" s="36">
        <f>IF(VLOOKUP(B7,'HCV DL'!D:S,16,0)&lt;&gt;"",VLOOKUP(B7,'HCV DL'!D:S,16,0),"")</f>
        <v>6.12</v>
      </c>
      <c r="F7" s="34">
        <f>IF(VLOOKUP(B7,'HCV DL'!D:AF,16,0)&lt;&gt;"",ABS(E7-$E$36),"")</f>
        <v>2.0000000000000462E-2</v>
      </c>
      <c r="G7" s="35">
        <f>IF(VLOOKUP(B7,'HCV DL'!D:AQ,15,0)&lt;&gt;"",IF(E7&lt;$F$2,$F$2,IF(E7&gt;$F$3,$F$3,E7)),"")</f>
        <v>6.12</v>
      </c>
      <c r="H7" s="35">
        <f>IF(VLOOKUP(B7,'HCV DL'!D:AQ,15,0)&lt;&gt;"",IF(G7&lt;$H$2,$H$2,IF(G7&gt;$H$3,$H$3,G7)),"")</f>
        <v>6.12</v>
      </c>
      <c r="I7" s="35">
        <f>IF(VLOOKUP(B7,'HCV DL'!D:AQ,15,0)&lt;&gt;"",IF(H7&lt;$I$2,$I$2,IF(H7&gt;$I$3,$I$3,H7)),"")</f>
        <v>6.12</v>
      </c>
      <c r="J7" s="35">
        <f>IF(VLOOKUP(B7,'HCV DL'!D:AQ,15,0)&lt;&gt;"",IF(I7&lt;$J$2,$J$2,IF(I7&gt;$J$3,$J$3,I7)),"")</f>
        <v>6.12</v>
      </c>
      <c r="L7">
        <v>3</v>
      </c>
      <c r="M7" s="77" t="s">
        <v>345</v>
      </c>
      <c r="N7" s="77" t="s">
        <v>219</v>
      </c>
      <c r="O7" s="77" t="s">
        <v>318</v>
      </c>
      <c r="P7" s="32">
        <f>IF(VLOOKUP(M7,'HCV DL'!D:AF,16,0)&lt;&gt;"",VLOOKUP(M7,'HCV DL'!D:AF,16,0),"")</f>
        <v>6.12</v>
      </c>
      <c r="Q7" s="33">
        <f>IF(VLOOKUP(M7,'HCV DL'!D:AF,16,0)&lt;&gt;"",ABS(P7-$P$15),"")</f>
        <v>4.4999999999999929E-2</v>
      </c>
      <c r="R7" s="183">
        <f>IF(VLOOKUP(M7,'HCV DL'!D:AF,16,0)&lt;&gt;"",IF(P7&lt;$Q$2,$Q$2,IF(P7&gt;$Q$3,$Q$3,E7)),"")</f>
        <v>6.12</v>
      </c>
      <c r="S7" s="183">
        <f>IF(VLOOKUP(M7,'HCV DL'!D:AF,16,0)&lt;&gt;"",IF(R7&lt;$S$2,$S$2,IF(R7&gt;$S$3,$S$3,R7)),"")</f>
        <v>6.12</v>
      </c>
      <c r="T7" s="183">
        <f>IF(VLOOKUP(M7,'HCV DL'!D:AF,16,0)&lt;&gt;"",IF(S7&lt;$T$2,$T$2,IF(S7&gt;$T$3,$T$3,S7)),"")</f>
        <v>6.12</v>
      </c>
      <c r="U7" s="183">
        <f>IF(VLOOKUP(M7,'HCV DL'!D:AF,16,0)&lt;&gt;"",IF(T7&lt;$U$2,$U$2,IF(T7&gt;$U$3,$U$3,T7)),"")</f>
        <v>6.12</v>
      </c>
    </row>
    <row r="8" spans="1:21" ht="31.5" x14ac:dyDescent="0.25">
      <c r="A8">
        <v>4</v>
      </c>
      <c r="B8" s="77" t="s">
        <v>341</v>
      </c>
      <c r="C8" s="77" t="s">
        <v>301</v>
      </c>
      <c r="D8" s="77" t="s">
        <v>319</v>
      </c>
      <c r="E8" s="36">
        <f>IF(VLOOKUP(B8,'HCV DL'!D:S,16,0)&lt;&gt;"",VLOOKUP(B8,'HCV DL'!D:S,16,0),"")</f>
        <v>6.21</v>
      </c>
      <c r="F8" s="34">
        <f>IF(VLOOKUP(B8,'HCV DL'!D:AF,16,0)&lt;&gt;"",ABS(E8-$E$36),"")</f>
        <v>0.11000000000000032</v>
      </c>
      <c r="G8" s="35">
        <f>IF(VLOOKUP(B8,'HCV DL'!D:AQ,15,0)&lt;&gt;"",IF(E8&lt;$F$2,$F$2,IF(E8&gt;$F$3,$F$3,E8)),"")</f>
        <v>6.21</v>
      </c>
      <c r="H8" s="35">
        <f>IF(VLOOKUP(B8,'HCV DL'!D:AQ,15,0)&lt;&gt;"",IF(G8&lt;$H$2,$H$2,IF(G8&gt;$H$3,$H$3,G8)),"")</f>
        <v>6.21</v>
      </c>
      <c r="I8" s="35">
        <f>IF(VLOOKUP(B8,'HCV DL'!D:AQ,15,0)&lt;&gt;"",IF(H8&lt;$I$2,$I$2,IF(H8&gt;$I$3,$I$3,H8)),"")</f>
        <v>6.21</v>
      </c>
      <c r="J8" s="35">
        <f>IF(VLOOKUP(B8,'HCV DL'!D:AQ,15,0)&lt;&gt;"",IF(I8&lt;$J$2,$J$2,IF(I8&gt;$J$3,$J$3,I8)),"")</f>
        <v>6.21</v>
      </c>
      <c r="L8">
        <v>4</v>
      </c>
      <c r="M8" s="77" t="s">
        <v>341</v>
      </c>
      <c r="N8" s="77" t="s">
        <v>301</v>
      </c>
      <c r="O8" s="77" t="s">
        <v>319</v>
      </c>
      <c r="P8" s="32">
        <f>IF(VLOOKUP(M8,'HCV DL'!D:AF,16,0)&lt;&gt;"",VLOOKUP(M8,'HCV DL'!D:AF,16,0),"")</f>
        <v>6.21</v>
      </c>
      <c r="Q8" s="33">
        <f>IF(VLOOKUP(M8,'HCV DL'!D:AF,16,0)&lt;&gt;"",ABS(P8-$P$15),"")</f>
        <v>4.4999999999999929E-2</v>
      </c>
      <c r="R8" s="183">
        <f>IF(VLOOKUP(M8,'HCV DL'!D:AF,16,0)&lt;&gt;"",IF(P8&lt;$Q$2,$Q$2,IF(P8&gt;$Q$3,$Q$3,E8)),"")</f>
        <v>6.21</v>
      </c>
      <c r="S8" s="183">
        <f>IF(VLOOKUP(M8,'HCV DL'!D:AF,16,0)&lt;&gt;"",IF(R8&lt;$S$2,$S$2,IF(R8&gt;$S$3,$S$3,R8)),"")</f>
        <v>6.21</v>
      </c>
      <c r="T8" s="183">
        <f>IF(VLOOKUP(M8,'HCV DL'!D:AF,16,0)&lt;&gt;"",IF(S8&lt;$T$2,$T$2,IF(S8&gt;$T$3,$T$3,S8)),"")</f>
        <v>6.21</v>
      </c>
      <c r="U8" s="183">
        <f>IF(VLOOKUP(M8,'HCV DL'!D:AF,16,0)&lt;&gt;"",IF(T8&lt;$U$2,$U$2,IF(T8&gt;$U$3,$U$3,T8)),"")</f>
        <v>6.21</v>
      </c>
    </row>
    <row r="9" spans="1:21" ht="31.5" x14ac:dyDescent="0.25">
      <c r="A9">
        <v>5</v>
      </c>
      <c r="B9" s="77" t="s">
        <v>353</v>
      </c>
      <c r="C9" s="77" t="s">
        <v>36</v>
      </c>
      <c r="D9" s="77" t="s">
        <v>37</v>
      </c>
      <c r="E9" s="36" t="str">
        <f>IF(VLOOKUP(B9,'HCV DL'!D:S,16,0)&lt;&gt;"",VLOOKUP(B9,'HCV DL'!D:S,16,0),"")</f>
        <v/>
      </c>
      <c r="F9" s="34" t="str">
        <f>IF(VLOOKUP(B9,'HCV DL'!D:AF,16,0)&lt;&gt;"",ABS(E9-$E$36),"")</f>
        <v/>
      </c>
      <c r="G9" s="35" t="str">
        <f>IF(VLOOKUP(B9,'HCV DL'!D:AQ,15,0)&lt;&gt;"",IF(E9&lt;$F$2,$F$2,IF(E9&gt;$F$3,$F$3,E9)),"")</f>
        <v/>
      </c>
      <c r="H9" s="35" t="str">
        <f>IF(VLOOKUP(B9,'HCV DL'!D:AQ,15,0)&lt;&gt;"",IF(G9&lt;$H$2,$H$2,IF(G9&gt;$H$3,$H$3,G9)),"")</f>
        <v/>
      </c>
      <c r="I9" s="35" t="str">
        <f>IF(VLOOKUP(B9,'HCV DL'!D:AQ,15,0)&lt;&gt;"",IF(H9&lt;$I$2,$I$2,IF(H9&gt;$I$3,$I$3,H9)),"")</f>
        <v/>
      </c>
      <c r="J9" s="35" t="str">
        <f>IF(VLOOKUP(B9,'HCV DL'!D:AQ,15,0)&lt;&gt;"",IF(I9&lt;$J$2,$J$2,IF(I9&gt;$J$3,$J$3,I9)),"")</f>
        <v/>
      </c>
      <c r="L9">
        <v>5</v>
      </c>
      <c r="M9" s="77" t="s">
        <v>353</v>
      </c>
      <c r="N9" s="77" t="s">
        <v>36</v>
      </c>
      <c r="O9" s="77" t="s">
        <v>37</v>
      </c>
      <c r="P9" s="32" t="str">
        <f>IF(VLOOKUP(M9,'HCV DL'!D:AF,16,0)&lt;&gt;"",VLOOKUP(M9,'HCV DL'!D:AF,16,0),"")</f>
        <v/>
      </c>
      <c r="Q9" s="33" t="str">
        <f>IF(VLOOKUP(M9,'HCV DL'!D:AF,16,0)&lt;&gt;"",ABS(P9-$P$15),"")</f>
        <v/>
      </c>
      <c r="R9" s="183" t="str">
        <f>IF(VLOOKUP(M9,'HCV DL'!D:AF,16,0)&lt;&gt;"",IF(P9&lt;$Q$2,$Q$2,IF(P9&gt;$Q$3,$Q$3,E9)),"")</f>
        <v/>
      </c>
      <c r="S9" s="183" t="str">
        <f>IF(VLOOKUP(M9,'HCV DL'!D:AF,16,0)&lt;&gt;"",IF(R9&lt;$S$2,$S$2,IF(R9&gt;$S$3,$S$3,R9)),"")</f>
        <v/>
      </c>
      <c r="T9" s="183" t="str">
        <f>IF(VLOOKUP(M9,'HCV DL'!D:AF,16,0)&lt;&gt;"",IF(S9&lt;$T$2,$T$2,IF(S9&gt;$T$3,$T$3,S9)),"")</f>
        <v/>
      </c>
      <c r="U9" s="183" t="str">
        <f>IF(VLOOKUP(M9,'HCV DL'!D:AF,16,0)&lt;&gt;"",IF(T9&lt;$U$2,$U$2,IF(T9&gt;$U$3,$U$3,T9)),"")</f>
        <v/>
      </c>
    </row>
    <row r="10" spans="1:21" ht="47.25" x14ac:dyDescent="0.25">
      <c r="A10">
        <v>6</v>
      </c>
      <c r="B10" s="85" t="s">
        <v>195</v>
      </c>
      <c r="C10" s="86" t="s">
        <v>88</v>
      </c>
      <c r="D10" s="85" t="s">
        <v>89</v>
      </c>
      <c r="E10" s="36">
        <f>IF(VLOOKUP(B10,'HCV DL'!D:S,16,0)&lt;&gt;"",VLOOKUP(B10,'HCV DL'!D:S,16,0),"")</f>
        <v>6.16</v>
      </c>
      <c r="F10" s="34">
        <f>IF(VLOOKUP(B10,'HCV DL'!D:AF,16,0)&lt;&gt;"",ABS(E10-$E$36),"")</f>
        <v>6.0000000000000497E-2</v>
      </c>
      <c r="G10" s="35">
        <f>IF(VLOOKUP(B10,'HCV DL'!D:AQ,15,0)&lt;&gt;"",IF(E10&lt;$F$2,$F$2,IF(E10&gt;$F$3,$F$3,E10)),"")</f>
        <v>6.16</v>
      </c>
      <c r="H10" s="35">
        <f>IF(VLOOKUP(B10,'HCV DL'!D:AQ,15,0)&lt;&gt;"",IF(G10&lt;$H$2,$H$2,IF(G10&gt;$H$3,$H$3,G10)),"")</f>
        <v>6.16</v>
      </c>
      <c r="I10" s="35">
        <f>IF(VLOOKUP(B10,'HCV DL'!D:AQ,15,0)&lt;&gt;"",IF(H10&lt;$I$2,$I$2,IF(H10&gt;$I$3,$I$3,H10)),"")</f>
        <v>6.16</v>
      </c>
      <c r="J10" s="35">
        <f>IF(VLOOKUP(B10,'HCV DL'!D:AQ,15,0)&lt;&gt;"",IF(I10&lt;$J$2,$J$2,IF(I10&gt;$J$3,$J$3,I10)),"")</f>
        <v>6.16</v>
      </c>
    </row>
    <row r="11" spans="1:21" ht="47.25" x14ac:dyDescent="0.25">
      <c r="A11">
        <v>7</v>
      </c>
      <c r="B11" s="91" t="s">
        <v>350</v>
      </c>
      <c r="C11" s="92" t="s">
        <v>30</v>
      </c>
      <c r="D11" s="91" t="s">
        <v>31</v>
      </c>
      <c r="E11" s="36">
        <f>IF(VLOOKUP(B11,'HCV DL'!D:S,16,0)&lt;&gt;"",VLOOKUP(B11,'HCV DL'!D:S,16,0),"")</f>
        <v>6.38</v>
      </c>
      <c r="F11" s="34">
        <f>IF(VLOOKUP(B11,'HCV DL'!D:AF,16,0)&lt;&gt;"",ABS(E11-$E$36),"")</f>
        <v>0.28000000000000025</v>
      </c>
      <c r="G11" s="35">
        <f>IF(VLOOKUP(B11,'HCV DL'!D:AQ,15,0)&lt;&gt;"",IF(E11&lt;$F$2,$F$2,IF(E11&gt;$F$3,$F$3,E11)),"")</f>
        <v>6.3446950000000006</v>
      </c>
      <c r="H11" s="35">
        <f>IF(VLOOKUP(B11,'HCV DL'!D:AQ,15,0)&lt;&gt;"",IF(G11&lt;$H$2,$H$2,IF(G11&gt;$H$3,$H$3,G11)),"")</f>
        <v>6.3446950000000006</v>
      </c>
      <c r="I11" s="35">
        <f>IF(VLOOKUP(B11,'HCV DL'!D:AQ,15,0)&lt;&gt;"",IF(H11&lt;$I$2,$I$2,IF(H11&gt;$I$3,$I$3,H11)),"")</f>
        <v>6.3446950000000006</v>
      </c>
      <c r="J11" s="35">
        <f>IF(VLOOKUP(B11,'HCV DL'!D:AQ,15,0)&lt;&gt;"",IF(I11&lt;$J$2,$J$2,IF(I11&gt;$J$3,$J$3,I11)),"")</f>
        <v>6.3446950000000006</v>
      </c>
    </row>
    <row r="12" spans="1:21" ht="47.25" x14ac:dyDescent="0.25">
      <c r="A12">
        <v>8</v>
      </c>
      <c r="B12" s="95" t="s">
        <v>211</v>
      </c>
      <c r="C12" s="96" t="s">
        <v>101</v>
      </c>
      <c r="D12" s="97" t="s">
        <v>102</v>
      </c>
      <c r="E12" s="36">
        <f>IF(VLOOKUP(B12,'HCV DL'!D:S,16,0)&lt;&gt;"",VLOOKUP(B12,'HCV DL'!D:S,16,0),"")</f>
        <v>5.1100000000000003</v>
      </c>
      <c r="F12" s="34">
        <f>IF(VLOOKUP(B12,'HCV DL'!D:AF,16,0)&lt;&gt;"",ABS(E12-$E$36),"")</f>
        <v>0.98999999999999932</v>
      </c>
      <c r="G12" s="35">
        <f>IF(VLOOKUP(B12,'HCV DL'!D:AQ,15,0)&lt;&gt;"",IF(E12&lt;$F$2,$F$2,IF(E12&gt;$F$3,$F$3,E12)),"")</f>
        <v>5.8553049999999986</v>
      </c>
      <c r="H12" s="35">
        <f>IF(VLOOKUP(B12,'HCV DL'!D:AQ,15,0)&lt;&gt;"",IF(G12&lt;$H$2,$H$2,IF(G12&gt;$H$3,$H$3,G12)),"")</f>
        <v>5.8553049999999986</v>
      </c>
      <c r="I12" s="35">
        <f>IF(VLOOKUP(B12,'HCV DL'!D:AQ,15,0)&lt;&gt;"",IF(H12&lt;$I$2,$I$2,IF(H12&gt;$I$3,$I$3,H12)),"")</f>
        <v>5.8553049999999986</v>
      </c>
      <c r="J12" s="35">
        <f>IF(VLOOKUP(B12,'HCV DL'!D:AQ,15,0)&lt;&gt;"",IF(I12&lt;$J$2,$J$2,IF(I12&gt;$J$3,$J$3,I12)),"")</f>
        <v>5.8553049999999986</v>
      </c>
      <c r="O12" s="30" t="s">
        <v>229</v>
      </c>
      <c r="P12" s="16">
        <f>AVERAGE(P5:P9)</f>
        <v>6.2225000000000001</v>
      </c>
      <c r="Q12" s="16"/>
      <c r="R12" s="184">
        <f>AVERAGE(R5:R9)</f>
        <v>6.1737756250000002</v>
      </c>
      <c r="S12" s="184">
        <f t="shared" ref="S12:U12" si="2">AVERAGE(S5:S9)</f>
        <v>6.1737756250000002</v>
      </c>
      <c r="T12" s="184">
        <f t="shared" si="2"/>
        <v>6.1737756250000002</v>
      </c>
      <c r="U12" s="184">
        <f t="shared" si="2"/>
        <v>6.1737756250000002</v>
      </c>
    </row>
    <row r="13" spans="1:21" ht="31.5" x14ac:dyDescent="0.25">
      <c r="A13">
        <v>9</v>
      </c>
      <c r="B13" s="92" t="s">
        <v>359</v>
      </c>
      <c r="C13" s="92" t="s">
        <v>36</v>
      </c>
      <c r="D13" s="92" t="s">
        <v>37</v>
      </c>
      <c r="E13" s="36" t="str">
        <f>IF(VLOOKUP(B13,'HCV DL'!D:S,16,0)&lt;&gt;"",VLOOKUP(B13,'HCV DL'!D:S,16,0),"")</f>
        <v/>
      </c>
      <c r="F13" s="34" t="str">
        <f>IF(VLOOKUP(B13,'HCV DL'!D:AF,16,0)&lt;&gt;"",ABS(E13-$E$36),"")</f>
        <v/>
      </c>
      <c r="G13" s="35" t="str">
        <f>IF(VLOOKUP(B13,'HCV DL'!D:AQ,15,0)&lt;&gt;"",IF(E13&lt;$F$2,$F$2,IF(E13&gt;$F$3,$F$3,E13)),"")</f>
        <v/>
      </c>
      <c r="H13" s="35" t="str">
        <f>IF(VLOOKUP(B13,'HCV DL'!D:AQ,15,0)&lt;&gt;"",IF(G13&lt;$H$2,$H$2,IF(G13&gt;$H$3,$H$3,G13)),"")</f>
        <v/>
      </c>
      <c r="I13" s="35" t="str">
        <f>IF(VLOOKUP(B13,'HCV DL'!D:AQ,15,0)&lt;&gt;"",IF(H13&lt;$I$2,$I$2,IF(H13&gt;$I$3,$I$3,H13)),"")</f>
        <v/>
      </c>
      <c r="J13" s="35" t="str">
        <f>IF(VLOOKUP(B13,'HCV DL'!D:AQ,15,0)&lt;&gt;"",IF(I13&lt;$J$2,$J$2,IF(I13&gt;$J$3,$J$3,I13)),"")</f>
        <v/>
      </c>
      <c r="O13" s="17" t="s">
        <v>123</v>
      </c>
      <c r="P13" s="16">
        <f>_xlfn.STDEV.S(P5:P9)</f>
        <v>0.16540354691884135</v>
      </c>
      <c r="Q13" s="16"/>
      <c r="R13" s="16">
        <f>_xlfn.STDEV.S(R5:R9)</f>
        <v>7.7432689327973939E-2</v>
      </c>
      <c r="S13" s="16">
        <f t="shared" ref="S13:U13" si="3">_xlfn.STDEV.S(S5:S9)</f>
        <v>7.7432689327973939E-2</v>
      </c>
      <c r="T13" s="16">
        <f t="shared" si="3"/>
        <v>7.7432689327973939E-2</v>
      </c>
      <c r="U13" s="16">
        <f t="shared" si="3"/>
        <v>7.7432689327973939E-2</v>
      </c>
    </row>
    <row r="14" spans="1:21" x14ac:dyDescent="0.25">
      <c r="A14">
        <v>10</v>
      </c>
      <c r="B14" s="98" t="s">
        <v>164</v>
      </c>
      <c r="C14" s="99" t="s">
        <v>79</v>
      </c>
      <c r="D14" s="98" t="s">
        <v>80</v>
      </c>
      <c r="E14" s="36">
        <f>IF(VLOOKUP(B14,'HCV DL'!D:S,16,0)&lt;&gt;"",VLOOKUP(B14,'HCV DL'!D:S,16,0),"")</f>
        <v>6.01</v>
      </c>
      <c r="F14" s="34">
        <f>IF(VLOOKUP(B14,'HCV DL'!D:AF,16,0)&lt;&gt;"",ABS(E14-$E$36),"")</f>
        <v>8.9999999999999858E-2</v>
      </c>
      <c r="G14" s="35">
        <f>IF(VLOOKUP(B14,'HCV DL'!D:AQ,15,0)&lt;&gt;"",IF(E14&lt;$F$2,$F$2,IF(E14&gt;$F$3,$F$3,E14)),"")</f>
        <v>6.01</v>
      </c>
      <c r="H14" s="35">
        <f>IF(VLOOKUP(B14,'HCV DL'!D:AQ,15,0)&lt;&gt;"",IF(G14&lt;$H$2,$H$2,IF(G14&gt;$H$3,$H$3,G14)),"")</f>
        <v>6.01</v>
      </c>
      <c r="I14" s="35">
        <f>IF(VLOOKUP(B14,'HCV DL'!D:AQ,15,0)&lt;&gt;"",IF(H14&lt;$I$2,$I$2,IF(H14&gt;$I$3,$I$3,H14)),"")</f>
        <v>6.01</v>
      </c>
      <c r="J14" s="35">
        <f>IF(VLOOKUP(B14,'HCV DL'!D:AQ,15,0)&lt;&gt;"",IF(I14&lt;$J$2,$J$2,IF(I14&gt;$J$3,$J$3,I14)),"")</f>
        <v>6.01</v>
      </c>
      <c r="O14" s="17" t="s">
        <v>230</v>
      </c>
      <c r="P14" s="16">
        <f>1.5*P16</f>
        <v>0.10010249999999986</v>
      </c>
      <c r="Q14" s="16"/>
      <c r="R14" s="16">
        <f>1.5*R16</f>
        <v>0.13171300454688364</v>
      </c>
      <c r="S14" s="16">
        <f t="shared" ref="S14:U14" si="4">1.5*S16</f>
        <v>0.13171300454688364</v>
      </c>
      <c r="T14" s="16">
        <f t="shared" si="4"/>
        <v>0.13171300454688364</v>
      </c>
      <c r="U14" s="16">
        <f t="shared" si="4"/>
        <v>0.13171300454688364</v>
      </c>
    </row>
    <row r="15" spans="1:21" x14ac:dyDescent="0.25">
      <c r="A15">
        <v>11</v>
      </c>
      <c r="B15" s="105" t="s">
        <v>159</v>
      </c>
      <c r="C15" s="105" t="s">
        <v>81</v>
      </c>
      <c r="D15" s="105" t="s">
        <v>82</v>
      </c>
      <c r="E15" s="36">
        <f>IF(VLOOKUP(B15,'HCV DL'!D:S,16,0)&lt;&gt;"",VLOOKUP(B15,'HCV DL'!D:S,16,0),"")</f>
        <v>6.6</v>
      </c>
      <c r="F15" s="34">
        <f>IF(VLOOKUP(B15,'HCV DL'!D:AF,16,0)&lt;&gt;"",ABS(E15-$E$36),"")</f>
        <v>0.5</v>
      </c>
      <c r="G15" s="35">
        <f>IF(VLOOKUP(B15,'HCV DL'!D:AQ,15,0)&lt;&gt;"",IF(E15&lt;$F$2,$F$2,IF(E15&gt;$F$3,$F$3,E15)),"")</f>
        <v>6.3446950000000006</v>
      </c>
      <c r="H15" s="35">
        <f>IF(VLOOKUP(B15,'HCV DL'!D:AQ,15,0)&lt;&gt;"",IF(G15&lt;$H$2,$H$2,IF(G15&gt;$H$3,$H$3,G15)),"")</f>
        <v>6.3446950000000006</v>
      </c>
      <c r="I15" s="35">
        <f>IF(VLOOKUP(B15,'HCV DL'!D:AQ,15,0)&lt;&gt;"",IF(H15&lt;$I$2,$I$2,IF(H15&gt;$I$3,$I$3,H15)),"")</f>
        <v>6.3446950000000006</v>
      </c>
      <c r="J15" s="35">
        <f>IF(VLOOKUP(B15,'HCV DL'!D:AQ,15,0)&lt;&gt;"",IF(I15&lt;$J$2,$J$2,IF(I15&gt;$J$3,$J$3,I15)),"")</f>
        <v>6.3446950000000006</v>
      </c>
      <c r="O15" s="17" t="s">
        <v>231</v>
      </c>
      <c r="P15" s="16">
        <f>MEDIAN(P5:P9)</f>
        <v>6.165</v>
      </c>
      <c r="Q15" s="16">
        <f>MEDIAN(Q5:Q9)</f>
        <v>5.500000000000016E-2</v>
      </c>
      <c r="R15" s="185">
        <f>AVERAGE(R5:R9)</f>
        <v>6.1737756250000002</v>
      </c>
      <c r="S15" s="185">
        <f t="shared" ref="S15:U15" si="5">AVERAGE(S5:S9)</f>
        <v>6.1737756250000002</v>
      </c>
      <c r="T15" s="185">
        <f t="shared" si="5"/>
        <v>6.1737756250000002</v>
      </c>
      <c r="U15" s="185">
        <f t="shared" si="5"/>
        <v>6.1737756250000002</v>
      </c>
    </row>
    <row r="16" spans="1:21" ht="31.5" x14ac:dyDescent="0.25">
      <c r="A16">
        <v>12</v>
      </c>
      <c r="B16" s="107" t="s">
        <v>179</v>
      </c>
      <c r="C16" s="108" t="s">
        <v>71</v>
      </c>
      <c r="D16" s="107" t="s">
        <v>72</v>
      </c>
      <c r="E16" s="36">
        <f>IF(VLOOKUP(B16,'HCV DL'!D:S,16,0)&lt;&gt;"",VLOOKUP(B16,'HCV DL'!D:S,16,0),"")</f>
        <v>6.03</v>
      </c>
      <c r="F16" s="34">
        <f>IF(VLOOKUP(B16,'HCV DL'!D:AF,16,0)&lt;&gt;"",ABS(E16-$E$36),"")</f>
        <v>6.9999999999999396E-2</v>
      </c>
      <c r="G16" s="35">
        <f>IF(VLOOKUP(B16,'HCV DL'!D:AQ,15,0)&lt;&gt;"",IF(E16&lt;$F$2,$F$2,IF(E16&gt;$F$3,$F$3,E16)),"")</f>
        <v>6.03</v>
      </c>
      <c r="H16" s="35">
        <f>IF(VLOOKUP(B16,'HCV DL'!D:AQ,15,0)&lt;&gt;"",IF(G16&lt;$H$2,$H$2,IF(G16&gt;$H$3,$H$3,G16)),"")</f>
        <v>6.03</v>
      </c>
      <c r="I16" s="35">
        <f>IF(VLOOKUP(B16,'HCV DL'!D:AQ,15,0)&lt;&gt;"",IF(H16&lt;$I$2,$I$2,IF(H16&gt;$I$3,$I$3,H16)),"")</f>
        <v>6.03</v>
      </c>
      <c r="J16" s="35">
        <f>IF(VLOOKUP(B16,'HCV DL'!D:AQ,15,0)&lt;&gt;"",IF(I16&lt;$J$2,$J$2,IF(I16&gt;$J$3,$J$3,I16)),"")</f>
        <v>6.03</v>
      </c>
      <c r="O16" s="17" t="s">
        <v>232</v>
      </c>
      <c r="P16" s="16">
        <f>1.483*MEDIAN(Q6:Q9)</f>
        <v>6.6734999999999906E-2</v>
      </c>
      <c r="Q16" s="16">
        <f>1.483*Q15</f>
        <v>8.1565000000000248E-2</v>
      </c>
      <c r="R16" s="18">
        <f>1.134*_xlfn.STDEV.S(R5:R9)</f>
        <v>8.7808669697922434E-2</v>
      </c>
      <c r="S16" s="18">
        <f t="shared" ref="S16:U16" si="6">1.134*_xlfn.STDEV.S(S5:S9)</f>
        <v>8.7808669697922434E-2</v>
      </c>
      <c r="T16" s="18">
        <f t="shared" si="6"/>
        <v>8.7808669697922434E-2</v>
      </c>
      <c r="U16" s="18">
        <f t="shared" si="6"/>
        <v>8.7808669697922434E-2</v>
      </c>
    </row>
    <row r="17" spans="1:10" ht="31.5" x14ac:dyDescent="0.25">
      <c r="A17">
        <v>13</v>
      </c>
      <c r="B17" s="113" t="s">
        <v>268</v>
      </c>
      <c r="C17" s="114" t="s">
        <v>264</v>
      </c>
      <c r="D17" s="113" t="s">
        <v>271</v>
      </c>
      <c r="E17" s="36">
        <f>IF(VLOOKUP(B17,'HCV DL'!D:S,16,0)&lt;&gt;"",VLOOKUP(B17,'HCV DL'!D:S,16,0),"")</f>
        <v>5.82</v>
      </c>
      <c r="F17" s="34">
        <f>IF(VLOOKUP(B17,'HCV DL'!D:AF,16,0)&lt;&gt;"",ABS(E17-$E$36),"")</f>
        <v>0.27999999999999936</v>
      </c>
      <c r="G17" s="35">
        <f>IF(VLOOKUP(B17,'HCV DL'!D:AQ,15,0)&lt;&gt;"",IF(E17&lt;$F$2,$F$2,IF(E17&gt;$F$3,$F$3,E17)),"")</f>
        <v>5.8553049999999986</v>
      </c>
      <c r="H17" s="35">
        <f>IF(VLOOKUP(B17,'HCV DL'!D:AQ,15,0)&lt;&gt;"",IF(G17&lt;$H$2,$H$2,IF(G17&gt;$H$3,$H$3,G17)),"")</f>
        <v>5.8553049999999986</v>
      </c>
      <c r="I17" s="35">
        <f>IF(VLOOKUP(B17,'HCV DL'!D:AQ,15,0)&lt;&gt;"",IF(H17&lt;$I$2,$I$2,IF(H17&gt;$I$3,$I$3,H17)),"")</f>
        <v>5.8553049999999986</v>
      </c>
      <c r="J17" s="35">
        <f>IF(VLOOKUP(B17,'HCV DL'!D:AQ,15,0)&lt;&gt;"",IF(I17&lt;$J$2,$J$2,IF(I17&gt;$J$3,$J$3,I17)),"")</f>
        <v>5.8553049999999986</v>
      </c>
    </row>
    <row r="18" spans="1:10" x14ac:dyDescent="0.25">
      <c r="A18">
        <v>14</v>
      </c>
      <c r="B18" s="66" t="s">
        <v>342</v>
      </c>
      <c r="C18" s="119" t="s">
        <v>220</v>
      </c>
      <c r="D18" s="119" t="s">
        <v>80</v>
      </c>
      <c r="E18" s="36">
        <f>IF(VLOOKUP(B18,'HCV DL'!D:S,16,0)&lt;&gt;"",VLOOKUP(B18,'HCV DL'!D:S,16,0),"")</f>
        <v>6.14</v>
      </c>
      <c r="F18" s="34">
        <f>IF(VLOOKUP(B18,'HCV DL'!D:AF,16,0)&lt;&gt;"",ABS(E18-$E$36),"")</f>
        <v>4.0000000000000036E-2</v>
      </c>
      <c r="G18" s="35">
        <f>IF(VLOOKUP(B18,'HCV DL'!D:AQ,15,0)&lt;&gt;"",IF(E18&lt;$F$2,$F$2,IF(E18&gt;$F$3,$F$3,E18)),"")</f>
        <v>6.14</v>
      </c>
      <c r="H18" s="35">
        <f>IF(VLOOKUP(B18,'HCV DL'!D:AQ,15,0)&lt;&gt;"",IF(G18&lt;$H$2,$H$2,IF(G18&gt;$H$3,$H$3,G18)),"")</f>
        <v>6.14</v>
      </c>
      <c r="I18" s="35">
        <f>IF(VLOOKUP(B18,'HCV DL'!D:AQ,15,0)&lt;&gt;"",IF(H18&lt;$I$2,$I$2,IF(H18&gt;$I$3,$I$3,H18)),"")</f>
        <v>6.14</v>
      </c>
      <c r="J18" s="35">
        <f>IF(VLOOKUP(B18,'HCV DL'!D:AQ,15,0)&lt;&gt;"",IF(I18&lt;$J$2,$J$2,IF(I18&gt;$J$3,$J$3,I18)),"")</f>
        <v>6.14</v>
      </c>
    </row>
    <row r="19" spans="1:10" ht="31.5" x14ac:dyDescent="0.25">
      <c r="A19">
        <v>15</v>
      </c>
      <c r="B19" s="66" t="s">
        <v>352</v>
      </c>
      <c r="C19" s="119" t="s">
        <v>36</v>
      </c>
      <c r="D19" s="119" t="s">
        <v>37</v>
      </c>
      <c r="E19" s="36">
        <f>IF(VLOOKUP(B19,'HCV DL'!D:S,16,0)&lt;&gt;"",VLOOKUP(B19,'HCV DL'!D:S,16,0),"")</f>
        <v>5.85</v>
      </c>
      <c r="F19" s="34">
        <f>IF(VLOOKUP(B19,'HCV DL'!D:AF,16,0)&lt;&gt;"",ABS(E19-$E$36),"")</f>
        <v>0.25</v>
      </c>
      <c r="G19" s="35">
        <f>IF(VLOOKUP(B19,'HCV DL'!D:AQ,15,0)&lt;&gt;"",IF(E19&lt;$F$2,$F$2,IF(E19&gt;$F$3,$F$3,E19)),"")</f>
        <v>5.8553049999999986</v>
      </c>
      <c r="H19" s="35">
        <f>IF(VLOOKUP(B19,'HCV DL'!D:AQ,15,0)&lt;&gt;"",IF(G19&lt;$H$2,$H$2,IF(G19&gt;$H$3,$H$3,G19)),"")</f>
        <v>5.8553049999999986</v>
      </c>
      <c r="I19" s="35">
        <f>IF(VLOOKUP(B19,'HCV DL'!D:AQ,15,0)&lt;&gt;"",IF(H19&lt;$I$2,$I$2,IF(H19&gt;$I$3,$I$3,H19)),"")</f>
        <v>5.8553049999999986</v>
      </c>
      <c r="J19" s="35">
        <f>IF(VLOOKUP(B19,'HCV DL'!D:AQ,15,0)&lt;&gt;"",IF(I19&lt;$J$2,$J$2,IF(I19&gt;$J$3,$J$3,I19)),"")</f>
        <v>5.8553049999999986</v>
      </c>
    </row>
    <row r="20" spans="1:10" ht="47.25" x14ac:dyDescent="0.25">
      <c r="A20">
        <v>16</v>
      </c>
      <c r="B20" s="101" t="s">
        <v>343</v>
      </c>
      <c r="C20" s="101" t="s">
        <v>302</v>
      </c>
      <c r="D20" s="101" t="s">
        <v>320</v>
      </c>
      <c r="E20" s="36">
        <f>IF(VLOOKUP(B20,'HCV DL'!D:S,16,0)&lt;&gt;"",VLOOKUP(B20,'HCV DL'!D:S,16,0),"")</f>
        <v>6.1</v>
      </c>
      <c r="F20" s="34">
        <f>IF(VLOOKUP(B20,'HCV DL'!D:AF,16,0)&lt;&gt;"",ABS(E20-$E$36),"")</f>
        <v>0</v>
      </c>
      <c r="G20" s="35">
        <f>IF(VLOOKUP(B20,'HCV DL'!D:AQ,15,0)&lt;&gt;"",IF(E20&lt;$F$2,$F$2,IF(E20&gt;$F$3,$F$3,E20)),"")</f>
        <v>6.1</v>
      </c>
      <c r="H20" s="35">
        <f>IF(VLOOKUP(B20,'HCV DL'!D:AQ,15,0)&lt;&gt;"",IF(G20&lt;$H$2,$H$2,IF(G20&gt;$H$3,$H$3,G20)),"")</f>
        <v>6.1</v>
      </c>
      <c r="I20" s="35">
        <f>IF(VLOOKUP(B20,'HCV DL'!D:AQ,15,0)&lt;&gt;"",IF(H20&lt;$I$2,$I$2,IF(H20&gt;$I$3,$I$3,H20)),"")</f>
        <v>6.1</v>
      </c>
      <c r="J20" s="35">
        <f>IF(VLOOKUP(B20,'HCV DL'!D:AQ,15,0)&lt;&gt;"",IF(I20&lt;$J$2,$J$2,IF(I20&gt;$J$3,$J$3,I20)),"")</f>
        <v>6.1</v>
      </c>
    </row>
    <row r="21" spans="1:10" ht="47.25" x14ac:dyDescent="0.25">
      <c r="A21">
        <v>17</v>
      </c>
      <c r="B21" s="67" t="s">
        <v>344</v>
      </c>
      <c r="C21" s="122" t="s">
        <v>300</v>
      </c>
      <c r="D21" s="122" t="s">
        <v>317</v>
      </c>
      <c r="E21" s="36">
        <f>IF(VLOOKUP(B21,'HCV DL'!D:S,16,0)&lt;&gt;"",VLOOKUP(B21,'HCV DL'!D:S,16,0),"")</f>
        <v>5.73</v>
      </c>
      <c r="F21" s="34">
        <f>IF(VLOOKUP(B21,'HCV DL'!D:AF,16,0)&lt;&gt;"",ABS(E21-$E$36),"")</f>
        <v>0.36999999999999922</v>
      </c>
      <c r="G21" s="35">
        <f>IF(VLOOKUP(B21,'HCV DL'!D:AQ,15,0)&lt;&gt;"",IF(E21&lt;$F$2,$F$2,IF(E21&gt;$F$3,$F$3,E21)),"")</f>
        <v>5.8553049999999986</v>
      </c>
      <c r="H21" s="35">
        <f>IF(VLOOKUP(B21,'HCV DL'!D:AQ,15,0)&lt;&gt;"",IF(G21&lt;$H$2,$H$2,IF(G21&gt;$H$3,$H$3,G21)),"")</f>
        <v>5.8553049999999986</v>
      </c>
      <c r="I21" s="35">
        <f>IF(VLOOKUP(B21,'HCV DL'!D:AQ,15,0)&lt;&gt;"",IF(H21&lt;$I$2,$I$2,IF(H21&gt;$I$3,$I$3,H21)),"")</f>
        <v>5.8553049999999986</v>
      </c>
      <c r="J21" s="35">
        <f>IF(VLOOKUP(B21,'HCV DL'!D:AQ,15,0)&lt;&gt;"",IF(I21&lt;$J$2,$J$2,IF(I21&gt;$J$3,$J$3,I21)),"")</f>
        <v>5.8553049999999986</v>
      </c>
    </row>
    <row r="22" spans="1:10" x14ac:dyDescent="0.25">
      <c r="A22">
        <v>18</v>
      </c>
      <c r="B22" s="125" t="s">
        <v>184</v>
      </c>
      <c r="C22" s="125" t="s">
        <v>104</v>
      </c>
      <c r="D22" s="125" t="s">
        <v>105</v>
      </c>
      <c r="E22" s="36" t="str">
        <f>IF(VLOOKUP(B22,'HCV DL'!D:S,16,0)&lt;&gt;"",VLOOKUP(B22,'HCV DL'!D:S,16,0),"")</f>
        <v/>
      </c>
      <c r="F22" s="34" t="str">
        <f>IF(VLOOKUP(B22,'HCV DL'!D:AF,16,0)&lt;&gt;"",ABS(E22-$E$36),"")</f>
        <v/>
      </c>
      <c r="G22" s="35" t="str">
        <f>IF(VLOOKUP(B22,'HCV DL'!D:AQ,15,0)&lt;&gt;"",IF(E22&lt;$F$2,$F$2,IF(E22&gt;$F$3,$F$3,E22)),"")</f>
        <v/>
      </c>
      <c r="H22" s="35" t="str">
        <f>IF(VLOOKUP(B22,'HCV DL'!D:AQ,15,0)&lt;&gt;"",IF(G22&lt;$H$2,$H$2,IF(G22&gt;$H$3,$H$3,G22)),"")</f>
        <v/>
      </c>
      <c r="I22" s="35" t="str">
        <f>IF(VLOOKUP(B22,'HCV DL'!D:AQ,15,0)&lt;&gt;"",IF(H22&lt;$I$2,$I$2,IF(H22&gt;$I$3,$I$3,H22)),"")</f>
        <v/>
      </c>
      <c r="J22" s="35" t="str">
        <f>IF(VLOOKUP(B22,'HCV DL'!D:AQ,15,0)&lt;&gt;"",IF(I22&lt;$J$2,$J$2,IF(I22&gt;$J$3,$J$3,I22)),"")</f>
        <v/>
      </c>
    </row>
    <row r="23" spans="1:10" ht="31.5" x14ac:dyDescent="0.25">
      <c r="A23">
        <v>19</v>
      </c>
      <c r="B23" s="68" t="s">
        <v>191</v>
      </c>
      <c r="C23" s="68" t="s">
        <v>20</v>
      </c>
      <c r="D23" s="68" t="s">
        <v>21</v>
      </c>
      <c r="E23" s="36" t="str">
        <f>IF(VLOOKUP(B23,'HCV DL'!D:S,16,0)&lt;&gt;"",VLOOKUP(B23,'HCV DL'!D:S,16,0),"")</f>
        <v/>
      </c>
      <c r="F23" s="34" t="str">
        <f>IF(VLOOKUP(B23,'HCV DL'!D:AF,16,0)&lt;&gt;"",ABS(E23-$E$36),"")</f>
        <v/>
      </c>
      <c r="G23" s="35" t="str">
        <f>IF(VLOOKUP(B23,'HCV DL'!D:AQ,15,0)&lt;&gt;"",IF(E23&lt;$F$2,$F$2,IF(E23&gt;$F$3,$F$3,E23)),"")</f>
        <v/>
      </c>
      <c r="H23" s="35" t="str">
        <f>IF(VLOOKUP(B23,'HCV DL'!D:AQ,15,0)&lt;&gt;"",IF(G23&lt;$H$2,$H$2,IF(G23&gt;$H$3,$H$3,G23)),"")</f>
        <v/>
      </c>
      <c r="I23" s="35" t="str">
        <f>IF(VLOOKUP(B23,'HCV DL'!D:AQ,15,0)&lt;&gt;"",IF(H23&lt;$I$2,$I$2,IF(H23&gt;$I$3,$I$3,H23)),"")</f>
        <v/>
      </c>
      <c r="J23" s="35" t="str">
        <f>IF(VLOOKUP(B23,'HCV DL'!D:AQ,15,0)&lt;&gt;"",IF(I23&lt;$J$2,$J$2,IF(I23&gt;$J$3,$J$3,I23)),"")</f>
        <v/>
      </c>
    </row>
    <row r="24" spans="1:10" ht="31.5" x14ac:dyDescent="0.25">
      <c r="A24">
        <v>20</v>
      </c>
      <c r="B24" s="68" t="s">
        <v>252</v>
      </c>
      <c r="C24" s="68" t="s">
        <v>40</v>
      </c>
      <c r="D24" s="68" t="s">
        <v>222</v>
      </c>
      <c r="E24" s="36" t="str">
        <f>IF(VLOOKUP(B24,'HCV DL'!D:S,16,0)&lt;&gt;"",VLOOKUP(B24,'HCV DL'!D:S,16,0),"")</f>
        <v/>
      </c>
      <c r="F24" s="34" t="str">
        <f>IF(VLOOKUP(B24,'HCV DL'!D:AF,16,0)&lt;&gt;"",ABS(E24-$E$36),"")</f>
        <v/>
      </c>
      <c r="G24" s="35" t="str">
        <f>IF(VLOOKUP(B24,'HCV DL'!D:AQ,15,0)&lt;&gt;"",IF(E24&lt;$F$2,$F$2,IF(E24&gt;$F$3,$F$3,E24)),"")</f>
        <v/>
      </c>
      <c r="H24" s="35" t="str">
        <f>IF(VLOOKUP(B24,'HCV DL'!D:AQ,15,0)&lt;&gt;"",IF(G24&lt;$H$2,$H$2,IF(G24&gt;$H$3,$H$3,G24)),"")</f>
        <v/>
      </c>
      <c r="I24" s="35" t="str">
        <f>IF(VLOOKUP(B24,'HCV DL'!D:AQ,15,0)&lt;&gt;"",IF(H24&lt;$I$2,$I$2,IF(H24&gt;$I$3,$I$3,H24)),"")</f>
        <v/>
      </c>
      <c r="J24" s="35" t="str">
        <f>IF(VLOOKUP(B24,'HCV DL'!D:AQ,15,0)&lt;&gt;"",IF(I24&lt;$J$2,$J$2,IF(I24&gt;$J$3,$J$3,I24)),"")</f>
        <v/>
      </c>
    </row>
    <row r="25" spans="1:10" ht="31.5" x14ac:dyDescent="0.25">
      <c r="A25">
        <v>21</v>
      </c>
      <c r="B25" s="68" t="s">
        <v>181</v>
      </c>
      <c r="C25" s="68" t="s">
        <v>96</v>
      </c>
      <c r="D25" s="68" t="s">
        <v>97</v>
      </c>
      <c r="E25" s="36" t="str">
        <f>IF(VLOOKUP(B25,'HCV DL'!D:S,16,0)&lt;&gt;"",VLOOKUP(B25,'HCV DL'!D:S,16,0),"")</f>
        <v/>
      </c>
      <c r="F25" s="34" t="str">
        <f>IF(VLOOKUP(B25,'HCV DL'!D:AF,16,0)&lt;&gt;"",ABS(E25-$E$36),"")</f>
        <v/>
      </c>
      <c r="G25" s="35" t="str">
        <f>IF(VLOOKUP(B25,'HCV DL'!D:AQ,15,0)&lt;&gt;"",IF(E25&lt;$F$2,$F$2,IF(E25&gt;$F$3,$F$3,E25)),"")</f>
        <v/>
      </c>
      <c r="H25" s="35" t="str">
        <f>IF(VLOOKUP(B25,'HCV DL'!D:AQ,15,0)&lt;&gt;"",IF(G25&lt;$H$2,$H$2,IF(G25&gt;$H$3,$H$3,G25)),"")</f>
        <v/>
      </c>
      <c r="I25" s="35" t="str">
        <f>IF(VLOOKUP(B25,'HCV DL'!D:AQ,15,0)&lt;&gt;"",IF(H25&lt;$I$2,$I$2,IF(H25&gt;$I$3,$I$3,H25)),"")</f>
        <v/>
      </c>
      <c r="J25" s="35" t="str">
        <f>IF(VLOOKUP(B25,'HCV DL'!D:AQ,15,0)&lt;&gt;"",IF(I25&lt;$J$2,$J$2,IF(I25&gt;$J$3,$J$3,I25)),"")</f>
        <v/>
      </c>
    </row>
    <row r="26" spans="1:10" ht="31.5" x14ac:dyDescent="0.25">
      <c r="A26">
        <v>22</v>
      </c>
      <c r="B26" s="68" t="s">
        <v>188</v>
      </c>
      <c r="C26" s="68" t="s">
        <v>107</v>
      </c>
      <c r="D26" s="68" t="s">
        <v>108</v>
      </c>
      <c r="E26" s="36" t="str">
        <f>IF(VLOOKUP(B26,'HCV DL'!D:S,16,0)&lt;&gt;"",VLOOKUP(B26,'HCV DL'!D:S,16,0),"")</f>
        <v/>
      </c>
      <c r="F26" s="34" t="str">
        <f>IF(VLOOKUP(B26,'HCV DL'!D:AF,16,0)&lt;&gt;"",ABS(E26-$E$36),"")</f>
        <v/>
      </c>
      <c r="G26" s="35" t="str">
        <f>IF(VLOOKUP(B26,'HCV DL'!D:AQ,15,0)&lt;&gt;"",IF(E26&lt;$F$2,$F$2,IF(E26&gt;$F$3,$F$3,E26)),"")</f>
        <v/>
      </c>
      <c r="H26" s="35" t="str">
        <f>IF(VLOOKUP(B26,'HCV DL'!D:AQ,15,0)&lt;&gt;"",IF(G26&lt;$H$2,$H$2,IF(G26&gt;$H$3,$H$3,G26)),"")</f>
        <v/>
      </c>
      <c r="I26" s="35" t="str">
        <f>IF(VLOOKUP(B26,'HCV DL'!D:AQ,15,0)&lt;&gt;"",IF(H26&lt;$I$2,$I$2,IF(H26&gt;$I$3,$I$3,H26)),"")</f>
        <v/>
      </c>
      <c r="J26" s="35" t="str">
        <f>IF(VLOOKUP(B26,'HCV DL'!D:AQ,15,0)&lt;&gt;"",IF(I26&lt;$J$2,$J$2,IF(I26&gt;$J$3,$J$3,I26)),"")</f>
        <v/>
      </c>
    </row>
    <row r="27" spans="1:10" ht="31.5" x14ac:dyDescent="0.25">
      <c r="A27">
        <v>23</v>
      </c>
      <c r="B27" s="68" t="s">
        <v>188</v>
      </c>
      <c r="C27" s="68" t="s">
        <v>107</v>
      </c>
      <c r="D27" s="68" t="s">
        <v>108</v>
      </c>
      <c r="E27" s="36" t="str">
        <f>IF(VLOOKUP(B27,'HCV DL'!D:S,16,0)&lt;&gt;"",VLOOKUP(B27,'HCV DL'!D:S,16,0),"")</f>
        <v/>
      </c>
      <c r="F27" s="34" t="str">
        <f>IF(VLOOKUP(B27,'HCV DL'!D:AF,16,0)&lt;&gt;"",ABS(E27-$E$36),"")</f>
        <v/>
      </c>
      <c r="G27" s="35" t="str">
        <f>IF(VLOOKUP(B27,'HCV DL'!D:AQ,15,0)&lt;&gt;"",IF(E27&lt;$F$2,$F$2,IF(E27&gt;$F$3,$F$3,E27)),"")</f>
        <v/>
      </c>
      <c r="H27" s="35" t="str">
        <f>IF(VLOOKUP(B27,'HCV DL'!D:AQ,15,0)&lt;&gt;"",IF(G27&lt;$H$2,$H$2,IF(G27&gt;$H$3,$H$3,G27)),"")</f>
        <v/>
      </c>
      <c r="I27" s="35" t="str">
        <f>IF(VLOOKUP(B27,'HCV DL'!D:AQ,15,0)&lt;&gt;"",IF(H27&lt;$I$2,$I$2,IF(H27&gt;$I$3,$I$3,H27)),"")</f>
        <v/>
      </c>
      <c r="J27" s="35" t="str">
        <f>IF(VLOOKUP(B27,'HCV DL'!D:AQ,15,0)&lt;&gt;"",IF(I27&lt;$J$2,$J$2,IF(I27&gt;$J$3,$J$3,I27)),"")</f>
        <v/>
      </c>
    </row>
    <row r="28" spans="1:10" ht="31.5" x14ac:dyDescent="0.25">
      <c r="A28">
        <v>24</v>
      </c>
      <c r="B28" s="132" t="s">
        <v>169</v>
      </c>
      <c r="C28" s="132" t="s">
        <v>170</v>
      </c>
      <c r="D28" s="132" t="s">
        <v>171</v>
      </c>
      <c r="E28" s="36" t="str">
        <f>IF(VLOOKUP(B28,'HCV DL'!D:S,16,0)&lt;&gt;"",VLOOKUP(B28,'HCV DL'!D:S,16,0),"")</f>
        <v/>
      </c>
      <c r="F28" s="34" t="str">
        <f>IF(VLOOKUP(B28,'HCV DL'!D:AF,16,0)&lt;&gt;"",ABS(E28-$E$36),"")</f>
        <v/>
      </c>
      <c r="G28" s="35" t="str">
        <f>IF(VLOOKUP(B28,'HCV DL'!D:AQ,15,0)&lt;&gt;"",IF(E28&lt;$F$2,$F$2,IF(E28&gt;$F$3,$F$3,E28)),"")</f>
        <v/>
      </c>
      <c r="H28" s="35" t="str">
        <f>IF(VLOOKUP(B28,'HCV DL'!D:AQ,15,0)&lt;&gt;"",IF(G28&lt;$H$2,$H$2,IF(G28&gt;$H$3,$H$3,G28)),"")</f>
        <v/>
      </c>
      <c r="I28" s="35" t="str">
        <f>IF(VLOOKUP(B28,'HCV DL'!D:AQ,15,0)&lt;&gt;"",IF(H28&lt;$I$2,$I$2,IF(H28&gt;$I$3,$I$3,H28)),"")</f>
        <v/>
      </c>
      <c r="J28" s="35" t="str">
        <f>IF(VLOOKUP(B28,'HCV DL'!D:AQ,15,0)&lt;&gt;"",IF(I28&lt;$J$2,$J$2,IF(I28&gt;$J$3,$J$3,I28)),"")</f>
        <v/>
      </c>
    </row>
    <row r="29" spans="1:10" x14ac:dyDescent="0.25">
      <c r="A29">
        <v>25</v>
      </c>
      <c r="B29" s="68" t="s">
        <v>197</v>
      </c>
      <c r="C29" s="68" t="s">
        <v>111</v>
      </c>
      <c r="D29" s="68" t="s">
        <v>198</v>
      </c>
      <c r="E29" s="36" t="str">
        <f>IF(VLOOKUP(B29,'HCV DL'!D:S,16,0)&lt;&gt;"",VLOOKUP(B29,'HCV DL'!D:S,16,0),"")</f>
        <v/>
      </c>
      <c r="F29" s="34" t="str">
        <f>IF(VLOOKUP(B29,'HCV DL'!D:AF,16,0)&lt;&gt;"",ABS(E29-$E$36),"")</f>
        <v/>
      </c>
      <c r="G29" s="35" t="str">
        <f>IF(VLOOKUP(B29,'HCV DL'!D:AQ,15,0)&lt;&gt;"",IF(E29&lt;$F$2,$F$2,IF(E29&gt;$F$3,$F$3,E29)),"")</f>
        <v/>
      </c>
      <c r="H29" s="35" t="str">
        <f>IF(VLOOKUP(B29,'HCV DL'!D:AQ,15,0)&lt;&gt;"",IF(G29&lt;$H$2,$H$2,IF(G29&gt;$H$3,$H$3,G29)),"")</f>
        <v/>
      </c>
      <c r="I29" s="35" t="str">
        <f>IF(VLOOKUP(B29,'HCV DL'!D:AQ,15,0)&lt;&gt;"",IF(H29&lt;$I$2,$I$2,IF(H29&gt;$I$3,$I$3,H29)),"")</f>
        <v/>
      </c>
      <c r="J29" s="35" t="str">
        <f>IF(VLOOKUP(B29,'HCV DL'!D:AQ,15,0)&lt;&gt;"",IF(I29&lt;$J$2,$J$2,IF(I29&gt;$J$3,$J$3,I29)),"")</f>
        <v/>
      </c>
    </row>
    <row r="30" spans="1:10" x14ac:dyDescent="0.25">
      <c r="B30" s="68" t="s">
        <v>204</v>
      </c>
      <c r="C30" s="68" t="s">
        <v>49</v>
      </c>
      <c r="D30" s="68" t="s">
        <v>50</v>
      </c>
      <c r="E30" s="36" t="str">
        <f>IF(VLOOKUP(B30,'HCV DL'!D:S,16,0)&lt;&gt;"",VLOOKUP(B30,'HCV DL'!D:S,16,0),"")</f>
        <v/>
      </c>
      <c r="F30" s="34" t="str">
        <f>IF(VLOOKUP(B30,'HCV DL'!D:AF,16,0)&lt;&gt;"",ABS(E30-$E$36),"")</f>
        <v/>
      </c>
      <c r="G30" s="35" t="str">
        <f>IF(VLOOKUP(B30,'HCV DL'!D:AQ,15,0)&lt;&gt;"",IF(E30&lt;$F$2,$F$2,IF(E30&gt;$F$3,$F$3,E30)),"")</f>
        <v/>
      </c>
      <c r="H30" s="35" t="str">
        <f>IF(VLOOKUP(B30,'HCV DL'!D:AQ,15,0)&lt;&gt;"",IF(G30&lt;$H$2,$H$2,IF(G30&gt;$H$3,$H$3,G30)),"")</f>
        <v/>
      </c>
      <c r="I30" s="35" t="str">
        <f>IF(VLOOKUP(B30,'HCV DL'!D:AQ,15,0)&lt;&gt;"",IF(H30&lt;$I$2,$I$2,IF(H30&gt;$I$3,$I$3,H30)),"")</f>
        <v/>
      </c>
      <c r="J30" s="35" t="str">
        <f>IF(VLOOKUP(B30,'HCV DL'!D:AQ,15,0)&lt;&gt;"",IF(I30&lt;$J$2,$J$2,IF(I30&gt;$J$3,$J$3,I30)),"")</f>
        <v/>
      </c>
    </row>
    <row r="31" spans="1:10" x14ac:dyDescent="0.25">
      <c r="B31" s="49"/>
      <c r="C31" s="50"/>
      <c r="D31" s="51"/>
    </row>
    <row r="32" spans="1:10" x14ac:dyDescent="0.25">
      <c r="B32" s="49"/>
      <c r="C32" s="50"/>
      <c r="D32" s="51"/>
    </row>
    <row r="33" spans="3:10" x14ac:dyDescent="0.25">
      <c r="C33" s="30" t="s">
        <v>229</v>
      </c>
      <c r="D33" s="30"/>
      <c r="E33" s="16">
        <f>AVERAGE(E5:E30)</f>
        <v>6.054666666666666</v>
      </c>
      <c r="F33" s="16"/>
      <c r="G33" s="16">
        <f>AVERAGE(G5:G30)</f>
        <v>6.0883536666666664</v>
      </c>
      <c r="H33" s="16">
        <f t="shared" ref="H33:J33" si="7">AVERAGE(H5:H30)</f>
        <v>6.0883536666666664</v>
      </c>
      <c r="I33" s="16">
        <f t="shared" si="7"/>
        <v>6.0883536666666664</v>
      </c>
      <c r="J33" s="16">
        <f t="shared" si="7"/>
        <v>6.0883536666666664</v>
      </c>
    </row>
    <row r="34" spans="3:10" x14ac:dyDescent="0.25">
      <c r="C34" s="17" t="s">
        <v>123</v>
      </c>
      <c r="D34" s="52"/>
      <c r="E34" s="16">
        <f>_xlfn.STDEV.S(E5:E30)</f>
        <v>0.35007890267086644</v>
      </c>
      <c r="F34" s="16"/>
      <c r="G34" s="16">
        <f>_xlfn.STDEV.S(G5:G30)</f>
        <v>0.17884449449838036</v>
      </c>
      <c r="H34" s="16">
        <f t="shared" ref="H34:J34" si="8">_xlfn.STDEV.S(H5:H30)</f>
        <v>0.17884449449838036</v>
      </c>
      <c r="I34" s="16">
        <f t="shared" si="8"/>
        <v>0.17884449449838036</v>
      </c>
      <c r="J34" s="16">
        <f t="shared" si="8"/>
        <v>0.17884449449838036</v>
      </c>
    </row>
    <row r="35" spans="3:10" x14ac:dyDescent="0.25">
      <c r="C35" s="17" t="s">
        <v>230</v>
      </c>
      <c r="D35" s="52"/>
      <c r="E35" s="16">
        <f>1.5*E37</f>
        <v>0.24469500000000075</v>
      </c>
      <c r="F35" s="16"/>
      <c r="G35" s="16">
        <f>1.5*G37</f>
        <v>0.30421448514174498</v>
      </c>
      <c r="H35" s="16">
        <f t="shared" ref="H35:J35" si="9">1.5*H37</f>
        <v>0.30421448514174498</v>
      </c>
      <c r="I35" s="16">
        <f t="shared" si="9"/>
        <v>0.30421448514174498</v>
      </c>
      <c r="J35" s="16">
        <f t="shared" si="9"/>
        <v>0.30421448514174498</v>
      </c>
    </row>
    <row r="36" spans="3:10" x14ac:dyDescent="0.25">
      <c r="C36" s="17" t="s">
        <v>231</v>
      </c>
      <c r="D36" s="52"/>
      <c r="E36" s="16">
        <f>MEDIAN(E5:E30)</f>
        <v>6.1</v>
      </c>
      <c r="F36" s="16">
        <f>MEDIAN(F5:F30)</f>
        <v>0.11000000000000032</v>
      </c>
      <c r="G36" s="18">
        <f>AVERAGE(G5:G30)</f>
        <v>6.0883536666666664</v>
      </c>
      <c r="H36" s="18">
        <f t="shared" ref="H36:J36" si="10">AVERAGE(H5:H30)</f>
        <v>6.0883536666666664</v>
      </c>
      <c r="I36" s="18">
        <f t="shared" si="10"/>
        <v>6.0883536666666664</v>
      </c>
      <c r="J36" s="18">
        <f t="shared" si="10"/>
        <v>6.0883536666666664</v>
      </c>
    </row>
    <row r="37" spans="3:10" x14ac:dyDescent="0.25">
      <c r="C37" s="17" t="s">
        <v>232</v>
      </c>
      <c r="D37" s="52"/>
      <c r="E37" s="16">
        <f>1.483*MEDIAN(F5:F30)</f>
        <v>0.1631300000000005</v>
      </c>
      <c r="F37" s="16">
        <f>1.483*F36</f>
        <v>0.1631300000000005</v>
      </c>
      <c r="G37" s="18">
        <f>1.134*_xlfn.STDEV.S(G5:G30)</f>
        <v>0.2028096567611633</v>
      </c>
      <c r="H37" s="18">
        <f t="shared" ref="H37:J37" si="11">1.134*_xlfn.STDEV.S(H5:H30)</f>
        <v>0.2028096567611633</v>
      </c>
      <c r="I37" s="18">
        <f t="shared" si="11"/>
        <v>0.2028096567611633</v>
      </c>
      <c r="J37" s="18">
        <f t="shared" si="11"/>
        <v>0.2028096567611633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AC130"/>
  <sheetViews>
    <sheetView topLeftCell="S78" zoomScale="85" zoomScaleNormal="85" workbookViewId="0">
      <selection activeCell="BN2" sqref="BN2"/>
    </sheetView>
  </sheetViews>
  <sheetFormatPr defaultColWidth="9" defaultRowHeight="15.75" x14ac:dyDescent="0.25"/>
  <cols>
    <col min="1" max="1" width="7.75" bestFit="1" customWidth="1"/>
    <col min="2" max="2" width="8.25" bestFit="1" customWidth="1"/>
    <col min="3" max="3" width="26.75" style="13" customWidth="1"/>
    <col min="4" max="4" width="11.875" bestFit="1" customWidth="1"/>
    <col min="5" max="6" width="11" bestFit="1" customWidth="1"/>
    <col min="7" max="7" width="5.5" customWidth="1"/>
    <col min="8" max="9" width="11" bestFit="1" customWidth="1"/>
    <col min="10" max="10" width="5.5" customWidth="1"/>
    <col min="11" max="11" width="13.625" bestFit="1" customWidth="1"/>
    <col min="12" max="12" width="22.125" bestFit="1" customWidth="1"/>
    <col min="13" max="13" width="5.375" customWidth="1"/>
    <col min="14" max="14" width="11.875" bestFit="1" customWidth="1"/>
    <col min="15" max="15" width="1.875" bestFit="1" customWidth="1"/>
    <col min="16" max="16" width="4.5" customWidth="1"/>
    <col min="17" max="17" width="13.625" bestFit="1" customWidth="1"/>
    <col min="18" max="18" width="19.875" bestFit="1" customWidth="1"/>
    <col min="19" max="19" width="9.25" bestFit="1" customWidth="1"/>
    <col min="20" max="20" width="4.875" customWidth="1"/>
    <col min="21" max="21" width="17.875" bestFit="1" customWidth="1"/>
    <col min="23" max="23" width="12.75" bestFit="1" customWidth="1"/>
    <col min="24" max="24" width="17.875" customWidth="1"/>
  </cols>
  <sheetData>
    <row r="2" spans="1:29" ht="31.5" x14ac:dyDescent="0.25">
      <c r="A2" s="2" t="s">
        <v>3</v>
      </c>
      <c r="B2" s="2" t="s">
        <v>124</v>
      </c>
      <c r="C2" s="3" t="s">
        <v>125</v>
      </c>
      <c r="D2" s="25" t="s">
        <v>243</v>
      </c>
      <c r="E2" t="s">
        <v>130</v>
      </c>
      <c r="F2" t="s">
        <v>130</v>
      </c>
      <c r="H2" t="s">
        <v>130</v>
      </c>
      <c r="I2" t="s">
        <v>130</v>
      </c>
      <c r="N2" s="26" t="s">
        <v>244</v>
      </c>
      <c r="O2">
        <v>2</v>
      </c>
      <c r="Q2" s="30" t="s">
        <v>0</v>
      </c>
      <c r="R2" s="1" t="s">
        <v>139</v>
      </c>
      <c r="S2" s="1" t="s">
        <v>139</v>
      </c>
      <c r="V2" s="29"/>
      <c r="Y2" s="4" t="s">
        <v>355</v>
      </c>
      <c r="Z2" s="4" t="s">
        <v>285</v>
      </c>
      <c r="AA2" s="56" t="str">
        <f>VLOOKUP(Y17,'HCV DL'!$D:$BA,50,0)</f>
        <v>artus HCV</v>
      </c>
      <c r="AB2" s="4" t="s">
        <v>293</v>
      </c>
    </row>
    <row r="3" spans="1:29" ht="31.5" x14ac:dyDescent="0.25">
      <c r="A3" s="77" t="s">
        <v>152</v>
      </c>
      <c r="B3" s="77" t="s">
        <v>59</v>
      </c>
      <c r="C3" s="77" t="s">
        <v>60</v>
      </c>
      <c r="D3" s="79" t="s">
        <v>244</v>
      </c>
      <c r="E3" t="str">
        <f>VLOOKUP(A3,'HCV DL'!D:Q,14,0)</f>
        <v>0</v>
      </c>
      <c r="F3" t="str">
        <f>VLOOKUP(A3,'HCV DL'!D:Q,14,0)</f>
        <v>0</v>
      </c>
      <c r="G3" s="5"/>
      <c r="H3">
        <v>5.3999999999999995</v>
      </c>
      <c r="I3">
        <v>5.3999999999999995</v>
      </c>
      <c r="J3" s="5"/>
      <c r="K3" s="24" t="s">
        <v>114</v>
      </c>
      <c r="L3" t="s">
        <v>248</v>
      </c>
      <c r="N3" s="27" t="s">
        <v>247</v>
      </c>
      <c r="O3">
        <v>1</v>
      </c>
      <c r="Q3" s="1">
        <v>1</v>
      </c>
      <c r="R3" s="1">
        <v>9</v>
      </c>
      <c r="S3" s="1">
        <v>9</v>
      </c>
      <c r="Y3" s="5"/>
      <c r="Z3" s="5"/>
      <c r="AA3" s="57"/>
      <c r="AB3" s="58"/>
    </row>
    <row r="4" spans="1:29" ht="31.5" x14ac:dyDescent="0.25">
      <c r="A4" s="77" t="s">
        <v>157</v>
      </c>
      <c r="B4" s="77" t="s">
        <v>56</v>
      </c>
      <c r="C4" s="77" t="s">
        <v>57</v>
      </c>
      <c r="D4" s="78" t="s">
        <v>244</v>
      </c>
      <c r="E4" t="str">
        <f>VLOOKUP(A4,'HCV DL'!D:Q,14,0)</f>
        <v>Dưới ngưỡng phát hiện</v>
      </c>
      <c r="F4" t="str">
        <f>VLOOKUP(A4,'HCV DL'!D:Q,14,0)</f>
        <v>Dưới ngưỡng phát hiện</v>
      </c>
      <c r="G4" s="10"/>
      <c r="H4">
        <v>5.41</v>
      </c>
      <c r="I4">
        <v>5.41</v>
      </c>
      <c r="J4" s="10"/>
      <c r="K4" s="5" t="s">
        <v>365</v>
      </c>
      <c r="L4">
        <v>1</v>
      </c>
      <c r="N4" s="21" t="s">
        <v>245</v>
      </c>
      <c r="O4">
        <v>4</v>
      </c>
      <c r="Q4" s="1">
        <v>2</v>
      </c>
      <c r="R4" s="1">
        <v>7</v>
      </c>
      <c r="S4" s="1">
        <v>7</v>
      </c>
      <c r="Y4" s="61" t="s">
        <v>154</v>
      </c>
      <c r="Z4" s="5">
        <f>COUNTA('HCV DL'!Q2:Q27)</f>
        <v>15</v>
      </c>
      <c r="AA4" s="57">
        <f>COUNTIFS('HCV DL'!$BA:$BA,$AA$2,'HCV DL'!$Q:$Q,"&gt;&lt;"&amp;"")</f>
        <v>1</v>
      </c>
      <c r="AB4" s="58">
        <v>2</v>
      </c>
      <c r="AC4" t="str">
        <f>IF(VLOOKUP($Y$17,'HCV DL'!$D:$T,14,0)&lt;&gt;"",VLOOKUP($Y$17,'HCV DL'!$D:$T,14,0),"")</f>
        <v>Dưới ngưỡng phát hiện</v>
      </c>
    </row>
    <row r="5" spans="1:29" ht="31.5" x14ac:dyDescent="0.25">
      <c r="A5" s="77" t="s">
        <v>345</v>
      </c>
      <c r="B5" s="77" t="s">
        <v>219</v>
      </c>
      <c r="C5" s="77" t="s">
        <v>318</v>
      </c>
      <c r="D5" s="79" t="s">
        <v>244</v>
      </c>
      <c r="E5" t="str">
        <f>VLOOKUP(A5,'HCV DL'!D:Q,14,0)</f>
        <v>Không phát hiện thấy HCV RNA</v>
      </c>
      <c r="F5" t="str">
        <f>VLOOKUP(A5,'HCV DL'!D:Q,14,0)</f>
        <v>Không phát hiện thấy HCV RNA</v>
      </c>
      <c r="G5" s="5"/>
      <c r="H5">
        <v>5.21</v>
      </c>
      <c r="I5">
        <v>5.21</v>
      </c>
      <c r="J5" s="5"/>
      <c r="K5" s="5" t="s">
        <v>366</v>
      </c>
      <c r="L5">
        <v>1</v>
      </c>
      <c r="N5" s="20" t="s">
        <v>242</v>
      </c>
      <c r="O5">
        <v>2</v>
      </c>
      <c r="Q5" s="1">
        <v>3</v>
      </c>
      <c r="R5" s="1">
        <v>9</v>
      </c>
      <c r="S5" s="1">
        <v>9</v>
      </c>
      <c r="Y5" s="5"/>
      <c r="Z5" s="5"/>
      <c r="AA5" s="57"/>
      <c r="AB5" s="58"/>
    </row>
    <row r="6" spans="1:29" ht="31.5" x14ac:dyDescent="0.25">
      <c r="A6" s="77" t="s">
        <v>341</v>
      </c>
      <c r="B6" s="77" t="s">
        <v>301</v>
      </c>
      <c r="C6" s="77" t="s">
        <v>319</v>
      </c>
      <c r="D6" s="78" t="s">
        <v>244</v>
      </c>
      <c r="E6" t="str">
        <f>VLOOKUP(A6,'HCV DL'!D:Q,14,0)</f>
        <v>Target Not Detected</v>
      </c>
      <c r="F6" t="str">
        <f>VLOOKUP(A6,'HCV DL'!D:Q,14,0)</f>
        <v>Target Not Detected</v>
      </c>
      <c r="G6" s="10"/>
      <c r="H6">
        <v>5.45</v>
      </c>
      <c r="I6">
        <v>5.45</v>
      </c>
      <c r="J6" s="10"/>
      <c r="K6" s="5" t="s">
        <v>367</v>
      </c>
      <c r="L6">
        <v>1</v>
      </c>
      <c r="N6" s="14" t="s">
        <v>185</v>
      </c>
      <c r="O6">
        <v>3</v>
      </c>
      <c r="Q6" s="1">
        <v>4</v>
      </c>
      <c r="R6" s="1">
        <v>9</v>
      </c>
      <c r="S6" s="1">
        <v>9</v>
      </c>
      <c r="Y6" s="5"/>
      <c r="Z6" s="5"/>
      <c r="AA6" s="57"/>
      <c r="AB6" s="58"/>
    </row>
    <row r="7" spans="1:29" ht="31.5" x14ac:dyDescent="0.25">
      <c r="A7" s="77" t="s">
        <v>353</v>
      </c>
      <c r="B7" s="77" t="s">
        <v>36</v>
      </c>
      <c r="C7" s="77" t="s">
        <v>37</v>
      </c>
      <c r="D7" s="78" t="s">
        <v>244</v>
      </c>
      <c r="E7">
        <f>VLOOKUP(A7,'HCV DL'!D:Q,14,0)</f>
        <v>0</v>
      </c>
      <c r="F7">
        <f>VLOOKUP(A7,'HCV DL'!D:Q,14,0)</f>
        <v>0</v>
      </c>
      <c r="G7" s="10"/>
      <c r="H7">
        <v>5.26</v>
      </c>
      <c r="I7">
        <v>5.26</v>
      </c>
      <c r="J7" s="10"/>
      <c r="K7" s="5" t="s">
        <v>368</v>
      </c>
      <c r="L7">
        <v>4</v>
      </c>
      <c r="N7" s="27"/>
      <c r="O7" s="4"/>
      <c r="Q7" s="1">
        <v>5</v>
      </c>
      <c r="R7" s="1">
        <v>9</v>
      </c>
      <c r="S7" s="1">
        <v>9</v>
      </c>
      <c r="Y7" s="61" t="s">
        <v>292</v>
      </c>
      <c r="Z7" s="5">
        <v>0</v>
      </c>
      <c r="AA7" s="57">
        <f>COUNTIFS('HCV DL'!$BA:$BA,$AA$2,'HCV DL'!$Q:$Q,"&gt;="&amp;Z23,'HCV DL'!$S:$S,"&lt;"&amp;AA23)</f>
        <v>0</v>
      </c>
      <c r="AB7" s="58">
        <f>IF(AND($AC$4&gt;=Z23,$AC$4&lt;AA23),1,0)</f>
        <v>0</v>
      </c>
    </row>
    <row r="8" spans="1:29" ht="47.25" x14ac:dyDescent="0.25">
      <c r="A8" s="85" t="s">
        <v>195</v>
      </c>
      <c r="B8" s="86" t="s">
        <v>88</v>
      </c>
      <c r="C8" s="85" t="s">
        <v>89</v>
      </c>
      <c r="D8" s="87" t="s">
        <v>85</v>
      </c>
      <c r="E8" t="str">
        <f>VLOOKUP(A8,'HCV DL'!D:Q,14,0)</f>
        <v>0</v>
      </c>
      <c r="F8" t="str">
        <f>VLOOKUP(A8,'HCV DL'!D:Q,14,0)</f>
        <v>0</v>
      </c>
      <c r="G8" s="10"/>
      <c r="H8">
        <v>5.5299999999999994</v>
      </c>
      <c r="I8">
        <v>5.5299999999999994</v>
      </c>
      <c r="J8" s="10"/>
      <c r="K8" s="5" t="s">
        <v>369</v>
      </c>
      <c r="L8">
        <v>7</v>
      </c>
      <c r="N8" s="21"/>
      <c r="Q8" s="1">
        <v>6</v>
      </c>
      <c r="R8" s="1">
        <v>7</v>
      </c>
      <c r="S8" s="1">
        <v>7</v>
      </c>
      <c r="Y8" s="5"/>
      <c r="Z8" s="5"/>
      <c r="AA8" s="57"/>
      <c r="AB8" s="58"/>
    </row>
    <row r="9" spans="1:29" ht="47.25" x14ac:dyDescent="0.25">
      <c r="A9" s="91" t="s">
        <v>350</v>
      </c>
      <c r="B9" s="92" t="s">
        <v>30</v>
      </c>
      <c r="C9" s="91" t="s">
        <v>31</v>
      </c>
      <c r="D9" s="87" t="s">
        <v>330</v>
      </c>
      <c r="E9" t="str">
        <f>VLOOKUP(A9,'HCV DL'!D:Q,14,0)</f>
        <v>Âm tính</v>
      </c>
      <c r="F9" t="str">
        <f>VLOOKUP(A9,'HCV DL'!D:Q,14,0)</f>
        <v>Âm tính</v>
      </c>
      <c r="G9" s="5"/>
      <c r="H9">
        <v>5.3599999999999994</v>
      </c>
      <c r="I9">
        <v>5.3599999999999994</v>
      </c>
      <c r="J9" s="5"/>
      <c r="K9" s="5" t="s">
        <v>370</v>
      </c>
      <c r="L9">
        <v>1</v>
      </c>
      <c r="N9" s="20"/>
      <c r="Q9" s="1">
        <v>7</v>
      </c>
      <c r="R9" s="1">
        <v>5</v>
      </c>
      <c r="S9" s="1">
        <v>5</v>
      </c>
    </row>
    <row r="10" spans="1:29" ht="31.5" x14ac:dyDescent="0.25">
      <c r="A10" s="95" t="s">
        <v>211</v>
      </c>
      <c r="B10" s="96" t="s">
        <v>101</v>
      </c>
      <c r="C10" s="97" t="s">
        <v>102</v>
      </c>
      <c r="D10" s="87" t="s">
        <v>330</v>
      </c>
      <c r="E10" t="str">
        <f>VLOOKUP(A10,'HCV DL'!D:Q,14,0)</f>
        <v>0</v>
      </c>
      <c r="F10" t="str">
        <f>VLOOKUP(A10,'HCV DL'!D:Q,14,0)</f>
        <v>0</v>
      </c>
      <c r="G10" s="10"/>
      <c r="H10">
        <v>5.13</v>
      </c>
      <c r="I10">
        <v>5.13</v>
      </c>
      <c r="J10" s="10"/>
      <c r="K10" s="5" t="s">
        <v>116</v>
      </c>
      <c r="L10">
        <v>15</v>
      </c>
      <c r="N10" s="22"/>
      <c r="P10" s="19"/>
      <c r="Q10" s="1">
        <v>8</v>
      </c>
      <c r="R10" s="1">
        <v>9</v>
      </c>
      <c r="S10" s="1">
        <v>9</v>
      </c>
    </row>
    <row r="11" spans="1:29" ht="31.5" x14ac:dyDescent="0.25">
      <c r="A11" s="92" t="s">
        <v>359</v>
      </c>
      <c r="B11" s="92" t="s">
        <v>36</v>
      </c>
      <c r="C11" s="92" t="s">
        <v>37</v>
      </c>
      <c r="D11" s="93" t="s">
        <v>330</v>
      </c>
      <c r="E11">
        <f>VLOOKUP(A11,'HCV DL'!D:Q,14,0)</f>
        <v>0</v>
      </c>
      <c r="F11">
        <f>VLOOKUP(A11,'HCV DL'!D:Q,14,0)</f>
        <v>0</v>
      </c>
      <c r="G11" s="10"/>
      <c r="H11">
        <v>5.2</v>
      </c>
      <c r="I11">
        <v>5.2</v>
      </c>
      <c r="J11" s="10"/>
      <c r="N11" s="28"/>
      <c r="P11" s="19"/>
      <c r="Q11" s="1">
        <v>9</v>
      </c>
      <c r="R11" s="1">
        <v>5</v>
      </c>
      <c r="S11" s="1">
        <v>5</v>
      </c>
      <c r="U11" s="11" t="s">
        <v>115</v>
      </c>
      <c r="V11" s="11" t="s">
        <v>117</v>
      </c>
      <c r="W11" s="11" t="s">
        <v>118</v>
      </c>
    </row>
    <row r="12" spans="1:29" ht="31.5" x14ac:dyDescent="0.25">
      <c r="A12" s="98" t="s">
        <v>164</v>
      </c>
      <c r="B12" s="99" t="s">
        <v>79</v>
      </c>
      <c r="C12" s="98" t="s">
        <v>80</v>
      </c>
      <c r="D12" s="100" t="s">
        <v>246</v>
      </c>
      <c r="E12" t="str">
        <f>VLOOKUP(A12,'HCV DL'!D:Q,14,0)</f>
        <v>-</v>
      </c>
      <c r="F12" t="str">
        <f>VLOOKUP(A12,'HCV DL'!D:Q,14,0)</f>
        <v>-</v>
      </c>
      <c r="G12" s="10"/>
      <c r="H12">
        <v>5.21</v>
      </c>
      <c r="I12">
        <v>5.21</v>
      </c>
      <c r="J12" s="10"/>
      <c r="P12" s="19"/>
      <c r="Q12" s="1">
        <v>10</v>
      </c>
      <c r="R12" s="1">
        <v>9</v>
      </c>
      <c r="S12" s="1">
        <v>9</v>
      </c>
      <c r="U12" s="12">
        <v>9</v>
      </c>
      <c r="V12" s="1">
        <v>8</v>
      </c>
      <c r="W12" s="1">
        <f>(V12/15)*100</f>
        <v>53.333333333333336</v>
      </c>
    </row>
    <row r="13" spans="1:29" ht="31.5" x14ac:dyDescent="0.25">
      <c r="A13" s="105" t="s">
        <v>159</v>
      </c>
      <c r="B13" s="105" t="s">
        <v>81</v>
      </c>
      <c r="C13" s="105" t="s">
        <v>82</v>
      </c>
      <c r="D13" s="106" t="s">
        <v>246</v>
      </c>
      <c r="E13" t="str">
        <f>VLOOKUP(A13,'HCV DL'!D:Q,14,0)</f>
        <v>Dưới ngưỡng phát hiện</v>
      </c>
      <c r="F13" t="str">
        <f>VLOOKUP(A13,'HCV DL'!D:Q,14,0)</f>
        <v>Dưới ngưỡng phát hiện</v>
      </c>
      <c r="G13" s="10"/>
      <c r="H13">
        <v>3.8499999999999996</v>
      </c>
      <c r="I13">
        <v>3.8499999999999996</v>
      </c>
      <c r="J13" s="10"/>
      <c r="P13" s="19"/>
      <c r="Q13" s="1">
        <v>11</v>
      </c>
      <c r="R13" s="1">
        <v>8</v>
      </c>
      <c r="S13" s="1">
        <v>8</v>
      </c>
      <c r="U13" s="12">
        <v>8</v>
      </c>
      <c r="V13" s="1">
        <v>2</v>
      </c>
      <c r="W13" s="1">
        <f t="shared" ref="W13:W18" si="0">(V13/15)*100+W12</f>
        <v>66.666666666666671</v>
      </c>
    </row>
    <row r="14" spans="1:29" ht="31.5" x14ac:dyDescent="0.25">
      <c r="A14" s="107" t="s">
        <v>179</v>
      </c>
      <c r="B14" s="108" t="s">
        <v>71</v>
      </c>
      <c r="C14" s="107" t="s">
        <v>72</v>
      </c>
      <c r="D14" s="109" t="s">
        <v>241</v>
      </c>
      <c r="E14" t="str">
        <f>VLOOKUP(A14,'HCV DL'!D:Q,14,0)</f>
        <v>Dưới ngưỡng phát hiện</v>
      </c>
      <c r="F14" t="str">
        <f>VLOOKUP(A14,'HCV DL'!D:Q,14,0)</f>
        <v>Dưới ngưỡng phát hiện</v>
      </c>
      <c r="G14" s="5"/>
      <c r="H14">
        <v>5.39</v>
      </c>
      <c r="I14">
        <v>5.39</v>
      </c>
      <c r="J14" s="5"/>
      <c r="P14" s="19"/>
      <c r="Q14" s="1">
        <v>12</v>
      </c>
      <c r="R14" s="1">
        <v>9</v>
      </c>
      <c r="S14" s="1">
        <v>9</v>
      </c>
      <c r="U14" s="12">
        <v>7</v>
      </c>
      <c r="V14" s="1">
        <v>3</v>
      </c>
      <c r="W14" s="1">
        <f t="shared" si="0"/>
        <v>86.666666666666671</v>
      </c>
      <c r="Y14" s="5"/>
      <c r="AB14" s="58"/>
    </row>
    <row r="15" spans="1:29" ht="31.5" x14ac:dyDescent="0.25">
      <c r="A15" s="113" t="s">
        <v>268</v>
      </c>
      <c r="B15" s="114" t="s">
        <v>264</v>
      </c>
      <c r="C15" s="113" t="s">
        <v>271</v>
      </c>
      <c r="D15" s="115" t="s">
        <v>245</v>
      </c>
      <c r="E15" t="str">
        <f>VLOOKUP(A15,'HCV DL'!D:Q,14,0)</f>
        <v>X</v>
      </c>
      <c r="F15" t="str">
        <f>VLOOKUP(A15,'HCV DL'!D:Q,14,0)</f>
        <v>X</v>
      </c>
      <c r="G15" s="10"/>
      <c r="H15">
        <v>5.39</v>
      </c>
      <c r="I15">
        <v>5.39</v>
      </c>
      <c r="J15" s="10"/>
      <c r="P15" s="19"/>
      <c r="Q15" s="1">
        <v>13</v>
      </c>
      <c r="R15" s="1">
        <v>7</v>
      </c>
      <c r="S15" s="1">
        <v>7</v>
      </c>
      <c r="U15" s="12">
        <v>6</v>
      </c>
      <c r="V15" s="1">
        <v>0</v>
      </c>
      <c r="W15" s="1">
        <f t="shared" si="0"/>
        <v>86.666666666666671</v>
      </c>
      <c r="Y15" s="5"/>
    </row>
    <row r="16" spans="1:29" ht="31.5" x14ac:dyDescent="0.25">
      <c r="A16" s="66" t="s">
        <v>342</v>
      </c>
      <c r="B16" s="119" t="s">
        <v>220</v>
      </c>
      <c r="C16" s="119" t="s">
        <v>80</v>
      </c>
      <c r="D16" s="120" t="s">
        <v>294</v>
      </c>
      <c r="E16" t="str">
        <f>VLOOKUP(A16,'HCV DL'!D:Q,14,0)</f>
        <v>Âm tính</v>
      </c>
      <c r="F16" t="str">
        <f>VLOOKUP(A16,'HCV DL'!D:Q,14,0)</f>
        <v>Âm tính</v>
      </c>
      <c r="G16" s="10"/>
      <c r="H16">
        <v>5.3999999999999995</v>
      </c>
      <c r="I16">
        <v>5.3999999999999995</v>
      </c>
      <c r="J16" s="10"/>
      <c r="Q16" s="1">
        <v>14</v>
      </c>
      <c r="R16" s="1">
        <v>9</v>
      </c>
      <c r="S16" s="1">
        <v>9</v>
      </c>
      <c r="U16" s="12">
        <v>5</v>
      </c>
      <c r="V16" s="1">
        <v>2</v>
      </c>
      <c r="W16" s="1">
        <f t="shared" si="0"/>
        <v>100</v>
      </c>
    </row>
    <row r="17" spans="1:29" ht="31.5" x14ac:dyDescent="0.25">
      <c r="A17" s="66" t="s">
        <v>352</v>
      </c>
      <c r="B17" s="119" t="s">
        <v>36</v>
      </c>
      <c r="C17" s="119" t="s">
        <v>37</v>
      </c>
      <c r="D17" s="120" t="s">
        <v>294</v>
      </c>
      <c r="E17" t="str">
        <f>VLOOKUP(A17,'HCV DL'!D:Q,14,0)</f>
        <v>Dưới ngưỡng phát hiện</v>
      </c>
      <c r="F17" t="str">
        <f>VLOOKUP(A17,'HCV DL'!D:Q,14,0)</f>
        <v>Dưới ngưỡng phát hiện</v>
      </c>
      <c r="G17" s="10"/>
      <c r="H17" s="10">
        <v>4.1899999999999995</v>
      </c>
      <c r="I17" s="10">
        <v>4.1899999999999995</v>
      </c>
      <c r="J17" s="10"/>
      <c r="Q17" s="1">
        <v>15</v>
      </c>
      <c r="R17" s="1">
        <v>8</v>
      </c>
      <c r="S17" s="1">
        <v>8</v>
      </c>
      <c r="U17" s="12">
        <v>4</v>
      </c>
      <c r="V17" s="1">
        <v>0</v>
      </c>
      <c r="W17" s="1">
        <f t="shared" si="0"/>
        <v>100</v>
      </c>
      <c r="Y17" s="23" t="str">
        <f>'HCV DL'!$BJ$2</f>
        <v>QCL016</v>
      </c>
    </row>
    <row r="18" spans="1:29" ht="31.5" x14ac:dyDescent="0.25">
      <c r="A18" s="101" t="s">
        <v>343</v>
      </c>
      <c r="B18" s="101" t="s">
        <v>302</v>
      </c>
      <c r="C18" s="101" t="s">
        <v>320</v>
      </c>
      <c r="D18" s="100" t="s">
        <v>240</v>
      </c>
      <c r="E18" t="str">
        <f>VLOOKUP(A18,'HCV DL'!D:Q,14,0)</f>
        <v>0</v>
      </c>
      <c r="F18" t="str">
        <f>VLOOKUP(A18,'HCV DL'!D:Q,14,0)</f>
        <v>0</v>
      </c>
      <c r="G18" s="5"/>
      <c r="J18" s="5"/>
      <c r="U18" s="12">
        <v>3</v>
      </c>
      <c r="V18" s="1">
        <v>0</v>
      </c>
      <c r="W18" s="1">
        <f t="shared" si="0"/>
        <v>100</v>
      </c>
    </row>
    <row r="19" spans="1:29" ht="47.25" x14ac:dyDescent="0.25">
      <c r="A19" s="67" t="s">
        <v>344</v>
      </c>
      <c r="B19" s="122" t="s">
        <v>300</v>
      </c>
      <c r="C19" s="122" t="s">
        <v>317</v>
      </c>
      <c r="D19" s="123" t="s">
        <v>241</v>
      </c>
      <c r="E19" t="str">
        <f>VLOOKUP(A19,'HCV DL'!D:Q,14,0)</f>
        <v>N/A</v>
      </c>
      <c r="F19" t="str">
        <f>VLOOKUP(A19,'HCV DL'!D:Q,14,0)</f>
        <v>N/A</v>
      </c>
      <c r="G19" s="10"/>
      <c r="J19" s="10"/>
      <c r="Q19" s="24" t="s">
        <v>114</v>
      </c>
      <c r="R19" t="s">
        <v>212</v>
      </c>
      <c r="U19" s="12">
        <v>2</v>
      </c>
      <c r="V19" s="1">
        <v>0</v>
      </c>
      <c r="W19" s="1">
        <f t="shared" ref="W19:W21" si="1">(V19/14)*100+W18</f>
        <v>100</v>
      </c>
      <c r="Y19" t="s">
        <v>274</v>
      </c>
      <c r="Z19">
        <v>4.68</v>
      </c>
      <c r="AA19">
        <v>4.9800000000000004</v>
      </c>
    </row>
    <row r="20" spans="1:29" ht="31.5" x14ac:dyDescent="0.25">
      <c r="A20" s="125" t="s">
        <v>184</v>
      </c>
      <c r="B20" s="125" t="s">
        <v>104</v>
      </c>
      <c r="C20" s="125" t="s">
        <v>105</v>
      </c>
      <c r="D20" s="126" t="s">
        <v>103</v>
      </c>
      <c r="E20">
        <f>VLOOKUP(A20,'HCV DL'!D:Q,14,0)</f>
        <v>0</v>
      </c>
      <c r="F20">
        <f>VLOOKUP(A20,'HCV DL'!D:Q,14,0)</f>
        <v>0</v>
      </c>
      <c r="G20" s="5"/>
      <c r="H20" s="5" t="s">
        <v>272</v>
      </c>
      <c r="I20" s="5" t="s">
        <v>272</v>
      </c>
      <c r="J20" s="5"/>
      <c r="Q20" s="5">
        <v>5</v>
      </c>
      <c r="R20">
        <v>2</v>
      </c>
      <c r="U20" s="12">
        <v>1</v>
      </c>
      <c r="V20" s="1">
        <v>0</v>
      </c>
      <c r="W20" s="1">
        <f t="shared" si="1"/>
        <v>100</v>
      </c>
      <c r="Y20" t="s">
        <v>275</v>
      </c>
      <c r="Z20">
        <v>4.9800000000000004</v>
      </c>
      <c r="AA20">
        <v>5.28</v>
      </c>
    </row>
    <row r="21" spans="1:29" ht="31.5" x14ac:dyDescent="0.25">
      <c r="A21" s="68" t="s">
        <v>191</v>
      </c>
      <c r="B21" s="68" t="s">
        <v>20</v>
      </c>
      <c r="C21" s="68" t="s">
        <v>21</v>
      </c>
      <c r="D21" s="130" t="s">
        <v>22</v>
      </c>
      <c r="E21">
        <f>VLOOKUP(A21,'HCV DL'!D:Q,14,0)</f>
        <v>0</v>
      </c>
      <c r="F21">
        <f>VLOOKUP(A21,'HCV DL'!D:Q,14,0)</f>
        <v>0</v>
      </c>
      <c r="H21" t="s">
        <v>272</v>
      </c>
      <c r="I21" t="s">
        <v>272</v>
      </c>
      <c r="Q21" s="5">
        <v>7</v>
      </c>
      <c r="R21">
        <v>3</v>
      </c>
      <c r="U21" s="12">
        <v>0</v>
      </c>
      <c r="V21" s="1">
        <v>0</v>
      </c>
      <c r="W21" s="1">
        <f t="shared" si="1"/>
        <v>100</v>
      </c>
      <c r="Y21" t="s">
        <v>276</v>
      </c>
      <c r="Z21">
        <v>5.28</v>
      </c>
      <c r="AA21">
        <v>5.58</v>
      </c>
    </row>
    <row r="22" spans="1:29" ht="31.5" x14ac:dyDescent="0.25">
      <c r="A22" s="68" t="s">
        <v>252</v>
      </c>
      <c r="B22" s="68" t="s">
        <v>40</v>
      </c>
      <c r="C22" s="68" t="s">
        <v>222</v>
      </c>
      <c r="D22" s="130" t="s">
        <v>33</v>
      </c>
      <c r="E22">
        <f>VLOOKUP(A22,'HCV DL'!D:Q,14,0)</f>
        <v>0</v>
      </c>
      <c r="F22">
        <f>VLOOKUP(A22,'HCV DL'!D:Q,14,0)</f>
        <v>0</v>
      </c>
      <c r="H22" t="s">
        <v>272</v>
      </c>
      <c r="I22" t="s">
        <v>272</v>
      </c>
      <c r="K22" s="10"/>
      <c r="Q22" s="5">
        <v>8</v>
      </c>
      <c r="R22">
        <v>2</v>
      </c>
      <c r="Y22" t="s">
        <v>278</v>
      </c>
      <c r="Z22">
        <v>5.58</v>
      </c>
      <c r="AA22">
        <v>5.88</v>
      </c>
    </row>
    <row r="23" spans="1:29" ht="31.5" x14ac:dyDescent="0.25">
      <c r="A23" s="68" t="s">
        <v>181</v>
      </c>
      <c r="B23" s="68" t="s">
        <v>96</v>
      </c>
      <c r="C23" s="68" t="s">
        <v>97</v>
      </c>
      <c r="D23" s="130" t="s">
        <v>93</v>
      </c>
      <c r="E23">
        <f>VLOOKUP(A23,'HCV DL'!D:Q,14,0)</f>
        <v>0</v>
      </c>
      <c r="F23">
        <f>VLOOKUP(A23,'HCV DL'!D:Q,14,0)</f>
        <v>0</v>
      </c>
      <c r="H23" t="s">
        <v>272</v>
      </c>
      <c r="I23" t="s">
        <v>272</v>
      </c>
      <c r="K23" s="10"/>
      <c r="Q23" s="5">
        <v>9</v>
      </c>
      <c r="R23">
        <v>8</v>
      </c>
      <c r="Y23" t="s">
        <v>279</v>
      </c>
      <c r="Z23">
        <v>5.88</v>
      </c>
      <c r="AA23">
        <v>6.18</v>
      </c>
    </row>
    <row r="24" spans="1:29" ht="31.5" x14ac:dyDescent="0.25">
      <c r="A24" s="68" t="s">
        <v>188</v>
      </c>
      <c r="B24" s="68" t="s">
        <v>107</v>
      </c>
      <c r="C24" s="68" t="s">
        <v>108</v>
      </c>
      <c r="D24" s="130" t="s">
        <v>33</v>
      </c>
      <c r="E24">
        <f>VLOOKUP(A24,'HCV DL'!D:Q,14,0)</f>
        <v>0</v>
      </c>
      <c r="F24">
        <f>VLOOKUP(A24,'HCV DL'!D:Q,14,0)</f>
        <v>0</v>
      </c>
      <c r="H24" t="s">
        <v>272</v>
      </c>
      <c r="I24" t="s">
        <v>272</v>
      </c>
      <c r="K24" s="5"/>
      <c r="Q24" s="5" t="s">
        <v>116</v>
      </c>
      <c r="R24">
        <v>15</v>
      </c>
      <c r="Y24" t="s">
        <v>280</v>
      </c>
      <c r="Z24">
        <v>6.18</v>
      </c>
      <c r="AA24">
        <v>6.48</v>
      </c>
    </row>
    <row r="25" spans="1:29" ht="31.5" x14ac:dyDescent="0.25">
      <c r="A25" s="68" t="s">
        <v>188</v>
      </c>
      <c r="B25" s="68" t="s">
        <v>107</v>
      </c>
      <c r="C25" s="68" t="s">
        <v>108</v>
      </c>
      <c r="D25" s="130" t="s">
        <v>33</v>
      </c>
      <c r="E25">
        <f>VLOOKUP(A25,'HCV DL'!D:Q,14,0)</f>
        <v>0</v>
      </c>
      <c r="F25">
        <f>VLOOKUP(A25,'HCV DL'!D:Q,14,0)</f>
        <v>0</v>
      </c>
      <c r="H25" t="s">
        <v>272</v>
      </c>
      <c r="I25" t="s">
        <v>272</v>
      </c>
      <c r="K25" s="10"/>
      <c r="Y25" s="5"/>
      <c r="Z25" s="5"/>
      <c r="AB25" s="58"/>
    </row>
    <row r="26" spans="1:29" ht="31.5" x14ac:dyDescent="0.25">
      <c r="A26" s="132" t="s">
        <v>169</v>
      </c>
      <c r="B26" s="132" t="s">
        <v>170</v>
      </c>
      <c r="C26" s="132" t="s">
        <v>171</v>
      </c>
      <c r="D26" s="130" t="s">
        <v>74</v>
      </c>
      <c r="E26">
        <f>VLOOKUP(A26,'HCV DL'!D:Q,14,0)</f>
        <v>0</v>
      </c>
      <c r="F26">
        <f>VLOOKUP(A26,'HCV DL'!D:Q,14,0)</f>
        <v>0</v>
      </c>
      <c r="H26" t="s">
        <v>272</v>
      </c>
      <c r="I26" t="s">
        <v>272</v>
      </c>
      <c r="K26" s="10"/>
      <c r="Y26" s="5"/>
      <c r="Z26" s="5"/>
      <c r="AB26" s="58"/>
    </row>
    <row r="27" spans="1:29" ht="31.5" x14ac:dyDescent="0.25">
      <c r="A27" s="68" t="s">
        <v>197</v>
      </c>
      <c r="B27" s="68" t="s">
        <v>111</v>
      </c>
      <c r="C27" s="68" t="s">
        <v>198</v>
      </c>
      <c r="D27" s="130" t="s">
        <v>51</v>
      </c>
      <c r="E27">
        <f>VLOOKUP(A27,'HCV DL'!D:Q,14,0)</f>
        <v>0</v>
      </c>
      <c r="F27">
        <f>VLOOKUP(A27,'HCV DL'!D:Q,14,0)</f>
        <v>0</v>
      </c>
      <c r="H27" t="s">
        <v>272</v>
      </c>
      <c r="I27" t="s">
        <v>272</v>
      </c>
      <c r="K27" s="10"/>
      <c r="Y27" s="4" t="s">
        <v>357</v>
      </c>
      <c r="Z27" s="4" t="s">
        <v>285</v>
      </c>
      <c r="AA27" s="56" t="str">
        <f>VLOOKUP(Y37,'HCV DL'!$D:$BA,50,0)</f>
        <v>artus HCV</v>
      </c>
      <c r="AB27" s="4" t="s">
        <v>293</v>
      </c>
    </row>
    <row r="28" spans="1:29" ht="31.5" x14ac:dyDescent="0.25">
      <c r="A28" s="68" t="s">
        <v>204</v>
      </c>
      <c r="B28" s="68" t="s">
        <v>49</v>
      </c>
      <c r="C28" s="68" t="s">
        <v>50</v>
      </c>
      <c r="D28" s="130" t="s">
        <v>51</v>
      </c>
      <c r="E28">
        <f>VLOOKUP(A28,'HCV DL'!D:Q,14,0)</f>
        <v>0</v>
      </c>
      <c r="F28">
        <f>VLOOKUP(A28,'HCV DL'!D:Q,14,0)</f>
        <v>0</v>
      </c>
      <c r="H28" t="s">
        <v>272</v>
      </c>
      <c r="I28" t="s">
        <v>272</v>
      </c>
      <c r="K28" s="10"/>
      <c r="Y28" s="5" t="str">
        <f>K34</f>
        <v>5.1-5.32</v>
      </c>
      <c r="Z28" s="5">
        <f>L34</f>
        <v>1</v>
      </c>
      <c r="AA28" s="57">
        <f>COUNTIFS('HCV DL'!$BA:$BA,$AA$27,'HCV DL'!R:$R,"&gt;="&amp;Z39,'HCV DL'!$R:$R,"&lt;"&amp;AA39)</f>
        <v>0</v>
      </c>
      <c r="AB28" s="58">
        <f t="shared" ref="AB28:AB33" si="2">IF(AND($AC$29&gt;=Z39,$AC$29&lt;AA39),1,0)</f>
        <v>0</v>
      </c>
    </row>
    <row r="29" spans="1:29" x14ac:dyDescent="0.25">
      <c r="K29" s="10"/>
      <c r="Y29" s="5" t="str">
        <f t="shared" ref="Y29:Y33" si="3">K35</f>
        <v>5.54-5.76</v>
      </c>
      <c r="Z29" s="5">
        <f t="shared" ref="Z29:Z33" si="4">L35</f>
        <v>1</v>
      </c>
      <c r="AA29" s="57">
        <f>COUNTIFS('HCV DL'!$BA:$BA,$AA$27,'HCV DL'!R:$R,"&gt;="&amp;Z40,'HCV DL'!$R:$R,"&lt;"&amp;AA40)</f>
        <v>0</v>
      </c>
      <c r="AB29" s="58">
        <f t="shared" si="2"/>
        <v>0</v>
      </c>
      <c r="AC29">
        <f>VLOOKUP($Y$37,'HCV DL'!$D:$S,15,0)</f>
        <v>6.59</v>
      </c>
    </row>
    <row r="30" spans="1:29" x14ac:dyDescent="0.25">
      <c r="K30" s="10"/>
      <c r="Y30" s="5" t="str">
        <f t="shared" si="3"/>
        <v>5.76-5.98</v>
      </c>
      <c r="Z30" s="5">
        <f t="shared" si="4"/>
        <v>2</v>
      </c>
      <c r="AA30" s="57">
        <f>COUNTIFS('HCV DL'!$BA:$BA,$AA$27,'HCV DL'!R:$R,"&gt;="&amp;Z41,'HCV DL'!$R:$R,"&lt;"&amp;AA41)</f>
        <v>0</v>
      </c>
      <c r="AB30" s="58">
        <f t="shared" si="2"/>
        <v>0</v>
      </c>
    </row>
    <row r="31" spans="1:29" x14ac:dyDescent="0.25">
      <c r="K31" s="10"/>
      <c r="Y31" s="5" t="str">
        <f t="shared" si="3"/>
        <v>5.98-6.2</v>
      </c>
      <c r="Z31" s="5">
        <f t="shared" si="4"/>
        <v>6</v>
      </c>
      <c r="AA31" s="57">
        <f>COUNTIFS('HCV DL'!$BA:$BA,$AA$27,'HCV DL'!R:$R,"&gt;="&amp;Z42,'HCV DL'!$R:$R,"&lt;"&amp;AA42)</f>
        <v>1</v>
      </c>
      <c r="AB31" s="58">
        <f t="shared" si="2"/>
        <v>0</v>
      </c>
    </row>
    <row r="32" spans="1:29" ht="31.5" x14ac:dyDescent="0.25">
      <c r="A32" s="2" t="s">
        <v>3</v>
      </c>
      <c r="B32" s="2" t="s">
        <v>124</v>
      </c>
      <c r="C32" s="3" t="s">
        <v>125</v>
      </c>
      <c r="D32" s="25" t="s">
        <v>243</v>
      </c>
      <c r="E32" t="s">
        <v>131</v>
      </c>
      <c r="F32" t="s">
        <v>131</v>
      </c>
      <c r="H32" t="s">
        <v>131</v>
      </c>
      <c r="I32" t="s">
        <v>131</v>
      </c>
      <c r="Y32" s="5" t="str">
        <f t="shared" si="3"/>
        <v>6.2-6.42</v>
      </c>
      <c r="Z32" s="5">
        <f t="shared" si="4"/>
        <v>2</v>
      </c>
      <c r="AA32" s="57">
        <f>COUNTIFS('HCV DL'!$BA:$BA,$AA$27,'HCV DL'!R:$R,"&gt;="&amp;Z43,'HCV DL'!$R:$R,"&lt;"&amp;AA43)</f>
        <v>0</v>
      </c>
      <c r="AB32" s="58">
        <f t="shared" si="2"/>
        <v>0</v>
      </c>
    </row>
    <row r="33" spans="1:28" ht="31.5" x14ac:dyDescent="0.25">
      <c r="A33" s="77" t="s">
        <v>152</v>
      </c>
      <c r="B33" s="77" t="s">
        <v>59</v>
      </c>
      <c r="C33" s="77" t="s">
        <v>60</v>
      </c>
      <c r="D33" s="79" t="s">
        <v>244</v>
      </c>
      <c r="E33">
        <f>VLOOKUP(A33,'HCV DL'!D:R,15,0)</f>
        <v>6.11</v>
      </c>
      <c r="F33">
        <f>VLOOKUP(A33,'HCV DL'!D:R,15,0)</f>
        <v>6.11</v>
      </c>
      <c r="G33">
        <f>MIN(E33:E37)</f>
        <v>6.11</v>
      </c>
      <c r="H33" s="5">
        <v>6.11</v>
      </c>
      <c r="I33" s="5">
        <v>6.11</v>
      </c>
      <c r="J33" s="5"/>
      <c r="K33" s="24" t="s">
        <v>114</v>
      </c>
      <c r="L33" t="s">
        <v>262</v>
      </c>
      <c r="Y33" s="5" t="str">
        <f t="shared" si="3"/>
        <v>6.42-6.64</v>
      </c>
      <c r="Z33" s="5">
        <f t="shared" si="4"/>
        <v>3</v>
      </c>
      <c r="AA33" s="57">
        <f>COUNTIFS('HCV DL'!$BA:$BA,$AA$27,'HCV DL'!R:$R,"&gt;="&amp;Z44,'HCV DL'!$R:$R,"&lt;"&amp;AA44)</f>
        <v>1</v>
      </c>
      <c r="AB33" s="58">
        <f t="shared" si="2"/>
        <v>1</v>
      </c>
    </row>
    <row r="34" spans="1:28" ht="31.5" x14ac:dyDescent="0.25">
      <c r="A34" s="77" t="s">
        <v>157</v>
      </c>
      <c r="B34" s="77" t="s">
        <v>56</v>
      </c>
      <c r="C34" s="77" t="s">
        <v>57</v>
      </c>
      <c r="D34" s="78" t="s">
        <v>244</v>
      </c>
      <c r="E34">
        <f>VLOOKUP(A34,'HCV DL'!D:R,15,0)</f>
        <v>6.51</v>
      </c>
      <c r="F34">
        <f>VLOOKUP(A34,'HCV DL'!D:R,15,0)</f>
        <v>6.51</v>
      </c>
      <c r="G34">
        <f>MAX(E33:E37)</f>
        <v>6.51</v>
      </c>
      <c r="H34" s="10">
        <v>6.51</v>
      </c>
      <c r="I34" s="10">
        <v>6.51</v>
      </c>
      <c r="J34" s="10"/>
      <c r="K34" s="5" t="s">
        <v>418</v>
      </c>
      <c r="L34">
        <v>1</v>
      </c>
      <c r="Y34" s="5"/>
      <c r="AA34" s="57"/>
      <c r="AB34" s="58"/>
    </row>
    <row r="35" spans="1:28" ht="31.5" x14ac:dyDescent="0.25">
      <c r="A35" s="77" t="s">
        <v>345</v>
      </c>
      <c r="B35" s="77" t="s">
        <v>219</v>
      </c>
      <c r="C35" s="77" t="s">
        <v>318</v>
      </c>
      <c r="D35" s="79" t="s">
        <v>244</v>
      </c>
      <c r="E35">
        <f>VLOOKUP(A35,'HCV DL'!D:R,15,0)</f>
        <v>6.21</v>
      </c>
      <c r="F35">
        <f>VLOOKUP(A35,'HCV DL'!D:R,15,0)</f>
        <v>6.21</v>
      </c>
      <c r="G35" s="5"/>
      <c r="H35" s="5">
        <v>6.21</v>
      </c>
      <c r="I35" s="5">
        <v>6.21</v>
      </c>
      <c r="J35" s="5"/>
      <c r="K35" s="5" t="s">
        <v>419</v>
      </c>
      <c r="L35">
        <v>1</v>
      </c>
      <c r="Y35" s="5"/>
      <c r="AA35" s="57"/>
      <c r="AB35" s="58"/>
    </row>
    <row r="36" spans="1:28" ht="31.5" x14ac:dyDescent="0.25">
      <c r="A36" s="77" t="s">
        <v>341</v>
      </c>
      <c r="B36" s="77" t="s">
        <v>301</v>
      </c>
      <c r="C36" s="77" t="s">
        <v>319</v>
      </c>
      <c r="D36" s="78" t="s">
        <v>244</v>
      </c>
      <c r="E36">
        <f>VLOOKUP(A36,'HCV DL'!D:R,15,0)</f>
        <v>6.2</v>
      </c>
      <c r="F36">
        <f>VLOOKUP(A36,'HCV DL'!D:R,15,0)</f>
        <v>6.2</v>
      </c>
      <c r="G36" s="10"/>
      <c r="H36" s="10">
        <v>6.2</v>
      </c>
      <c r="I36" s="10">
        <v>6.2</v>
      </c>
      <c r="J36" s="10"/>
      <c r="K36" s="5" t="s">
        <v>420</v>
      </c>
      <c r="L36">
        <v>2</v>
      </c>
    </row>
    <row r="37" spans="1:28" ht="31.5" x14ac:dyDescent="0.25">
      <c r="A37" s="77" t="s">
        <v>353</v>
      </c>
      <c r="B37" s="77" t="s">
        <v>36</v>
      </c>
      <c r="C37" s="77" t="s">
        <v>37</v>
      </c>
      <c r="D37" s="78" t="s">
        <v>244</v>
      </c>
      <c r="E37" t="str">
        <f>VLOOKUP(A37,'HCV DL'!D:R,15,0)</f>
        <v/>
      </c>
      <c r="F37" t="str">
        <f>VLOOKUP(A37,'HCV DL'!D:R,15,0)</f>
        <v/>
      </c>
      <c r="G37" s="10"/>
      <c r="H37" s="10">
        <v>5.98</v>
      </c>
      <c r="I37" s="10">
        <v>5.98</v>
      </c>
      <c r="J37" s="10"/>
      <c r="K37" s="5" t="s">
        <v>421</v>
      </c>
      <c r="L37">
        <v>6</v>
      </c>
      <c r="Y37" s="23" t="str">
        <f>'HCV DL'!$BJ$2</f>
        <v>QCL016</v>
      </c>
    </row>
    <row r="38" spans="1:28" ht="47.25" x14ac:dyDescent="0.25">
      <c r="A38" s="85" t="s">
        <v>195</v>
      </c>
      <c r="B38" s="86" t="s">
        <v>88</v>
      </c>
      <c r="C38" s="85" t="s">
        <v>89</v>
      </c>
      <c r="D38" s="87" t="s">
        <v>85</v>
      </c>
      <c r="E38">
        <f>VLOOKUP(A38,'HCV DL'!D:R,15,0)</f>
        <v>5.98</v>
      </c>
      <c r="F38">
        <f>VLOOKUP(A38,'HCV DL'!D:R,15,0)</f>
        <v>5.98</v>
      </c>
      <c r="G38">
        <f>MIN(E38:E41)</f>
        <v>5.0999999999999996</v>
      </c>
      <c r="H38" s="5">
        <v>6.43</v>
      </c>
      <c r="I38" s="5">
        <v>6.43</v>
      </c>
      <c r="J38" s="10"/>
      <c r="K38" s="5" t="s">
        <v>422</v>
      </c>
      <c r="L38">
        <v>2</v>
      </c>
    </row>
    <row r="39" spans="1:28" ht="47.25" x14ac:dyDescent="0.25">
      <c r="A39" s="91" t="s">
        <v>350</v>
      </c>
      <c r="B39" s="92" t="s">
        <v>30</v>
      </c>
      <c r="C39" s="91" t="s">
        <v>31</v>
      </c>
      <c r="D39" s="87" t="s">
        <v>330</v>
      </c>
      <c r="E39">
        <f>VLOOKUP(A39,'HCV DL'!D:R,15,0)</f>
        <v>6.43</v>
      </c>
      <c r="F39">
        <f>VLOOKUP(A39,'HCV DL'!D:R,15,0)</f>
        <v>6.43</v>
      </c>
      <c r="G39">
        <f>MAX(E38:E41)</f>
        <v>6.43</v>
      </c>
      <c r="H39" s="10">
        <v>5.0999999999999996</v>
      </c>
      <c r="I39" s="10">
        <v>5.0999999999999996</v>
      </c>
      <c r="J39" s="5"/>
      <c r="K39" s="5" t="s">
        <v>423</v>
      </c>
      <c r="L39">
        <v>3</v>
      </c>
      <c r="Y39" t="s">
        <v>418</v>
      </c>
      <c r="Z39">
        <v>5.0999999999999996</v>
      </c>
      <c r="AA39">
        <v>5.32</v>
      </c>
    </row>
    <row r="40" spans="1:28" ht="31.5" x14ac:dyDescent="0.25">
      <c r="A40" s="95" t="s">
        <v>211</v>
      </c>
      <c r="B40" s="96" t="s">
        <v>101</v>
      </c>
      <c r="C40" s="97" t="s">
        <v>102</v>
      </c>
      <c r="D40" s="87" t="s">
        <v>330</v>
      </c>
      <c r="E40">
        <f>VLOOKUP(A40,'HCV DL'!D:R,15,0)</f>
        <v>5.0999999999999996</v>
      </c>
      <c r="F40">
        <f>VLOOKUP(A40,'HCV DL'!D:R,15,0)</f>
        <v>5.0999999999999996</v>
      </c>
      <c r="G40" s="10"/>
      <c r="H40" s="10">
        <v>6.02</v>
      </c>
      <c r="I40" s="10">
        <v>6.02</v>
      </c>
      <c r="J40" s="10"/>
      <c r="K40" s="5" t="s">
        <v>116</v>
      </c>
      <c r="L40">
        <v>15</v>
      </c>
      <c r="Y40" t="s">
        <v>419</v>
      </c>
      <c r="Z40">
        <v>5.54</v>
      </c>
      <c r="AA40">
        <v>5.76</v>
      </c>
    </row>
    <row r="41" spans="1:28" ht="31.5" x14ac:dyDescent="0.25">
      <c r="A41" s="92" t="s">
        <v>359</v>
      </c>
      <c r="B41" s="92" t="s">
        <v>36</v>
      </c>
      <c r="C41" s="92" t="s">
        <v>37</v>
      </c>
      <c r="D41" s="93" t="s">
        <v>330</v>
      </c>
      <c r="E41" t="str">
        <f>VLOOKUP(A41,'HCV DL'!D:R,15,0)</f>
        <v/>
      </c>
      <c r="F41" t="str">
        <f>VLOOKUP(A41,'HCV DL'!D:R,15,0)</f>
        <v/>
      </c>
      <c r="G41" s="10"/>
      <c r="H41" s="10">
        <v>6.59</v>
      </c>
      <c r="I41" s="10">
        <v>6.59</v>
      </c>
      <c r="J41" s="10"/>
      <c r="Y41" t="s">
        <v>420</v>
      </c>
      <c r="Z41">
        <v>5.76</v>
      </c>
      <c r="AA41">
        <v>5.98</v>
      </c>
    </row>
    <row r="42" spans="1:28" ht="31.5" x14ac:dyDescent="0.25">
      <c r="A42" s="98" t="s">
        <v>164</v>
      </c>
      <c r="B42" s="99" t="s">
        <v>79</v>
      </c>
      <c r="C42" s="98" t="s">
        <v>80</v>
      </c>
      <c r="D42" s="100" t="s">
        <v>246</v>
      </c>
      <c r="E42">
        <f>VLOOKUP(A42,'HCV DL'!D:R,15,0)</f>
        <v>6.02</v>
      </c>
      <c r="F42">
        <f>VLOOKUP(A42,'HCV DL'!D:R,15,0)</f>
        <v>6.02</v>
      </c>
      <c r="G42" s="10"/>
      <c r="H42" s="5">
        <v>6.17</v>
      </c>
      <c r="I42" s="5">
        <v>6.17</v>
      </c>
      <c r="J42" s="10"/>
      <c r="Y42" t="s">
        <v>421</v>
      </c>
      <c r="Z42">
        <v>5.98</v>
      </c>
      <c r="AA42">
        <v>6.2</v>
      </c>
    </row>
    <row r="43" spans="1:28" ht="31.5" x14ac:dyDescent="0.25">
      <c r="A43" s="105" t="s">
        <v>159</v>
      </c>
      <c r="B43" s="105" t="s">
        <v>81</v>
      </c>
      <c r="C43" s="105" t="s">
        <v>82</v>
      </c>
      <c r="D43" s="106" t="s">
        <v>246</v>
      </c>
      <c r="E43">
        <f>VLOOKUP(A43,'HCV DL'!D:R,15,0)</f>
        <v>6.59</v>
      </c>
      <c r="F43">
        <f>VLOOKUP(A43,'HCV DL'!D:R,15,0)</f>
        <v>6.59</v>
      </c>
      <c r="G43" s="10"/>
      <c r="H43" s="10">
        <v>5.93</v>
      </c>
      <c r="I43" s="10">
        <v>5.93</v>
      </c>
      <c r="J43" s="10"/>
      <c r="Y43" t="s">
        <v>422</v>
      </c>
      <c r="Z43">
        <v>6.2</v>
      </c>
      <c r="AA43">
        <v>6.42</v>
      </c>
    </row>
    <row r="44" spans="1:28" ht="31.5" x14ac:dyDescent="0.25">
      <c r="A44" s="107" t="s">
        <v>179</v>
      </c>
      <c r="B44" s="108" t="s">
        <v>71</v>
      </c>
      <c r="C44" s="107" t="s">
        <v>72</v>
      </c>
      <c r="D44" s="109" t="s">
        <v>241</v>
      </c>
      <c r="E44">
        <f>VLOOKUP(A44,'HCV DL'!D:R,15,0)</f>
        <v>6.17</v>
      </c>
      <c r="F44">
        <f>VLOOKUP(A44,'HCV DL'!D:R,15,0)</f>
        <v>6.17</v>
      </c>
      <c r="G44" s="10"/>
      <c r="H44" s="10">
        <v>6.19</v>
      </c>
      <c r="I44" s="10">
        <v>6.19</v>
      </c>
      <c r="J44" s="10"/>
      <c r="Y44" t="s">
        <v>423</v>
      </c>
      <c r="Z44">
        <v>6.42</v>
      </c>
      <c r="AA44">
        <v>6.64</v>
      </c>
    </row>
    <row r="45" spans="1:28" ht="31.5" x14ac:dyDescent="0.25">
      <c r="A45" s="113" t="s">
        <v>268</v>
      </c>
      <c r="B45" s="114" t="s">
        <v>264</v>
      </c>
      <c r="C45" s="113" t="s">
        <v>271</v>
      </c>
      <c r="D45" s="115" t="s">
        <v>245</v>
      </c>
      <c r="E45">
        <f>VLOOKUP(A45,'HCV DL'!D:R,15,0)</f>
        <v>5.93</v>
      </c>
      <c r="F45">
        <f>VLOOKUP(A45,'HCV DL'!D:R,15,0)</f>
        <v>5.93</v>
      </c>
      <c r="G45" s="5"/>
      <c r="H45" s="5">
        <v>5.68</v>
      </c>
      <c r="I45" s="5">
        <v>5.68</v>
      </c>
      <c r="J45" s="5"/>
    </row>
    <row r="46" spans="1:28" ht="31.5" x14ac:dyDescent="0.25">
      <c r="A46" s="66" t="s">
        <v>342</v>
      </c>
      <c r="B46" s="119" t="s">
        <v>220</v>
      </c>
      <c r="C46" s="119" t="s">
        <v>80</v>
      </c>
      <c r="D46" s="120" t="s">
        <v>294</v>
      </c>
      <c r="E46">
        <f>VLOOKUP(A46,'HCV DL'!D:R,15,0)</f>
        <v>6.19</v>
      </c>
      <c r="F46">
        <f>VLOOKUP(A46,'HCV DL'!D:R,15,0)</f>
        <v>6.19</v>
      </c>
      <c r="G46" s="10"/>
      <c r="H46">
        <v>6.02</v>
      </c>
      <c r="I46">
        <v>6.02</v>
      </c>
      <c r="J46" s="10"/>
    </row>
    <row r="47" spans="1:28" ht="31.5" x14ac:dyDescent="0.25">
      <c r="A47" s="66" t="s">
        <v>352</v>
      </c>
      <c r="B47" s="119" t="s">
        <v>36</v>
      </c>
      <c r="C47" s="119" t="s">
        <v>37</v>
      </c>
      <c r="D47" s="120" t="s">
        <v>294</v>
      </c>
      <c r="E47">
        <f>VLOOKUP(A47,'HCV DL'!D:R,15,0)</f>
        <v>5.68</v>
      </c>
      <c r="F47">
        <f>VLOOKUP(A47,'HCV DL'!D:R,15,0)</f>
        <v>5.68</v>
      </c>
      <c r="G47" s="10"/>
      <c r="H47">
        <v>5.89</v>
      </c>
      <c r="I47">
        <v>5.89</v>
      </c>
      <c r="J47" s="10"/>
    </row>
    <row r="48" spans="1:28" ht="31.5" x14ac:dyDescent="0.25">
      <c r="A48" s="101" t="s">
        <v>343</v>
      </c>
      <c r="B48" s="101" t="s">
        <v>302</v>
      </c>
      <c r="C48" s="101" t="s">
        <v>320</v>
      </c>
      <c r="D48" s="100" t="s">
        <v>240</v>
      </c>
      <c r="E48">
        <f>VLOOKUP(A48,'HCV DL'!D:R,15,0)</f>
        <v>6.02</v>
      </c>
      <c r="F48">
        <f>VLOOKUP(A48,'HCV DL'!D:R,15,0)</f>
        <v>6.02</v>
      </c>
      <c r="G48" s="10"/>
      <c r="J48" s="10"/>
    </row>
    <row r="49" spans="1:29" ht="47.25" x14ac:dyDescent="0.25">
      <c r="A49" s="67" t="s">
        <v>344</v>
      </c>
      <c r="B49" s="122" t="s">
        <v>300</v>
      </c>
      <c r="C49" s="122" t="s">
        <v>317</v>
      </c>
      <c r="D49" s="123" t="s">
        <v>241</v>
      </c>
      <c r="E49">
        <f>VLOOKUP(A49,'HCV DL'!D:R,15,0)</f>
        <v>5.89</v>
      </c>
      <c r="F49">
        <f>VLOOKUP(A49,'HCV DL'!D:R,15,0)</f>
        <v>5.89</v>
      </c>
      <c r="G49" s="5"/>
      <c r="J49" s="5"/>
    </row>
    <row r="50" spans="1:29" ht="31.5" x14ac:dyDescent="0.25">
      <c r="A50" s="125" t="s">
        <v>184</v>
      </c>
      <c r="B50" s="125" t="s">
        <v>104</v>
      </c>
      <c r="C50" s="125" t="s">
        <v>105</v>
      </c>
      <c r="D50" s="126" t="s">
        <v>103</v>
      </c>
      <c r="E50" t="str">
        <f>VLOOKUP(A50,'HCV DL'!D:R,15,0)</f>
        <v/>
      </c>
      <c r="F50" t="str">
        <f>VLOOKUP(A50,'HCV DL'!D:R,15,0)</f>
        <v/>
      </c>
      <c r="G50" s="10"/>
      <c r="H50" s="10" t="s">
        <v>272</v>
      </c>
      <c r="I50" s="10" t="s">
        <v>272</v>
      </c>
      <c r="J50" s="10"/>
      <c r="Y50" s="4" t="s">
        <v>356</v>
      </c>
      <c r="Z50" s="4" t="s">
        <v>285</v>
      </c>
      <c r="AA50" s="56" t="str">
        <f>VLOOKUP(Y60,'HCV DL'!$D:$BA,50,0)</f>
        <v>artus HCV</v>
      </c>
      <c r="AB50" s="4" t="s">
        <v>293</v>
      </c>
    </row>
    <row r="51" spans="1:29" ht="31.5" x14ac:dyDescent="0.25">
      <c r="A51" s="68" t="s">
        <v>191</v>
      </c>
      <c r="B51" s="68" t="s">
        <v>20</v>
      </c>
      <c r="C51" s="68" t="s">
        <v>21</v>
      </c>
      <c r="D51" s="130" t="s">
        <v>22</v>
      </c>
      <c r="E51" t="str">
        <f>VLOOKUP(A51,'HCV DL'!D:R,15,0)</f>
        <v/>
      </c>
      <c r="F51" t="str">
        <f>VLOOKUP(A51,'HCV DL'!D:R,15,0)</f>
        <v/>
      </c>
      <c r="H51" t="s">
        <v>272</v>
      </c>
      <c r="I51" t="s">
        <v>272</v>
      </c>
      <c r="K51" s="5"/>
      <c r="Y51" s="5" t="str">
        <f>K63</f>
        <v>5.11-5.31</v>
      </c>
      <c r="Z51" s="5">
        <f>L63</f>
        <v>1</v>
      </c>
      <c r="AA51" s="57">
        <f>COUNTIFS('HCV DL'!$BA:$BA,$AA$50,'HCV DL'!$S:$S,"&gt;="&amp;Z62,'HCV DL'!$S:$S,"&lt;"&amp;AA62)</f>
        <v>0</v>
      </c>
      <c r="AB51" s="58">
        <f t="shared" ref="AB51:AB56" si="5">IF(AND($AC$52&gt;=Z62,$AC$52&lt;AA62),1,0)</f>
        <v>0</v>
      </c>
    </row>
    <row r="52" spans="1:29" ht="31.5" x14ac:dyDescent="0.25">
      <c r="A52" s="68" t="s">
        <v>252</v>
      </c>
      <c r="B52" s="68" t="s">
        <v>40</v>
      </c>
      <c r="C52" s="68" t="s">
        <v>222</v>
      </c>
      <c r="D52" s="130" t="s">
        <v>33</v>
      </c>
      <c r="E52" t="str">
        <f>VLOOKUP(A52,'HCV DL'!D:R,15,0)</f>
        <v/>
      </c>
      <c r="F52" t="str">
        <f>VLOOKUP(A52,'HCV DL'!D:R,15,0)</f>
        <v/>
      </c>
      <c r="H52" t="s">
        <v>272</v>
      </c>
      <c r="I52" t="s">
        <v>272</v>
      </c>
      <c r="K52" s="10"/>
      <c r="Y52" s="5" t="str">
        <f t="shared" ref="Y52:Z52" si="6">K64</f>
        <v>5.71-5.91</v>
      </c>
      <c r="Z52" s="5">
        <f t="shared" si="6"/>
        <v>3</v>
      </c>
      <c r="AA52" s="57">
        <f>COUNTIFS('HCV DL'!$BA:$BA,$AA$50,'HCV DL'!$S:$S,"&gt;="&amp;Z63,'HCV DL'!$S:$S,"&lt;"&amp;AA63)</f>
        <v>0</v>
      </c>
      <c r="AB52" s="58">
        <f t="shared" si="5"/>
        <v>0</v>
      </c>
      <c r="AC52">
        <f>VLOOKUP($Y$60,'HCV DL'!$D:$S,16,0)</f>
        <v>6.6</v>
      </c>
    </row>
    <row r="53" spans="1:29" ht="31.5" x14ac:dyDescent="0.25">
      <c r="A53" s="68" t="s">
        <v>181</v>
      </c>
      <c r="B53" s="68" t="s">
        <v>96</v>
      </c>
      <c r="C53" s="68" t="s">
        <v>97</v>
      </c>
      <c r="D53" s="130" t="s">
        <v>93</v>
      </c>
      <c r="E53" t="str">
        <f>VLOOKUP(A53,'HCV DL'!D:R,15,0)</f>
        <v/>
      </c>
      <c r="F53" t="str">
        <f>VLOOKUP(A53,'HCV DL'!D:R,15,0)</f>
        <v/>
      </c>
      <c r="H53" t="s">
        <v>272</v>
      </c>
      <c r="I53" t="s">
        <v>272</v>
      </c>
      <c r="K53" s="10"/>
      <c r="Y53" s="5" t="str">
        <f t="shared" ref="Y53:Z53" si="7">K65</f>
        <v>5.91-6.11</v>
      </c>
      <c r="Z53" s="5">
        <f t="shared" si="7"/>
        <v>4</v>
      </c>
      <c r="AA53" s="57">
        <f>COUNTIFS('HCV DL'!$BA:$BA,$AA$50,'HCV DL'!$S:$S,"&gt;="&amp;Z64,'HCV DL'!$S:$S,"&lt;"&amp;AA64)</f>
        <v>1</v>
      </c>
      <c r="AB53" s="58">
        <f t="shared" si="5"/>
        <v>0</v>
      </c>
    </row>
    <row r="54" spans="1:29" ht="31.5" x14ac:dyDescent="0.25">
      <c r="A54" s="68" t="s">
        <v>188</v>
      </c>
      <c r="B54" s="68" t="s">
        <v>107</v>
      </c>
      <c r="C54" s="68" t="s">
        <v>108</v>
      </c>
      <c r="D54" s="130" t="s">
        <v>33</v>
      </c>
      <c r="E54" t="str">
        <f>VLOOKUP(A54,'HCV DL'!D:R,15,0)</f>
        <v/>
      </c>
      <c r="F54" t="str">
        <f>VLOOKUP(A54,'HCV DL'!D:R,15,0)</f>
        <v/>
      </c>
      <c r="H54" t="s">
        <v>272</v>
      </c>
      <c r="I54" t="s">
        <v>272</v>
      </c>
      <c r="K54" s="5"/>
      <c r="Y54" s="5" t="str">
        <f t="shared" ref="Y54:Z54" si="8">K66</f>
        <v>6.11-6.31</v>
      </c>
      <c r="Z54" s="5">
        <f t="shared" si="8"/>
        <v>4</v>
      </c>
      <c r="AA54" s="57">
        <f>COUNTIFS('HCV DL'!$BA:$BA,$AA$50,'HCV DL'!$S:$S,"&gt;="&amp;Z65,'HCV DL'!$S:$S,"&lt;"&amp;AA65)</f>
        <v>0</v>
      </c>
      <c r="AB54" s="58">
        <f t="shared" si="5"/>
        <v>0</v>
      </c>
    </row>
    <row r="55" spans="1:29" ht="31.5" x14ac:dyDescent="0.25">
      <c r="A55" s="68" t="s">
        <v>188</v>
      </c>
      <c r="B55" s="68" t="s">
        <v>107</v>
      </c>
      <c r="C55" s="68" t="s">
        <v>108</v>
      </c>
      <c r="D55" s="130" t="s">
        <v>33</v>
      </c>
      <c r="E55" t="str">
        <f>VLOOKUP(A55,'HCV DL'!D:R,15,0)</f>
        <v/>
      </c>
      <c r="F55" t="str">
        <f>VLOOKUP(A55,'HCV DL'!D:R,15,0)</f>
        <v/>
      </c>
      <c r="G55" s="5"/>
      <c r="H55" s="5" t="s">
        <v>272</v>
      </c>
      <c r="I55" s="5" t="s">
        <v>272</v>
      </c>
      <c r="J55" s="5"/>
      <c r="K55" s="10"/>
      <c r="Y55" s="5" t="str">
        <f t="shared" ref="Y55:Z55" si="9">K67</f>
        <v>6.31-6.51</v>
      </c>
      <c r="Z55" s="5">
        <f t="shared" si="9"/>
        <v>2</v>
      </c>
      <c r="AA55" s="57">
        <f>COUNTIFS('HCV DL'!$BA:$BA,$AA$50,'HCV DL'!$S:$S,"&gt;="&amp;Z66,'HCV DL'!$S:$S,"&lt;"&amp;AA66)</f>
        <v>0</v>
      </c>
      <c r="AB55" s="58">
        <f t="shared" si="5"/>
        <v>0</v>
      </c>
    </row>
    <row r="56" spans="1:29" ht="31.5" x14ac:dyDescent="0.25">
      <c r="A56" s="132" t="s">
        <v>169</v>
      </c>
      <c r="B56" s="132" t="s">
        <v>170</v>
      </c>
      <c r="C56" s="132" t="s">
        <v>171</v>
      </c>
      <c r="D56" s="130" t="s">
        <v>74</v>
      </c>
      <c r="E56" t="str">
        <f>VLOOKUP(A56,'HCV DL'!D:R,15,0)</f>
        <v/>
      </c>
      <c r="F56" t="str">
        <f>VLOOKUP(A56,'HCV DL'!D:R,15,0)</f>
        <v/>
      </c>
      <c r="H56" t="s">
        <v>272</v>
      </c>
      <c r="I56" t="s">
        <v>272</v>
      </c>
      <c r="K56" s="5"/>
      <c r="Y56" s="5" t="str">
        <f t="shared" ref="Y56:Z56" si="10">K68</f>
        <v>6.51-6.71</v>
      </c>
      <c r="Z56" s="5">
        <f t="shared" si="10"/>
        <v>1</v>
      </c>
      <c r="AA56" s="57">
        <f>COUNTIFS('HCV DL'!$BA:$BA,$AA$50,'HCV DL'!$S:$S,"&gt;="&amp;Z67,'HCV DL'!$S:$S,"&lt;"&amp;AA67)</f>
        <v>1</v>
      </c>
      <c r="AB56" s="58">
        <f t="shared" si="5"/>
        <v>1</v>
      </c>
    </row>
    <row r="57" spans="1:29" ht="31.5" x14ac:dyDescent="0.25">
      <c r="A57" s="68" t="s">
        <v>197</v>
      </c>
      <c r="B57" s="68" t="s">
        <v>111</v>
      </c>
      <c r="C57" s="68" t="s">
        <v>198</v>
      </c>
      <c r="D57" s="130" t="s">
        <v>51</v>
      </c>
      <c r="E57" t="str">
        <f>VLOOKUP(A57,'HCV DL'!D:R,15,0)</f>
        <v/>
      </c>
      <c r="F57" t="str">
        <f>VLOOKUP(A57,'HCV DL'!D:R,15,0)</f>
        <v/>
      </c>
      <c r="H57" t="s">
        <v>272</v>
      </c>
      <c r="I57" t="s">
        <v>272</v>
      </c>
      <c r="K57" s="10"/>
      <c r="Y57" s="5"/>
      <c r="Z57" s="5"/>
      <c r="AA57" s="57"/>
      <c r="AB57" s="58"/>
    </row>
    <row r="58" spans="1:29" ht="31.5" x14ac:dyDescent="0.25">
      <c r="A58" s="68" t="s">
        <v>204</v>
      </c>
      <c r="B58" s="68" t="s">
        <v>49</v>
      </c>
      <c r="C58" s="68" t="s">
        <v>50</v>
      </c>
      <c r="D58" s="130" t="s">
        <v>51</v>
      </c>
      <c r="E58" t="str">
        <f>VLOOKUP(A58,'HCV DL'!D:R,15,0)</f>
        <v/>
      </c>
      <c r="F58" t="str">
        <f>VLOOKUP(A58,'HCV DL'!D:R,15,0)</f>
        <v/>
      </c>
      <c r="H58" t="s">
        <v>272</v>
      </c>
      <c r="I58" t="s">
        <v>272</v>
      </c>
      <c r="K58" s="10"/>
      <c r="Y58" s="5"/>
    </row>
    <row r="59" spans="1:29" x14ac:dyDescent="0.25">
      <c r="K59" s="5"/>
    </row>
    <row r="60" spans="1:29" x14ac:dyDescent="0.25">
      <c r="K60" s="10"/>
      <c r="Y60" s="23" t="str">
        <f>'HCV DL'!$BJ$2</f>
        <v>QCL016</v>
      </c>
    </row>
    <row r="61" spans="1:29" ht="31.5" x14ac:dyDescent="0.25">
      <c r="A61" s="2" t="s">
        <v>3</v>
      </c>
      <c r="B61" s="2" t="s">
        <v>124</v>
      </c>
      <c r="C61" s="3" t="s">
        <v>125</v>
      </c>
      <c r="D61" s="25" t="s">
        <v>243</v>
      </c>
      <c r="E61" t="s">
        <v>132</v>
      </c>
      <c r="F61" t="s">
        <v>132</v>
      </c>
      <c r="H61" t="s">
        <v>132</v>
      </c>
      <c r="I61" t="s">
        <v>132</v>
      </c>
    </row>
    <row r="62" spans="1:29" ht="31.5" x14ac:dyDescent="0.25">
      <c r="A62" s="77" t="s">
        <v>152</v>
      </c>
      <c r="B62" s="77" t="s">
        <v>59</v>
      </c>
      <c r="C62" s="77" t="s">
        <v>60</v>
      </c>
      <c r="D62" s="79" t="s">
        <v>244</v>
      </c>
      <c r="E62">
        <f>VLOOKUP(A62,'HCV DL'!D:S,16,0)</f>
        <v>6.1</v>
      </c>
      <c r="F62">
        <f>VLOOKUP(A62,'HCV DL'!D:S,16,0)</f>
        <v>6.1</v>
      </c>
      <c r="G62">
        <f>MIN(E62:E66)</f>
        <v>6.1</v>
      </c>
      <c r="H62" s="5">
        <v>6.1</v>
      </c>
      <c r="I62" s="5">
        <v>6.1</v>
      </c>
      <c r="J62" s="5"/>
      <c r="K62" s="24" t="s">
        <v>114</v>
      </c>
      <c r="L62" t="s">
        <v>263</v>
      </c>
      <c r="Y62" t="s">
        <v>424</v>
      </c>
      <c r="Z62">
        <v>5.1100000000000003</v>
      </c>
      <c r="AA62">
        <v>5.31</v>
      </c>
    </row>
    <row r="63" spans="1:29" ht="31.5" x14ac:dyDescent="0.25">
      <c r="A63" s="77" t="s">
        <v>157</v>
      </c>
      <c r="B63" s="77" t="s">
        <v>56</v>
      </c>
      <c r="C63" s="77" t="s">
        <v>57</v>
      </c>
      <c r="D63" s="78" t="s">
        <v>244</v>
      </c>
      <c r="E63">
        <f>VLOOKUP(A63,'HCV DL'!D:S,16,0)</f>
        <v>6.46</v>
      </c>
      <c r="F63">
        <f>VLOOKUP(A63,'HCV DL'!D:S,16,0)</f>
        <v>6.46</v>
      </c>
      <c r="G63">
        <f>MAX(E62:E66)</f>
        <v>6.46</v>
      </c>
      <c r="H63" s="10">
        <v>6.46</v>
      </c>
      <c r="I63" s="10">
        <v>6.46</v>
      </c>
      <c r="J63" s="10"/>
      <c r="K63" s="5" t="s">
        <v>424</v>
      </c>
      <c r="L63">
        <v>1</v>
      </c>
      <c r="Y63" t="s">
        <v>425</v>
      </c>
      <c r="Z63">
        <v>5.71</v>
      </c>
      <c r="AA63">
        <v>5.91</v>
      </c>
    </row>
    <row r="64" spans="1:29" ht="31.5" x14ac:dyDescent="0.25">
      <c r="A64" s="77" t="s">
        <v>345</v>
      </c>
      <c r="B64" s="77" t="s">
        <v>219</v>
      </c>
      <c r="C64" s="77" t="s">
        <v>318</v>
      </c>
      <c r="D64" s="79" t="s">
        <v>244</v>
      </c>
      <c r="E64">
        <f>VLOOKUP(A64,'HCV DL'!D:S,16,0)</f>
        <v>6.12</v>
      </c>
      <c r="F64">
        <f>VLOOKUP(A64,'HCV DL'!D:S,16,0)</f>
        <v>6.12</v>
      </c>
      <c r="G64" s="5"/>
      <c r="H64" s="5">
        <v>6.12</v>
      </c>
      <c r="I64" s="5">
        <v>6.12</v>
      </c>
      <c r="J64" s="5"/>
      <c r="K64" s="5" t="s">
        <v>425</v>
      </c>
      <c r="L64">
        <v>3</v>
      </c>
      <c r="Y64" t="s">
        <v>426</v>
      </c>
      <c r="Z64">
        <v>5.91</v>
      </c>
      <c r="AA64">
        <v>6.11</v>
      </c>
    </row>
    <row r="65" spans="1:28" ht="31.5" x14ac:dyDescent="0.25">
      <c r="A65" s="77" t="s">
        <v>341</v>
      </c>
      <c r="B65" s="77" t="s">
        <v>301</v>
      </c>
      <c r="C65" s="77" t="s">
        <v>319</v>
      </c>
      <c r="D65" s="78" t="s">
        <v>244</v>
      </c>
      <c r="E65">
        <f>VLOOKUP(A65,'HCV DL'!D:S,16,0)</f>
        <v>6.21</v>
      </c>
      <c r="F65">
        <f>VLOOKUP(A65,'HCV DL'!D:S,16,0)</f>
        <v>6.21</v>
      </c>
      <c r="G65" s="10"/>
      <c r="H65" s="10">
        <v>6.21</v>
      </c>
      <c r="I65" s="10">
        <v>6.21</v>
      </c>
      <c r="J65" s="10"/>
      <c r="K65" s="5" t="s">
        <v>426</v>
      </c>
      <c r="L65">
        <v>4</v>
      </c>
      <c r="Y65" t="s">
        <v>427</v>
      </c>
      <c r="Z65">
        <v>6.11</v>
      </c>
      <c r="AA65">
        <v>6.31</v>
      </c>
    </row>
    <row r="66" spans="1:28" ht="31.5" x14ac:dyDescent="0.25">
      <c r="A66" s="77" t="s">
        <v>353</v>
      </c>
      <c r="B66" s="77" t="s">
        <v>36</v>
      </c>
      <c r="C66" s="77" t="s">
        <v>37</v>
      </c>
      <c r="D66" s="78" t="s">
        <v>244</v>
      </c>
      <c r="E66" t="str">
        <f>VLOOKUP(A66,'HCV DL'!D:S,16,0)</f>
        <v/>
      </c>
      <c r="F66" t="str">
        <f>VLOOKUP(A66,'HCV DL'!D:S,16,0)</f>
        <v/>
      </c>
      <c r="G66" s="10"/>
      <c r="H66" s="10">
        <v>6.16</v>
      </c>
      <c r="I66" s="10">
        <v>6.16</v>
      </c>
      <c r="J66" s="10"/>
      <c r="K66" s="5" t="s">
        <v>427</v>
      </c>
      <c r="L66">
        <v>4</v>
      </c>
      <c r="Y66" t="s">
        <v>428</v>
      </c>
      <c r="Z66">
        <v>6.31</v>
      </c>
      <c r="AA66">
        <v>6.51</v>
      </c>
    </row>
    <row r="67" spans="1:28" ht="47.25" x14ac:dyDescent="0.25">
      <c r="A67" s="85" t="s">
        <v>195</v>
      </c>
      <c r="B67" s="86" t="s">
        <v>88</v>
      </c>
      <c r="C67" s="85" t="s">
        <v>89</v>
      </c>
      <c r="D67" s="87" t="s">
        <v>85</v>
      </c>
      <c r="E67">
        <f>VLOOKUP(A67,'HCV DL'!D:S,16,0)</f>
        <v>6.16</v>
      </c>
      <c r="F67">
        <f>VLOOKUP(A67,'HCV DL'!D:S,16,0)</f>
        <v>6.16</v>
      </c>
      <c r="G67">
        <f>MIN(E67:E70)</f>
        <v>5.1100000000000003</v>
      </c>
      <c r="H67" s="5">
        <v>6.38</v>
      </c>
      <c r="I67" s="5">
        <v>6.38</v>
      </c>
      <c r="J67" s="10"/>
      <c r="K67" s="5" t="s">
        <v>428</v>
      </c>
      <c r="L67">
        <v>2</v>
      </c>
      <c r="Y67" t="s">
        <v>429</v>
      </c>
      <c r="Z67">
        <v>6.51</v>
      </c>
      <c r="AA67">
        <v>6.71</v>
      </c>
    </row>
    <row r="68" spans="1:28" ht="47.25" x14ac:dyDescent="0.25">
      <c r="A68" s="91" t="s">
        <v>350</v>
      </c>
      <c r="B68" s="92" t="s">
        <v>30</v>
      </c>
      <c r="C68" s="91" t="s">
        <v>31</v>
      </c>
      <c r="D68" s="87" t="s">
        <v>330</v>
      </c>
      <c r="E68">
        <f>VLOOKUP(A68,'HCV DL'!D:S,16,0)</f>
        <v>6.38</v>
      </c>
      <c r="F68">
        <f>VLOOKUP(A68,'HCV DL'!D:S,16,0)</f>
        <v>6.38</v>
      </c>
      <c r="G68">
        <f>MAX(E67:E70)</f>
        <v>6.38</v>
      </c>
      <c r="H68" s="10">
        <v>5.1100000000000003</v>
      </c>
      <c r="I68" s="10">
        <v>5.1100000000000003</v>
      </c>
      <c r="J68" s="5"/>
      <c r="K68" s="5" t="s">
        <v>429</v>
      </c>
      <c r="L68">
        <v>1</v>
      </c>
    </row>
    <row r="69" spans="1:28" ht="31.5" x14ac:dyDescent="0.25">
      <c r="A69" s="95" t="s">
        <v>211</v>
      </c>
      <c r="B69" s="96" t="s">
        <v>101</v>
      </c>
      <c r="C69" s="97" t="s">
        <v>102</v>
      </c>
      <c r="D69" s="87" t="s">
        <v>330</v>
      </c>
      <c r="E69">
        <f>VLOOKUP(A69,'HCV DL'!D:S,16,0)</f>
        <v>5.1100000000000003</v>
      </c>
      <c r="F69">
        <f>VLOOKUP(A69,'HCV DL'!D:S,16,0)</f>
        <v>5.1100000000000003</v>
      </c>
      <c r="G69" s="10"/>
      <c r="H69" s="10">
        <v>6.01</v>
      </c>
      <c r="I69" s="10">
        <v>6.01</v>
      </c>
      <c r="J69" s="10"/>
      <c r="K69" s="5" t="s">
        <v>116</v>
      </c>
      <c r="L69">
        <v>15</v>
      </c>
    </row>
    <row r="70" spans="1:28" ht="31.5" x14ac:dyDescent="0.25">
      <c r="A70" s="92" t="s">
        <v>359</v>
      </c>
      <c r="B70" s="92" t="s">
        <v>36</v>
      </c>
      <c r="C70" s="92" t="s">
        <v>37</v>
      </c>
      <c r="D70" s="93" t="s">
        <v>330</v>
      </c>
      <c r="E70" t="str">
        <f>VLOOKUP(A70,'HCV DL'!D:S,16,0)</f>
        <v/>
      </c>
      <c r="F70" t="str">
        <f>VLOOKUP(A70,'HCV DL'!D:S,16,0)</f>
        <v/>
      </c>
      <c r="G70" s="10"/>
      <c r="H70" s="10">
        <v>6.6</v>
      </c>
      <c r="I70" s="10">
        <v>6.6</v>
      </c>
      <c r="J70" s="10"/>
    </row>
    <row r="71" spans="1:28" ht="31.5" x14ac:dyDescent="0.25">
      <c r="A71" s="98" t="s">
        <v>164</v>
      </c>
      <c r="B71" s="99" t="s">
        <v>79</v>
      </c>
      <c r="C71" s="98" t="s">
        <v>80</v>
      </c>
      <c r="D71" s="100" t="s">
        <v>246</v>
      </c>
      <c r="E71">
        <f>VLOOKUP(A71,'HCV DL'!D:S,16,0)</f>
        <v>6.01</v>
      </c>
      <c r="F71">
        <f>VLOOKUP(A71,'HCV DL'!D:S,16,0)</f>
        <v>6.01</v>
      </c>
      <c r="G71" s="10"/>
      <c r="H71" s="5">
        <v>6.03</v>
      </c>
      <c r="I71" s="5">
        <v>6.03</v>
      </c>
      <c r="J71" s="10"/>
    </row>
    <row r="72" spans="1:28" ht="31.5" x14ac:dyDescent="0.25">
      <c r="A72" s="105" t="s">
        <v>159</v>
      </c>
      <c r="B72" s="105" t="s">
        <v>81</v>
      </c>
      <c r="C72" s="105" t="s">
        <v>82</v>
      </c>
      <c r="D72" s="106" t="s">
        <v>246</v>
      </c>
      <c r="E72">
        <f>VLOOKUP(A72,'HCV DL'!D:S,16,0)</f>
        <v>6.6</v>
      </c>
      <c r="F72">
        <f>VLOOKUP(A72,'HCV DL'!D:S,16,0)</f>
        <v>6.6</v>
      </c>
      <c r="G72" s="10"/>
      <c r="H72" s="10">
        <v>5.82</v>
      </c>
      <c r="I72" s="10">
        <v>5.82</v>
      </c>
      <c r="J72" s="10"/>
    </row>
    <row r="73" spans="1:28" ht="31.5" x14ac:dyDescent="0.25">
      <c r="A73" s="107" t="s">
        <v>179</v>
      </c>
      <c r="B73" s="108" t="s">
        <v>71</v>
      </c>
      <c r="C73" s="107" t="s">
        <v>72</v>
      </c>
      <c r="D73" s="109" t="s">
        <v>241</v>
      </c>
      <c r="E73">
        <f>VLOOKUP(A73,'HCV DL'!D:S,16,0)</f>
        <v>6.03</v>
      </c>
      <c r="F73">
        <f>VLOOKUP(A73,'HCV DL'!D:S,16,0)</f>
        <v>6.03</v>
      </c>
      <c r="G73" s="10"/>
      <c r="H73" s="10">
        <v>6.14</v>
      </c>
      <c r="I73" s="10">
        <v>6.14</v>
      </c>
      <c r="J73" s="10"/>
    </row>
    <row r="74" spans="1:28" ht="31.5" x14ac:dyDescent="0.25">
      <c r="A74" s="113" t="s">
        <v>268</v>
      </c>
      <c r="B74" s="114" t="s">
        <v>264</v>
      </c>
      <c r="C74" s="113" t="s">
        <v>271</v>
      </c>
      <c r="D74" s="115" t="s">
        <v>245</v>
      </c>
      <c r="E74">
        <f>VLOOKUP(A74,'HCV DL'!D:S,16,0)</f>
        <v>5.82</v>
      </c>
      <c r="F74">
        <f>VLOOKUP(A74,'HCV DL'!D:S,16,0)</f>
        <v>5.82</v>
      </c>
      <c r="G74" s="5"/>
      <c r="H74" s="10">
        <v>5.85</v>
      </c>
      <c r="I74" s="10">
        <v>5.85</v>
      </c>
      <c r="J74" s="5"/>
    </row>
    <row r="75" spans="1:28" ht="31.5" x14ac:dyDescent="0.25">
      <c r="A75" s="66" t="s">
        <v>342</v>
      </c>
      <c r="B75" s="119" t="s">
        <v>220</v>
      </c>
      <c r="C75" s="119" t="s">
        <v>80</v>
      </c>
      <c r="D75" s="120" t="s">
        <v>294</v>
      </c>
      <c r="E75">
        <f>VLOOKUP(A75,'HCV DL'!D:S,16,0)</f>
        <v>6.14</v>
      </c>
      <c r="F75">
        <f>VLOOKUP(A75,'HCV DL'!D:S,16,0)</f>
        <v>6.14</v>
      </c>
      <c r="G75" s="10"/>
      <c r="H75">
        <v>6.1</v>
      </c>
      <c r="I75">
        <v>6.1</v>
      </c>
      <c r="J75" s="10"/>
    </row>
    <row r="76" spans="1:28" ht="31.5" x14ac:dyDescent="0.25">
      <c r="A76" s="66" t="s">
        <v>352</v>
      </c>
      <c r="B76" s="119" t="s">
        <v>36</v>
      </c>
      <c r="C76" s="119" t="s">
        <v>37</v>
      </c>
      <c r="D76" s="120" t="s">
        <v>294</v>
      </c>
      <c r="E76">
        <f>VLOOKUP(A76,'HCV DL'!D:S,16,0)</f>
        <v>5.85</v>
      </c>
      <c r="F76">
        <f>VLOOKUP(A76,'HCV DL'!D:S,16,0)</f>
        <v>5.85</v>
      </c>
      <c r="G76" s="10"/>
      <c r="H76" s="10">
        <v>5.73</v>
      </c>
      <c r="I76" s="10">
        <v>5.73</v>
      </c>
      <c r="J76" s="10"/>
    </row>
    <row r="77" spans="1:28" ht="31.5" x14ac:dyDescent="0.25">
      <c r="A77" s="101" t="s">
        <v>343</v>
      </c>
      <c r="B77" s="101" t="s">
        <v>302</v>
      </c>
      <c r="C77" s="101" t="s">
        <v>320</v>
      </c>
      <c r="D77" s="100" t="s">
        <v>240</v>
      </c>
      <c r="E77">
        <f>VLOOKUP(A77,'HCV DL'!D:S,16,0)</f>
        <v>6.1</v>
      </c>
      <c r="F77">
        <f>VLOOKUP(A77,'HCV DL'!D:S,16,0)</f>
        <v>6.1</v>
      </c>
      <c r="G77" s="10"/>
      <c r="J77" s="10"/>
      <c r="Y77" s="59" t="s">
        <v>358</v>
      </c>
      <c r="Z77" s="59" t="s">
        <v>286</v>
      </c>
      <c r="AA77" s="59" t="s">
        <v>287</v>
      </c>
      <c r="AB77" s="59" t="s">
        <v>288</v>
      </c>
    </row>
    <row r="78" spans="1:28" ht="47.25" x14ac:dyDescent="0.25">
      <c r="A78" s="67" t="s">
        <v>344</v>
      </c>
      <c r="B78" s="122" t="s">
        <v>300</v>
      </c>
      <c r="C78" s="122" t="s">
        <v>317</v>
      </c>
      <c r="D78" s="123" t="s">
        <v>241</v>
      </c>
      <c r="E78">
        <f>VLOOKUP(A78,'HCV DL'!D:S,16,0)</f>
        <v>5.73</v>
      </c>
      <c r="F78">
        <f>VLOOKUP(A78,'HCV DL'!D:S,16,0)</f>
        <v>5.73</v>
      </c>
      <c r="G78" s="10"/>
      <c r="J78" s="10"/>
      <c r="Y78" s="12">
        <f>U12</f>
        <v>9</v>
      </c>
      <c r="Z78" s="12">
        <f t="shared" ref="Z78:AA78" si="11">V12</f>
        <v>8</v>
      </c>
      <c r="AA78" s="12">
        <f t="shared" si="11"/>
        <v>53.333333333333336</v>
      </c>
      <c r="AB78" s="60">
        <f>IF(Table17[[#This Row],[Điểm]]=$AA$90,0.5,0)</f>
        <v>0</v>
      </c>
    </row>
    <row r="79" spans="1:28" ht="31.5" x14ac:dyDescent="0.25">
      <c r="A79" s="125" t="s">
        <v>184</v>
      </c>
      <c r="B79" s="125" t="s">
        <v>104</v>
      </c>
      <c r="C79" s="125" t="s">
        <v>105</v>
      </c>
      <c r="D79" s="126" t="s">
        <v>103</v>
      </c>
      <c r="E79" t="str">
        <f>VLOOKUP(A79,'HCV DL'!D:S,16,0)</f>
        <v/>
      </c>
      <c r="F79" t="str">
        <f>VLOOKUP(A79,'HCV DL'!D:S,16,0)</f>
        <v/>
      </c>
      <c r="G79" s="5"/>
      <c r="H79" s="5"/>
      <c r="I79" s="5"/>
      <c r="J79" s="5"/>
      <c r="Y79" s="12">
        <f t="shared" ref="Y79:Y87" si="12">U13</f>
        <v>8</v>
      </c>
      <c r="Z79" s="12">
        <f t="shared" ref="Z79:Z87" si="13">V13</f>
        <v>2</v>
      </c>
      <c r="AA79" s="12">
        <f t="shared" ref="AA79:AA87" si="14">W13</f>
        <v>66.666666666666671</v>
      </c>
      <c r="AB79" s="60">
        <f>IF(Table17[[#This Row],[Điểm]]=$AA$90,0.5,0)</f>
        <v>0</v>
      </c>
    </row>
    <row r="80" spans="1:28" ht="31.5" x14ac:dyDescent="0.25">
      <c r="A80" s="68" t="s">
        <v>191</v>
      </c>
      <c r="B80" s="68" t="s">
        <v>20</v>
      </c>
      <c r="C80" s="68" t="s">
        <v>21</v>
      </c>
      <c r="D80" s="130" t="s">
        <v>22</v>
      </c>
      <c r="E80" t="str">
        <f>VLOOKUP(A80,'HCV DL'!D:S,16,0)</f>
        <v/>
      </c>
      <c r="F80" t="str">
        <f>VLOOKUP(A80,'HCV DL'!D:S,16,0)</f>
        <v/>
      </c>
      <c r="G80" s="10"/>
      <c r="H80" s="10"/>
      <c r="I80" s="10"/>
      <c r="J80" s="10"/>
      <c r="M80" s="5"/>
      <c r="Y80" s="12">
        <f t="shared" si="12"/>
        <v>7</v>
      </c>
      <c r="Z80" s="12">
        <f t="shared" si="13"/>
        <v>3</v>
      </c>
      <c r="AA80" s="12">
        <f t="shared" si="14"/>
        <v>86.666666666666671</v>
      </c>
      <c r="AB80" s="60">
        <f>IF(Table17[[#This Row],[Điểm]]=$AA$90,0.5,0)</f>
        <v>0</v>
      </c>
    </row>
    <row r="81" spans="1:28" ht="31.5" x14ac:dyDescent="0.25">
      <c r="A81" s="68" t="s">
        <v>252</v>
      </c>
      <c r="B81" s="68" t="s">
        <v>40</v>
      </c>
      <c r="C81" s="68" t="s">
        <v>222</v>
      </c>
      <c r="D81" s="130" t="s">
        <v>33</v>
      </c>
      <c r="E81" t="str">
        <f>VLOOKUP(A81,'HCV DL'!D:S,16,0)</f>
        <v/>
      </c>
      <c r="F81" t="str">
        <f>VLOOKUP(A81,'HCV DL'!D:S,16,0)</f>
        <v/>
      </c>
      <c r="G81" s="5"/>
      <c r="H81" s="5"/>
      <c r="I81" s="5"/>
      <c r="J81" s="5"/>
      <c r="M81" s="5"/>
      <c r="Y81" s="12">
        <f t="shared" si="12"/>
        <v>6</v>
      </c>
      <c r="Z81" s="12">
        <f t="shared" si="13"/>
        <v>0</v>
      </c>
      <c r="AA81" s="12">
        <f t="shared" si="14"/>
        <v>86.666666666666671</v>
      </c>
      <c r="AB81" s="60">
        <f>IF(Table17[[#This Row],[Điểm]]=$AA$90,0.5,0)</f>
        <v>0</v>
      </c>
    </row>
    <row r="82" spans="1:28" ht="31.5" x14ac:dyDescent="0.25">
      <c r="A82" s="68" t="s">
        <v>181</v>
      </c>
      <c r="B82" s="68" t="s">
        <v>96</v>
      </c>
      <c r="C82" s="68" t="s">
        <v>97</v>
      </c>
      <c r="D82" s="130" t="s">
        <v>93</v>
      </c>
      <c r="E82" t="str">
        <f>VLOOKUP(A82,'HCV DL'!D:S,16,0)</f>
        <v/>
      </c>
      <c r="F82" t="str">
        <f>VLOOKUP(A82,'HCV DL'!D:S,16,0)</f>
        <v/>
      </c>
      <c r="Y82" s="12">
        <f t="shared" si="12"/>
        <v>5</v>
      </c>
      <c r="Z82" s="12">
        <f t="shared" si="13"/>
        <v>2</v>
      </c>
      <c r="AA82" s="12">
        <f t="shared" si="14"/>
        <v>100</v>
      </c>
      <c r="AB82" s="60">
        <f>IF(Table17[[#This Row],[Điểm]]=$AA$90,0.5,0)</f>
        <v>0.5</v>
      </c>
    </row>
    <row r="83" spans="1:28" ht="31.5" x14ac:dyDescent="0.25">
      <c r="A83" s="68" t="s">
        <v>188</v>
      </c>
      <c r="B83" s="68" t="s">
        <v>107</v>
      </c>
      <c r="C83" s="68" t="s">
        <v>108</v>
      </c>
      <c r="D83" s="130" t="s">
        <v>33</v>
      </c>
      <c r="E83" t="str">
        <f>VLOOKUP(A83,'HCV DL'!D:S,16,0)</f>
        <v/>
      </c>
      <c r="F83" t="str">
        <f>VLOOKUP(A83,'HCV DL'!D:S,16,0)</f>
        <v/>
      </c>
      <c r="Y83" s="12">
        <f t="shared" si="12"/>
        <v>4</v>
      </c>
      <c r="Z83" s="12">
        <f t="shared" si="13"/>
        <v>0</v>
      </c>
      <c r="AA83" s="12">
        <f t="shared" si="14"/>
        <v>100</v>
      </c>
      <c r="AB83" s="60">
        <f>IF(Table17[[#This Row],[Điểm]]=$AA$90,0.5,0)</f>
        <v>0</v>
      </c>
    </row>
    <row r="84" spans="1:28" ht="31.5" x14ac:dyDescent="0.25">
      <c r="A84" s="68" t="s">
        <v>188</v>
      </c>
      <c r="B84" s="68" t="s">
        <v>107</v>
      </c>
      <c r="C84" s="68" t="s">
        <v>108</v>
      </c>
      <c r="D84" s="130" t="s">
        <v>33</v>
      </c>
      <c r="E84" t="str">
        <f>VLOOKUP(A84,'HCV DL'!D:S,16,0)</f>
        <v/>
      </c>
      <c r="F84" t="str">
        <f>VLOOKUP(A84,'HCV DL'!D:S,16,0)</f>
        <v/>
      </c>
      <c r="Y84" s="12">
        <f t="shared" si="12"/>
        <v>3</v>
      </c>
      <c r="Z84" s="12">
        <f t="shared" si="13"/>
        <v>0</v>
      </c>
      <c r="AA84" s="12">
        <f t="shared" si="14"/>
        <v>100</v>
      </c>
      <c r="AB84" s="60">
        <f>IF(Table17[[#This Row],[Điểm]]=$AA$90,0.5,0)</f>
        <v>0</v>
      </c>
    </row>
    <row r="85" spans="1:28" ht="31.5" x14ac:dyDescent="0.25">
      <c r="A85" s="132" t="s">
        <v>169</v>
      </c>
      <c r="B85" s="132" t="s">
        <v>170</v>
      </c>
      <c r="C85" s="132" t="s">
        <v>171</v>
      </c>
      <c r="D85" s="130" t="s">
        <v>74</v>
      </c>
      <c r="E85" t="str">
        <f>VLOOKUP(A85,'HCV DL'!D:S,16,0)</f>
        <v/>
      </c>
      <c r="F85" t="str">
        <f>VLOOKUP(A85,'HCV DL'!D:S,16,0)</f>
        <v/>
      </c>
      <c r="Y85" s="12">
        <f t="shared" si="12"/>
        <v>2</v>
      </c>
      <c r="Z85" s="12">
        <f t="shared" si="13"/>
        <v>0</v>
      </c>
      <c r="AA85" s="12">
        <f t="shared" si="14"/>
        <v>100</v>
      </c>
      <c r="AB85" s="60">
        <f>IF(Table17[[#This Row],[Điểm]]=$AA$90,0.5,0)</f>
        <v>0</v>
      </c>
    </row>
    <row r="86" spans="1:28" ht="31.5" x14ac:dyDescent="0.25">
      <c r="A86" s="68" t="s">
        <v>197</v>
      </c>
      <c r="B86" s="68" t="s">
        <v>111</v>
      </c>
      <c r="C86" s="68" t="s">
        <v>198</v>
      </c>
      <c r="D86" s="130" t="s">
        <v>51</v>
      </c>
      <c r="E86" t="str">
        <f>VLOOKUP(A86,'HCV DL'!D:S,16,0)</f>
        <v/>
      </c>
      <c r="F86" t="str">
        <f>VLOOKUP(A86,'HCV DL'!D:S,16,0)</f>
        <v/>
      </c>
      <c r="Y86" s="12">
        <f t="shared" si="12"/>
        <v>1</v>
      </c>
      <c r="Z86" s="12">
        <f t="shared" si="13"/>
        <v>0</v>
      </c>
      <c r="AA86" s="12">
        <f t="shared" si="14"/>
        <v>100</v>
      </c>
      <c r="AB86" s="60">
        <f>IF(Table17[[#This Row],[Điểm]]=$AA$90,0.5,0)</f>
        <v>0</v>
      </c>
    </row>
    <row r="87" spans="1:28" ht="31.5" x14ac:dyDescent="0.25">
      <c r="A87" s="68" t="s">
        <v>204</v>
      </c>
      <c r="B87" s="68" t="s">
        <v>49</v>
      </c>
      <c r="C87" s="68" t="s">
        <v>50</v>
      </c>
      <c r="D87" s="130" t="s">
        <v>51</v>
      </c>
      <c r="E87" t="str">
        <f>VLOOKUP(A87,'HCV DL'!D:S,16,0)</f>
        <v/>
      </c>
      <c r="F87" t="str">
        <f>VLOOKUP(A87,'HCV DL'!D:S,16,0)</f>
        <v/>
      </c>
      <c r="Y87" s="12">
        <f t="shared" si="12"/>
        <v>0</v>
      </c>
      <c r="Z87" s="12">
        <f t="shared" si="13"/>
        <v>0</v>
      </c>
      <c r="AA87" s="12">
        <f t="shared" si="14"/>
        <v>100</v>
      </c>
      <c r="AB87" s="60">
        <f>IF(Table17[[#This Row],[Điểm]]=$AA$90,0.5,0)</f>
        <v>0</v>
      </c>
    </row>
    <row r="90" spans="1:28" x14ac:dyDescent="0.25">
      <c r="Z90" s="23" t="str">
        <f>'HCV DL'!$BJ$2</f>
        <v>QCL016</v>
      </c>
      <c r="AA90">
        <f>VLOOKUP(Z90,'HCV DL'!$D:$AP,39,0)</f>
        <v>5</v>
      </c>
    </row>
    <row r="100" spans="25:26" x14ac:dyDescent="0.25">
      <c r="Y100" t="s">
        <v>253</v>
      </c>
      <c r="Z100" t="s">
        <v>289</v>
      </c>
    </row>
    <row r="101" spans="25:26" x14ac:dyDescent="0.25">
      <c r="Y101">
        <v>1</v>
      </c>
      <c r="Z101" t="e">
        <f>VLOOKUP($Z$112,'CHENH HCV'!$B:$M,4,0)</f>
        <v>#N/A</v>
      </c>
    </row>
    <row r="102" spans="25:26" x14ac:dyDescent="0.25">
      <c r="Y102">
        <v>2</v>
      </c>
      <c r="Z102" t="e">
        <f>VLOOKUP($Z$112,'CHENH HCV'!$B:$M,5,0)</f>
        <v>#N/A</v>
      </c>
    </row>
    <row r="103" spans="25:26" x14ac:dyDescent="0.25">
      <c r="Y103">
        <v>3</v>
      </c>
      <c r="Z103" t="e">
        <f>VLOOKUP($Z$112,'CHENH HCV'!$B:$M,6,0)</f>
        <v>#N/A</v>
      </c>
    </row>
    <row r="104" spans="25:26" x14ac:dyDescent="0.25">
      <c r="Y104">
        <v>4</v>
      </c>
      <c r="Z104">
        <f>VLOOKUP($Z$112,'CHENH HCV'!$B:$M,7,0)</f>
        <v>-9.9999999999999645E-2</v>
      </c>
    </row>
    <row r="105" spans="25:26" x14ac:dyDescent="0.25">
      <c r="Y105">
        <v>5</v>
      </c>
      <c r="Z105">
        <f>VLOOKUP($Z$112,'CHENH HCV'!$B:$M,8,0)</f>
        <v>-4.0000000000000036E-2</v>
      </c>
    </row>
    <row r="106" spans="25:26" x14ac:dyDescent="0.25">
      <c r="Y106">
        <v>6</v>
      </c>
      <c r="Z106">
        <f>VLOOKUP($Z$112,'CHENH HCV'!$B:$M,9,0)</f>
        <v>0</v>
      </c>
    </row>
    <row r="107" spans="25:26" x14ac:dyDescent="0.25">
      <c r="Y107">
        <v>7</v>
      </c>
      <c r="Z107">
        <f>VLOOKUP($Z$112,'CHENH HCV'!$B:$M,10,0)</f>
        <v>0</v>
      </c>
    </row>
    <row r="108" spans="25:26" x14ac:dyDescent="0.25">
      <c r="Y108">
        <v>8</v>
      </c>
      <c r="Z108">
        <f>VLOOKUP($Z$112,'CHENH HCV'!$B:$M,11,0)</f>
        <v>0.48000000000000043</v>
      </c>
    </row>
    <row r="109" spans="25:26" x14ac:dyDescent="0.25">
      <c r="Y109">
        <v>9</v>
      </c>
      <c r="Z109">
        <f>VLOOKUP($Z$112,'CHENH HCV'!$B:$M,12,0)</f>
        <v>0.50999999999999979</v>
      </c>
    </row>
    <row r="112" spans="25:26" x14ac:dyDescent="0.25">
      <c r="Z112" s="23" t="str">
        <f>'HCV DL'!$BJ$2</f>
        <v>QCL016</v>
      </c>
    </row>
    <row r="119" spans="25:26" x14ac:dyDescent="0.25">
      <c r="Y119" t="s">
        <v>253</v>
      </c>
      <c r="Z119" t="s">
        <v>289</v>
      </c>
    </row>
    <row r="120" spans="25:26" x14ac:dyDescent="0.25">
      <c r="Y120">
        <v>1</v>
      </c>
      <c r="Z120">
        <f>VLOOKUP($Z$130,'HIEU XUAT HCV'!$B:$AP,33,0)</f>
        <v>0.55000000000000004</v>
      </c>
    </row>
    <row r="121" spans="25:26" x14ac:dyDescent="0.25">
      <c r="Y121">
        <v>2</v>
      </c>
      <c r="Z121">
        <f>VLOOKUP($Z$130,'HIEU XUAT HCV'!$B:$AP,34,0)</f>
        <v>0.7</v>
      </c>
    </row>
    <row r="122" spans="25:26" x14ac:dyDescent="0.25">
      <c r="Y122">
        <v>3</v>
      </c>
      <c r="Z122">
        <f>VLOOKUP($Z$130,'HIEU XUAT HCV'!$B:$AP,35,0)</f>
        <v>0.38</v>
      </c>
    </row>
    <row r="123" spans="25:26" x14ac:dyDescent="0.25">
      <c r="Y123">
        <v>4</v>
      </c>
      <c r="Z123">
        <f>VLOOKUP($Z$130,'HIEU XUAT HCV'!$B:$AP,36,0)</f>
        <v>0.22</v>
      </c>
    </row>
    <row r="124" spans="25:26" x14ac:dyDescent="0.25">
      <c r="Y124">
        <v>5</v>
      </c>
      <c r="Z124" t="e">
        <f>VLOOKUP($Z$130,'HIEU XUAT HCV'!$B:$AP,37,0)</f>
        <v>#N/A</v>
      </c>
    </row>
    <row r="125" spans="25:26" x14ac:dyDescent="0.25">
      <c r="Y125">
        <v>6</v>
      </c>
      <c r="Z125" t="e">
        <f>VLOOKUP($Z$130,'HIEU XUAT HCV'!$B:$AP,38,0)</f>
        <v>#N/A</v>
      </c>
    </row>
    <row r="126" spans="25:26" x14ac:dyDescent="0.25">
      <c r="Y126">
        <v>7</v>
      </c>
      <c r="Z126" t="e">
        <f>VLOOKUP($Z$130,'HIEU XUAT HCV'!$B:$AP,39,0)</f>
        <v>#N/A</v>
      </c>
    </row>
    <row r="127" spans="25:26" x14ac:dyDescent="0.25">
      <c r="Y127">
        <v>8</v>
      </c>
      <c r="Z127" t="e">
        <f>VLOOKUP($Z$130,'HIEU XUAT HCV'!$B:$AP,40,0)</f>
        <v>#N/A</v>
      </c>
    </row>
    <row r="128" spans="25:26" x14ac:dyDescent="0.25">
      <c r="Y128">
        <v>9</v>
      </c>
      <c r="Z128">
        <f>VLOOKUP($Z$130,'HIEU XUAT HCV'!$B:$AP,41,0)</f>
        <v>-0.51</v>
      </c>
    </row>
    <row r="130" spans="26:26" x14ac:dyDescent="0.25">
      <c r="Z130" s="23" t="str">
        <f>'HCV DL'!$BJ$2</f>
        <v>QCL016</v>
      </c>
    </row>
  </sheetData>
  <pageMargins left="0.7" right="0.7" top="0.75" bottom="0.75" header="0.3" footer="0.3"/>
  <pageSetup orientation="portrait" verticalDpi="0" r:id="rId5"/>
  <drawing r:id="rId6"/>
  <tableParts count="3">
    <tablePart r:id="rId7"/>
    <tablePart r:id="rId8"/>
    <tablePart r:id="rId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28"/>
  <sheetViews>
    <sheetView workbookViewId="0">
      <selection activeCell="BN2" sqref="BN2"/>
    </sheetView>
  </sheetViews>
  <sheetFormatPr defaultRowHeight="15.75" x14ac:dyDescent="0.25"/>
  <cols>
    <col min="1" max="1" width="4.25" bestFit="1" customWidth="1"/>
    <col min="2" max="2" width="7.5" bestFit="1" customWidth="1"/>
    <col min="3" max="3" width="8.25" bestFit="1" customWidth="1"/>
    <col min="4" max="4" width="56.375" style="13" customWidth="1"/>
    <col min="5" max="7" width="7.25" bestFit="1" customWidth="1"/>
    <col min="8" max="8" width="8.875" bestFit="1" customWidth="1"/>
    <col min="9" max="10" width="7.25" bestFit="1" customWidth="1"/>
    <col min="11" max="11" width="8.875" bestFit="1" customWidth="1"/>
    <col min="12" max="13" width="7.25" bestFit="1" customWidth="1"/>
  </cols>
  <sheetData>
    <row r="1" spans="1:13" x14ac:dyDescent="0.25">
      <c r="D1"/>
      <c r="E1" s="11" t="s">
        <v>351</v>
      </c>
      <c r="F1" s="11"/>
      <c r="G1" s="11"/>
      <c r="H1" s="211" t="s">
        <v>371</v>
      </c>
      <c r="I1" s="211"/>
      <c r="J1" s="211"/>
      <c r="K1" s="211" t="s">
        <v>415</v>
      </c>
      <c r="L1" s="211"/>
      <c r="M1" s="211"/>
    </row>
    <row r="2" spans="1:13" ht="31.5" x14ac:dyDescent="0.25">
      <c r="A2" t="s">
        <v>0</v>
      </c>
      <c r="B2" t="s">
        <v>3</v>
      </c>
      <c r="C2" s="2" t="s">
        <v>124</v>
      </c>
      <c r="D2" s="3" t="s">
        <v>125</v>
      </c>
      <c r="E2" s="9" t="s">
        <v>8</v>
      </c>
      <c r="F2" s="9" t="s">
        <v>9</v>
      </c>
      <c r="G2" s="9" t="s">
        <v>10</v>
      </c>
      <c r="H2" s="9" t="s">
        <v>213</v>
      </c>
      <c r="I2" s="9" t="s">
        <v>214</v>
      </c>
      <c r="J2" s="9" t="s">
        <v>215</v>
      </c>
      <c r="K2" s="9" t="s">
        <v>249</v>
      </c>
      <c r="L2" s="9" t="s">
        <v>250</v>
      </c>
      <c r="M2" s="9" t="s">
        <v>251</v>
      </c>
    </row>
    <row r="3" spans="1:13" x14ac:dyDescent="0.25">
      <c r="A3">
        <v>1</v>
      </c>
      <c r="B3" s="141" t="s">
        <v>152</v>
      </c>
      <c r="C3" s="141" t="s">
        <v>59</v>
      </c>
      <c r="D3" s="141" t="s">
        <v>60</v>
      </c>
      <c r="E3" s="53">
        <v>2.9999999999999361E-2</v>
      </c>
      <c r="F3" s="53">
        <v>0</v>
      </c>
      <c r="G3" s="53">
        <v>9.9999999999997868E-3</v>
      </c>
      <c r="H3" s="53">
        <v>4.9999999999999822E-2</v>
      </c>
      <c r="I3" s="53">
        <v>6.9999999999999396E-2</v>
      </c>
      <c r="J3" s="53">
        <v>0</v>
      </c>
      <c r="K3" s="53">
        <v>0</v>
      </c>
      <c r="L3" s="53">
        <v>0</v>
      </c>
      <c r="M3" s="53">
        <v>9.9999999999997868E-3</v>
      </c>
    </row>
    <row r="4" spans="1:13" x14ac:dyDescent="0.25">
      <c r="A4">
        <v>2</v>
      </c>
      <c r="B4" s="141" t="s">
        <v>157</v>
      </c>
      <c r="C4" s="141" t="s">
        <v>56</v>
      </c>
      <c r="D4" s="141" t="s">
        <v>57</v>
      </c>
      <c r="E4" s="53">
        <v>4.9999999999999822E-2</v>
      </c>
      <c r="F4" s="53">
        <v>0</v>
      </c>
      <c r="G4" s="53">
        <v>0.45999999999999996</v>
      </c>
      <c r="H4" s="53">
        <v>6.0000000000000497E-2</v>
      </c>
      <c r="I4" s="53">
        <v>0.16999999999999904</v>
      </c>
      <c r="J4" s="53">
        <v>0</v>
      </c>
      <c r="K4" s="53">
        <v>0</v>
      </c>
      <c r="L4" s="53">
        <v>0.40000000000000036</v>
      </c>
      <c r="M4" s="53">
        <v>0.37000000000000011</v>
      </c>
    </row>
    <row r="5" spans="1:13" x14ac:dyDescent="0.25">
      <c r="A5">
        <v>3</v>
      </c>
      <c r="B5" s="141" t="s">
        <v>345</v>
      </c>
      <c r="C5" s="141" t="s">
        <v>219</v>
      </c>
      <c r="D5" s="141" t="s">
        <v>318</v>
      </c>
      <c r="E5" s="53">
        <v>9.9999999999999645E-2</v>
      </c>
      <c r="F5" s="53">
        <v>0</v>
      </c>
      <c r="G5" s="53">
        <v>1.9999999999999574E-2</v>
      </c>
      <c r="H5" s="53">
        <v>-0.13999999999999968</v>
      </c>
      <c r="I5" s="53">
        <v>-0.13000000000000078</v>
      </c>
      <c r="J5" s="53">
        <v>0</v>
      </c>
      <c r="K5" s="53">
        <v>0</v>
      </c>
      <c r="L5" s="53">
        <v>0.10000000000000053</v>
      </c>
      <c r="M5" s="53">
        <v>3.0000000000000249E-2</v>
      </c>
    </row>
    <row r="6" spans="1:13" x14ac:dyDescent="0.25">
      <c r="A6">
        <v>4</v>
      </c>
      <c r="B6" s="141" t="s">
        <v>341</v>
      </c>
      <c r="C6" s="141" t="s">
        <v>301</v>
      </c>
      <c r="D6" s="141" t="s">
        <v>319</v>
      </c>
      <c r="E6" s="53">
        <v>6.9999999999999396E-2</v>
      </c>
      <c r="F6" s="53">
        <v>0</v>
      </c>
      <c r="G6" s="53">
        <v>4.0000000000000036E-2</v>
      </c>
      <c r="H6" s="53">
        <v>0.10000000000000053</v>
      </c>
      <c r="I6" s="53">
        <v>0</v>
      </c>
      <c r="J6" s="53">
        <v>0</v>
      </c>
      <c r="K6" s="53">
        <v>0</v>
      </c>
      <c r="L6" s="53">
        <v>9.0000000000000746E-2</v>
      </c>
      <c r="M6" s="53">
        <v>0.12000000000000011</v>
      </c>
    </row>
    <row r="7" spans="1:13" x14ac:dyDescent="0.25">
      <c r="A7">
        <v>5</v>
      </c>
      <c r="B7" s="141" t="s">
        <v>353</v>
      </c>
      <c r="C7" s="141" t="s">
        <v>36</v>
      </c>
      <c r="D7" s="141" t="s">
        <v>37</v>
      </c>
      <c r="E7" s="53" t="e">
        <v>#N/A</v>
      </c>
      <c r="F7" s="53" t="e">
        <v>#N/A</v>
      </c>
      <c r="G7" s="53" t="e">
        <v>#N/A</v>
      </c>
      <c r="H7" s="53">
        <v>-8.9999999999999858E-2</v>
      </c>
      <c r="I7" s="53">
        <v>-0.11000000000000032</v>
      </c>
      <c r="J7" s="53">
        <v>0</v>
      </c>
      <c r="K7" s="53" t="e">
        <v>#N/A</v>
      </c>
      <c r="L7" s="53" t="e">
        <v>#N/A</v>
      </c>
      <c r="M7" s="53" t="e">
        <v>#N/A</v>
      </c>
    </row>
    <row r="8" spans="1:13" x14ac:dyDescent="0.25">
      <c r="A8">
        <v>6</v>
      </c>
      <c r="B8" s="144" t="s">
        <v>195</v>
      </c>
      <c r="C8" s="145" t="s">
        <v>88</v>
      </c>
      <c r="D8" s="144" t="s">
        <v>89</v>
      </c>
      <c r="E8" s="53">
        <v>-5.0000000000000711E-2</v>
      </c>
      <c r="F8" s="53">
        <v>0</v>
      </c>
      <c r="G8" s="53">
        <v>0</v>
      </c>
      <c r="H8" s="53">
        <v>0.21999999999999975</v>
      </c>
      <c r="I8" s="53">
        <v>0.10000000000000053</v>
      </c>
      <c r="J8" s="53">
        <v>0</v>
      </c>
      <c r="K8" s="53">
        <v>0</v>
      </c>
      <c r="L8" s="53">
        <v>-0.12999999999999901</v>
      </c>
      <c r="M8" s="53">
        <v>7.0000000000000284E-2</v>
      </c>
    </row>
    <row r="9" spans="1:13" x14ac:dyDescent="0.25">
      <c r="A9">
        <v>7</v>
      </c>
      <c r="B9" s="144" t="s">
        <v>350</v>
      </c>
      <c r="C9" s="145" t="s">
        <v>30</v>
      </c>
      <c r="D9" s="144" t="s">
        <v>31</v>
      </c>
      <c r="E9" s="53">
        <v>0.25999999999999979</v>
      </c>
      <c r="F9" s="53">
        <v>0</v>
      </c>
      <c r="G9" s="53">
        <v>8.9999999999999858E-2</v>
      </c>
      <c r="H9" s="53">
        <v>4.9999999999999822E-2</v>
      </c>
      <c r="I9" s="53">
        <v>0.12000000000000011</v>
      </c>
      <c r="J9" s="53">
        <v>0</v>
      </c>
      <c r="K9" s="53">
        <v>0</v>
      </c>
      <c r="L9" s="53">
        <v>0.32000000000000028</v>
      </c>
      <c r="M9" s="53">
        <v>0.29000000000000004</v>
      </c>
    </row>
    <row r="10" spans="1:13" x14ac:dyDescent="0.25">
      <c r="A10">
        <v>8</v>
      </c>
      <c r="B10" s="146" t="s">
        <v>211</v>
      </c>
      <c r="C10" s="147" t="s">
        <v>101</v>
      </c>
      <c r="D10" s="148" t="s">
        <v>102</v>
      </c>
      <c r="E10" s="53">
        <v>-1.2600000000000007</v>
      </c>
      <c r="F10" s="53">
        <v>0</v>
      </c>
      <c r="G10" s="53">
        <v>-1.3399999999999999</v>
      </c>
      <c r="H10" s="53">
        <v>-0.17999999999999972</v>
      </c>
      <c r="I10" s="53">
        <v>-0.35999999999999943</v>
      </c>
      <c r="J10" s="53">
        <v>0</v>
      </c>
      <c r="K10" s="53">
        <v>0</v>
      </c>
      <c r="L10" s="53">
        <v>-1.0099999999999998</v>
      </c>
      <c r="M10" s="53">
        <v>-0.97999999999999954</v>
      </c>
    </row>
    <row r="11" spans="1:13" x14ac:dyDescent="0.25">
      <c r="A11">
        <v>9</v>
      </c>
      <c r="B11" s="145" t="s">
        <v>359</v>
      </c>
      <c r="C11" s="145" t="s">
        <v>36</v>
      </c>
      <c r="D11" s="145" t="s">
        <v>37</v>
      </c>
      <c r="E11" s="53" t="e">
        <v>#N/A</v>
      </c>
      <c r="F11" s="53" t="e">
        <v>#N/A</v>
      </c>
      <c r="G11" s="53" t="e">
        <v>#N/A</v>
      </c>
      <c r="H11" s="53" t="e">
        <v>#N/A</v>
      </c>
      <c r="I11" s="53" t="e">
        <v>#N/A</v>
      </c>
      <c r="J11" s="53" t="e">
        <v>#N/A</v>
      </c>
      <c r="K11" s="53" t="e">
        <v>#N/A</v>
      </c>
      <c r="L11" s="53" t="e">
        <v>#N/A</v>
      </c>
      <c r="M11" s="53" t="e">
        <v>#N/A</v>
      </c>
    </row>
    <row r="12" spans="1:13" x14ac:dyDescent="0.25">
      <c r="A12">
        <v>10</v>
      </c>
      <c r="B12" s="149" t="s">
        <v>164</v>
      </c>
      <c r="C12" s="150" t="s">
        <v>79</v>
      </c>
      <c r="D12" s="149" t="s">
        <v>80</v>
      </c>
      <c r="E12" s="53">
        <v>-0.11000000000000032</v>
      </c>
      <c r="F12" s="53">
        <v>0</v>
      </c>
      <c r="G12" s="53">
        <v>-0.16999999999999993</v>
      </c>
      <c r="H12" s="53">
        <v>-0.10999999999999943</v>
      </c>
      <c r="I12" s="53">
        <v>8.9999999999999858E-2</v>
      </c>
      <c r="J12" s="53">
        <v>0</v>
      </c>
      <c r="K12" s="53">
        <v>0</v>
      </c>
      <c r="L12" s="53">
        <v>-8.9999999999999858E-2</v>
      </c>
      <c r="M12" s="53">
        <v>-8.0000000000000071E-2</v>
      </c>
    </row>
    <row r="13" spans="1:13" x14ac:dyDescent="0.25">
      <c r="A13">
        <v>11</v>
      </c>
      <c r="B13" s="151" t="s">
        <v>159</v>
      </c>
      <c r="C13" s="151" t="s">
        <v>81</v>
      </c>
      <c r="D13" s="151" t="s">
        <v>82</v>
      </c>
      <c r="E13" s="53" t="e">
        <v>#N/A</v>
      </c>
      <c r="F13" s="53" t="e">
        <v>#N/A</v>
      </c>
      <c r="G13" s="53" t="e">
        <v>#N/A</v>
      </c>
      <c r="H13" s="53">
        <v>-9.9999999999999645E-2</v>
      </c>
      <c r="I13" s="53">
        <v>-4.0000000000000036E-2</v>
      </c>
      <c r="J13" s="53">
        <v>0</v>
      </c>
      <c r="K13" s="53">
        <v>0</v>
      </c>
      <c r="L13" s="53">
        <v>0.48000000000000043</v>
      </c>
      <c r="M13" s="53">
        <v>0.50999999999999979</v>
      </c>
    </row>
    <row r="14" spans="1:13" x14ac:dyDescent="0.25">
      <c r="A14">
        <v>12</v>
      </c>
      <c r="B14" s="152" t="s">
        <v>179</v>
      </c>
      <c r="C14" s="153" t="s">
        <v>71</v>
      </c>
      <c r="D14" s="152" t="s">
        <v>72</v>
      </c>
      <c r="E14" s="53">
        <v>-0.45000000000000018</v>
      </c>
      <c r="F14" s="53">
        <v>0</v>
      </c>
      <c r="G14" s="53">
        <v>-0.37999999999999989</v>
      </c>
      <c r="H14" s="53">
        <v>-1.46</v>
      </c>
      <c r="I14" s="53">
        <v>-1.4699999999999998</v>
      </c>
      <c r="J14" s="53">
        <v>0</v>
      </c>
      <c r="K14" s="53">
        <v>0</v>
      </c>
      <c r="L14" s="53">
        <v>6.0000000000000497E-2</v>
      </c>
      <c r="M14" s="53">
        <v>-5.9999999999999609E-2</v>
      </c>
    </row>
    <row r="15" spans="1:13" x14ac:dyDescent="0.25">
      <c r="A15">
        <v>13</v>
      </c>
      <c r="B15" s="154" t="s">
        <v>268</v>
      </c>
      <c r="C15" s="155" t="s">
        <v>264</v>
      </c>
      <c r="D15" s="154" t="s">
        <v>271</v>
      </c>
      <c r="E15" s="53">
        <v>0.22999999999999954</v>
      </c>
      <c r="F15" s="53">
        <v>0</v>
      </c>
      <c r="G15" s="53">
        <v>0.42999999999999972</v>
      </c>
      <c r="H15" s="53">
        <v>8.0000000000000071E-2</v>
      </c>
      <c r="I15" s="53">
        <v>8.9999999999999858E-2</v>
      </c>
      <c r="J15" s="53">
        <v>0</v>
      </c>
      <c r="K15" s="53">
        <v>0</v>
      </c>
      <c r="L15" s="53">
        <v>-0.17999999999999972</v>
      </c>
      <c r="M15" s="53">
        <v>-0.26999999999999957</v>
      </c>
    </row>
    <row r="16" spans="1:13" x14ac:dyDescent="0.25">
      <c r="A16">
        <v>14</v>
      </c>
      <c r="B16" s="64" t="s">
        <v>342</v>
      </c>
      <c r="C16" s="156" t="s">
        <v>220</v>
      </c>
      <c r="D16" s="156" t="s">
        <v>80</v>
      </c>
      <c r="E16">
        <v>-0.11000000000000032</v>
      </c>
      <c r="F16">
        <v>0</v>
      </c>
      <c r="G16">
        <v>-4.0000000000000036E-2</v>
      </c>
      <c r="H16">
        <v>8.0000000000000071E-2</v>
      </c>
      <c r="I16">
        <v>0.20999999999999996</v>
      </c>
      <c r="J16">
        <v>0</v>
      </c>
      <c r="K16">
        <v>0</v>
      </c>
      <c r="L16">
        <v>8.0000000000000959E-2</v>
      </c>
      <c r="M16">
        <v>4.9999999999999822E-2</v>
      </c>
    </row>
    <row r="17" spans="1:13" x14ac:dyDescent="0.25">
      <c r="A17">
        <v>15</v>
      </c>
      <c r="B17" s="64" t="s">
        <v>352</v>
      </c>
      <c r="C17" s="156" t="s">
        <v>36</v>
      </c>
      <c r="D17" s="156" t="s">
        <v>37</v>
      </c>
      <c r="E17">
        <v>0.10999999999999943</v>
      </c>
      <c r="F17">
        <v>0</v>
      </c>
      <c r="G17">
        <v>0.17999999999999972</v>
      </c>
      <c r="H17" t="e">
        <v>#N/A</v>
      </c>
      <c r="I17" t="e">
        <v>#N/A</v>
      </c>
      <c r="J17" t="e">
        <v>#N/A</v>
      </c>
      <c r="K17">
        <v>0</v>
      </c>
      <c r="L17">
        <v>-0.42999999999999972</v>
      </c>
      <c r="M17">
        <v>-0.24000000000000021</v>
      </c>
    </row>
    <row r="18" spans="1:13" x14ac:dyDescent="0.25">
      <c r="A18">
        <v>16</v>
      </c>
      <c r="B18" s="157" t="s">
        <v>343</v>
      </c>
      <c r="C18" s="157" t="s">
        <v>302</v>
      </c>
      <c r="D18" s="157" t="s">
        <v>320</v>
      </c>
      <c r="E18">
        <v>-0.10000000000000053</v>
      </c>
      <c r="F18">
        <v>0</v>
      </c>
      <c r="G18">
        <v>-0.25</v>
      </c>
      <c r="H18">
        <v>8.9999999999999858E-2</v>
      </c>
      <c r="I18">
        <v>0.11000000000000032</v>
      </c>
      <c r="J18">
        <v>0</v>
      </c>
      <c r="K18">
        <v>0</v>
      </c>
      <c r="L18">
        <v>-8.9999999999999858E-2</v>
      </c>
      <c r="M18">
        <v>9.9999999999997868E-3</v>
      </c>
    </row>
    <row r="19" spans="1:13" x14ac:dyDescent="0.25">
      <c r="A19">
        <v>17</v>
      </c>
      <c r="B19" s="65" t="s">
        <v>344</v>
      </c>
      <c r="C19" s="158" t="s">
        <v>300</v>
      </c>
      <c r="D19" s="158" t="s">
        <v>317</v>
      </c>
      <c r="E19" s="53">
        <v>-0.49000000000000021</v>
      </c>
      <c r="F19" s="53">
        <v>0</v>
      </c>
      <c r="G19" s="53">
        <v>-0.74000000000000021</v>
      </c>
      <c r="H19" s="53">
        <v>-1.1200000000000001</v>
      </c>
      <c r="I19" s="53">
        <v>-0.69999999999999929</v>
      </c>
      <c r="J19" s="53">
        <v>0</v>
      </c>
      <c r="K19" s="53">
        <v>0</v>
      </c>
      <c r="L19" s="53">
        <v>-0.21999999999999975</v>
      </c>
      <c r="M19" s="53">
        <v>-0.35999999999999943</v>
      </c>
    </row>
    <row r="20" spans="1:13" x14ac:dyDescent="0.25">
      <c r="A20">
        <v>18</v>
      </c>
      <c r="B20" s="62" t="s">
        <v>184</v>
      </c>
      <c r="C20" s="62" t="s">
        <v>104</v>
      </c>
      <c r="D20" s="62" t="s">
        <v>105</v>
      </c>
      <c r="E20" s="53" t="e">
        <v>#N/A</v>
      </c>
      <c r="F20" s="53" t="e">
        <v>#N/A</v>
      </c>
      <c r="G20" s="53" t="e">
        <v>#N/A</v>
      </c>
      <c r="H20" s="53" t="e">
        <v>#N/A</v>
      </c>
      <c r="I20" s="53" t="e">
        <v>#N/A</v>
      </c>
      <c r="J20" s="53" t="e">
        <v>#N/A</v>
      </c>
      <c r="K20" s="53" t="e">
        <v>#N/A</v>
      </c>
      <c r="L20" s="53" t="e">
        <v>#N/A</v>
      </c>
      <c r="M20" s="53" t="e">
        <v>#N/A</v>
      </c>
    </row>
    <row r="21" spans="1:13" x14ac:dyDescent="0.25">
      <c r="A21">
        <v>19</v>
      </c>
      <c r="B21" s="63" t="s">
        <v>191</v>
      </c>
      <c r="C21" s="63" t="s">
        <v>20</v>
      </c>
      <c r="D21" s="63" t="s">
        <v>21</v>
      </c>
      <c r="E21" s="53" t="e">
        <v>#N/A</v>
      </c>
      <c r="F21" s="53" t="e">
        <v>#N/A</v>
      </c>
      <c r="G21" s="53" t="e">
        <v>#N/A</v>
      </c>
      <c r="H21" s="53" t="e">
        <v>#N/A</v>
      </c>
      <c r="I21" s="53" t="e">
        <v>#N/A</v>
      </c>
      <c r="J21" s="53" t="e">
        <v>#N/A</v>
      </c>
      <c r="K21" s="53" t="e">
        <v>#N/A</v>
      </c>
      <c r="L21" s="53" t="e">
        <v>#N/A</v>
      </c>
      <c r="M21" s="53" t="e">
        <v>#N/A</v>
      </c>
    </row>
    <row r="22" spans="1:13" x14ac:dyDescent="0.25">
      <c r="A22">
        <v>20</v>
      </c>
      <c r="B22" s="63" t="s">
        <v>252</v>
      </c>
      <c r="C22" s="63" t="s">
        <v>40</v>
      </c>
      <c r="D22" s="63" t="s">
        <v>222</v>
      </c>
      <c r="E22" s="53" t="e">
        <v>#N/A</v>
      </c>
      <c r="F22" s="53" t="e">
        <v>#N/A</v>
      </c>
      <c r="G22" s="53" t="e">
        <v>#N/A</v>
      </c>
      <c r="H22" s="53" t="e">
        <v>#N/A</v>
      </c>
      <c r="I22" s="53" t="e">
        <v>#N/A</v>
      </c>
      <c r="J22" s="53" t="e">
        <v>#N/A</v>
      </c>
      <c r="K22" s="53" t="e">
        <v>#N/A</v>
      </c>
      <c r="L22" s="53" t="e">
        <v>#N/A</v>
      </c>
      <c r="M22" s="53" t="e">
        <v>#N/A</v>
      </c>
    </row>
    <row r="23" spans="1:13" x14ac:dyDescent="0.25">
      <c r="A23">
        <v>21</v>
      </c>
      <c r="B23" s="63" t="s">
        <v>181</v>
      </c>
      <c r="C23" s="63" t="s">
        <v>96</v>
      </c>
      <c r="D23" s="63" t="s">
        <v>97</v>
      </c>
      <c r="E23" s="53" t="e">
        <v>#N/A</v>
      </c>
      <c r="F23" s="53" t="e">
        <v>#N/A</v>
      </c>
      <c r="G23" s="53" t="e">
        <v>#N/A</v>
      </c>
      <c r="H23" s="53" t="e">
        <v>#N/A</v>
      </c>
      <c r="I23" s="53" t="e">
        <v>#N/A</v>
      </c>
      <c r="J23" s="53" t="e">
        <v>#N/A</v>
      </c>
      <c r="K23" s="53" t="e">
        <v>#N/A</v>
      </c>
      <c r="L23" s="53" t="e">
        <v>#N/A</v>
      </c>
      <c r="M23" s="53" t="e">
        <v>#N/A</v>
      </c>
    </row>
    <row r="24" spans="1:13" x14ac:dyDescent="0.25">
      <c r="A24">
        <v>22</v>
      </c>
      <c r="B24" s="63" t="s">
        <v>188</v>
      </c>
      <c r="C24" s="63" t="s">
        <v>107</v>
      </c>
      <c r="D24" s="63" t="s">
        <v>108</v>
      </c>
      <c r="E24" s="53" t="e">
        <v>#N/A</v>
      </c>
      <c r="F24" s="53" t="e">
        <v>#N/A</v>
      </c>
      <c r="G24" s="53" t="e">
        <v>#N/A</v>
      </c>
      <c r="H24" s="53" t="e">
        <v>#N/A</v>
      </c>
      <c r="I24" s="53" t="e">
        <v>#N/A</v>
      </c>
      <c r="J24" s="53" t="e">
        <v>#N/A</v>
      </c>
      <c r="K24" s="53" t="e">
        <v>#N/A</v>
      </c>
      <c r="L24" s="53" t="e">
        <v>#N/A</v>
      </c>
      <c r="M24" s="53" t="e">
        <v>#N/A</v>
      </c>
    </row>
    <row r="25" spans="1:13" x14ac:dyDescent="0.25">
      <c r="A25">
        <v>23</v>
      </c>
      <c r="B25" s="63" t="s">
        <v>188</v>
      </c>
      <c r="C25" s="63" t="s">
        <v>107</v>
      </c>
      <c r="D25" s="63" t="s">
        <v>108</v>
      </c>
      <c r="E25" s="53" t="e">
        <v>#N/A</v>
      </c>
      <c r="F25" s="53" t="e">
        <v>#N/A</v>
      </c>
      <c r="G25" s="53" t="e">
        <v>#N/A</v>
      </c>
      <c r="H25" s="53" t="e">
        <v>#N/A</v>
      </c>
      <c r="I25" s="53" t="e">
        <v>#N/A</v>
      </c>
      <c r="J25" s="53" t="e">
        <v>#N/A</v>
      </c>
      <c r="K25" s="53" t="e">
        <v>#N/A</v>
      </c>
      <c r="L25" s="53" t="e">
        <v>#N/A</v>
      </c>
      <c r="M25" s="53" t="e">
        <v>#N/A</v>
      </c>
    </row>
    <row r="26" spans="1:13" x14ac:dyDescent="0.25">
      <c r="A26">
        <v>24</v>
      </c>
      <c r="B26" s="159" t="s">
        <v>169</v>
      </c>
      <c r="C26" s="159" t="s">
        <v>170</v>
      </c>
      <c r="D26" s="159" t="s">
        <v>171</v>
      </c>
      <c r="E26" s="53" t="e">
        <v>#N/A</v>
      </c>
      <c r="F26" s="53" t="e">
        <v>#N/A</v>
      </c>
      <c r="G26" s="53" t="e">
        <v>#N/A</v>
      </c>
      <c r="H26" s="53" t="e">
        <v>#N/A</v>
      </c>
      <c r="I26" s="53" t="e">
        <v>#N/A</v>
      </c>
      <c r="J26" s="53" t="e">
        <v>#N/A</v>
      </c>
      <c r="K26" s="53" t="e">
        <v>#N/A</v>
      </c>
      <c r="L26" s="53" t="e">
        <v>#N/A</v>
      </c>
      <c r="M26" s="53" t="e">
        <v>#N/A</v>
      </c>
    </row>
    <row r="27" spans="1:13" x14ac:dyDescent="0.25">
      <c r="A27">
        <v>25</v>
      </c>
      <c r="B27" s="63" t="s">
        <v>197</v>
      </c>
      <c r="C27" s="63" t="s">
        <v>111</v>
      </c>
      <c r="D27" s="63" t="s">
        <v>198</v>
      </c>
      <c r="E27" s="53" t="e">
        <v>#N/A</v>
      </c>
      <c r="F27" s="53" t="e">
        <v>#N/A</v>
      </c>
      <c r="G27" s="53" t="e">
        <v>#N/A</v>
      </c>
      <c r="H27" s="53" t="e">
        <v>#N/A</v>
      </c>
      <c r="I27" s="53" t="e">
        <v>#N/A</v>
      </c>
      <c r="J27" s="53" t="e">
        <v>#N/A</v>
      </c>
      <c r="K27" s="53" t="e">
        <v>#N/A</v>
      </c>
      <c r="L27" s="53" t="e">
        <v>#N/A</v>
      </c>
      <c r="M27" s="53" t="e">
        <v>#N/A</v>
      </c>
    </row>
    <row r="28" spans="1:13" x14ac:dyDescent="0.25">
      <c r="A28">
        <v>26</v>
      </c>
      <c r="B28" s="63" t="s">
        <v>204</v>
      </c>
      <c r="C28" s="63" t="s">
        <v>49</v>
      </c>
      <c r="D28" s="63" t="s">
        <v>50</v>
      </c>
      <c r="E28" s="53" t="e">
        <v>#N/A</v>
      </c>
      <c r="F28" s="53" t="e">
        <v>#N/A</v>
      </c>
      <c r="G28" s="53" t="e">
        <v>#N/A</v>
      </c>
      <c r="H28" s="53" t="e">
        <v>#N/A</v>
      </c>
      <c r="I28" s="53" t="e">
        <v>#N/A</v>
      </c>
      <c r="J28" s="53" t="e">
        <v>#N/A</v>
      </c>
      <c r="K28" s="53" t="e">
        <v>#N/A</v>
      </c>
      <c r="L28" s="53" t="e">
        <v>#N/A</v>
      </c>
      <c r="M28" s="53" t="e">
        <v>#N/A</v>
      </c>
    </row>
  </sheetData>
  <mergeCells count="2">
    <mergeCell ref="H1:J1"/>
    <mergeCell ref="K1:M1"/>
  </mergeCells>
  <phoneticPr fontId="18" type="noConversion"/>
  <conditionalFormatting sqref="F32:G38"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P31"/>
  <sheetViews>
    <sheetView tabSelected="1" zoomScaleNormal="100" workbookViewId="0">
      <pane xSplit="4" ySplit="2" topLeftCell="E3" activePane="bottomRight" state="frozen"/>
      <selection activeCell="BN2" sqref="BN2"/>
      <selection pane="topRight" activeCell="BN2" sqref="BN2"/>
      <selection pane="bottomLeft" activeCell="BN2" sqref="BN2"/>
      <selection pane="bottomRight" activeCell="O3" sqref="O3:O28"/>
    </sheetView>
  </sheetViews>
  <sheetFormatPr defaultRowHeight="15.75" x14ac:dyDescent="0.25"/>
  <cols>
    <col min="1" max="1" width="3.75" bestFit="1" customWidth="1"/>
    <col min="2" max="2" width="6.125" bestFit="1" customWidth="1"/>
    <col min="3" max="3" width="8.25" bestFit="1" customWidth="1"/>
    <col min="4" max="4" width="27.25" style="13" bestFit="1" customWidth="1"/>
    <col min="5" max="5" width="8.375" bestFit="1" customWidth="1"/>
    <col min="6" max="15" width="5.5" bestFit="1" customWidth="1"/>
    <col min="16" max="24" width="4.5" customWidth="1"/>
    <col min="25" max="33" width="5" customWidth="1"/>
    <col min="34" max="42" width="5.625" bestFit="1" customWidth="1"/>
  </cols>
  <sheetData>
    <row r="1" spans="1:42" x14ac:dyDescent="0.25">
      <c r="A1" s="7"/>
      <c r="B1" s="7"/>
      <c r="C1" s="7"/>
      <c r="D1" s="31"/>
      <c r="F1" s="178">
        <v>2020</v>
      </c>
      <c r="G1" s="178">
        <v>2021</v>
      </c>
      <c r="H1" s="178">
        <v>2021</v>
      </c>
      <c r="I1" s="178">
        <v>2021</v>
      </c>
      <c r="J1" s="178">
        <v>2022</v>
      </c>
      <c r="K1" s="178">
        <v>2022</v>
      </c>
      <c r="L1" s="178">
        <v>2022</v>
      </c>
      <c r="M1" s="179">
        <v>2023</v>
      </c>
      <c r="N1" s="179">
        <v>2023</v>
      </c>
      <c r="O1" s="179">
        <v>2023</v>
      </c>
      <c r="P1" s="214" t="s">
        <v>216</v>
      </c>
      <c r="Q1" s="215"/>
      <c r="R1" s="215"/>
      <c r="S1" s="215"/>
      <c r="T1" s="215"/>
      <c r="U1" s="215"/>
      <c r="V1" s="215"/>
      <c r="W1" s="215"/>
      <c r="X1" s="216"/>
      <c r="Y1" s="217" t="s">
        <v>217</v>
      </c>
      <c r="Z1" s="218"/>
      <c r="AA1" s="218"/>
      <c r="AB1" s="218"/>
      <c r="AC1" s="218"/>
      <c r="AD1" s="218"/>
      <c r="AE1" s="218"/>
      <c r="AF1" s="218"/>
      <c r="AG1" s="219"/>
      <c r="AH1" s="212" t="s">
        <v>218</v>
      </c>
      <c r="AI1" s="213"/>
      <c r="AJ1" s="213"/>
      <c r="AK1" s="213"/>
      <c r="AL1" s="213"/>
      <c r="AM1" s="213"/>
      <c r="AN1" s="213"/>
      <c r="AO1" s="213"/>
      <c r="AP1" s="213"/>
    </row>
    <row r="2" spans="1:42" s="32" customFormat="1" ht="25.5" x14ac:dyDescent="0.2">
      <c r="A2" s="38" t="s">
        <v>0</v>
      </c>
      <c r="B2" s="39" t="s">
        <v>3</v>
      </c>
      <c r="C2" s="39" t="s">
        <v>124</v>
      </c>
      <c r="D2" s="40" t="s">
        <v>125</v>
      </c>
      <c r="E2" s="41" t="s">
        <v>243</v>
      </c>
      <c r="F2" s="42" t="s">
        <v>121</v>
      </c>
      <c r="G2" s="42" t="s">
        <v>119</v>
      </c>
      <c r="H2" s="42" t="s">
        <v>120</v>
      </c>
      <c r="I2" s="42" t="s">
        <v>121</v>
      </c>
      <c r="J2" s="42" t="s">
        <v>119</v>
      </c>
      <c r="K2" s="43" t="s">
        <v>120</v>
      </c>
      <c r="L2" s="43" t="s">
        <v>121</v>
      </c>
      <c r="M2" s="42" t="s">
        <v>119</v>
      </c>
      <c r="N2" s="42" t="s">
        <v>120</v>
      </c>
      <c r="O2" s="42" t="s">
        <v>121</v>
      </c>
      <c r="P2" s="44">
        <v>1</v>
      </c>
      <c r="Q2" s="44">
        <v>2</v>
      </c>
      <c r="R2" s="44">
        <v>3</v>
      </c>
      <c r="S2" s="44">
        <v>4</v>
      </c>
      <c r="T2" s="44">
        <v>5</v>
      </c>
      <c r="U2" s="44">
        <v>6</v>
      </c>
      <c r="V2" s="44">
        <v>7</v>
      </c>
      <c r="W2" s="44">
        <v>8</v>
      </c>
      <c r="X2" s="44">
        <v>9</v>
      </c>
      <c r="Y2" s="45">
        <v>1</v>
      </c>
      <c r="Z2" s="45">
        <v>2</v>
      </c>
      <c r="AA2" s="45">
        <v>3</v>
      </c>
      <c r="AB2" s="45">
        <v>4</v>
      </c>
      <c r="AC2" s="45">
        <v>5</v>
      </c>
      <c r="AD2" s="45">
        <v>6</v>
      </c>
      <c r="AE2" s="45">
        <v>7</v>
      </c>
      <c r="AF2" s="45">
        <v>8</v>
      </c>
      <c r="AG2" s="45">
        <v>9</v>
      </c>
      <c r="AH2" s="46">
        <v>1</v>
      </c>
      <c r="AI2" s="46">
        <v>2</v>
      </c>
      <c r="AJ2" s="46">
        <v>3</v>
      </c>
      <c r="AK2" s="46">
        <v>4</v>
      </c>
      <c r="AL2" s="46">
        <v>5</v>
      </c>
      <c r="AM2" s="46">
        <v>6</v>
      </c>
      <c r="AN2" s="46">
        <v>7</v>
      </c>
      <c r="AO2" s="46">
        <v>8</v>
      </c>
      <c r="AP2" s="46">
        <v>9</v>
      </c>
    </row>
    <row r="3" spans="1:42" x14ac:dyDescent="0.25">
      <c r="A3" s="7">
        <v>1</v>
      </c>
      <c r="B3" s="141" t="s">
        <v>152</v>
      </c>
      <c r="C3" s="141" t="s">
        <v>59</v>
      </c>
      <c r="D3" s="141" t="s">
        <v>60</v>
      </c>
      <c r="E3" s="54" t="s">
        <v>244</v>
      </c>
      <c r="F3" s="1">
        <v>9</v>
      </c>
      <c r="G3" s="1">
        <v>9</v>
      </c>
      <c r="H3" s="1">
        <v>9</v>
      </c>
      <c r="I3" s="1">
        <v>9</v>
      </c>
      <c r="J3" s="6">
        <v>7</v>
      </c>
      <c r="K3" s="1">
        <v>9</v>
      </c>
      <c r="L3" s="1">
        <v>9</v>
      </c>
      <c r="M3" s="1">
        <v>9</v>
      </c>
      <c r="N3" s="1">
        <v>9</v>
      </c>
      <c r="O3" s="1">
        <v>9</v>
      </c>
      <c r="P3" s="8">
        <f>IF(COUNTA(F3:G3)=2,SUM(F3:G3),"N/A")</f>
        <v>18</v>
      </c>
      <c r="Q3" s="8">
        <f t="shared" ref="Q3:X3" si="0">IF(COUNTA(G3:H3)=2,SUM(G3:H3),"N/A")</f>
        <v>18</v>
      </c>
      <c r="R3" s="8">
        <f t="shared" si="0"/>
        <v>18</v>
      </c>
      <c r="S3" s="8">
        <f t="shared" si="0"/>
        <v>16</v>
      </c>
      <c r="T3" s="8">
        <f t="shared" si="0"/>
        <v>16</v>
      </c>
      <c r="U3" s="8">
        <f t="shared" si="0"/>
        <v>18</v>
      </c>
      <c r="V3" s="8">
        <f t="shared" si="0"/>
        <v>18</v>
      </c>
      <c r="W3" s="8">
        <f t="shared" si="0"/>
        <v>18</v>
      </c>
      <c r="X3" s="8">
        <f t="shared" si="0"/>
        <v>18</v>
      </c>
      <c r="Y3" s="8">
        <f t="shared" ref="Y3:Y28" si="1">IF(P3&lt;&gt;"N/A",IF(P$31&lt;&gt;0,ROUNDUP((P3-$P$30)/$P$31,2),0),P3)</f>
        <v>0.55000000000000004</v>
      </c>
      <c r="Z3" s="8">
        <f t="shared" ref="Z3:Z28" si="2">IF(Q3&lt;&gt;"N/A",IF(Q$31&lt;&gt;0,ROUNDUP((Q3-$Q$30)/$Q$31,2),0),Q3)</f>
        <v>0.7</v>
      </c>
      <c r="AA3" s="8">
        <f t="shared" ref="AA3:AA28" si="3">IF(R3&lt;&gt;"N/A",IF(R$30&lt;&gt;0,ROUNDUP((R3-$R$30)/$R$31,2),0),R3)</f>
        <v>0.61</v>
      </c>
      <c r="AB3" s="8">
        <f t="shared" ref="AB3:AB28" si="4">IF(S3&lt;&gt;"N/A",IF(S$30&lt;&gt;0,ROUNDUP((S3-$S$30)/$S$31,2),0),S3)</f>
        <v>-0.26</v>
      </c>
      <c r="AC3" s="8">
        <f t="shared" ref="AC3:AC28" si="5">IF(T3&lt;&gt;"N/A",IF(T$30&lt;&gt;0,ROUNDUP((T3-$T$30)/$T$31,2),0),T3)</f>
        <v>-0.39</v>
      </c>
      <c r="AD3" s="8">
        <f t="shared" ref="AD3:AD28" si="6">IF(U3&lt;&gt;"N/A",IF(U$30&lt;&gt;0,ROUNDUP((U3-$U$30)/$U$31,2),0),U3)</f>
        <v>0.67</v>
      </c>
      <c r="AE3" s="8">
        <f t="shared" ref="AE3:AE28" si="7">IF(V3&lt;&gt;"N/A",IF(V$30&lt;&gt;0,ROUNDUP((V3-$V$30)/$V$31,2),0),V3)</f>
        <v>0.76</v>
      </c>
      <c r="AF3" s="8">
        <f t="shared" ref="AF3:AF28" si="8">IF(W3&lt;&gt;"N/A",IF(W$30&lt;&gt;0,ROUNDUP((W3-$W$30)/$W$31,2),0),W3)</f>
        <v>0.73</v>
      </c>
      <c r="AG3" s="8">
        <f t="shared" ref="AG3:AG28" si="9">IF(X3&lt;&gt;"N/A",IF(X$30&lt;&gt;0,ROUNDUP((X3-$X$30)/$X$31,2),0),X3)</f>
        <v>0.9</v>
      </c>
      <c r="AH3">
        <v>0.55000000000000004</v>
      </c>
      <c r="AI3">
        <v>0.7</v>
      </c>
      <c r="AJ3">
        <v>0.61</v>
      </c>
      <c r="AK3">
        <v>-0.26</v>
      </c>
      <c r="AL3">
        <v>-0.3</v>
      </c>
      <c r="AM3">
        <v>0.67</v>
      </c>
      <c r="AN3">
        <v>0.77</v>
      </c>
      <c r="AO3" s="8">
        <v>0.78</v>
      </c>
      <c r="AP3" s="8">
        <v>0.93</v>
      </c>
    </row>
    <row r="4" spans="1:42" x14ac:dyDescent="0.25">
      <c r="A4" s="7">
        <v>2</v>
      </c>
      <c r="B4" s="141" t="s">
        <v>157</v>
      </c>
      <c r="C4" s="141" t="s">
        <v>56</v>
      </c>
      <c r="D4" s="141" t="s">
        <v>57</v>
      </c>
      <c r="E4" s="55" t="s">
        <v>244</v>
      </c>
      <c r="F4" s="1">
        <v>5</v>
      </c>
      <c r="G4" s="1">
        <v>9</v>
      </c>
      <c r="H4" s="1">
        <v>9</v>
      </c>
      <c r="I4" s="1">
        <v>9</v>
      </c>
      <c r="J4" s="6">
        <v>9</v>
      </c>
      <c r="K4" s="1">
        <v>9</v>
      </c>
      <c r="L4" s="1">
        <v>9</v>
      </c>
      <c r="M4" s="1">
        <v>8</v>
      </c>
      <c r="N4" s="1">
        <v>8</v>
      </c>
      <c r="O4" s="1">
        <v>7</v>
      </c>
      <c r="P4" s="8">
        <f t="shared" ref="P4:P28" si="10">IF(COUNTA(F4:G4)=2,SUM(F4:G4),"N/A")</f>
        <v>14</v>
      </c>
      <c r="Q4" s="8">
        <f t="shared" ref="Q4:Q28" si="11">IF(COUNTA(G4:H4)=2,SUM(G4:H4),"N/A")</f>
        <v>18</v>
      </c>
      <c r="R4" s="8">
        <f t="shared" ref="R4:R28" si="12">IF(COUNTA(H4:I4)=2,SUM(H4:I4),"N/A")</f>
        <v>18</v>
      </c>
      <c r="S4" s="8">
        <f t="shared" ref="S4:S28" si="13">IF(COUNTA(I4:J4)=2,SUM(I4:J4),"N/A")</f>
        <v>18</v>
      </c>
      <c r="T4" s="8">
        <f t="shared" ref="T4:T28" si="14">IF(COUNTA(J4:K4)=2,SUM(J4:K4),"N/A")</f>
        <v>18</v>
      </c>
      <c r="U4" s="8">
        <f t="shared" ref="U4:U28" si="15">IF(COUNTA(K4:L4)=2,SUM(K4:L4),"N/A")</f>
        <v>18</v>
      </c>
      <c r="V4" s="8">
        <f t="shared" ref="V4:V28" si="16">IF(COUNTA(L4:M4)=2,SUM(L4:M4),"N/A")</f>
        <v>17</v>
      </c>
      <c r="W4" s="8">
        <f t="shared" ref="W4:W28" si="17">IF(COUNTA(M4:N4)=2,SUM(M4:N4),"N/A")</f>
        <v>16</v>
      </c>
      <c r="X4" s="8">
        <f t="shared" ref="X4:X28" si="18">IF(COUNTA(N4:O4)=2,SUM(N4:O4),"N/A")</f>
        <v>15</v>
      </c>
      <c r="Y4" s="8">
        <f t="shared" si="1"/>
        <v>-2.17</v>
      </c>
      <c r="Z4" s="8">
        <f t="shared" si="2"/>
        <v>0.7</v>
      </c>
      <c r="AA4" s="8">
        <f t="shared" si="3"/>
        <v>0.61</v>
      </c>
      <c r="AB4" s="8">
        <f t="shared" si="4"/>
        <v>0.69000000000000006</v>
      </c>
      <c r="AC4" s="8">
        <f t="shared" si="5"/>
        <v>0.72</v>
      </c>
      <c r="AD4" s="8">
        <f t="shared" si="6"/>
        <v>0.67</v>
      </c>
      <c r="AE4" s="8">
        <f t="shared" si="7"/>
        <v>0.45</v>
      </c>
      <c r="AF4" s="8">
        <f t="shared" si="8"/>
        <v>0.21000000000000002</v>
      </c>
      <c r="AG4" s="8">
        <f t="shared" si="9"/>
        <v>-0.03</v>
      </c>
      <c r="AH4">
        <v>-2.17</v>
      </c>
      <c r="AI4">
        <v>0.7</v>
      </c>
      <c r="AJ4">
        <v>0.61</v>
      </c>
      <c r="AK4">
        <v>0.69000000000000006</v>
      </c>
      <c r="AL4">
        <v>0.77</v>
      </c>
      <c r="AM4">
        <v>0.67</v>
      </c>
      <c r="AN4">
        <v>0.41000000000000003</v>
      </c>
      <c r="AO4" s="8">
        <v>0.08</v>
      </c>
      <c r="AP4" s="8">
        <v>-0.15000000000000002</v>
      </c>
    </row>
    <row r="5" spans="1:42" x14ac:dyDescent="0.25">
      <c r="A5" s="7">
        <v>3</v>
      </c>
      <c r="B5" s="141" t="s">
        <v>345</v>
      </c>
      <c r="C5" s="141" t="s">
        <v>219</v>
      </c>
      <c r="D5" s="141" t="s">
        <v>318</v>
      </c>
      <c r="E5" s="55" t="s">
        <v>244</v>
      </c>
      <c r="F5" s="1"/>
      <c r="G5" s="1"/>
      <c r="H5" s="1"/>
      <c r="I5" s="1"/>
      <c r="J5" s="6"/>
      <c r="K5" s="1"/>
      <c r="L5" s="1"/>
      <c r="M5" s="1">
        <v>9</v>
      </c>
      <c r="N5" s="1">
        <v>8</v>
      </c>
      <c r="O5" s="1">
        <v>9</v>
      </c>
      <c r="P5" s="8" t="str">
        <f t="shared" si="10"/>
        <v>N/A</v>
      </c>
      <c r="Q5" s="8" t="str">
        <f t="shared" si="11"/>
        <v>N/A</v>
      </c>
      <c r="R5" s="8" t="str">
        <f t="shared" si="12"/>
        <v>N/A</v>
      </c>
      <c r="S5" s="8" t="str">
        <f t="shared" si="13"/>
        <v>N/A</v>
      </c>
      <c r="T5" s="8" t="str">
        <f t="shared" si="14"/>
        <v>N/A</v>
      </c>
      <c r="U5" s="8" t="str">
        <f t="shared" si="15"/>
        <v>N/A</v>
      </c>
      <c r="V5" s="8" t="str">
        <f t="shared" si="16"/>
        <v>N/A</v>
      </c>
      <c r="W5" s="8">
        <f t="shared" si="17"/>
        <v>17</v>
      </c>
      <c r="X5" s="8">
        <f t="shared" si="18"/>
        <v>17</v>
      </c>
      <c r="Y5" s="8" t="str">
        <f t="shared" si="1"/>
        <v>N/A</v>
      </c>
      <c r="Z5" s="8" t="str">
        <f t="shared" si="2"/>
        <v>N/A</v>
      </c>
      <c r="AA5" s="8" t="str">
        <f t="shared" si="3"/>
        <v>N/A</v>
      </c>
      <c r="AB5" s="8" t="str">
        <f t="shared" si="4"/>
        <v>N/A</v>
      </c>
      <c r="AC5" s="8" t="str">
        <f t="shared" si="5"/>
        <v>N/A</v>
      </c>
      <c r="AD5" s="8" t="str">
        <f t="shared" si="6"/>
        <v>N/A</v>
      </c>
      <c r="AE5" s="8" t="str">
        <f t="shared" si="7"/>
        <v>N/A</v>
      </c>
      <c r="AF5" s="8">
        <f t="shared" si="8"/>
        <v>0.47000000000000003</v>
      </c>
      <c r="AG5" s="8">
        <f t="shared" si="9"/>
        <v>0.59</v>
      </c>
      <c r="AH5" t="e">
        <v>#N/A</v>
      </c>
      <c r="AI5" t="e">
        <v>#N/A</v>
      </c>
      <c r="AJ5" t="e">
        <v>#N/A</v>
      </c>
      <c r="AK5" t="e">
        <v>#N/A</v>
      </c>
      <c r="AL5" t="e">
        <v>#N/A</v>
      </c>
      <c r="AM5" t="e">
        <v>#N/A</v>
      </c>
      <c r="AN5" t="e">
        <v>#N/A</v>
      </c>
      <c r="AO5" s="8">
        <v>0.43</v>
      </c>
      <c r="AP5" s="8">
        <v>0.57999999999999996</v>
      </c>
    </row>
    <row r="6" spans="1:42" ht="25.5" x14ac:dyDescent="0.25">
      <c r="A6" s="7">
        <v>4</v>
      </c>
      <c r="B6" s="141" t="s">
        <v>341</v>
      </c>
      <c r="C6" s="141" t="s">
        <v>301</v>
      </c>
      <c r="D6" s="141" t="s">
        <v>319</v>
      </c>
      <c r="E6" s="55" t="s">
        <v>244</v>
      </c>
      <c r="F6" s="1"/>
      <c r="G6" s="1"/>
      <c r="H6" s="1"/>
      <c r="I6" s="1"/>
      <c r="J6" s="6"/>
      <c r="K6" s="1"/>
      <c r="L6" s="1"/>
      <c r="M6" s="1">
        <v>9</v>
      </c>
      <c r="N6" s="1">
        <v>9</v>
      </c>
      <c r="O6" s="1">
        <v>9</v>
      </c>
      <c r="P6" s="8" t="str">
        <f t="shared" si="10"/>
        <v>N/A</v>
      </c>
      <c r="Q6" s="8" t="str">
        <f t="shared" si="11"/>
        <v>N/A</v>
      </c>
      <c r="R6" s="8" t="str">
        <f t="shared" si="12"/>
        <v>N/A</v>
      </c>
      <c r="S6" s="8" t="str">
        <f t="shared" si="13"/>
        <v>N/A</v>
      </c>
      <c r="T6" s="8" t="str">
        <f t="shared" si="14"/>
        <v>N/A</v>
      </c>
      <c r="U6" s="8" t="str">
        <f t="shared" si="15"/>
        <v>N/A</v>
      </c>
      <c r="V6" s="8" t="str">
        <f t="shared" si="16"/>
        <v>N/A</v>
      </c>
      <c r="W6" s="8">
        <f t="shared" si="17"/>
        <v>18</v>
      </c>
      <c r="X6" s="8">
        <f t="shared" si="18"/>
        <v>18</v>
      </c>
      <c r="Y6" s="8" t="str">
        <f t="shared" si="1"/>
        <v>N/A</v>
      </c>
      <c r="Z6" s="8" t="str">
        <f t="shared" si="2"/>
        <v>N/A</v>
      </c>
      <c r="AA6" s="8" t="str">
        <f t="shared" si="3"/>
        <v>N/A</v>
      </c>
      <c r="AB6" s="8" t="str">
        <f t="shared" si="4"/>
        <v>N/A</v>
      </c>
      <c r="AC6" s="8" t="str">
        <f t="shared" si="5"/>
        <v>N/A</v>
      </c>
      <c r="AD6" s="8" t="str">
        <f t="shared" si="6"/>
        <v>N/A</v>
      </c>
      <c r="AE6" s="8" t="str">
        <f t="shared" si="7"/>
        <v>N/A</v>
      </c>
      <c r="AF6" s="8">
        <f t="shared" si="8"/>
        <v>0.73</v>
      </c>
      <c r="AG6" s="8">
        <f t="shared" si="9"/>
        <v>0.9</v>
      </c>
      <c r="AH6" t="e">
        <v>#N/A</v>
      </c>
      <c r="AI6" t="e">
        <v>#N/A</v>
      </c>
      <c r="AJ6" t="e">
        <v>#N/A</v>
      </c>
      <c r="AK6" t="e">
        <v>#N/A</v>
      </c>
      <c r="AL6" t="e">
        <v>#N/A</v>
      </c>
      <c r="AM6" t="e">
        <v>#N/A</v>
      </c>
      <c r="AN6" t="e">
        <v>#N/A</v>
      </c>
      <c r="AO6" s="8">
        <v>0.78</v>
      </c>
      <c r="AP6" s="8">
        <v>0.93</v>
      </c>
    </row>
    <row r="7" spans="1:42" ht="25.5" x14ac:dyDescent="0.25">
      <c r="A7" s="7">
        <v>5</v>
      </c>
      <c r="B7" s="141" t="s">
        <v>353</v>
      </c>
      <c r="C7" s="141" t="s">
        <v>36</v>
      </c>
      <c r="D7" s="141" t="s">
        <v>37</v>
      </c>
      <c r="E7" s="55" t="s">
        <v>244</v>
      </c>
      <c r="F7" s="1">
        <v>9</v>
      </c>
      <c r="G7" s="1">
        <v>9</v>
      </c>
      <c r="H7" s="1">
        <v>9</v>
      </c>
      <c r="I7" s="1">
        <v>9</v>
      </c>
      <c r="J7" s="6">
        <v>9</v>
      </c>
      <c r="K7" s="1">
        <v>9</v>
      </c>
      <c r="L7" s="1"/>
      <c r="M7" s="1"/>
      <c r="N7" s="1">
        <v>9</v>
      </c>
      <c r="O7" s="1" t="s">
        <v>272</v>
      </c>
      <c r="P7" s="8">
        <f t="shared" ref="P7" si="19">IF(COUNTA(F7:G7)=2,SUM(F7:G7),"N/A")</f>
        <v>18</v>
      </c>
      <c r="Q7" s="8">
        <f t="shared" ref="Q7" si="20">IF(COUNTA(G7:H7)=2,SUM(G7:H7),"N/A")</f>
        <v>18</v>
      </c>
      <c r="R7" s="8">
        <f t="shared" ref="R7" si="21">IF(COUNTA(H7:I7)=2,SUM(H7:I7),"N/A")</f>
        <v>18</v>
      </c>
      <c r="S7" s="8">
        <f t="shared" ref="S7" si="22">IF(COUNTA(I7:J7)=2,SUM(I7:J7),"N/A")</f>
        <v>18</v>
      </c>
      <c r="T7" s="8">
        <f t="shared" ref="T7" si="23">IF(COUNTA(J7:K7)=2,SUM(J7:K7),"N/A")</f>
        <v>18</v>
      </c>
      <c r="U7" s="8" t="str">
        <f t="shared" ref="U7" si="24">IF(COUNTA(K7:L7)=2,SUM(K7:L7),"N/A")</f>
        <v>N/A</v>
      </c>
      <c r="V7" s="8" t="str">
        <f t="shared" ref="V7" si="25">IF(COUNTA(L7:M7)=2,SUM(L7:M7),"N/A")</f>
        <v>N/A</v>
      </c>
      <c r="W7" s="8" t="str">
        <f t="shared" ref="W7" si="26">IF(COUNTA(M7:N7)=2,SUM(M7:N7),"N/A")</f>
        <v>N/A</v>
      </c>
      <c r="X7" s="8">
        <f>IF(COUNTA(N7:O7)=2,SUM(N7:O7),"N/A")</f>
        <v>9</v>
      </c>
      <c r="Y7" s="8">
        <f t="shared" si="1"/>
        <v>0.55000000000000004</v>
      </c>
      <c r="Z7" s="8">
        <f t="shared" si="2"/>
        <v>0.7</v>
      </c>
      <c r="AA7" s="8">
        <f t="shared" si="3"/>
        <v>0.61</v>
      </c>
      <c r="AB7" s="8">
        <f t="shared" si="4"/>
        <v>0.69000000000000006</v>
      </c>
      <c r="AC7" s="8">
        <f t="shared" si="5"/>
        <v>0.72</v>
      </c>
      <c r="AD7" s="8" t="str">
        <f t="shared" si="6"/>
        <v>N/A</v>
      </c>
      <c r="AE7" s="8" t="str">
        <f t="shared" si="7"/>
        <v>N/A</v>
      </c>
      <c r="AF7" s="8" t="str">
        <f t="shared" si="8"/>
        <v>N/A</v>
      </c>
      <c r="AG7" s="8">
        <f t="shared" si="9"/>
        <v>-1.85</v>
      </c>
      <c r="AH7">
        <v>0.55000000000000004</v>
      </c>
      <c r="AI7">
        <v>0.7</v>
      </c>
      <c r="AJ7">
        <v>0.61</v>
      </c>
      <c r="AK7">
        <v>0.69000000000000006</v>
      </c>
      <c r="AL7">
        <v>0.72</v>
      </c>
      <c r="AM7" t="e">
        <v>#N/A</v>
      </c>
      <c r="AN7" t="e">
        <v>#N/A</v>
      </c>
      <c r="AO7" s="186" t="e">
        <v>#N/A</v>
      </c>
      <c r="AP7" s="186" t="e">
        <v>#N/A</v>
      </c>
    </row>
    <row r="8" spans="1:42" ht="25.5" x14ac:dyDescent="0.25">
      <c r="A8" s="7">
        <v>6</v>
      </c>
      <c r="B8" s="142" t="s">
        <v>195</v>
      </c>
      <c r="C8" s="143" t="s">
        <v>88</v>
      </c>
      <c r="D8" s="142" t="s">
        <v>89</v>
      </c>
      <c r="E8" s="142" t="s">
        <v>242</v>
      </c>
      <c r="F8" s="1">
        <v>9</v>
      </c>
      <c r="G8" s="1">
        <v>9</v>
      </c>
      <c r="H8" s="1">
        <v>9</v>
      </c>
      <c r="I8" s="1">
        <v>9</v>
      </c>
      <c r="J8" s="6">
        <v>9</v>
      </c>
      <c r="K8" s="1">
        <v>9</v>
      </c>
      <c r="L8" s="1">
        <v>9</v>
      </c>
      <c r="M8" s="1">
        <v>9</v>
      </c>
      <c r="N8" s="1">
        <v>8</v>
      </c>
      <c r="O8" s="1">
        <v>9</v>
      </c>
      <c r="P8" s="8">
        <f t="shared" si="10"/>
        <v>18</v>
      </c>
      <c r="Q8" s="8">
        <f t="shared" si="11"/>
        <v>18</v>
      </c>
      <c r="R8" s="8">
        <f t="shared" si="12"/>
        <v>18</v>
      </c>
      <c r="S8" s="8">
        <f t="shared" si="13"/>
        <v>18</v>
      </c>
      <c r="T8" s="8">
        <f t="shared" si="14"/>
        <v>18</v>
      </c>
      <c r="U8" s="8">
        <f t="shared" si="15"/>
        <v>18</v>
      </c>
      <c r="V8" s="8">
        <f t="shared" si="16"/>
        <v>18</v>
      </c>
      <c r="W8" s="8">
        <f t="shared" si="17"/>
        <v>17</v>
      </c>
      <c r="X8" s="8">
        <f t="shared" si="18"/>
        <v>17</v>
      </c>
      <c r="Y8" s="8">
        <f t="shared" si="1"/>
        <v>0.55000000000000004</v>
      </c>
      <c r="Z8" s="8">
        <f t="shared" si="2"/>
        <v>0.7</v>
      </c>
      <c r="AA8" s="8">
        <f t="shared" si="3"/>
        <v>0.61</v>
      </c>
      <c r="AB8" s="8">
        <f t="shared" si="4"/>
        <v>0.69000000000000006</v>
      </c>
      <c r="AC8" s="8">
        <f t="shared" si="5"/>
        <v>0.72</v>
      </c>
      <c r="AD8" s="8">
        <f t="shared" si="6"/>
        <v>0.67</v>
      </c>
      <c r="AE8" s="8">
        <f t="shared" si="7"/>
        <v>0.76</v>
      </c>
      <c r="AF8" s="8">
        <f t="shared" si="8"/>
        <v>0.47000000000000003</v>
      </c>
      <c r="AG8" s="8">
        <f t="shared" si="9"/>
        <v>0.59</v>
      </c>
      <c r="AH8">
        <v>0.55000000000000004</v>
      </c>
      <c r="AI8">
        <v>0.7</v>
      </c>
      <c r="AJ8">
        <v>0.61</v>
      </c>
      <c r="AK8">
        <v>0.69000000000000006</v>
      </c>
      <c r="AL8">
        <v>0.77</v>
      </c>
      <c r="AM8">
        <v>0.67</v>
      </c>
      <c r="AN8">
        <v>0.77</v>
      </c>
      <c r="AO8" s="8">
        <v>0.43</v>
      </c>
      <c r="AP8" s="8">
        <v>0.57999999999999996</v>
      </c>
    </row>
    <row r="9" spans="1:42" ht="25.5" x14ac:dyDescent="0.25">
      <c r="A9" s="7">
        <v>7</v>
      </c>
      <c r="B9" s="144" t="s">
        <v>350</v>
      </c>
      <c r="C9" s="145" t="s">
        <v>30</v>
      </c>
      <c r="D9" s="144" t="s">
        <v>31</v>
      </c>
      <c r="E9" s="142" t="s">
        <v>242</v>
      </c>
      <c r="F9" s="1"/>
      <c r="G9" s="1"/>
      <c r="H9" s="1"/>
      <c r="I9" s="1"/>
      <c r="J9" s="1"/>
      <c r="K9" s="1"/>
      <c r="L9" s="1"/>
      <c r="M9" s="1">
        <v>8</v>
      </c>
      <c r="N9" s="1">
        <v>9</v>
      </c>
      <c r="O9" s="1">
        <v>7</v>
      </c>
      <c r="P9" s="8" t="str">
        <f t="shared" si="10"/>
        <v>N/A</v>
      </c>
      <c r="Q9" s="8" t="str">
        <f t="shared" si="11"/>
        <v>N/A</v>
      </c>
      <c r="R9" s="8" t="str">
        <f t="shared" si="12"/>
        <v>N/A</v>
      </c>
      <c r="S9" s="8" t="str">
        <f t="shared" si="13"/>
        <v>N/A</v>
      </c>
      <c r="T9" s="8" t="str">
        <f t="shared" si="14"/>
        <v>N/A</v>
      </c>
      <c r="U9" s="8" t="str">
        <f t="shared" si="15"/>
        <v>N/A</v>
      </c>
      <c r="V9" s="8" t="str">
        <f t="shared" si="16"/>
        <v>N/A</v>
      </c>
      <c r="W9" s="8">
        <f t="shared" si="17"/>
        <v>17</v>
      </c>
      <c r="X9" s="8">
        <f t="shared" si="18"/>
        <v>16</v>
      </c>
      <c r="Y9" s="8" t="str">
        <f t="shared" si="1"/>
        <v>N/A</v>
      </c>
      <c r="Z9" s="8" t="str">
        <f t="shared" si="2"/>
        <v>N/A</v>
      </c>
      <c r="AA9" s="8" t="str">
        <f t="shared" si="3"/>
        <v>N/A</v>
      </c>
      <c r="AB9" s="8" t="str">
        <f t="shared" si="4"/>
        <v>N/A</v>
      </c>
      <c r="AC9" s="8" t="str">
        <f t="shared" si="5"/>
        <v>N/A</v>
      </c>
      <c r="AD9" s="8" t="str">
        <f t="shared" si="6"/>
        <v>N/A</v>
      </c>
      <c r="AE9" s="8" t="str">
        <f t="shared" si="7"/>
        <v>N/A</v>
      </c>
      <c r="AF9" s="8">
        <f t="shared" si="8"/>
        <v>0.47000000000000003</v>
      </c>
      <c r="AG9" s="8">
        <f t="shared" si="9"/>
        <v>0.29000000000000004</v>
      </c>
      <c r="AH9" t="e">
        <v>#N/A</v>
      </c>
      <c r="AI9" t="e">
        <v>#N/A</v>
      </c>
      <c r="AJ9" t="e">
        <v>#N/A</v>
      </c>
      <c r="AK9" t="e">
        <v>#N/A</v>
      </c>
      <c r="AL9" t="e">
        <v>#N/A</v>
      </c>
      <c r="AM9" t="e">
        <v>#N/A</v>
      </c>
      <c r="AN9" t="e">
        <v>#N/A</v>
      </c>
      <c r="AO9" s="8">
        <v>0.43</v>
      </c>
      <c r="AP9" s="8">
        <v>0.22</v>
      </c>
    </row>
    <row r="10" spans="1:42" ht="25.5" x14ac:dyDescent="0.25">
      <c r="A10" s="7">
        <v>8</v>
      </c>
      <c r="B10" s="146" t="s">
        <v>211</v>
      </c>
      <c r="C10" s="147" t="s">
        <v>101</v>
      </c>
      <c r="D10" s="148" t="s">
        <v>102</v>
      </c>
      <c r="E10" s="142" t="s">
        <v>242</v>
      </c>
      <c r="F10" s="1"/>
      <c r="G10" s="1">
        <v>9</v>
      </c>
      <c r="H10" s="1">
        <v>4</v>
      </c>
      <c r="I10" s="1"/>
      <c r="J10" s="6"/>
      <c r="K10" s="1">
        <v>8</v>
      </c>
      <c r="L10" s="1">
        <v>8</v>
      </c>
      <c r="M10" s="1">
        <v>3</v>
      </c>
      <c r="N10" s="1">
        <v>6</v>
      </c>
      <c r="O10" s="1">
        <v>3</v>
      </c>
      <c r="P10" s="8" t="str">
        <f t="shared" si="10"/>
        <v>N/A</v>
      </c>
      <c r="Q10" s="8">
        <f t="shared" si="11"/>
        <v>13</v>
      </c>
      <c r="R10" s="8" t="str">
        <f t="shared" si="12"/>
        <v>N/A</v>
      </c>
      <c r="S10" s="8" t="str">
        <f t="shared" si="13"/>
        <v>N/A</v>
      </c>
      <c r="T10" s="8" t="str">
        <f t="shared" si="14"/>
        <v>N/A</v>
      </c>
      <c r="U10" s="8">
        <f t="shared" si="15"/>
        <v>16</v>
      </c>
      <c r="V10" s="8">
        <f t="shared" si="16"/>
        <v>11</v>
      </c>
      <c r="W10" s="8">
        <f t="shared" si="17"/>
        <v>9</v>
      </c>
      <c r="X10" s="8">
        <f t="shared" si="18"/>
        <v>9</v>
      </c>
      <c r="Y10" s="8" t="str">
        <f t="shared" si="1"/>
        <v>N/A</v>
      </c>
      <c r="Z10" s="8">
        <f t="shared" si="2"/>
        <v>-0.47000000000000003</v>
      </c>
      <c r="AA10" s="8" t="str">
        <f t="shared" si="3"/>
        <v>N/A</v>
      </c>
      <c r="AB10" s="8" t="str">
        <f t="shared" si="4"/>
        <v>N/A</v>
      </c>
      <c r="AC10" s="8" t="str">
        <f t="shared" si="5"/>
        <v>N/A</v>
      </c>
      <c r="AD10" s="8">
        <f t="shared" si="6"/>
        <v>-6.9999999999999993E-2</v>
      </c>
      <c r="AE10" s="8">
        <f t="shared" si="7"/>
        <v>-1.43</v>
      </c>
      <c r="AF10" s="8">
        <f t="shared" si="8"/>
        <v>-1.64</v>
      </c>
      <c r="AG10" s="8">
        <f t="shared" si="9"/>
        <v>-1.85</v>
      </c>
      <c r="AH10" t="e">
        <v>#N/A</v>
      </c>
      <c r="AI10">
        <v>-0.47000000000000003</v>
      </c>
      <c r="AJ10" t="e">
        <v>#N/A</v>
      </c>
      <c r="AK10" t="e">
        <v>#N/A</v>
      </c>
      <c r="AL10" t="e">
        <v>#N/A</v>
      </c>
      <c r="AM10">
        <v>-6.9999999999999993E-2</v>
      </c>
      <c r="AN10">
        <v>-1.03</v>
      </c>
      <c r="AO10" s="8">
        <v>-1.31</v>
      </c>
      <c r="AP10" s="8">
        <v>-1.22</v>
      </c>
    </row>
    <row r="11" spans="1:42" ht="25.5" x14ac:dyDescent="0.25">
      <c r="A11" s="7">
        <v>9</v>
      </c>
      <c r="B11" s="145" t="s">
        <v>359</v>
      </c>
      <c r="C11" s="145" t="s">
        <v>36</v>
      </c>
      <c r="D11" s="145" t="s">
        <v>37</v>
      </c>
      <c r="E11" s="142" t="s">
        <v>242</v>
      </c>
      <c r="F11" s="1"/>
      <c r="G11" s="1"/>
      <c r="H11" s="1"/>
      <c r="I11" s="1"/>
      <c r="J11" s="6"/>
      <c r="K11" s="1"/>
      <c r="L11" s="1"/>
      <c r="M11" s="1"/>
      <c r="N11" s="1"/>
      <c r="O11" s="1" t="s">
        <v>272</v>
      </c>
      <c r="P11" s="8" t="str">
        <f t="shared" si="10"/>
        <v>N/A</v>
      </c>
      <c r="Q11" s="8" t="str">
        <f t="shared" si="11"/>
        <v>N/A</v>
      </c>
      <c r="R11" s="8" t="str">
        <f t="shared" si="12"/>
        <v>N/A</v>
      </c>
      <c r="S11" s="8" t="str">
        <f t="shared" si="13"/>
        <v>N/A</v>
      </c>
      <c r="T11" s="8" t="str">
        <f t="shared" si="14"/>
        <v>N/A</v>
      </c>
      <c r="U11" s="8" t="str">
        <f t="shared" si="15"/>
        <v>N/A</v>
      </c>
      <c r="V11" s="8" t="str">
        <f t="shared" si="16"/>
        <v>N/A</v>
      </c>
      <c r="W11" s="8" t="str">
        <f t="shared" si="17"/>
        <v>N/A</v>
      </c>
      <c r="X11" s="8" t="str">
        <f t="shared" si="18"/>
        <v>N/A</v>
      </c>
      <c r="Y11" s="8" t="str">
        <f t="shared" si="1"/>
        <v>N/A</v>
      </c>
      <c r="Z11" s="8" t="str">
        <f t="shared" si="2"/>
        <v>N/A</v>
      </c>
      <c r="AA11" s="8" t="str">
        <f t="shared" si="3"/>
        <v>N/A</v>
      </c>
      <c r="AB11" s="8" t="str">
        <f t="shared" si="4"/>
        <v>N/A</v>
      </c>
      <c r="AC11" s="8" t="str">
        <f t="shared" si="5"/>
        <v>N/A</v>
      </c>
      <c r="AD11" s="8" t="str">
        <f t="shared" si="6"/>
        <v>N/A</v>
      </c>
      <c r="AE11" s="8" t="str">
        <f t="shared" si="7"/>
        <v>N/A</v>
      </c>
      <c r="AF11" s="8" t="str">
        <f t="shared" si="8"/>
        <v>N/A</v>
      </c>
      <c r="AG11" s="8" t="str">
        <f t="shared" si="9"/>
        <v>N/A</v>
      </c>
      <c r="AH11">
        <v>0.55000000000000004</v>
      </c>
      <c r="AI11">
        <v>0.7</v>
      </c>
      <c r="AJ11">
        <v>0.61</v>
      </c>
      <c r="AK11">
        <v>0.69000000000000006</v>
      </c>
      <c r="AL11">
        <v>0.72</v>
      </c>
      <c r="AM11" t="e">
        <v>#N/A</v>
      </c>
      <c r="AN11" t="e">
        <v>#N/A</v>
      </c>
      <c r="AO11" s="8" t="e">
        <v>#N/A</v>
      </c>
      <c r="AP11" s="8" t="e">
        <v>#N/A</v>
      </c>
    </row>
    <row r="12" spans="1:42" x14ac:dyDescent="0.25">
      <c r="A12" s="7">
        <v>10</v>
      </c>
      <c r="B12" s="149" t="s">
        <v>164</v>
      </c>
      <c r="C12" s="150" t="s">
        <v>79</v>
      </c>
      <c r="D12" s="149" t="s">
        <v>80</v>
      </c>
      <c r="E12" s="149" t="s">
        <v>247</v>
      </c>
      <c r="F12" s="1">
        <v>9</v>
      </c>
      <c r="G12" s="1">
        <v>9</v>
      </c>
      <c r="H12" s="1">
        <v>9</v>
      </c>
      <c r="I12" s="1">
        <v>9</v>
      </c>
      <c r="J12" s="6">
        <v>8</v>
      </c>
      <c r="K12" s="1">
        <v>9</v>
      </c>
      <c r="L12" s="1">
        <v>9</v>
      </c>
      <c r="M12" s="1">
        <v>9</v>
      </c>
      <c r="N12" s="1">
        <v>9</v>
      </c>
      <c r="O12" s="1">
        <v>9</v>
      </c>
      <c r="P12" s="8">
        <f t="shared" si="10"/>
        <v>18</v>
      </c>
      <c r="Q12" s="8">
        <f t="shared" si="11"/>
        <v>18</v>
      </c>
      <c r="R12" s="8">
        <f t="shared" si="12"/>
        <v>18</v>
      </c>
      <c r="S12" s="8">
        <f t="shared" si="13"/>
        <v>17</v>
      </c>
      <c r="T12" s="8">
        <f t="shared" si="14"/>
        <v>17</v>
      </c>
      <c r="U12" s="8">
        <f t="shared" si="15"/>
        <v>18</v>
      </c>
      <c r="V12" s="8">
        <f t="shared" si="16"/>
        <v>18</v>
      </c>
      <c r="W12" s="8">
        <f t="shared" si="17"/>
        <v>18</v>
      </c>
      <c r="X12" s="8">
        <f t="shared" si="18"/>
        <v>18</v>
      </c>
      <c r="Y12" s="8">
        <f t="shared" si="1"/>
        <v>0.55000000000000004</v>
      </c>
      <c r="Z12" s="8">
        <f t="shared" si="2"/>
        <v>0.7</v>
      </c>
      <c r="AA12" s="8">
        <f t="shared" si="3"/>
        <v>0.61</v>
      </c>
      <c r="AB12" s="8">
        <f t="shared" si="4"/>
        <v>0.22</v>
      </c>
      <c r="AC12" s="8">
        <f t="shared" si="5"/>
        <v>0.17</v>
      </c>
      <c r="AD12" s="8">
        <f t="shared" si="6"/>
        <v>0.67</v>
      </c>
      <c r="AE12" s="8">
        <f t="shared" si="7"/>
        <v>0.76</v>
      </c>
      <c r="AF12" s="8">
        <f t="shared" si="8"/>
        <v>0.73</v>
      </c>
      <c r="AG12" s="8">
        <f t="shared" si="9"/>
        <v>0.9</v>
      </c>
      <c r="AH12">
        <v>0.55000000000000004</v>
      </c>
      <c r="AI12">
        <v>0.7</v>
      </c>
      <c r="AJ12">
        <v>0.61</v>
      </c>
      <c r="AK12">
        <v>0.22</v>
      </c>
      <c r="AL12">
        <v>0.24000000000000002</v>
      </c>
      <c r="AM12">
        <v>0.67</v>
      </c>
      <c r="AN12">
        <v>0.77</v>
      </c>
      <c r="AO12" s="8">
        <v>0.78</v>
      </c>
      <c r="AP12" s="8">
        <v>0.93</v>
      </c>
    </row>
    <row r="13" spans="1:42" x14ac:dyDescent="0.25">
      <c r="A13" s="7">
        <v>11</v>
      </c>
      <c r="B13" s="151" t="s">
        <v>159</v>
      </c>
      <c r="C13" s="151" t="s">
        <v>81</v>
      </c>
      <c r="D13" s="151" t="s">
        <v>82</v>
      </c>
      <c r="E13" s="149" t="s">
        <v>246</v>
      </c>
      <c r="F13" s="1">
        <v>9</v>
      </c>
      <c r="G13" s="1">
        <v>9</v>
      </c>
      <c r="H13" s="1">
        <v>9</v>
      </c>
      <c r="I13" s="1">
        <v>8</v>
      </c>
      <c r="J13" s="6">
        <v>9</v>
      </c>
      <c r="K13" s="1"/>
      <c r="L13" s="1"/>
      <c r="M13" s="1"/>
      <c r="N13" s="1">
        <v>9</v>
      </c>
      <c r="O13" s="1">
        <v>5</v>
      </c>
      <c r="P13" s="8">
        <f t="shared" si="10"/>
        <v>18</v>
      </c>
      <c r="Q13" s="8">
        <f t="shared" si="11"/>
        <v>18</v>
      </c>
      <c r="R13" s="8">
        <f t="shared" si="12"/>
        <v>17</v>
      </c>
      <c r="S13" s="8">
        <f t="shared" si="13"/>
        <v>17</v>
      </c>
      <c r="T13" s="8" t="str">
        <f t="shared" si="14"/>
        <v>N/A</v>
      </c>
      <c r="U13" s="8" t="str">
        <f t="shared" si="15"/>
        <v>N/A</v>
      </c>
      <c r="V13" s="8" t="str">
        <f t="shared" si="16"/>
        <v>N/A</v>
      </c>
      <c r="W13" s="8" t="str">
        <f t="shared" si="17"/>
        <v>N/A</v>
      </c>
      <c r="X13" s="8">
        <f t="shared" si="18"/>
        <v>14</v>
      </c>
      <c r="Y13" s="8">
        <f t="shared" si="1"/>
        <v>0.55000000000000004</v>
      </c>
      <c r="Z13" s="8">
        <f t="shared" si="2"/>
        <v>0.7</v>
      </c>
      <c r="AA13" s="8">
        <f t="shared" si="3"/>
        <v>0.38</v>
      </c>
      <c r="AB13" s="8">
        <f t="shared" si="4"/>
        <v>0.22</v>
      </c>
      <c r="AC13" s="8" t="str">
        <f t="shared" si="5"/>
        <v>N/A</v>
      </c>
      <c r="AD13" s="8" t="str">
        <f t="shared" si="6"/>
        <v>N/A</v>
      </c>
      <c r="AE13" s="8" t="str">
        <f t="shared" si="7"/>
        <v>N/A</v>
      </c>
      <c r="AF13" s="8" t="str">
        <f t="shared" si="8"/>
        <v>N/A</v>
      </c>
      <c r="AG13" s="8">
        <f t="shared" si="9"/>
        <v>-0.33</v>
      </c>
      <c r="AH13">
        <v>0.55000000000000004</v>
      </c>
      <c r="AI13">
        <v>0.7</v>
      </c>
      <c r="AJ13">
        <v>0.38</v>
      </c>
      <c r="AK13">
        <v>0.22</v>
      </c>
      <c r="AL13" t="e">
        <v>#N/A</v>
      </c>
      <c r="AM13" t="e">
        <v>#N/A</v>
      </c>
      <c r="AN13" t="e">
        <v>#N/A</v>
      </c>
      <c r="AO13" s="8" t="e">
        <v>#N/A</v>
      </c>
      <c r="AP13" s="8">
        <v>-0.51</v>
      </c>
    </row>
    <row r="14" spans="1:42" ht="25.5" x14ac:dyDescent="0.25">
      <c r="A14" s="7">
        <v>12</v>
      </c>
      <c r="B14" s="152" t="s">
        <v>179</v>
      </c>
      <c r="C14" s="153" t="s">
        <v>71</v>
      </c>
      <c r="D14" s="152" t="s">
        <v>72</v>
      </c>
      <c r="E14" s="37" t="s">
        <v>241</v>
      </c>
      <c r="F14" s="1">
        <v>9</v>
      </c>
      <c r="G14" s="1">
        <v>9</v>
      </c>
      <c r="H14" s="1">
        <v>9</v>
      </c>
      <c r="I14" s="1">
        <v>7</v>
      </c>
      <c r="J14" s="6">
        <v>9</v>
      </c>
      <c r="K14" s="1">
        <v>5</v>
      </c>
      <c r="L14" s="1">
        <v>5</v>
      </c>
      <c r="M14" s="1">
        <v>6</v>
      </c>
      <c r="N14" s="1">
        <v>3</v>
      </c>
      <c r="O14" s="1">
        <v>9</v>
      </c>
      <c r="P14" s="8">
        <f t="shared" si="10"/>
        <v>18</v>
      </c>
      <c r="Q14" s="8">
        <f t="shared" si="11"/>
        <v>18</v>
      </c>
      <c r="R14" s="8">
        <f t="shared" si="12"/>
        <v>16</v>
      </c>
      <c r="S14" s="8">
        <f t="shared" si="13"/>
        <v>16</v>
      </c>
      <c r="T14" s="8">
        <f t="shared" si="14"/>
        <v>14</v>
      </c>
      <c r="U14" s="8">
        <f t="shared" si="15"/>
        <v>10</v>
      </c>
      <c r="V14" s="8">
        <f t="shared" si="16"/>
        <v>11</v>
      </c>
      <c r="W14" s="8">
        <f t="shared" si="17"/>
        <v>9</v>
      </c>
      <c r="X14" s="8">
        <f t="shared" si="18"/>
        <v>12</v>
      </c>
      <c r="Y14" s="8">
        <f t="shared" si="1"/>
        <v>0.55000000000000004</v>
      </c>
      <c r="Z14" s="8">
        <f t="shared" si="2"/>
        <v>0.7</v>
      </c>
      <c r="AA14" s="8">
        <f t="shared" si="3"/>
        <v>0.15000000000000002</v>
      </c>
      <c r="AB14" s="8">
        <f t="shared" si="4"/>
        <v>-0.26</v>
      </c>
      <c r="AC14" s="8">
        <f t="shared" si="5"/>
        <v>-1.48</v>
      </c>
      <c r="AD14" s="8">
        <f t="shared" si="6"/>
        <v>-2.25</v>
      </c>
      <c r="AE14" s="8">
        <f t="shared" si="7"/>
        <v>-1.43</v>
      </c>
      <c r="AF14" s="8">
        <f t="shared" si="8"/>
        <v>-1.64</v>
      </c>
      <c r="AG14" s="8">
        <f t="shared" si="9"/>
        <v>-0.94000000000000006</v>
      </c>
      <c r="AH14">
        <v>0.55000000000000004</v>
      </c>
      <c r="AI14">
        <v>0.7</v>
      </c>
      <c r="AJ14">
        <v>0.15000000000000002</v>
      </c>
      <c r="AK14">
        <v>-0.26</v>
      </c>
      <c r="AL14">
        <v>-1.37</v>
      </c>
      <c r="AM14">
        <v>-2.25</v>
      </c>
      <c r="AN14">
        <v>-1.74</v>
      </c>
      <c r="AO14" s="8">
        <v>-2.3499999999999996</v>
      </c>
      <c r="AP14" s="8">
        <v>-1.22</v>
      </c>
    </row>
    <row r="15" spans="1:42" ht="25.5" x14ac:dyDescent="0.25">
      <c r="A15" s="7">
        <v>13</v>
      </c>
      <c r="B15" s="154" t="s">
        <v>268</v>
      </c>
      <c r="C15" s="155" t="s">
        <v>264</v>
      </c>
      <c r="D15" s="154" t="s">
        <v>271</v>
      </c>
      <c r="E15" s="154" t="s">
        <v>245</v>
      </c>
      <c r="F15" s="1"/>
      <c r="G15" s="1"/>
      <c r="H15" s="1"/>
      <c r="I15" s="1"/>
      <c r="J15" s="6"/>
      <c r="K15" s="1">
        <v>7</v>
      </c>
      <c r="L15" s="1">
        <v>9</v>
      </c>
      <c r="M15" s="1">
        <v>7</v>
      </c>
      <c r="N15" s="1">
        <v>9</v>
      </c>
      <c r="O15" s="1">
        <v>8</v>
      </c>
      <c r="P15" s="8" t="str">
        <f t="shared" si="10"/>
        <v>N/A</v>
      </c>
      <c r="Q15" s="8" t="str">
        <f t="shared" si="11"/>
        <v>N/A</v>
      </c>
      <c r="R15" s="8" t="str">
        <f t="shared" si="12"/>
        <v>N/A</v>
      </c>
      <c r="S15" s="8" t="str">
        <f t="shared" si="13"/>
        <v>N/A</v>
      </c>
      <c r="T15" s="8" t="str">
        <f t="shared" si="14"/>
        <v>N/A</v>
      </c>
      <c r="U15" s="8">
        <f t="shared" si="15"/>
        <v>16</v>
      </c>
      <c r="V15" s="8">
        <f t="shared" si="16"/>
        <v>16</v>
      </c>
      <c r="W15" s="8">
        <f t="shared" si="17"/>
        <v>16</v>
      </c>
      <c r="X15" s="8">
        <f t="shared" si="18"/>
        <v>17</v>
      </c>
      <c r="Y15" s="8" t="str">
        <f t="shared" si="1"/>
        <v>N/A</v>
      </c>
      <c r="Z15" s="8" t="str">
        <f t="shared" si="2"/>
        <v>N/A</v>
      </c>
      <c r="AA15" s="8" t="str">
        <f t="shared" si="3"/>
        <v>N/A</v>
      </c>
      <c r="AB15" s="8" t="str">
        <f t="shared" si="4"/>
        <v>N/A</v>
      </c>
      <c r="AC15" s="8" t="str">
        <f t="shared" si="5"/>
        <v>N/A</v>
      </c>
      <c r="AD15" s="8">
        <f t="shared" si="6"/>
        <v>-6.9999999999999993E-2</v>
      </c>
      <c r="AE15" s="8">
        <f t="shared" si="7"/>
        <v>0.14000000000000001</v>
      </c>
      <c r="AF15" s="8">
        <f t="shared" si="8"/>
        <v>0.21000000000000002</v>
      </c>
      <c r="AG15" s="8">
        <f t="shared" si="9"/>
        <v>0.59</v>
      </c>
      <c r="AH15" t="e">
        <v>#N/A</v>
      </c>
      <c r="AI15" t="e">
        <v>#N/A</v>
      </c>
      <c r="AJ15" t="e">
        <v>#N/A</v>
      </c>
      <c r="AK15" t="e">
        <v>#N/A</v>
      </c>
      <c r="AL15" t="e">
        <v>#N/A</v>
      </c>
      <c r="AM15">
        <v>-6.9999999999999993E-2</v>
      </c>
      <c r="AN15">
        <v>6.0000000000000005E-2</v>
      </c>
      <c r="AO15" s="8">
        <v>0.08</v>
      </c>
      <c r="AP15" s="8">
        <v>0.57999999999999996</v>
      </c>
    </row>
    <row r="16" spans="1:42" x14ac:dyDescent="0.25">
      <c r="A16" s="7">
        <v>14</v>
      </c>
      <c r="B16" s="64" t="s">
        <v>342</v>
      </c>
      <c r="C16" s="156" t="s">
        <v>220</v>
      </c>
      <c r="D16" s="156" t="s">
        <v>80</v>
      </c>
      <c r="E16" s="156" t="s">
        <v>294</v>
      </c>
      <c r="F16" s="1"/>
      <c r="G16" s="1"/>
      <c r="H16" s="1"/>
      <c r="I16" s="1"/>
      <c r="J16" s="6"/>
      <c r="K16" s="1"/>
      <c r="L16" s="1"/>
      <c r="M16" s="1">
        <v>9</v>
      </c>
      <c r="N16" s="1">
        <v>8</v>
      </c>
      <c r="O16" s="1">
        <v>9</v>
      </c>
      <c r="P16" s="8" t="str">
        <f t="shared" si="10"/>
        <v>N/A</v>
      </c>
      <c r="Q16" s="8" t="str">
        <f t="shared" si="11"/>
        <v>N/A</v>
      </c>
      <c r="R16" s="8" t="str">
        <f t="shared" si="12"/>
        <v>N/A</v>
      </c>
      <c r="S16" s="8" t="str">
        <f t="shared" si="13"/>
        <v>N/A</v>
      </c>
      <c r="T16" s="8" t="str">
        <f t="shared" si="14"/>
        <v>N/A</v>
      </c>
      <c r="U16" s="8" t="str">
        <f t="shared" si="15"/>
        <v>N/A</v>
      </c>
      <c r="V16" s="8" t="str">
        <f t="shared" si="16"/>
        <v>N/A</v>
      </c>
      <c r="W16" s="8">
        <f t="shared" si="17"/>
        <v>17</v>
      </c>
      <c r="X16" s="8">
        <f t="shared" si="18"/>
        <v>17</v>
      </c>
      <c r="Y16" s="8" t="str">
        <f t="shared" si="1"/>
        <v>N/A</v>
      </c>
      <c r="Z16" s="8" t="str">
        <f t="shared" si="2"/>
        <v>N/A</v>
      </c>
      <c r="AA16" s="8" t="str">
        <f t="shared" si="3"/>
        <v>N/A</v>
      </c>
      <c r="AB16" s="8" t="str">
        <f t="shared" si="4"/>
        <v>N/A</v>
      </c>
      <c r="AC16" s="8" t="str">
        <f t="shared" si="5"/>
        <v>N/A</v>
      </c>
      <c r="AD16" s="8" t="str">
        <f t="shared" si="6"/>
        <v>N/A</v>
      </c>
      <c r="AE16" s="8" t="str">
        <f t="shared" si="7"/>
        <v>N/A</v>
      </c>
      <c r="AF16" s="8">
        <f t="shared" si="8"/>
        <v>0.47000000000000003</v>
      </c>
      <c r="AG16" s="8">
        <f t="shared" si="9"/>
        <v>0.59</v>
      </c>
      <c r="AH16" t="e">
        <v>#N/A</v>
      </c>
      <c r="AI16" t="e">
        <v>#N/A</v>
      </c>
      <c r="AJ16" t="e">
        <v>#N/A</v>
      </c>
      <c r="AK16" t="e">
        <v>#N/A</v>
      </c>
      <c r="AL16" t="e">
        <v>#N/A</v>
      </c>
      <c r="AM16" t="e">
        <v>#N/A</v>
      </c>
      <c r="AN16" t="e">
        <v>#N/A</v>
      </c>
      <c r="AO16" s="8">
        <v>0.43</v>
      </c>
      <c r="AP16" s="8">
        <v>0.57999999999999996</v>
      </c>
    </row>
    <row r="17" spans="1:42" ht="25.5" x14ac:dyDescent="0.25">
      <c r="A17" s="7">
        <v>15</v>
      </c>
      <c r="B17" s="64" t="s">
        <v>352</v>
      </c>
      <c r="C17" s="156" t="s">
        <v>36</v>
      </c>
      <c r="D17" s="156" t="s">
        <v>37</v>
      </c>
      <c r="E17" s="156" t="s">
        <v>294</v>
      </c>
      <c r="F17" s="1"/>
      <c r="G17" s="1"/>
      <c r="H17" s="1"/>
      <c r="I17" s="1"/>
      <c r="J17" s="6"/>
      <c r="K17" s="1"/>
      <c r="L17" s="1"/>
      <c r="M17" s="1">
        <v>9</v>
      </c>
      <c r="N17" s="1"/>
      <c r="O17" s="1">
        <v>7</v>
      </c>
      <c r="P17" s="8" t="str">
        <f t="shared" si="10"/>
        <v>N/A</v>
      </c>
      <c r="Q17" s="8" t="str">
        <f t="shared" si="11"/>
        <v>N/A</v>
      </c>
      <c r="R17" s="8" t="str">
        <f t="shared" si="12"/>
        <v>N/A</v>
      </c>
      <c r="S17" s="8" t="str">
        <f t="shared" si="13"/>
        <v>N/A</v>
      </c>
      <c r="T17" s="8" t="str">
        <f t="shared" si="14"/>
        <v>N/A</v>
      </c>
      <c r="U17" s="8" t="str">
        <f t="shared" si="15"/>
        <v>N/A</v>
      </c>
      <c r="V17" s="8" t="str">
        <f t="shared" si="16"/>
        <v>N/A</v>
      </c>
      <c r="W17" s="8" t="str">
        <f t="shared" si="17"/>
        <v>N/A</v>
      </c>
      <c r="X17" s="8" t="str">
        <f t="shared" si="18"/>
        <v>N/A</v>
      </c>
      <c r="Y17" s="8" t="str">
        <f t="shared" si="1"/>
        <v>N/A</v>
      </c>
      <c r="Z17" s="8" t="str">
        <f t="shared" si="2"/>
        <v>N/A</v>
      </c>
      <c r="AA17" s="8" t="str">
        <f t="shared" si="3"/>
        <v>N/A</v>
      </c>
      <c r="AB17" s="8" t="str">
        <f t="shared" si="4"/>
        <v>N/A</v>
      </c>
      <c r="AC17" s="8" t="str">
        <f t="shared" si="5"/>
        <v>N/A</v>
      </c>
      <c r="AD17" s="8" t="str">
        <f t="shared" si="6"/>
        <v>N/A</v>
      </c>
      <c r="AE17" s="8" t="str">
        <f t="shared" si="7"/>
        <v>N/A</v>
      </c>
      <c r="AF17" s="8" t="str">
        <f t="shared" si="8"/>
        <v>N/A</v>
      </c>
      <c r="AG17" s="8" t="str">
        <f t="shared" si="9"/>
        <v>N/A</v>
      </c>
      <c r="AH17" t="e">
        <v>#N/A</v>
      </c>
      <c r="AI17" t="e">
        <v>#N/A</v>
      </c>
      <c r="AJ17" t="e">
        <v>#N/A</v>
      </c>
      <c r="AK17" t="e">
        <v>#N/A</v>
      </c>
      <c r="AL17" t="e">
        <v>#N/A</v>
      </c>
      <c r="AM17" t="e">
        <v>#N/A</v>
      </c>
      <c r="AN17" t="e">
        <v>#N/A</v>
      </c>
      <c r="AO17" s="8" t="e">
        <v>#N/A</v>
      </c>
      <c r="AP17" s="8" t="e">
        <v>#N/A</v>
      </c>
    </row>
    <row r="18" spans="1:42" ht="25.5" x14ac:dyDescent="0.25">
      <c r="A18" s="7">
        <v>16</v>
      </c>
      <c r="B18" s="157" t="s">
        <v>343</v>
      </c>
      <c r="C18" s="157" t="s">
        <v>302</v>
      </c>
      <c r="D18" s="157" t="s">
        <v>320</v>
      </c>
      <c r="E18" s="157" t="s">
        <v>316</v>
      </c>
      <c r="F18" s="1"/>
      <c r="G18" s="1"/>
      <c r="H18" s="1"/>
      <c r="I18" s="1"/>
      <c r="J18" s="6"/>
      <c r="K18" s="1"/>
      <c r="L18" s="1"/>
      <c r="M18" s="1">
        <v>9</v>
      </c>
      <c r="N18" s="1">
        <v>9</v>
      </c>
      <c r="O18" s="1">
        <v>9</v>
      </c>
      <c r="P18" s="8" t="str">
        <f t="shared" si="10"/>
        <v>N/A</v>
      </c>
      <c r="Q18" s="8" t="str">
        <f t="shared" si="11"/>
        <v>N/A</v>
      </c>
      <c r="R18" s="8" t="str">
        <f t="shared" si="12"/>
        <v>N/A</v>
      </c>
      <c r="S18" s="8" t="str">
        <f t="shared" si="13"/>
        <v>N/A</v>
      </c>
      <c r="T18" s="8" t="str">
        <f t="shared" si="14"/>
        <v>N/A</v>
      </c>
      <c r="U18" s="8" t="str">
        <f t="shared" si="15"/>
        <v>N/A</v>
      </c>
      <c r="V18" s="8" t="str">
        <f t="shared" si="16"/>
        <v>N/A</v>
      </c>
      <c r="W18" s="8">
        <f t="shared" si="17"/>
        <v>18</v>
      </c>
      <c r="X18" s="8">
        <f t="shared" si="18"/>
        <v>18</v>
      </c>
      <c r="Y18" s="8" t="str">
        <f t="shared" si="1"/>
        <v>N/A</v>
      </c>
      <c r="Z18" s="8" t="str">
        <f t="shared" si="2"/>
        <v>N/A</v>
      </c>
      <c r="AA18" s="8" t="str">
        <f t="shared" si="3"/>
        <v>N/A</v>
      </c>
      <c r="AB18" s="8" t="str">
        <f t="shared" si="4"/>
        <v>N/A</v>
      </c>
      <c r="AC18" s="8" t="str">
        <f t="shared" si="5"/>
        <v>N/A</v>
      </c>
      <c r="AD18" s="8" t="str">
        <f t="shared" si="6"/>
        <v>N/A</v>
      </c>
      <c r="AE18" s="8" t="str">
        <f t="shared" si="7"/>
        <v>N/A</v>
      </c>
      <c r="AF18" s="8">
        <f t="shared" si="8"/>
        <v>0.73</v>
      </c>
      <c r="AG18" s="8">
        <f t="shared" si="9"/>
        <v>0.9</v>
      </c>
      <c r="AH18" t="e">
        <v>#N/A</v>
      </c>
      <c r="AI18" t="e">
        <v>#N/A</v>
      </c>
      <c r="AJ18" t="e">
        <v>#N/A</v>
      </c>
      <c r="AK18" t="e">
        <v>#N/A</v>
      </c>
      <c r="AL18" t="e">
        <v>#N/A</v>
      </c>
      <c r="AM18" t="e">
        <v>#N/A</v>
      </c>
      <c r="AN18" t="e">
        <v>#N/A</v>
      </c>
      <c r="AO18" s="8">
        <v>0.78</v>
      </c>
      <c r="AP18" s="8">
        <v>0.93</v>
      </c>
    </row>
    <row r="19" spans="1:42" ht="25.5" x14ac:dyDescent="0.25">
      <c r="A19" s="7">
        <v>17</v>
      </c>
      <c r="B19" s="65" t="s">
        <v>344</v>
      </c>
      <c r="C19" s="158" t="s">
        <v>300</v>
      </c>
      <c r="D19" s="158" t="s">
        <v>317</v>
      </c>
      <c r="E19" s="158" t="s">
        <v>307</v>
      </c>
      <c r="F19" s="1"/>
      <c r="G19" s="1"/>
      <c r="H19" s="1"/>
      <c r="I19" s="1"/>
      <c r="J19" s="6"/>
      <c r="K19" s="1"/>
      <c r="L19" s="1"/>
      <c r="M19" s="1">
        <v>5</v>
      </c>
      <c r="N19" s="1">
        <v>3</v>
      </c>
      <c r="O19" s="1">
        <v>8</v>
      </c>
      <c r="P19" s="8" t="str">
        <f t="shared" si="10"/>
        <v>N/A</v>
      </c>
      <c r="Q19" s="8" t="str">
        <f t="shared" si="11"/>
        <v>N/A</v>
      </c>
      <c r="R19" s="8" t="str">
        <f t="shared" si="12"/>
        <v>N/A</v>
      </c>
      <c r="S19" s="8" t="str">
        <f t="shared" si="13"/>
        <v>N/A</v>
      </c>
      <c r="T19" s="8" t="str">
        <f t="shared" si="14"/>
        <v>N/A</v>
      </c>
      <c r="U19" s="8" t="str">
        <f t="shared" si="15"/>
        <v>N/A</v>
      </c>
      <c r="V19" s="8" t="str">
        <f t="shared" si="16"/>
        <v>N/A</v>
      </c>
      <c r="W19" s="8">
        <f t="shared" si="17"/>
        <v>8</v>
      </c>
      <c r="X19" s="8">
        <f t="shared" si="18"/>
        <v>11</v>
      </c>
      <c r="Y19" s="8" t="str">
        <f t="shared" si="1"/>
        <v>N/A</v>
      </c>
      <c r="Z19" s="8" t="str">
        <f t="shared" si="2"/>
        <v>N/A</v>
      </c>
      <c r="AA19" s="8" t="str">
        <f t="shared" si="3"/>
        <v>N/A</v>
      </c>
      <c r="AB19" s="8" t="str">
        <f t="shared" si="4"/>
        <v>N/A</v>
      </c>
      <c r="AC19" s="8" t="str">
        <f t="shared" si="5"/>
        <v>N/A</v>
      </c>
      <c r="AD19" s="8" t="str">
        <f t="shared" si="6"/>
        <v>N/A</v>
      </c>
      <c r="AE19" s="8" t="str">
        <f t="shared" si="7"/>
        <v>N/A</v>
      </c>
      <c r="AF19" s="8">
        <f t="shared" si="8"/>
        <v>-1.9</v>
      </c>
      <c r="AG19" s="8">
        <f t="shared" si="9"/>
        <v>-1.24</v>
      </c>
      <c r="AH19" t="e">
        <v>#N/A</v>
      </c>
      <c r="AI19" t="e">
        <v>#N/A</v>
      </c>
      <c r="AJ19" t="e">
        <v>#N/A</v>
      </c>
      <c r="AK19" t="e">
        <v>#N/A</v>
      </c>
      <c r="AL19" t="e">
        <v>#N/A</v>
      </c>
      <c r="AM19" t="e">
        <v>#N/A</v>
      </c>
      <c r="AN19" t="e">
        <v>#N/A</v>
      </c>
      <c r="AO19" s="8">
        <v>-1.31</v>
      </c>
      <c r="AP19" s="8">
        <v>-0.86</v>
      </c>
    </row>
    <row r="20" spans="1:42" x14ac:dyDescent="0.25">
      <c r="A20" s="7">
        <v>18</v>
      </c>
      <c r="B20" s="62" t="s">
        <v>184</v>
      </c>
      <c r="C20" s="62" t="s">
        <v>104</v>
      </c>
      <c r="D20" s="62" t="s">
        <v>105</v>
      </c>
      <c r="E20" s="62" t="s">
        <v>185</v>
      </c>
      <c r="F20" s="1">
        <v>9</v>
      </c>
      <c r="G20" s="1">
        <v>8</v>
      </c>
      <c r="H20" s="1">
        <v>6</v>
      </c>
      <c r="I20" s="1">
        <v>9</v>
      </c>
      <c r="J20" s="6">
        <v>9</v>
      </c>
      <c r="K20" s="1">
        <v>8</v>
      </c>
      <c r="L20" s="1">
        <v>8</v>
      </c>
      <c r="M20" s="1"/>
      <c r="N20" s="1"/>
      <c r="O20" s="1" t="s">
        <v>272</v>
      </c>
      <c r="P20" s="8">
        <f t="shared" si="10"/>
        <v>17</v>
      </c>
      <c r="Q20" s="8">
        <f t="shared" si="11"/>
        <v>14</v>
      </c>
      <c r="R20" s="8">
        <f t="shared" si="12"/>
        <v>15</v>
      </c>
      <c r="S20" s="8">
        <f t="shared" si="13"/>
        <v>18</v>
      </c>
      <c r="T20" s="8">
        <f t="shared" si="14"/>
        <v>17</v>
      </c>
      <c r="U20" s="8">
        <f t="shared" si="15"/>
        <v>16</v>
      </c>
      <c r="V20" s="8" t="str">
        <f t="shared" si="16"/>
        <v>N/A</v>
      </c>
      <c r="W20" s="8" t="str">
        <f t="shared" si="17"/>
        <v>N/A</v>
      </c>
      <c r="X20" s="8" t="str">
        <f t="shared" si="18"/>
        <v>N/A</v>
      </c>
      <c r="Y20" s="8">
        <f t="shared" si="1"/>
        <v>-0.14000000000000001</v>
      </c>
      <c r="Z20" s="8">
        <f t="shared" si="2"/>
        <v>-0.24000000000000002</v>
      </c>
      <c r="AA20" s="8">
        <f t="shared" si="3"/>
        <v>-0.09</v>
      </c>
      <c r="AB20" s="8">
        <f t="shared" si="4"/>
        <v>0.69000000000000006</v>
      </c>
      <c r="AC20" s="8">
        <f t="shared" si="5"/>
        <v>0.17</v>
      </c>
      <c r="AD20" s="8">
        <f t="shared" si="6"/>
        <v>-6.9999999999999993E-2</v>
      </c>
      <c r="AE20" s="8" t="str">
        <f t="shared" si="7"/>
        <v>N/A</v>
      </c>
      <c r="AF20" s="8" t="str">
        <f t="shared" si="8"/>
        <v>N/A</v>
      </c>
      <c r="AG20" s="8" t="str">
        <f t="shared" si="9"/>
        <v>N/A</v>
      </c>
      <c r="AH20">
        <v>-0.14000000000000001</v>
      </c>
      <c r="AI20">
        <v>-0.24000000000000002</v>
      </c>
      <c r="AJ20">
        <v>-0.09</v>
      </c>
      <c r="AK20">
        <v>0.69000000000000006</v>
      </c>
      <c r="AL20">
        <v>0.24000000000000002</v>
      </c>
      <c r="AM20">
        <v>-6.9999999999999993E-2</v>
      </c>
      <c r="AN20" t="e">
        <v>#N/A</v>
      </c>
      <c r="AO20" s="8" t="e">
        <v>#N/A</v>
      </c>
      <c r="AP20" s="8" t="e">
        <v>#N/A</v>
      </c>
    </row>
    <row r="21" spans="1:42" x14ac:dyDescent="0.25">
      <c r="A21" s="7">
        <v>19</v>
      </c>
      <c r="B21" s="63" t="s">
        <v>191</v>
      </c>
      <c r="C21" s="63" t="s">
        <v>20</v>
      </c>
      <c r="D21" s="63" t="s">
        <v>21</v>
      </c>
      <c r="E21" s="63" t="s">
        <v>242</v>
      </c>
      <c r="F21" s="1">
        <v>9</v>
      </c>
      <c r="G21" s="1">
        <v>9</v>
      </c>
      <c r="H21" s="1">
        <v>9</v>
      </c>
      <c r="I21" s="1">
        <v>9</v>
      </c>
      <c r="J21" s="6">
        <v>9</v>
      </c>
      <c r="K21" s="1">
        <v>9</v>
      </c>
      <c r="L21" s="1">
        <v>9</v>
      </c>
      <c r="M21" s="1"/>
      <c r="N21" s="1"/>
      <c r="O21" s="1" t="s">
        <v>272</v>
      </c>
      <c r="P21" s="8">
        <f t="shared" si="10"/>
        <v>18</v>
      </c>
      <c r="Q21" s="8">
        <f t="shared" si="11"/>
        <v>18</v>
      </c>
      <c r="R21" s="8">
        <f t="shared" si="12"/>
        <v>18</v>
      </c>
      <c r="S21" s="8">
        <f t="shared" si="13"/>
        <v>18</v>
      </c>
      <c r="T21" s="8">
        <f t="shared" si="14"/>
        <v>18</v>
      </c>
      <c r="U21" s="8">
        <f t="shared" si="15"/>
        <v>18</v>
      </c>
      <c r="V21" s="8" t="str">
        <f t="shared" si="16"/>
        <v>N/A</v>
      </c>
      <c r="W21" s="8" t="str">
        <f t="shared" si="17"/>
        <v>N/A</v>
      </c>
      <c r="X21" s="8" t="str">
        <f t="shared" si="18"/>
        <v>N/A</v>
      </c>
      <c r="Y21" s="8">
        <f t="shared" si="1"/>
        <v>0.55000000000000004</v>
      </c>
      <c r="Z21" s="8">
        <f t="shared" si="2"/>
        <v>0.7</v>
      </c>
      <c r="AA21" s="8">
        <f t="shared" si="3"/>
        <v>0.61</v>
      </c>
      <c r="AB21" s="8">
        <f t="shared" si="4"/>
        <v>0.69000000000000006</v>
      </c>
      <c r="AC21" s="8">
        <f t="shared" si="5"/>
        <v>0.72</v>
      </c>
      <c r="AD21" s="8">
        <f t="shared" si="6"/>
        <v>0.67</v>
      </c>
      <c r="AE21" s="8" t="str">
        <f t="shared" si="7"/>
        <v>N/A</v>
      </c>
      <c r="AF21" s="8" t="str">
        <f t="shared" si="8"/>
        <v>N/A</v>
      </c>
      <c r="AG21" s="8" t="str">
        <f t="shared" si="9"/>
        <v>N/A</v>
      </c>
      <c r="AH21">
        <v>0.55000000000000004</v>
      </c>
      <c r="AI21">
        <v>0.7</v>
      </c>
      <c r="AJ21">
        <v>0.61</v>
      </c>
      <c r="AK21">
        <v>0.69000000000000006</v>
      </c>
      <c r="AL21">
        <v>0.77</v>
      </c>
      <c r="AM21">
        <v>0.67</v>
      </c>
      <c r="AN21" t="e">
        <v>#N/A</v>
      </c>
      <c r="AO21" s="8" t="e">
        <v>#N/A</v>
      </c>
      <c r="AP21" s="8" t="e">
        <v>#N/A</v>
      </c>
    </row>
    <row r="22" spans="1:42" x14ac:dyDescent="0.25">
      <c r="A22" s="7">
        <v>20</v>
      </c>
      <c r="B22" s="63" t="s">
        <v>252</v>
      </c>
      <c r="C22" s="63" t="s">
        <v>40</v>
      </c>
      <c r="D22" s="63" t="s">
        <v>222</v>
      </c>
      <c r="E22" s="63" t="s">
        <v>185</v>
      </c>
      <c r="F22" s="1"/>
      <c r="G22" s="1"/>
      <c r="H22" s="1"/>
      <c r="I22" s="1"/>
      <c r="J22" s="6">
        <v>9</v>
      </c>
      <c r="K22" s="1">
        <v>9</v>
      </c>
      <c r="L22" s="1">
        <v>9</v>
      </c>
      <c r="M22" s="1"/>
      <c r="N22" s="1"/>
      <c r="O22" s="1" t="s">
        <v>272</v>
      </c>
      <c r="P22" s="8" t="str">
        <f t="shared" si="10"/>
        <v>N/A</v>
      </c>
      <c r="Q22" s="8" t="str">
        <f t="shared" si="11"/>
        <v>N/A</v>
      </c>
      <c r="R22" s="8" t="str">
        <f t="shared" si="12"/>
        <v>N/A</v>
      </c>
      <c r="S22" s="8" t="str">
        <f t="shared" si="13"/>
        <v>N/A</v>
      </c>
      <c r="T22" s="8">
        <f t="shared" si="14"/>
        <v>18</v>
      </c>
      <c r="U22" s="8">
        <f t="shared" si="15"/>
        <v>18</v>
      </c>
      <c r="V22" s="8" t="str">
        <f t="shared" si="16"/>
        <v>N/A</v>
      </c>
      <c r="W22" s="8" t="str">
        <f t="shared" si="17"/>
        <v>N/A</v>
      </c>
      <c r="X22" s="8" t="str">
        <f t="shared" si="18"/>
        <v>N/A</v>
      </c>
      <c r="Y22" s="8" t="str">
        <f t="shared" si="1"/>
        <v>N/A</v>
      </c>
      <c r="Z22" s="8" t="str">
        <f t="shared" si="2"/>
        <v>N/A</v>
      </c>
      <c r="AA22" s="8" t="str">
        <f t="shared" si="3"/>
        <v>N/A</v>
      </c>
      <c r="AB22" s="8" t="str">
        <f t="shared" si="4"/>
        <v>N/A</v>
      </c>
      <c r="AC22" s="8">
        <f t="shared" si="5"/>
        <v>0.72</v>
      </c>
      <c r="AD22" s="8">
        <f t="shared" si="6"/>
        <v>0.67</v>
      </c>
      <c r="AE22" s="8" t="str">
        <f t="shared" si="7"/>
        <v>N/A</v>
      </c>
      <c r="AF22" s="8" t="str">
        <f t="shared" si="8"/>
        <v>N/A</v>
      </c>
      <c r="AG22" s="8" t="str">
        <f t="shared" si="9"/>
        <v>N/A</v>
      </c>
      <c r="AH22" t="e">
        <v>#N/A</v>
      </c>
      <c r="AI22" t="e">
        <v>#N/A</v>
      </c>
      <c r="AJ22" t="e">
        <v>#N/A</v>
      </c>
      <c r="AK22" t="e">
        <v>#N/A</v>
      </c>
      <c r="AL22">
        <v>0.77</v>
      </c>
      <c r="AM22">
        <v>0.67</v>
      </c>
      <c r="AN22" t="e">
        <v>#N/A</v>
      </c>
      <c r="AO22" s="8" t="e">
        <v>#N/A</v>
      </c>
      <c r="AP22" s="8" t="e">
        <v>#N/A</v>
      </c>
    </row>
    <row r="23" spans="1:42" ht="25.5" x14ac:dyDescent="0.25">
      <c r="A23" s="7">
        <v>21</v>
      </c>
      <c r="B23" s="63" t="s">
        <v>181</v>
      </c>
      <c r="C23" s="63" t="s">
        <v>96</v>
      </c>
      <c r="D23" s="63" t="s">
        <v>97</v>
      </c>
      <c r="E23" s="63" t="s">
        <v>245</v>
      </c>
      <c r="F23" s="1">
        <v>9</v>
      </c>
      <c r="G23" s="1">
        <v>6</v>
      </c>
      <c r="H23" s="1">
        <v>8</v>
      </c>
      <c r="I23" s="1">
        <v>8</v>
      </c>
      <c r="J23" s="6">
        <v>7</v>
      </c>
      <c r="K23" s="1">
        <v>6</v>
      </c>
      <c r="L23" s="1">
        <v>6</v>
      </c>
      <c r="M23" s="1"/>
      <c r="N23" s="1"/>
      <c r="O23" s="1" t="s">
        <v>272</v>
      </c>
      <c r="P23" s="8">
        <f t="shared" si="10"/>
        <v>15</v>
      </c>
      <c r="Q23" s="8">
        <f t="shared" si="11"/>
        <v>14</v>
      </c>
      <c r="R23" s="8">
        <f t="shared" si="12"/>
        <v>16</v>
      </c>
      <c r="S23" s="8">
        <f t="shared" si="13"/>
        <v>15</v>
      </c>
      <c r="T23" s="8">
        <f t="shared" si="14"/>
        <v>13</v>
      </c>
      <c r="U23" s="8">
        <f t="shared" si="15"/>
        <v>12</v>
      </c>
      <c r="V23" s="8" t="str">
        <f t="shared" si="16"/>
        <v>N/A</v>
      </c>
      <c r="W23" s="8" t="str">
        <f t="shared" si="17"/>
        <v>N/A</v>
      </c>
      <c r="X23" s="8" t="str">
        <f t="shared" si="18"/>
        <v>N/A</v>
      </c>
      <c r="Y23" s="8">
        <f t="shared" si="1"/>
        <v>-1.5</v>
      </c>
      <c r="Z23" s="8">
        <f t="shared" si="2"/>
        <v>-0.24000000000000002</v>
      </c>
      <c r="AA23" s="8">
        <f t="shared" si="3"/>
        <v>0.15000000000000002</v>
      </c>
      <c r="AB23" s="8">
        <f t="shared" si="4"/>
        <v>-0.74</v>
      </c>
      <c r="AC23" s="8">
        <f t="shared" si="5"/>
        <v>-2.0299999999999998</v>
      </c>
      <c r="AD23" s="8">
        <f t="shared" si="6"/>
        <v>-1.53</v>
      </c>
      <c r="AE23" s="8" t="str">
        <f t="shared" si="7"/>
        <v>N/A</v>
      </c>
      <c r="AF23" s="8" t="str">
        <f t="shared" si="8"/>
        <v>N/A</v>
      </c>
      <c r="AG23" s="8" t="str">
        <f t="shared" si="9"/>
        <v>N/A</v>
      </c>
      <c r="AH23">
        <v>-1.5</v>
      </c>
      <c r="AI23">
        <v>-0.24000000000000002</v>
      </c>
      <c r="AJ23">
        <v>0.15000000000000002</v>
      </c>
      <c r="AK23">
        <v>-0.74</v>
      </c>
      <c r="AL23">
        <v>-1.9</v>
      </c>
      <c r="AM23">
        <v>-1.53</v>
      </c>
      <c r="AN23" t="e">
        <v>#N/A</v>
      </c>
      <c r="AO23" s="8" t="e">
        <v>#N/A</v>
      </c>
      <c r="AP23" s="8" t="e">
        <v>#N/A</v>
      </c>
    </row>
    <row r="24" spans="1:42" ht="25.5" x14ac:dyDescent="0.25">
      <c r="A24" s="7">
        <v>22</v>
      </c>
      <c r="B24" s="63" t="s">
        <v>188</v>
      </c>
      <c r="C24" s="63" t="s">
        <v>107</v>
      </c>
      <c r="D24" s="63" t="s">
        <v>108</v>
      </c>
      <c r="E24" s="63" t="s">
        <v>245</v>
      </c>
      <c r="F24" s="1"/>
      <c r="G24" s="1">
        <v>3</v>
      </c>
      <c r="H24" s="1">
        <v>3</v>
      </c>
      <c r="I24" s="1">
        <v>3</v>
      </c>
      <c r="J24" s="6"/>
      <c r="K24" s="1"/>
      <c r="L24" s="1">
        <v>5</v>
      </c>
      <c r="M24" s="1"/>
      <c r="N24" s="1"/>
      <c r="O24" s="1" t="s">
        <v>272</v>
      </c>
      <c r="P24" s="8" t="str">
        <f t="shared" si="10"/>
        <v>N/A</v>
      </c>
      <c r="Q24" s="8">
        <f t="shared" si="11"/>
        <v>6</v>
      </c>
      <c r="R24" s="8">
        <f t="shared" si="12"/>
        <v>6</v>
      </c>
      <c r="S24" s="8" t="str">
        <f t="shared" si="13"/>
        <v>N/A</v>
      </c>
      <c r="T24" s="8" t="str">
        <f t="shared" si="14"/>
        <v>N/A</v>
      </c>
      <c r="U24" s="8" t="str">
        <f t="shared" si="15"/>
        <v>N/A</v>
      </c>
      <c r="V24" s="8" t="str">
        <f t="shared" si="16"/>
        <v>N/A</v>
      </c>
      <c r="W24" s="8" t="str">
        <f t="shared" si="17"/>
        <v>N/A</v>
      </c>
      <c r="X24" s="8" t="str">
        <f t="shared" si="18"/>
        <v>N/A</v>
      </c>
      <c r="Y24" s="8" t="str">
        <f t="shared" si="1"/>
        <v>N/A</v>
      </c>
      <c r="Z24" s="8">
        <f t="shared" si="2"/>
        <v>-2.0799999999999996</v>
      </c>
      <c r="AA24" s="8">
        <f t="shared" si="3"/>
        <v>-2.19</v>
      </c>
      <c r="AB24" s="8" t="str">
        <f t="shared" si="4"/>
        <v>N/A</v>
      </c>
      <c r="AC24" s="8" t="str">
        <f t="shared" si="5"/>
        <v>N/A</v>
      </c>
      <c r="AD24" s="8" t="str">
        <f t="shared" si="6"/>
        <v>N/A</v>
      </c>
      <c r="AE24" s="8" t="str">
        <f t="shared" si="7"/>
        <v>N/A</v>
      </c>
      <c r="AF24" s="8" t="str">
        <f t="shared" si="8"/>
        <v>N/A</v>
      </c>
      <c r="AG24" s="8" t="str">
        <f t="shared" si="9"/>
        <v>N/A</v>
      </c>
      <c r="AH24" t="e">
        <v>#N/A</v>
      </c>
      <c r="AI24">
        <v>-2.0799999999999996</v>
      </c>
      <c r="AJ24">
        <v>-2.19</v>
      </c>
      <c r="AK24" t="e">
        <v>#N/A</v>
      </c>
      <c r="AL24" t="e">
        <v>#N/A</v>
      </c>
      <c r="AM24" t="e">
        <v>#N/A</v>
      </c>
      <c r="AN24" t="e">
        <v>#N/A</v>
      </c>
      <c r="AO24" s="8" t="e">
        <v>#N/A</v>
      </c>
      <c r="AP24" s="8" t="e">
        <v>#N/A</v>
      </c>
    </row>
    <row r="25" spans="1:42" x14ac:dyDescent="0.25">
      <c r="A25" s="7">
        <v>23</v>
      </c>
      <c r="B25" s="63" t="s">
        <v>188</v>
      </c>
      <c r="C25" s="63" t="s">
        <v>107</v>
      </c>
      <c r="D25" s="63" t="s">
        <v>108</v>
      </c>
      <c r="E25" s="63"/>
      <c r="F25" s="1"/>
      <c r="G25" s="1">
        <v>3</v>
      </c>
      <c r="H25" s="1">
        <v>3</v>
      </c>
      <c r="I25" s="1">
        <v>3</v>
      </c>
      <c r="J25" s="6"/>
      <c r="K25" s="1"/>
      <c r="L25" s="1"/>
      <c r="M25" s="1"/>
      <c r="N25" s="1"/>
      <c r="O25" s="1" t="s">
        <v>272</v>
      </c>
      <c r="P25" s="8" t="str">
        <f t="shared" si="10"/>
        <v>N/A</v>
      </c>
      <c r="Q25" s="8">
        <f t="shared" si="11"/>
        <v>6</v>
      </c>
      <c r="R25" s="8">
        <f t="shared" si="12"/>
        <v>6</v>
      </c>
      <c r="S25" s="8" t="str">
        <f t="shared" si="13"/>
        <v>N/A</v>
      </c>
      <c r="T25" s="8" t="str">
        <f t="shared" si="14"/>
        <v>N/A</v>
      </c>
      <c r="U25" s="8" t="str">
        <f t="shared" si="15"/>
        <v>N/A</v>
      </c>
      <c r="V25" s="8" t="str">
        <f t="shared" si="16"/>
        <v>N/A</v>
      </c>
      <c r="W25" s="8" t="str">
        <f t="shared" si="17"/>
        <v>N/A</v>
      </c>
      <c r="X25" s="8" t="str">
        <f t="shared" si="18"/>
        <v>N/A</v>
      </c>
      <c r="Y25" s="8" t="str">
        <f t="shared" si="1"/>
        <v>N/A</v>
      </c>
      <c r="Z25" s="8">
        <f t="shared" si="2"/>
        <v>-2.0799999999999996</v>
      </c>
      <c r="AA25" s="8">
        <f t="shared" si="3"/>
        <v>-2.19</v>
      </c>
      <c r="AB25" s="8" t="str">
        <f t="shared" si="4"/>
        <v>N/A</v>
      </c>
      <c r="AC25" s="8" t="str">
        <f t="shared" si="5"/>
        <v>N/A</v>
      </c>
      <c r="AD25" s="8" t="str">
        <f t="shared" si="6"/>
        <v>N/A</v>
      </c>
      <c r="AE25" s="8" t="str">
        <f t="shared" si="7"/>
        <v>N/A</v>
      </c>
      <c r="AF25" s="8" t="str">
        <f t="shared" si="8"/>
        <v>N/A</v>
      </c>
      <c r="AG25" s="8" t="str">
        <f t="shared" si="9"/>
        <v>N/A</v>
      </c>
      <c r="AH25" t="e">
        <v>#N/A</v>
      </c>
      <c r="AI25">
        <v>-2.0799999999999996</v>
      </c>
      <c r="AJ25">
        <v>-2.19</v>
      </c>
      <c r="AK25" t="e">
        <v>#N/A</v>
      </c>
      <c r="AL25" t="e">
        <v>#N/A</v>
      </c>
      <c r="AM25" t="e">
        <v>#N/A</v>
      </c>
      <c r="AN25" t="e">
        <v>#N/A</v>
      </c>
      <c r="AO25" s="8" t="e">
        <v>#N/A</v>
      </c>
      <c r="AP25" s="8" t="e">
        <v>#N/A</v>
      </c>
    </row>
    <row r="26" spans="1:42" ht="25.5" x14ac:dyDescent="0.25">
      <c r="A26" s="7">
        <v>24</v>
      </c>
      <c r="B26" s="159" t="s">
        <v>169</v>
      </c>
      <c r="C26" s="159" t="s">
        <v>170</v>
      </c>
      <c r="D26" s="159" t="s">
        <v>171</v>
      </c>
      <c r="E26" s="63" t="s">
        <v>247</v>
      </c>
      <c r="F26" s="1"/>
      <c r="G26" s="1">
        <v>5</v>
      </c>
      <c r="H26" s="1">
        <v>8</v>
      </c>
      <c r="I26" s="1">
        <v>8</v>
      </c>
      <c r="J26" s="6">
        <v>3</v>
      </c>
      <c r="K26" s="1"/>
      <c r="L26" s="1"/>
      <c r="M26" s="1"/>
      <c r="N26" s="1"/>
      <c r="O26" s="1" t="s">
        <v>272</v>
      </c>
      <c r="P26" s="8" t="str">
        <f t="shared" si="10"/>
        <v>N/A</v>
      </c>
      <c r="Q26" s="8">
        <f t="shared" si="11"/>
        <v>13</v>
      </c>
      <c r="R26" s="8">
        <f t="shared" si="12"/>
        <v>16</v>
      </c>
      <c r="S26" s="8">
        <f t="shared" si="13"/>
        <v>11</v>
      </c>
      <c r="T26" s="8" t="str">
        <f t="shared" si="14"/>
        <v>N/A</v>
      </c>
      <c r="U26" s="8" t="str">
        <f t="shared" si="15"/>
        <v>N/A</v>
      </c>
      <c r="V26" s="8" t="str">
        <f t="shared" si="16"/>
        <v>N/A</v>
      </c>
      <c r="W26" s="8" t="str">
        <f t="shared" si="17"/>
        <v>N/A</v>
      </c>
      <c r="X26" s="8" t="str">
        <f t="shared" si="18"/>
        <v>N/A</v>
      </c>
      <c r="Y26" s="8" t="str">
        <f t="shared" si="1"/>
        <v>N/A</v>
      </c>
      <c r="Z26" s="8">
        <f t="shared" si="2"/>
        <v>-0.47000000000000003</v>
      </c>
      <c r="AA26" s="8">
        <f t="shared" si="3"/>
        <v>0.15000000000000002</v>
      </c>
      <c r="AB26" s="8">
        <f t="shared" si="4"/>
        <v>-2.63</v>
      </c>
      <c r="AC26" s="8" t="str">
        <f t="shared" si="5"/>
        <v>N/A</v>
      </c>
      <c r="AD26" s="8" t="str">
        <f t="shared" si="6"/>
        <v>N/A</v>
      </c>
      <c r="AE26" s="8" t="str">
        <f t="shared" si="7"/>
        <v>N/A</v>
      </c>
      <c r="AF26" s="8" t="str">
        <f t="shared" si="8"/>
        <v>N/A</v>
      </c>
      <c r="AG26" s="8" t="str">
        <f t="shared" si="9"/>
        <v>N/A</v>
      </c>
      <c r="AH26" t="e">
        <v>#N/A</v>
      </c>
      <c r="AI26">
        <v>-0.47000000000000003</v>
      </c>
      <c r="AJ26">
        <v>0.15000000000000002</v>
      </c>
      <c r="AK26">
        <v>-2.63</v>
      </c>
      <c r="AL26" t="e">
        <v>#N/A</v>
      </c>
      <c r="AM26" t="e">
        <v>#N/A</v>
      </c>
      <c r="AN26" t="e">
        <v>#N/A</v>
      </c>
      <c r="AO26" s="8" t="e">
        <v>#N/A</v>
      </c>
      <c r="AP26" s="8" t="e">
        <v>#N/A</v>
      </c>
    </row>
    <row r="27" spans="1:42" x14ac:dyDescent="0.25">
      <c r="A27" s="7">
        <v>25</v>
      </c>
      <c r="B27" s="63" t="s">
        <v>197</v>
      </c>
      <c r="C27" s="63" t="s">
        <v>111</v>
      </c>
      <c r="D27" s="63" t="s">
        <v>198</v>
      </c>
      <c r="E27" s="63"/>
      <c r="F27" s="1"/>
      <c r="G27" s="1"/>
      <c r="I27" s="1"/>
      <c r="J27" s="1"/>
      <c r="K27" s="1"/>
      <c r="L27" s="1"/>
      <c r="M27" s="1"/>
      <c r="N27" s="1"/>
      <c r="O27" s="1" t="s">
        <v>272</v>
      </c>
      <c r="P27" s="8" t="str">
        <f t="shared" si="10"/>
        <v>N/A</v>
      </c>
      <c r="Q27" s="8" t="str">
        <f t="shared" si="11"/>
        <v>N/A</v>
      </c>
      <c r="R27" s="8" t="str">
        <f t="shared" si="12"/>
        <v>N/A</v>
      </c>
      <c r="S27" s="8" t="str">
        <f t="shared" si="13"/>
        <v>N/A</v>
      </c>
      <c r="T27" s="8" t="str">
        <f t="shared" si="14"/>
        <v>N/A</v>
      </c>
      <c r="U27" s="8" t="str">
        <f t="shared" si="15"/>
        <v>N/A</v>
      </c>
      <c r="V27" s="8" t="str">
        <f t="shared" si="16"/>
        <v>N/A</v>
      </c>
      <c r="W27" s="8" t="str">
        <f t="shared" si="17"/>
        <v>N/A</v>
      </c>
      <c r="X27" s="8" t="str">
        <f t="shared" si="18"/>
        <v>N/A</v>
      </c>
      <c r="Y27" s="8" t="str">
        <f t="shared" si="1"/>
        <v>N/A</v>
      </c>
      <c r="Z27" s="8" t="str">
        <f t="shared" si="2"/>
        <v>N/A</v>
      </c>
      <c r="AA27" s="8" t="str">
        <f t="shared" si="3"/>
        <v>N/A</v>
      </c>
      <c r="AB27" s="8" t="str">
        <f t="shared" si="4"/>
        <v>N/A</v>
      </c>
      <c r="AC27" s="8" t="str">
        <f t="shared" si="5"/>
        <v>N/A</v>
      </c>
      <c r="AD27" s="8" t="str">
        <f t="shared" si="6"/>
        <v>N/A</v>
      </c>
      <c r="AE27" s="8" t="str">
        <f t="shared" si="7"/>
        <v>N/A</v>
      </c>
      <c r="AF27" s="8" t="str">
        <f t="shared" si="8"/>
        <v>N/A</v>
      </c>
      <c r="AG27" s="8" t="str">
        <f t="shared" si="9"/>
        <v>N/A</v>
      </c>
      <c r="AH27" t="e">
        <v>#N/A</v>
      </c>
      <c r="AI27" t="e">
        <v>#N/A</v>
      </c>
      <c r="AJ27" t="e">
        <v>#N/A</v>
      </c>
      <c r="AK27" t="e">
        <v>#N/A</v>
      </c>
      <c r="AL27" t="e">
        <v>#N/A</v>
      </c>
      <c r="AM27" t="e">
        <v>#N/A</v>
      </c>
      <c r="AN27" t="e">
        <v>#N/A</v>
      </c>
      <c r="AO27" s="8" t="e">
        <v>#N/A</v>
      </c>
      <c r="AP27" s="8" t="e">
        <v>#N/A</v>
      </c>
    </row>
    <row r="28" spans="1:42" x14ac:dyDescent="0.25">
      <c r="A28" s="7">
        <v>26</v>
      </c>
      <c r="B28" s="63" t="s">
        <v>204</v>
      </c>
      <c r="C28" s="63" t="s">
        <v>49</v>
      </c>
      <c r="D28" s="63" t="s">
        <v>50</v>
      </c>
      <c r="E28" s="63"/>
      <c r="F28" s="1"/>
      <c r="G28" s="1"/>
      <c r="H28" s="1"/>
      <c r="I28" s="1"/>
      <c r="J28" s="1"/>
      <c r="K28" s="1"/>
      <c r="L28" s="1"/>
      <c r="M28" s="1"/>
      <c r="N28" s="1"/>
      <c r="O28" s="1" t="s">
        <v>272</v>
      </c>
      <c r="P28" s="8" t="str">
        <f t="shared" si="10"/>
        <v>N/A</v>
      </c>
      <c r="Q28" s="8" t="str">
        <f t="shared" si="11"/>
        <v>N/A</v>
      </c>
      <c r="R28" s="8" t="str">
        <f t="shared" si="12"/>
        <v>N/A</v>
      </c>
      <c r="S28" s="8" t="str">
        <f t="shared" si="13"/>
        <v>N/A</v>
      </c>
      <c r="T28" s="8" t="str">
        <f t="shared" si="14"/>
        <v>N/A</v>
      </c>
      <c r="U28" s="8" t="str">
        <f t="shared" si="15"/>
        <v>N/A</v>
      </c>
      <c r="V28" s="8" t="str">
        <f t="shared" si="16"/>
        <v>N/A</v>
      </c>
      <c r="W28" s="8" t="str">
        <f t="shared" si="17"/>
        <v>N/A</v>
      </c>
      <c r="X28" s="8" t="str">
        <f t="shared" si="18"/>
        <v>N/A</v>
      </c>
      <c r="Y28" s="8" t="str">
        <f t="shared" si="1"/>
        <v>N/A</v>
      </c>
      <c r="Z28" s="8" t="str">
        <f t="shared" si="2"/>
        <v>N/A</v>
      </c>
      <c r="AA28" s="8" t="str">
        <f t="shared" si="3"/>
        <v>N/A</v>
      </c>
      <c r="AB28" s="8" t="str">
        <f t="shared" si="4"/>
        <v>N/A</v>
      </c>
      <c r="AC28" s="8" t="str">
        <f t="shared" si="5"/>
        <v>N/A</v>
      </c>
      <c r="AD28" s="8" t="str">
        <f t="shared" si="6"/>
        <v>N/A</v>
      </c>
      <c r="AE28" s="8" t="str">
        <f t="shared" si="7"/>
        <v>N/A</v>
      </c>
      <c r="AF28" s="8" t="str">
        <f t="shared" si="8"/>
        <v>N/A</v>
      </c>
      <c r="AG28" s="8" t="str">
        <f t="shared" si="9"/>
        <v>N/A</v>
      </c>
      <c r="AH28" t="e">
        <v>#N/A</v>
      </c>
      <c r="AI28" t="e">
        <v>#N/A</v>
      </c>
      <c r="AJ28" t="e">
        <v>#N/A</v>
      </c>
      <c r="AK28" t="e">
        <v>#N/A</v>
      </c>
      <c r="AL28" t="e">
        <v>#N/A</v>
      </c>
      <c r="AM28" t="e">
        <v>#N/A</v>
      </c>
      <c r="AN28" t="e">
        <v>#N/A</v>
      </c>
      <c r="AO28" s="8" t="e">
        <v>#N/A</v>
      </c>
      <c r="AP28" s="8" t="e">
        <v>#N/A</v>
      </c>
    </row>
    <row r="30" spans="1:42" x14ac:dyDescent="0.25">
      <c r="P30" s="8">
        <f t="shared" ref="P30:W30" si="27">AVERAGE(P3:P28)</f>
        <v>17.2</v>
      </c>
      <c r="Q30" s="8">
        <f t="shared" si="27"/>
        <v>15</v>
      </c>
      <c r="R30" s="8">
        <f t="shared" si="27"/>
        <v>15.384615384615385</v>
      </c>
      <c r="S30" s="8">
        <f t="shared" si="27"/>
        <v>16.545454545454547</v>
      </c>
      <c r="T30" s="8">
        <f t="shared" si="27"/>
        <v>16.7</v>
      </c>
      <c r="U30" s="8">
        <f t="shared" si="27"/>
        <v>16.181818181818183</v>
      </c>
      <c r="V30" s="8">
        <f t="shared" si="27"/>
        <v>15.571428571428571</v>
      </c>
      <c r="W30" s="8">
        <f t="shared" si="27"/>
        <v>15.23076923076923</v>
      </c>
      <c r="X30" s="8">
        <f>AVERAGE(X3:X28)</f>
        <v>15.066666666666666</v>
      </c>
    </row>
    <row r="31" spans="1:42" x14ac:dyDescent="0.25">
      <c r="P31">
        <f t="shared" ref="P31:W31" si="28">STDEV(P3:P28)</f>
        <v>1.4757295747452435</v>
      </c>
      <c r="Q31">
        <f t="shared" si="28"/>
        <v>4.3323470277934533</v>
      </c>
      <c r="R31">
        <f t="shared" si="28"/>
        <v>4.2922111927393445</v>
      </c>
      <c r="S31">
        <f t="shared" si="28"/>
        <v>2.1148823307047731</v>
      </c>
      <c r="T31">
        <f t="shared" si="28"/>
        <v>1.828782229912691</v>
      </c>
      <c r="U31">
        <f t="shared" si="28"/>
        <v>2.7502066038093123</v>
      </c>
      <c r="V31">
        <f t="shared" si="28"/>
        <v>3.2071349029490945</v>
      </c>
      <c r="W31">
        <f t="shared" si="28"/>
        <v>3.8112518974270162</v>
      </c>
      <c r="X31">
        <f>STDEV(X3:X28)</f>
        <v>3.2834360631741233</v>
      </c>
    </row>
  </sheetData>
  <mergeCells count="3">
    <mergeCell ref="AH1:AP1"/>
    <mergeCell ref="P1:X1"/>
    <mergeCell ref="Y1:AG1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I30"/>
  <sheetViews>
    <sheetView zoomScale="80" zoomScaleNormal="80" workbookViewId="0">
      <pane xSplit="6" ySplit="1" topLeftCell="W2" activePane="bottomRight" state="frozen"/>
      <selection activeCell="BN2" sqref="BN2"/>
      <selection pane="topRight" activeCell="BN2" sqref="BN2"/>
      <selection pane="bottomLeft" activeCell="BN2" sqref="BN2"/>
      <selection pane="bottomRight" activeCell="AP27" sqref="AP2:AP27"/>
    </sheetView>
  </sheetViews>
  <sheetFormatPr defaultColWidth="9" defaultRowHeight="15.75" x14ac:dyDescent="0.25"/>
  <cols>
    <col min="1" max="1" width="4" style="136" bestFit="1" customWidth="1"/>
    <col min="2" max="2" width="8.625" style="136" hidden="1" customWidth="1"/>
    <col min="3" max="3" width="6.375" style="136" hidden="1" customWidth="1"/>
    <col min="4" max="4" width="7.875" style="136" bestFit="1" customWidth="1"/>
    <col min="5" max="5" width="9.25" style="136" bestFit="1" customWidth="1"/>
    <col min="6" max="6" width="17.375" style="136" customWidth="1"/>
    <col min="7" max="8" width="6.25" style="136" customWidth="1"/>
    <col min="9" max="9" width="6.875" style="136" bestFit="1" customWidth="1"/>
    <col min="10" max="10" width="6.875" style="136" customWidth="1"/>
    <col min="11" max="12" width="6.25" style="136" customWidth="1"/>
    <col min="13" max="13" width="3.75" style="136" customWidth="1"/>
    <col min="14" max="26" width="8.5" style="136" customWidth="1"/>
    <col min="27" max="27" width="7.125" style="136" bestFit="1" customWidth="1"/>
    <col min="28" max="28" width="7.75" style="136" bestFit="1" customWidth="1"/>
    <col min="29" max="29" width="7.125" style="136" bestFit="1" customWidth="1"/>
    <col min="30" max="32" width="9.625" style="136" bestFit="1" customWidth="1"/>
    <col min="33" max="33" width="4.75" style="136" bestFit="1" customWidth="1"/>
    <col min="34" max="34" width="6.625" style="136" bestFit="1" customWidth="1"/>
    <col min="35" max="35" width="5.375" style="136" bestFit="1" customWidth="1"/>
    <col min="36" max="38" width="9.625" style="136" bestFit="1" customWidth="1"/>
    <col min="39" max="39" width="9.375" style="136" bestFit="1" customWidth="1"/>
    <col min="40" max="40" width="7.125" style="136" bestFit="1" customWidth="1"/>
    <col min="41" max="41" width="9.25" style="136" bestFit="1" customWidth="1"/>
    <col min="42" max="42" width="9.625" style="136" bestFit="1" customWidth="1"/>
    <col min="43" max="43" width="5.875" style="136" bestFit="1" customWidth="1"/>
    <col min="44" max="44" width="4.75" style="136" bestFit="1" customWidth="1"/>
    <col min="45" max="46" width="6" style="136" bestFit="1" customWidth="1"/>
    <col min="47" max="47" width="23.25" style="136" bestFit="1" customWidth="1"/>
    <col min="48" max="48" width="8.5" style="136" customWidth="1"/>
    <col min="49" max="49" width="15.75" style="136" bestFit="1" customWidth="1"/>
    <col min="50" max="50" width="23.25" style="136" bestFit="1" customWidth="1"/>
    <col min="51" max="51" width="8.875" style="136" customWidth="1"/>
    <col min="52" max="52" width="18.25" style="136" customWidth="1"/>
    <col min="53" max="53" width="9" style="136" customWidth="1"/>
    <col min="54" max="54" width="11.125" style="136" customWidth="1"/>
    <col min="55" max="57" width="9.875" style="136" bestFit="1" customWidth="1"/>
    <col min="58" max="58" width="13.125" style="136" bestFit="1" customWidth="1"/>
    <col min="59" max="59" width="8.75" style="136" bestFit="1" customWidth="1"/>
    <col min="60" max="60" width="7.5" style="136" bestFit="1" customWidth="1"/>
    <col min="61" max="113" width="9" style="138"/>
    <col min="114" max="16384" width="9" style="136"/>
  </cols>
  <sheetData>
    <row r="1" spans="1:113" s="75" customFormat="1" ht="78.75" x14ac:dyDescent="0.25">
      <c r="A1" s="72" t="s">
        <v>0</v>
      </c>
      <c r="B1" s="72" t="s">
        <v>1</v>
      </c>
      <c r="C1" s="72" t="s">
        <v>2</v>
      </c>
      <c r="D1" s="72" t="s">
        <v>3</v>
      </c>
      <c r="E1" s="72" t="s">
        <v>124</v>
      </c>
      <c r="F1" s="73" t="s">
        <v>125</v>
      </c>
      <c r="G1" s="73" t="s">
        <v>296</v>
      </c>
      <c r="H1" s="73" t="s">
        <v>297</v>
      </c>
      <c r="I1" s="73" t="s">
        <v>298</v>
      </c>
      <c r="J1" s="73" t="s">
        <v>362</v>
      </c>
      <c r="K1" s="73" t="s">
        <v>299</v>
      </c>
      <c r="L1" s="73" t="s">
        <v>126</v>
      </c>
      <c r="M1" s="72" t="s">
        <v>126</v>
      </c>
      <c r="N1" s="72" t="s">
        <v>127</v>
      </c>
      <c r="O1" s="72" t="s">
        <v>128</v>
      </c>
      <c r="P1" s="72" t="s">
        <v>129</v>
      </c>
      <c r="Q1" s="74" t="s">
        <v>130</v>
      </c>
      <c r="R1" s="74" t="s">
        <v>131</v>
      </c>
      <c r="S1" s="74" t="s">
        <v>132</v>
      </c>
      <c r="T1" s="74" t="s">
        <v>4</v>
      </c>
      <c r="U1" s="74" t="s">
        <v>133</v>
      </c>
      <c r="V1" s="74" t="s">
        <v>134</v>
      </c>
      <c r="W1" s="74" t="s">
        <v>135</v>
      </c>
      <c r="X1" s="74" t="s">
        <v>136</v>
      </c>
      <c r="Y1" s="74" t="s">
        <v>137</v>
      </c>
      <c r="Z1" s="74" t="s">
        <v>138</v>
      </c>
      <c r="AA1" s="74" t="s">
        <v>5</v>
      </c>
      <c r="AB1" s="74" t="s">
        <v>6</v>
      </c>
      <c r="AC1" s="74" t="s">
        <v>7</v>
      </c>
      <c r="AD1" s="74" t="s">
        <v>8</v>
      </c>
      <c r="AE1" s="74" t="s">
        <v>9</v>
      </c>
      <c r="AF1" s="74" t="s">
        <v>10</v>
      </c>
      <c r="AG1" s="74" t="s">
        <v>233</v>
      </c>
      <c r="AH1" s="74" t="s">
        <v>234</v>
      </c>
      <c r="AI1" s="74" t="s">
        <v>235</v>
      </c>
      <c r="AJ1" s="74" t="s">
        <v>236</v>
      </c>
      <c r="AK1" s="74" t="s">
        <v>237</v>
      </c>
      <c r="AL1" s="74" t="s">
        <v>238</v>
      </c>
      <c r="AM1" s="74" t="s">
        <v>11</v>
      </c>
      <c r="AN1" s="195" t="s">
        <v>12</v>
      </c>
      <c r="AO1" s="196" t="s">
        <v>13</v>
      </c>
      <c r="AP1" s="197" t="s">
        <v>139</v>
      </c>
      <c r="AQ1" s="198" t="s">
        <v>14</v>
      </c>
      <c r="AR1" s="198" t="s">
        <v>15</v>
      </c>
      <c r="AS1" s="198" t="s">
        <v>16</v>
      </c>
      <c r="AT1" s="198" t="s">
        <v>17</v>
      </c>
      <c r="AU1" s="74" t="s">
        <v>140</v>
      </c>
      <c r="AV1" s="74" t="s">
        <v>141</v>
      </c>
      <c r="AW1" s="74" t="s">
        <v>142</v>
      </c>
      <c r="AX1" s="74" t="s">
        <v>143</v>
      </c>
      <c r="AY1" s="74" t="s">
        <v>144</v>
      </c>
      <c r="AZ1" s="74" t="s">
        <v>145</v>
      </c>
      <c r="BA1" s="74" t="s">
        <v>243</v>
      </c>
      <c r="BB1" s="74" t="s">
        <v>254</v>
      </c>
      <c r="BC1" s="74" t="s">
        <v>146</v>
      </c>
      <c r="BD1" s="74" t="s">
        <v>147</v>
      </c>
      <c r="BE1" s="74" t="s">
        <v>148</v>
      </c>
      <c r="BF1" s="74" t="s">
        <v>149</v>
      </c>
      <c r="BG1" s="74" t="s">
        <v>150</v>
      </c>
      <c r="BH1" s="74" t="s">
        <v>151</v>
      </c>
      <c r="BI1" s="137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  <c r="CT1" s="137"/>
      <c r="CU1" s="137"/>
      <c r="CV1" s="137"/>
      <c r="CW1" s="137"/>
      <c r="CX1" s="137"/>
      <c r="CY1" s="137"/>
      <c r="CZ1" s="137"/>
      <c r="DA1" s="137"/>
      <c r="DB1" s="137"/>
      <c r="DC1" s="137"/>
      <c r="DD1" s="137"/>
      <c r="DE1" s="137"/>
      <c r="DF1" s="137"/>
      <c r="DG1" s="137"/>
      <c r="DH1" s="137"/>
      <c r="DI1" s="137"/>
    </row>
    <row r="2" spans="1:113" s="83" customFormat="1" ht="50.25" customHeight="1" x14ac:dyDescent="0.25">
      <c r="A2" s="76" t="s">
        <v>18</v>
      </c>
      <c r="B2" s="77" t="s">
        <v>19</v>
      </c>
      <c r="C2" s="77">
        <v>1</v>
      </c>
      <c r="D2" s="77" t="s">
        <v>152</v>
      </c>
      <c r="E2" s="77" t="s">
        <v>59</v>
      </c>
      <c r="F2" s="77" t="s">
        <v>60</v>
      </c>
      <c r="G2" s="77">
        <v>8</v>
      </c>
      <c r="H2" s="77" t="s">
        <v>86</v>
      </c>
      <c r="I2" s="77" t="s">
        <v>372</v>
      </c>
      <c r="J2" s="77" t="s">
        <v>373</v>
      </c>
      <c r="K2" s="77" t="s">
        <v>374</v>
      </c>
      <c r="L2" s="77">
        <f>$M$30</f>
        <v>15</v>
      </c>
      <c r="M2" s="81" t="s">
        <v>221</v>
      </c>
      <c r="N2" s="81" t="s">
        <v>392</v>
      </c>
      <c r="O2" s="81" t="s">
        <v>375</v>
      </c>
      <c r="P2" s="81" t="s">
        <v>376</v>
      </c>
      <c r="Q2" s="209" t="s">
        <v>153</v>
      </c>
      <c r="R2" s="81">
        <f>IF(O2&lt;&gt;0,ROUND(LOG10(O2),2),"")</f>
        <v>6.11</v>
      </c>
      <c r="S2" s="81">
        <f>IF(P2&lt;&gt;0,ROUND(LOG10(P2),2),"")</f>
        <v>6.1</v>
      </c>
      <c r="T2" s="81">
        <v>3.25</v>
      </c>
      <c r="U2" s="81">
        <v>0</v>
      </c>
      <c r="V2" s="81"/>
      <c r="W2" s="81"/>
      <c r="X2" s="81">
        <v>0</v>
      </c>
      <c r="Y2" s="81" t="str">
        <f t="shared" ref="Y2:Y27" si="0">IF(V2&lt;&gt;0,ROUNDUP(LOG10(V2),2),"")</f>
        <v/>
      </c>
      <c r="Z2" s="81" t="str">
        <f t="shared" ref="Z2:Z27" si="1">IF(W2&lt;&gt;0,ROUNDUP(LOG10(W2),2),"")</f>
        <v/>
      </c>
      <c r="AA2" s="81" t="s">
        <v>154</v>
      </c>
      <c r="AB2" s="81">
        <f>ROUNDUP('QCL02'!$J$36,2)</f>
        <v>6.1099999999999994</v>
      </c>
      <c r="AC2" s="81">
        <f>ROUNDUP('QCL03'!$J$36,2)</f>
        <v>6.09</v>
      </c>
      <c r="AD2" s="81">
        <v>0</v>
      </c>
      <c r="AE2" s="81">
        <f>R2-AB2</f>
        <v>0</v>
      </c>
      <c r="AF2" s="81">
        <f>S2-AC2</f>
        <v>9.9999999999997868E-3</v>
      </c>
      <c r="AG2" s="81">
        <v>0</v>
      </c>
      <c r="AH2" s="81">
        <f>ROUNDUP('QCL02'!$J$37,2)</f>
        <v>0.23</v>
      </c>
      <c r="AI2" s="81">
        <f>ROUNDUP('QCL03'!$J$37,2)</f>
        <v>0.21000000000000002</v>
      </c>
      <c r="AJ2" s="81">
        <v>0</v>
      </c>
      <c r="AK2" s="81">
        <f>ROUNDUP(AE2/AH2,2)</f>
        <v>0</v>
      </c>
      <c r="AL2" s="81">
        <f>ROUNDUP(AF2/AI2,2)</f>
        <v>0.05</v>
      </c>
      <c r="AM2" s="81">
        <f>IF(N2&lt;&gt;"",IF(ABS(AJ2)&gt;3,0,IF(ABS(AJ2)&gt;2,1,IF(ABS(AJ2)&gt;1,2,3))),"")</f>
        <v>3</v>
      </c>
      <c r="AN2" s="81">
        <f t="shared" ref="AN2:AO2" si="2">IF(O2&lt;&gt;"",IF(ABS(AK2)&gt;3,0,IF(ABS(AK2)&gt;2,1,IF(ABS(AK2)&gt;1,2,3))),"")</f>
        <v>3</v>
      </c>
      <c r="AO2" s="81">
        <f t="shared" si="2"/>
        <v>3</v>
      </c>
      <c r="AP2" s="199">
        <f>IF(SUM(AM2:AO2)&lt;&gt;0,SUM(AM2:AO2),"")</f>
        <v>9</v>
      </c>
      <c r="AQ2" s="81">
        <f>ROUNDUP('HIEU XUAT HCV'!$X$30,2)</f>
        <v>15.07</v>
      </c>
      <c r="AR2" s="81">
        <f>ROUNDUP('HIEU XUAT HCV'!$X$31,2)</f>
        <v>3.2899999999999996</v>
      </c>
      <c r="AS2" s="84">
        <f>VLOOKUP(D2,'HIEU XUAT HCV'!B:X,23,0)</f>
        <v>18</v>
      </c>
      <c r="AT2" s="84">
        <f>VLOOKUP(D2,'HIEU XUAT HCV'!B:AP,32,0)</f>
        <v>0.9</v>
      </c>
      <c r="AU2" s="84" t="s">
        <v>155</v>
      </c>
      <c r="AV2" s="84" t="s">
        <v>61</v>
      </c>
      <c r="AW2" s="84" t="s">
        <v>62</v>
      </c>
      <c r="AX2" s="84" t="s">
        <v>156</v>
      </c>
      <c r="AY2" s="84" t="s">
        <v>61</v>
      </c>
      <c r="AZ2" s="84" t="s">
        <v>63</v>
      </c>
      <c r="BA2" s="160" t="s">
        <v>244</v>
      </c>
      <c r="BB2" s="84" t="s">
        <v>51</v>
      </c>
      <c r="BC2" s="80" t="s">
        <v>377</v>
      </c>
      <c r="BD2" s="80" t="s">
        <v>378</v>
      </c>
      <c r="BE2" s="80" t="s">
        <v>378</v>
      </c>
      <c r="BF2" s="81" t="s">
        <v>47</v>
      </c>
      <c r="BG2" s="81">
        <v>2</v>
      </c>
      <c r="BH2" s="81"/>
      <c r="BI2" s="138"/>
      <c r="BJ2" s="172" t="s">
        <v>159</v>
      </c>
      <c r="BK2" s="138"/>
      <c r="BL2" s="138"/>
      <c r="BM2" s="138"/>
      <c r="BN2" s="138"/>
      <c r="BO2" s="138"/>
      <c r="BP2" s="138"/>
      <c r="BQ2" s="138"/>
      <c r="BR2" s="138"/>
      <c r="BS2" s="138"/>
      <c r="BT2" s="138"/>
      <c r="BU2" s="138"/>
      <c r="BV2" s="138"/>
      <c r="BW2" s="138"/>
      <c r="BX2" s="138"/>
      <c r="BY2" s="138"/>
      <c r="BZ2" s="138"/>
      <c r="CA2" s="138"/>
      <c r="CB2" s="138"/>
      <c r="CC2" s="138"/>
      <c r="CD2" s="138"/>
      <c r="CE2" s="138"/>
      <c r="CF2" s="138"/>
      <c r="CG2" s="138"/>
      <c r="CH2" s="138"/>
      <c r="CI2" s="138"/>
      <c r="CJ2" s="138"/>
      <c r="CK2" s="138"/>
      <c r="CL2" s="138"/>
      <c r="CM2" s="138"/>
      <c r="CN2" s="138"/>
      <c r="CO2" s="138"/>
      <c r="CP2" s="138"/>
      <c r="CQ2" s="138"/>
      <c r="CR2" s="138"/>
      <c r="CS2" s="138"/>
      <c r="CT2" s="138"/>
      <c r="CU2" s="138"/>
      <c r="CV2" s="138"/>
      <c r="CW2" s="138"/>
      <c r="CX2" s="138"/>
      <c r="CY2" s="138"/>
      <c r="CZ2" s="138"/>
      <c r="DA2" s="138"/>
      <c r="DB2" s="138"/>
      <c r="DC2" s="138"/>
      <c r="DD2" s="138"/>
      <c r="DE2" s="138"/>
      <c r="DF2" s="138"/>
      <c r="DG2" s="138"/>
      <c r="DH2" s="138"/>
      <c r="DI2" s="138"/>
    </row>
    <row r="3" spans="1:113" s="83" customFormat="1" ht="50.25" customHeight="1" x14ac:dyDescent="0.25">
      <c r="A3" s="76" t="s">
        <v>24</v>
      </c>
      <c r="B3" s="77" t="s">
        <v>55</v>
      </c>
      <c r="C3" s="77">
        <v>1</v>
      </c>
      <c r="D3" s="77" t="s">
        <v>157</v>
      </c>
      <c r="E3" s="77" t="s">
        <v>56</v>
      </c>
      <c r="F3" s="77" t="s">
        <v>57</v>
      </c>
      <c r="G3" s="77">
        <v>8</v>
      </c>
      <c r="H3" s="77" t="s">
        <v>86</v>
      </c>
      <c r="I3" s="77" t="s">
        <v>372</v>
      </c>
      <c r="J3" s="77" t="s">
        <v>373</v>
      </c>
      <c r="K3" s="77" t="s">
        <v>374</v>
      </c>
      <c r="L3" s="77">
        <f t="shared" ref="L3:L27" si="3">$M$30</f>
        <v>15</v>
      </c>
      <c r="M3" s="81" t="s">
        <v>221</v>
      </c>
      <c r="N3" s="81" t="s">
        <v>290</v>
      </c>
      <c r="O3" s="81" t="s">
        <v>381</v>
      </c>
      <c r="P3" s="81" t="s">
        <v>382</v>
      </c>
      <c r="Q3" s="81" t="s">
        <v>290</v>
      </c>
      <c r="R3" s="81">
        <f t="shared" ref="R3:R27" si="4">IF(O3&lt;&gt;0,ROUND(LOG10(O3),2),"")</f>
        <v>6.51</v>
      </c>
      <c r="S3" s="81">
        <f t="shared" ref="S3:S27" si="5">IF(P3&lt;&gt;0,ROUND(LOG10(P3),2),"")</f>
        <v>6.46</v>
      </c>
      <c r="T3" s="81">
        <v>2.7</v>
      </c>
      <c r="U3" s="81" t="s">
        <v>290</v>
      </c>
      <c r="V3" s="81"/>
      <c r="W3" s="81"/>
      <c r="X3" s="81" t="s">
        <v>290</v>
      </c>
      <c r="Y3" s="81" t="str">
        <f t="shared" si="0"/>
        <v/>
      </c>
      <c r="Z3" s="81" t="str">
        <f t="shared" si="1"/>
        <v/>
      </c>
      <c r="AA3" s="81" t="s">
        <v>154</v>
      </c>
      <c r="AB3" s="81">
        <f>ROUNDUP('QCL02'!$J$36,2)</f>
        <v>6.1099999999999994</v>
      </c>
      <c r="AC3" s="81">
        <f>ROUNDUP('QCL03'!$J$36,2)</f>
        <v>6.09</v>
      </c>
      <c r="AD3" s="81">
        <v>0</v>
      </c>
      <c r="AE3" s="81">
        <f t="shared" ref="AE3:AE27" si="6">R3-AB3</f>
        <v>0.40000000000000036</v>
      </c>
      <c r="AF3" s="81">
        <f t="shared" ref="AF3:AF27" si="7">S3-AC3</f>
        <v>0.37000000000000011</v>
      </c>
      <c r="AG3" s="81">
        <v>0</v>
      </c>
      <c r="AH3" s="81">
        <f>ROUNDUP('QCL02'!$J$37,2)</f>
        <v>0.23</v>
      </c>
      <c r="AI3" s="81">
        <f>ROUNDUP('QCL03'!$J$37,2)</f>
        <v>0.21000000000000002</v>
      </c>
      <c r="AJ3" s="81">
        <v>0</v>
      </c>
      <c r="AK3" s="81">
        <f t="shared" ref="AK3:AK27" si="8">ROUNDUP(AE3/AH3,2)</f>
        <v>1.74</v>
      </c>
      <c r="AL3" s="81">
        <f t="shared" ref="AL3:AL27" si="9">ROUNDUP(AF3/AI3,2)</f>
        <v>1.77</v>
      </c>
      <c r="AM3" s="81">
        <f t="shared" ref="AM3:AM27" si="10">IF(N3&lt;&gt;"",IF(ABS(AJ3)&gt;3,0,IF(ABS(AJ3)&gt;2,1,IF(ABS(AJ3)&gt;1,2,3))),"")</f>
        <v>3</v>
      </c>
      <c r="AN3" s="81">
        <f t="shared" ref="AN3:AN27" si="11">IF(O3&lt;&gt;"",IF(ABS(AK3)&gt;3,0,IF(ABS(AK3)&gt;2,1,IF(ABS(AK3)&gt;1,2,3))),"")</f>
        <v>2</v>
      </c>
      <c r="AO3" s="81">
        <f t="shared" ref="AO3:AO27" si="12">IF(P3&lt;&gt;"",IF(ABS(AL3)&gt;3,0,IF(ABS(AL3)&gt;2,1,IF(ABS(AL3)&gt;1,2,3))),"")</f>
        <v>2</v>
      </c>
      <c r="AP3" s="199">
        <f t="shared" ref="AP3:AP27" si="13">IF(SUM(AM3:AO3)&lt;&gt;0,SUM(AM3:AO3),"")</f>
        <v>7</v>
      </c>
      <c r="AQ3" s="81">
        <f>ROUNDUP('HIEU XUAT HCV'!$V$30,2)</f>
        <v>15.58</v>
      </c>
      <c r="AR3" s="81">
        <f>ROUNDUP('HIEU XUAT HCV'!$X$31,2)</f>
        <v>3.2899999999999996</v>
      </c>
      <c r="AS3" s="84">
        <f>VLOOKUP(D3,'HIEU XUAT HCV'!B:X,23,0)</f>
        <v>15</v>
      </c>
      <c r="AT3" s="84">
        <f>VLOOKUP(D3,'HIEU XUAT HCV'!B:AP,32,0)</f>
        <v>-0.03</v>
      </c>
      <c r="AU3" s="81"/>
      <c r="AV3" s="81"/>
      <c r="AW3" s="81"/>
      <c r="AX3" s="81"/>
      <c r="AY3" s="81"/>
      <c r="AZ3" s="81" t="s">
        <v>158</v>
      </c>
      <c r="BA3" s="84" t="s">
        <v>244</v>
      </c>
      <c r="BB3" s="84" t="s">
        <v>51</v>
      </c>
      <c r="BC3" s="84"/>
      <c r="BD3" s="84"/>
      <c r="BE3" s="80" t="s">
        <v>379</v>
      </c>
      <c r="BF3" s="81"/>
      <c r="BG3" s="81"/>
      <c r="BH3" s="81"/>
      <c r="BI3" s="138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8"/>
      <c r="CI3" s="138"/>
      <c r="CJ3" s="138"/>
      <c r="CK3" s="138"/>
      <c r="CL3" s="138"/>
      <c r="CM3" s="138"/>
      <c r="CN3" s="138"/>
      <c r="CO3" s="138"/>
      <c r="CP3" s="138"/>
      <c r="CQ3" s="138"/>
      <c r="CR3" s="138"/>
      <c r="CS3" s="138"/>
      <c r="CT3" s="138"/>
      <c r="CU3" s="138"/>
      <c r="CV3" s="138"/>
      <c r="CW3" s="138"/>
      <c r="CX3" s="138"/>
      <c r="CY3" s="138"/>
      <c r="CZ3" s="138"/>
      <c r="DA3" s="138"/>
      <c r="DB3" s="138"/>
      <c r="DC3" s="138"/>
      <c r="DD3" s="138"/>
      <c r="DE3" s="138"/>
      <c r="DF3" s="138"/>
      <c r="DG3" s="138"/>
      <c r="DH3" s="138"/>
      <c r="DI3" s="138"/>
    </row>
    <row r="4" spans="1:113" s="83" customFormat="1" ht="50.25" customHeight="1" x14ac:dyDescent="0.25">
      <c r="A4" s="76" t="s">
        <v>86</v>
      </c>
      <c r="B4" s="77"/>
      <c r="C4" s="77"/>
      <c r="D4" s="77" t="s">
        <v>345</v>
      </c>
      <c r="E4" s="77" t="s">
        <v>219</v>
      </c>
      <c r="F4" s="77" t="s">
        <v>318</v>
      </c>
      <c r="G4" s="77">
        <v>8</v>
      </c>
      <c r="H4" s="77" t="s">
        <v>86</v>
      </c>
      <c r="I4" s="77" t="s">
        <v>372</v>
      </c>
      <c r="J4" s="77" t="s">
        <v>373</v>
      </c>
      <c r="K4" s="77" t="s">
        <v>374</v>
      </c>
      <c r="L4" s="77">
        <f t="shared" si="3"/>
        <v>15</v>
      </c>
      <c r="M4" s="81" t="s">
        <v>221</v>
      </c>
      <c r="N4" s="81" t="s">
        <v>336</v>
      </c>
      <c r="O4" s="81" t="s">
        <v>383</v>
      </c>
      <c r="P4" s="81" t="s">
        <v>384</v>
      </c>
      <c r="Q4" s="81" t="s">
        <v>336</v>
      </c>
      <c r="R4" s="81">
        <f t="shared" si="4"/>
        <v>6.21</v>
      </c>
      <c r="S4" s="81">
        <f t="shared" si="5"/>
        <v>6.12</v>
      </c>
      <c r="T4" s="81"/>
      <c r="U4" s="81" t="s">
        <v>336</v>
      </c>
      <c r="V4" s="81"/>
      <c r="W4" s="81"/>
      <c r="X4" s="81" t="s">
        <v>336</v>
      </c>
      <c r="Y4" s="81" t="str">
        <f t="shared" si="0"/>
        <v/>
      </c>
      <c r="Z4" s="81" t="str">
        <f t="shared" si="1"/>
        <v/>
      </c>
      <c r="AA4" s="81" t="s">
        <v>154</v>
      </c>
      <c r="AB4" s="81">
        <f>ROUNDUP('QCL02'!$J$36,2)</f>
        <v>6.1099999999999994</v>
      </c>
      <c r="AC4" s="81">
        <f>ROUNDUP('QCL03'!$J$36,2)</f>
        <v>6.09</v>
      </c>
      <c r="AD4" s="81">
        <v>0</v>
      </c>
      <c r="AE4" s="81">
        <f t="shared" si="6"/>
        <v>0.10000000000000053</v>
      </c>
      <c r="AF4" s="81">
        <f t="shared" si="7"/>
        <v>3.0000000000000249E-2</v>
      </c>
      <c r="AG4" s="81">
        <v>0</v>
      </c>
      <c r="AH4" s="81">
        <f>ROUNDUP('QCL02'!$J$37,2)</f>
        <v>0.23</v>
      </c>
      <c r="AI4" s="81">
        <f>ROUNDUP('QCL03'!$J$37,2)</f>
        <v>0.21000000000000002</v>
      </c>
      <c r="AJ4" s="81">
        <v>0</v>
      </c>
      <c r="AK4" s="81">
        <f t="shared" si="8"/>
        <v>0.44</v>
      </c>
      <c r="AL4" s="81">
        <f t="shared" si="9"/>
        <v>0.15000000000000002</v>
      </c>
      <c r="AM4" s="81">
        <f t="shared" si="10"/>
        <v>3</v>
      </c>
      <c r="AN4" s="81">
        <f t="shared" si="11"/>
        <v>3</v>
      </c>
      <c r="AO4" s="81">
        <f t="shared" si="12"/>
        <v>3</v>
      </c>
      <c r="AP4" s="199">
        <f t="shared" si="13"/>
        <v>9</v>
      </c>
      <c r="AQ4" s="81">
        <f>ROUNDUP('HIEU XUAT HCV'!$V$30,2)</f>
        <v>15.58</v>
      </c>
      <c r="AR4" s="81">
        <f>ROUNDUP('HIEU XUAT HCV'!$X$31,2)</f>
        <v>3.2899999999999996</v>
      </c>
      <c r="AS4" s="84">
        <f>VLOOKUP(D4,'HIEU XUAT HCV'!B:X,23,0)</f>
        <v>17</v>
      </c>
      <c r="AT4" s="84">
        <f>VLOOKUP(D4,'HIEU XUAT HCV'!B:AP,32,0)</f>
        <v>0.59</v>
      </c>
      <c r="AU4" s="84" t="s">
        <v>62</v>
      </c>
      <c r="AV4" s="84"/>
      <c r="AW4" s="84" t="s">
        <v>339</v>
      </c>
      <c r="AX4" s="84" t="s">
        <v>337</v>
      </c>
      <c r="AY4" s="84"/>
      <c r="AZ4" s="84" t="s">
        <v>308</v>
      </c>
      <c r="BA4" s="160" t="s">
        <v>244</v>
      </c>
      <c r="BB4" s="84" t="s">
        <v>51</v>
      </c>
      <c r="BC4" s="80" t="s">
        <v>377</v>
      </c>
      <c r="BD4" s="80" t="s">
        <v>385</v>
      </c>
      <c r="BE4" s="80" t="s">
        <v>386</v>
      </c>
      <c r="BF4" s="81" t="s">
        <v>69</v>
      </c>
      <c r="BG4" s="81"/>
      <c r="BH4" s="81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8"/>
      <c r="CH4" s="138"/>
      <c r="CI4" s="138"/>
      <c r="CJ4" s="138"/>
      <c r="CK4" s="138"/>
      <c r="CL4" s="138"/>
      <c r="CM4" s="138"/>
      <c r="CN4" s="138"/>
      <c r="CO4" s="138"/>
      <c r="CP4" s="138"/>
      <c r="CQ4" s="138"/>
      <c r="CR4" s="138"/>
      <c r="CS4" s="138"/>
      <c r="CT4" s="138"/>
      <c r="CU4" s="138"/>
      <c r="CV4" s="138"/>
      <c r="CW4" s="138"/>
      <c r="CX4" s="138"/>
      <c r="CY4" s="138"/>
      <c r="CZ4" s="138"/>
      <c r="DA4" s="138"/>
      <c r="DB4" s="138"/>
      <c r="DC4" s="138"/>
      <c r="DD4" s="138"/>
      <c r="DE4" s="138"/>
      <c r="DF4" s="138"/>
      <c r="DG4" s="138"/>
      <c r="DH4" s="138"/>
      <c r="DI4" s="138"/>
    </row>
    <row r="5" spans="1:113" s="83" customFormat="1" ht="50.25" customHeight="1" x14ac:dyDescent="0.25">
      <c r="A5" s="76" t="s">
        <v>26</v>
      </c>
      <c r="B5" s="77"/>
      <c r="C5" s="77"/>
      <c r="D5" s="77" t="s">
        <v>341</v>
      </c>
      <c r="E5" s="77" t="s">
        <v>301</v>
      </c>
      <c r="F5" s="77" t="s">
        <v>319</v>
      </c>
      <c r="G5" s="77">
        <v>8</v>
      </c>
      <c r="H5" s="77" t="s">
        <v>86</v>
      </c>
      <c r="I5" s="77" t="s">
        <v>372</v>
      </c>
      <c r="J5" s="77" t="s">
        <v>373</v>
      </c>
      <c r="K5" s="77" t="s">
        <v>374</v>
      </c>
      <c r="L5" s="77">
        <f t="shared" si="3"/>
        <v>15</v>
      </c>
      <c r="M5" s="81" t="s">
        <v>221</v>
      </c>
      <c r="N5" s="81" t="s">
        <v>321</v>
      </c>
      <c r="O5" s="81" t="s">
        <v>387</v>
      </c>
      <c r="P5" s="81" t="s">
        <v>388</v>
      </c>
      <c r="Q5" s="81" t="s">
        <v>321</v>
      </c>
      <c r="R5" s="81">
        <f t="shared" si="4"/>
        <v>6.2</v>
      </c>
      <c r="S5" s="81">
        <f t="shared" si="5"/>
        <v>6.21</v>
      </c>
      <c r="T5" s="81"/>
      <c r="U5" s="81" t="s">
        <v>321</v>
      </c>
      <c r="V5" s="81"/>
      <c r="W5" s="81"/>
      <c r="X5" s="81" t="s">
        <v>321</v>
      </c>
      <c r="Y5" s="81" t="str">
        <f t="shared" si="0"/>
        <v/>
      </c>
      <c r="Z5" s="81" t="str">
        <f t="shared" si="1"/>
        <v/>
      </c>
      <c r="AA5" s="81" t="s">
        <v>154</v>
      </c>
      <c r="AB5" s="81">
        <f>ROUNDUP('QCL02'!$J$36,2)</f>
        <v>6.1099999999999994</v>
      </c>
      <c r="AC5" s="81">
        <f>ROUNDUP('QCL03'!$J$36,2)</f>
        <v>6.09</v>
      </c>
      <c r="AD5" s="81">
        <v>0</v>
      </c>
      <c r="AE5" s="81">
        <f t="shared" si="6"/>
        <v>9.0000000000000746E-2</v>
      </c>
      <c r="AF5" s="81">
        <f t="shared" si="7"/>
        <v>0.12000000000000011</v>
      </c>
      <c r="AG5" s="81">
        <v>0</v>
      </c>
      <c r="AH5" s="81">
        <f>ROUNDUP('QCL02'!$J$37,2)</f>
        <v>0.23</v>
      </c>
      <c r="AI5" s="81">
        <f>ROUNDUP('QCL03'!$J$37,2)</f>
        <v>0.21000000000000002</v>
      </c>
      <c r="AJ5" s="81">
        <v>0</v>
      </c>
      <c r="AK5" s="81">
        <f t="shared" si="8"/>
        <v>0.4</v>
      </c>
      <c r="AL5" s="81">
        <f t="shared" si="9"/>
        <v>0.57999999999999996</v>
      </c>
      <c r="AM5" s="81">
        <f t="shared" si="10"/>
        <v>3</v>
      </c>
      <c r="AN5" s="81">
        <f t="shared" si="11"/>
        <v>3</v>
      </c>
      <c r="AO5" s="81">
        <f t="shared" si="12"/>
        <v>3</v>
      </c>
      <c r="AP5" s="199">
        <f t="shared" si="13"/>
        <v>9</v>
      </c>
      <c r="AQ5" s="81">
        <f>ROUNDUP('HIEU XUAT HCV'!$V$30,2)</f>
        <v>15.58</v>
      </c>
      <c r="AR5" s="81">
        <f>ROUNDUP('HIEU XUAT HCV'!$X$31,2)</f>
        <v>3.2899999999999996</v>
      </c>
      <c r="AS5" s="84">
        <f>VLOOKUP(D5,'HIEU XUAT HCV'!B:X,23,0)</f>
        <v>18</v>
      </c>
      <c r="AT5" s="84">
        <f>VLOOKUP(D5,'HIEU XUAT HCV'!B:AP,32,0)</f>
        <v>0.9</v>
      </c>
      <c r="AU5" s="81" t="s">
        <v>338</v>
      </c>
      <c r="AV5" s="81" t="s">
        <v>309</v>
      </c>
      <c r="AW5" s="81" t="s">
        <v>310</v>
      </c>
      <c r="AX5" s="81" t="s">
        <v>338</v>
      </c>
      <c r="AY5" s="81" t="s">
        <v>83</v>
      </c>
      <c r="AZ5" s="81" t="s">
        <v>311</v>
      </c>
      <c r="BA5" s="81" t="s">
        <v>244</v>
      </c>
      <c r="BB5" s="84" t="s">
        <v>51</v>
      </c>
      <c r="BC5" s="80" t="s">
        <v>377</v>
      </c>
      <c r="BD5" s="80" t="s">
        <v>389</v>
      </c>
      <c r="BE5" s="80" t="s">
        <v>385</v>
      </c>
      <c r="BF5" s="81" t="s">
        <v>25</v>
      </c>
      <c r="BG5" s="81">
        <v>5</v>
      </c>
      <c r="BH5" s="81" t="s">
        <v>23</v>
      </c>
      <c r="BI5" s="138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8"/>
      <c r="CA5" s="138"/>
      <c r="CB5" s="138"/>
      <c r="CC5" s="138"/>
      <c r="CD5" s="138"/>
      <c r="CE5" s="138"/>
      <c r="CF5" s="138"/>
      <c r="CG5" s="138"/>
      <c r="CH5" s="138"/>
      <c r="CI5" s="138"/>
      <c r="CJ5" s="138"/>
      <c r="CK5" s="138"/>
      <c r="CL5" s="138"/>
      <c r="CM5" s="138"/>
      <c r="CN5" s="138"/>
      <c r="CO5" s="138"/>
      <c r="CP5" s="138"/>
      <c r="CQ5" s="138"/>
      <c r="CR5" s="138"/>
      <c r="CS5" s="138"/>
      <c r="CT5" s="138"/>
      <c r="CU5" s="138"/>
      <c r="CV5" s="138"/>
      <c r="CW5" s="138"/>
      <c r="CX5" s="138"/>
      <c r="CY5" s="138"/>
      <c r="CZ5" s="138"/>
      <c r="DA5" s="138"/>
      <c r="DB5" s="138"/>
      <c r="DC5" s="138"/>
      <c r="DD5" s="138"/>
      <c r="DE5" s="138"/>
      <c r="DF5" s="138"/>
      <c r="DG5" s="138"/>
      <c r="DH5" s="138"/>
      <c r="DI5" s="138"/>
    </row>
    <row r="6" spans="1:113" s="191" customFormat="1" ht="50.25" customHeight="1" x14ac:dyDescent="0.25">
      <c r="A6" s="182" t="s">
        <v>28</v>
      </c>
      <c r="B6" s="187"/>
      <c r="C6" s="187"/>
      <c r="D6" s="188" t="s">
        <v>353</v>
      </c>
      <c r="E6" s="188" t="s">
        <v>36</v>
      </c>
      <c r="F6" s="188" t="s">
        <v>37</v>
      </c>
      <c r="G6" s="188">
        <v>8</v>
      </c>
      <c r="H6" s="188" t="s">
        <v>86</v>
      </c>
      <c r="I6" s="188" t="s">
        <v>372</v>
      </c>
      <c r="J6" s="188" t="s">
        <v>373</v>
      </c>
      <c r="K6" s="188" t="s">
        <v>374</v>
      </c>
      <c r="L6" s="188">
        <f t="shared" si="3"/>
        <v>15</v>
      </c>
      <c r="M6" s="188"/>
      <c r="N6" s="188"/>
      <c r="O6" s="188"/>
      <c r="P6" s="189"/>
      <c r="Q6" s="188"/>
      <c r="R6" s="188" t="str">
        <f t="shared" si="4"/>
        <v/>
      </c>
      <c r="S6" s="188" t="str">
        <f t="shared" si="5"/>
        <v/>
      </c>
      <c r="T6" s="188">
        <v>4</v>
      </c>
      <c r="U6" s="188" t="s">
        <v>290</v>
      </c>
      <c r="V6" s="188"/>
      <c r="W6" s="188"/>
      <c r="X6" s="188" t="s">
        <v>290</v>
      </c>
      <c r="Y6" s="188" t="str">
        <f t="shared" si="0"/>
        <v/>
      </c>
      <c r="Z6" s="188" t="str">
        <f t="shared" si="1"/>
        <v/>
      </c>
      <c r="AA6" s="188" t="s">
        <v>154</v>
      </c>
      <c r="AB6" s="189">
        <f>ROUNDUP('QCL02'!$J$36,2)</f>
        <v>6.1099999999999994</v>
      </c>
      <c r="AC6" s="189">
        <f>ROUNDUP('QCL03'!$J$36,2)</f>
        <v>6.09</v>
      </c>
      <c r="AD6" s="188">
        <v>0</v>
      </c>
      <c r="AE6" s="188" t="e">
        <f t="shared" si="6"/>
        <v>#VALUE!</v>
      </c>
      <c r="AF6" s="188" t="e">
        <f t="shared" si="7"/>
        <v>#VALUE!</v>
      </c>
      <c r="AG6" s="188">
        <v>0</v>
      </c>
      <c r="AH6" s="189">
        <f>ROUNDUP('QCL02'!$J$37,2)</f>
        <v>0.23</v>
      </c>
      <c r="AI6" s="189">
        <f>ROUNDUP('QCL03'!$J$37,2)</f>
        <v>0.21000000000000002</v>
      </c>
      <c r="AJ6" s="188">
        <v>0</v>
      </c>
      <c r="AK6" s="188" t="e">
        <f t="shared" si="8"/>
        <v>#VALUE!</v>
      </c>
      <c r="AL6" s="188" t="e">
        <f t="shared" si="9"/>
        <v>#VALUE!</v>
      </c>
      <c r="AM6" s="188" t="str">
        <f t="shared" si="10"/>
        <v/>
      </c>
      <c r="AN6" s="188" t="str">
        <f t="shared" si="11"/>
        <v/>
      </c>
      <c r="AO6" s="188" t="str">
        <f t="shared" si="12"/>
        <v/>
      </c>
      <c r="AP6" s="188" t="str">
        <f t="shared" si="13"/>
        <v/>
      </c>
      <c r="AQ6" s="188">
        <f>ROUNDUP('HIEU XUAT HCV'!$V$30,2)</f>
        <v>15.58</v>
      </c>
      <c r="AR6" s="188">
        <f>ROUNDUP('HIEU XUAT HCV'!$X$31,2)</f>
        <v>3.2899999999999996</v>
      </c>
      <c r="AS6" s="188">
        <f>VLOOKUP(D6,'HIEU XUAT HCV'!B:X,23,0)</f>
        <v>9</v>
      </c>
      <c r="AT6" s="188">
        <f>VLOOKUP(D6,'HIEU XUAT HCV'!B:AP,32,0)</f>
        <v>-1.85</v>
      </c>
      <c r="AU6" s="189" t="s">
        <v>155</v>
      </c>
      <c r="AV6" s="189" t="s">
        <v>61</v>
      </c>
      <c r="AW6" s="189" t="s">
        <v>62</v>
      </c>
      <c r="AX6" s="189" t="s">
        <v>156</v>
      </c>
      <c r="AY6" s="189" t="s">
        <v>61</v>
      </c>
      <c r="AZ6" s="189" t="s">
        <v>63</v>
      </c>
      <c r="BA6" s="190" t="s">
        <v>244</v>
      </c>
      <c r="BB6" s="189" t="s">
        <v>51</v>
      </c>
      <c r="BC6" s="188"/>
      <c r="BD6" s="188"/>
      <c r="BE6" s="188"/>
      <c r="BF6" s="188"/>
      <c r="BG6" s="188"/>
      <c r="BH6" s="188"/>
      <c r="BI6" s="139"/>
      <c r="BJ6" s="139"/>
      <c r="BK6" s="139"/>
      <c r="BL6" s="139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I6" s="139"/>
      <c r="CJ6" s="139"/>
      <c r="CK6" s="139"/>
      <c r="CL6" s="139"/>
      <c r="CM6" s="139"/>
      <c r="CN6" s="139"/>
      <c r="CO6" s="139"/>
      <c r="CP6" s="139"/>
      <c r="CQ6" s="139"/>
      <c r="CR6" s="139"/>
      <c r="CS6" s="139"/>
      <c r="CT6" s="139"/>
      <c r="CU6" s="139"/>
      <c r="CV6" s="139"/>
      <c r="CW6" s="139"/>
      <c r="CX6" s="139"/>
      <c r="CY6" s="139"/>
      <c r="CZ6" s="139"/>
      <c r="DA6" s="139"/>
      <c r="DB6" s="139"/>
      <c r="DC6" s="139"/>
      <c r="DD6" s="139"/>
      <c r="DE6" s="139"/>
      <c r="DF6" s="139"/>
      <c r="DG6" s="139"/>
      <c r="DH6" s="139"/>
      <c r="DI6" s="139"/>
    </row>
    <row r="7" spans="1:113" s="90" customFormat="1" ht="50.25" customHeight="1" x14ac:dyDescent="0.25">
      <c r="A7" s="76" t="s">
        <v>42</v>
      </c>
      <c r="B7" s="85" t="s">
        <v>19</v>
      </c>
      <c r="C7" s="85">
        <v>2</v>
      </c>
      <c r="D7" s="85" t="s">
        <v>195</v>
      </c>
      <c r="E7" s="86" t="s">
        <v>88</v>
      </c>
      <c r="F7" s="85" t="s">
        <v>89</v>
      </c>
      <c r="G7" s="85">
        <v>8</v>
      </c>
      <c r="H7" s="85" t="s">
        <v>86</v>
      </c>
      <c r="I7" s="85" t="s">
        <v>372</v>
      </c>
      <c r="J7" s="85" t="s">
        <v>373</v>
      </c>
      <c r="K7" s="85" t="s">
        <v>374</v>
      </c>
      <c r="L7" s="85">
        <f t="shared" si="3"/>
        <v>15</v>
      </c>
      <c r="M7" s="161" t="s">
        <v>221</v>
      </c>
      <c r="N7" s="210" t="s">
        <v>153</v>
      </c>
      <c r="O7" s="161" t="s">
        <v>390</v>
      </c>
      <c r="P7" s="161" t="s">
        <v>391</v>
      </c>
      <c r="Q7" s="208" t="s">
        <v>153</v>
      </c>
      <c r="R7" s="94">
        <f t="shared" si="4"/>
        <v>5.98</v>
      </c>
      <c r="S7" s="89">
        <f t="shared" si="5"/>
        <v>6.16</v>
      </c>
      <c r="T7" s="161">
        <v>4</v>
      </c>
      <c r="U7" s="90">
        <v>0</v>
      </c>
      <c r="V7" s="161"/>
      <c r="W7" s="89"/>
      <c r="X7" s="89">
        <v>0</v>
      </c>
      <c r="Y7" s="94" t="str">
        <f t="shared" si="0"/>
        <v/>
      </c>
      <c r="Z7" s="89" t="str">
        <f t="shared" si="1"/>
        <v/>
      </c>
      <c r="AA7" s="94" t="s">
        <v>154</v>
      </c>
      <c r="AB7" s="94">
        <f>ROUNDUP('QCL02'!$J$36,2)</f>
        <v>6.1099999999999994</v>
      </c>
      <c r="AC7" s="94">
        <f>ROUNDUP('QCL03'!$J$36,2)</f>
        <v>6.09</v>
      </c>
      <c r="AD7" s="94">
        <v>0</v>
      </c>
      <c r="AE7" s="94">
        <f t="shared" si="6"/>
        <v>-0.12999999999999901</v>
      </c>
      <c r="AF7" s="94">
        <f t="shared" si="7"/>
        <v>7.0000000000000284E-2</v>
      </c>
      <c r="AG7" s="94">
        <v>0</v>
      </c>
      <c r="AH7" s="94">
        <f>ROUNDUP('QCL02'!$J$37,2)</f>
        <v>0.23</v>
      </c>
      <c r="AI7" s="94">
        <f>ROUNDUP('QCL03'!$J$37,2)</f>
        <v>0.21000000000000002</v>
      </c>
      <c r="AJ7" s="94">
        <v>0</v>
      </c>
      <c r="AK7" s="94">
        <f t="shared" si="8"/>
        <v>-0.57000000000000006</v>
      </c>
      <c r="AL7" s="94">
        <f t="shared" si="9"/>
        <v>0.34</v>
      </c>
      <c r="AM7" s="94">
        <f t="shared" si="10"/>
        <v>3</v>
      </c>
      <c r="AN7" s="94">
        <f t="shared" si="11"/>
        <v>3</v>
      </c>
      <c r="AO7" s="94">
        <f t="shared" si="12"/>
        <v>3</v>
      </c>
      <c r="AP7" s="95">
        <f t="shared" si="13"/>
        <v>9</v>
      </c>
      <c r="AQ7" s="94">
        <f>ROUNDUP('HIEU XUAT HCV'!$V$30,2)</f>
        <v>15.58</v>
      </c>
      <c r="AR7" s="94">
        <f>ROUNDUP('HIEU XUAT HCV'!$X$31,2)</f>
        <v>3.2899999999999996</v>
      </c>
      <c r="AS7" s="95">
        <f>VLOOKUP(D7,'HIEU XUAT HCV'!B:X,23,0)</f>
        <v>17</v>
      </c>
      <c r="AT7" s="95">
        <f>VLOOKUP(D7,'HIEU XUAT HCV'!B:AP,32,0)</f>
        <v>0.59</v>
      </c>
      <c r="AU7" s="161" t="s">
        <v>90</v>
      </c>
      <c r="AV7" s="161"/>
      <c r="AW7" s="161" t="s">
        <v>91</v>
      </c>
      <c r="AX7" s="161" t="s">
        <v>196</v>
      </c>
      <c r="AY7" s="161"/>
      <c r="AZ7" s="161" t="s">
        <v>92</v>
      </c>
      <c r="BA7" s="162" t="s">
        <v>85</v>
      </c>
      <c r="BB7" s="95" t="s">
        <v>85</v>
      </c>
      <c r="BC7" s="88" t="s">
        <v>377</v>
      </c>
      <c r="BD7" s="88" t="s">
        <v>378</v>
      </c>
      <c r="BE7" s="88"/>
      <c r="BF7" s="161"/>
      <c r="BG7" s="161"/>
      <c r="BH7" s="89"/>
      <c r="BI7" s="138"/>
      <c r="BJ7" s="138"/>
      <c r="BK7" s="138"/>
      <c r="BL7" s="138"/>
      <c r="BM7" s="138"/>
      <c r="BN7" s="138"/>
      <c r="BO7" s="138"/>
      <c r="BP7" s="138"/>
      <c r="BQ7" s="138"/>
      <c r="BR7" s="138"/>
      <c r="BS7" s="138"/>
      <c r="BT7" s="138"/>
      <c r="BU7" s="138"/>
      <c r="BV7" s="138"/>
      <c r="BW7" s="138"/>
      <c r="BX7" s="138"/>
      <c r="BY7" s="138"/>
      <c r="BZ7" s="138"/>
      <c r="CA7" s="138"/>
      <c r="CB7" s="138"/>
      <c r="CC7" s="138"/>
      <c r="CD7" s="138"/>
      <c r="CE7" s="138"/>
      <c r="CF7" s="138"/>
      <c r="CG7" s="138"/>
      <c r="CH7" s="138"/>
      <c r="CI7" s="138"/>
      <c r="CJ7" s="138"/>
      <c r="CK7" s="138"/>
      <c r="CL7" s="138"/>
      <c r="CM7" s="138"/>
      <c r="CN7" s="138"/>
      <c r="CO7" s="138"/>
      <c r="CP7" s="138"/>
      <c r="CQ7" s="138"/>
      <c r="CR7" s="138"/>
      <c r="CS7" s="138"/>
      <c r="CT7" s="138"/>
      <c r="CU7" s="138"/>
      <c r="CV7" s="138"/>
      <c r="CW7" s="138"/>
      <c r="CX7" s="138"/>
      <c r="CY7" s="138"/>
      <c r="CZ7" s="138"/>
      <c r="DA7" s="138"/>
      <c r="DB7" s="138"/>
      <c r="DC7" s="138"/>
      <c r="DD7" s="138"/>
      <c r="DE7" s="138"/>
      <c r="DF7" s="138"/>
      <c r="DG7" s="138"/>
      <c r="DH7" s="138"/>
      <c r="DI7" s="138"/>
    </row>
    <row r="8" spans="1:113" s="90" customFormat="1" ht="50.25" customHeight="1" x14ac:dyDescent="0.25">
      <c r="A8" s="76" t="s">
        <v>35</v>
      </c>
      <c r="B8" s="91" t="s">
        <v>27</v>
      </c>
      <c r="C8" s="91" t="s">
        <v>29</v>
      </c>
      <c r="D8" s="91" t="s">
        <v>350</v>
      </c>
      <c r="E8" s="91" t="s">
        <v>30</v>
      </c>
      <c r="F8" s="91" t="s">
        <v>31</v>
      </c>
      <c r="G8" s="91">
        <v>8</v>
      </c>
      <c r="H8" s="91" t="s">
        <v>86</v>
      </c>
      <c r="I8" s="91" t="s">
        <v>372</v>
      </c>
      <c r="J8" s="91" t="s">
        <v>373</v>
      </c>
      <c r="K8" s="91" t="s">
        <v>374</v>
      </c>
      <c r="L8" s="91">
        <f t="shared" si="3"/>
        <v>15</v>
      </c>
      <c r="M8" s="95" t="s">
        <v>221</v>
      </c>
      <c r="N8" s="95" t="s">
        <v>154</v>
      </c>
      <c r="O8" s="95" t="s">
        <v>393</v>
      </c>
      <c r="P8" s="95" t="s">
        <v>394</v>
      </c>
      <c r="Q8" s="94" t="s">
        <v>154</v>
      </c>
      <c r="R8" s="94">
        <f t="shared" si="4"/>
        <v>6.43</v>
      </c>
      <c r="S8" s="94">
        <f t="shared" si="5"/>
        <v>6.38</v>
      </c>
      <c r="T8" s="95">
        <v>4</v>
      </c>
      <c r="U8" s="95" t="s">
        <v>325</v>
      </c>
      <c r="V8" s="95"/>
      <c r="W8" s="95"/>
      <c r="X8" s="95" t="s">
        <v>325</v>
      </c>
      <c r="Y8" s="94" t="str">
        <f t="shared" si="0"/>
        <v/>
      </c>
      <c r="Z8" s="95" t="str">
        <f t="shared" si="1"/>
        <v/>
      </c>
      <c r="AA8" s="95" t="s">
        <v>154</v>
      </c>
      <c r="AB8" s="94">
        <f>ROUNDUP('QCL02'!$J$36,2)</f>
        <v>6.1099999999999994</v>
      </c>
      <c r="AC8" s="95">
        <f>ROUNDUP('QCL03'!$J$36,2)</f>
        <v>6.09</v>
      </c>
      <c r="AD8" s="94">
        <v>0</v>
      </c>
      <c r="AE8" s="94">
        <f t="shared" si="6"/>
        <v>0.32000000000000028</v>
      </c>
      <c r="AF8" s="94">
        <f t="shared" si="7"/>
        <v>0.29000000000000004</v>
      </c>
      <c r="AG8" s="94">
        <v>0</v>
      </c>
      <c r="AH8" s="94">
        <f>ROUNDUP('QCL02'!$J$37,2)</f>
        <v>0.23</v>
      </c>
      <c r="AI8" s="94">
        <f>ROUNDUP('QCL03'!$J$37,2)</f>
        <v>0.21000000000000002</v>
      </c>
      <c r="AJ8" s="94">
        <v>0</v>
      </c>
      <c r="AK8" s="94">
        <f t="shared" si="8"/>
        <v>1.4</v>
      </c>
      <c r="AL8" s="94">
        <f t="shared" si="9"/>
        <v>1.39</v>
      </c>
      <c r="AM8" s="94">
        <f t="shared" si="10"/>
        <v>3</v>
      </c>
      <c r="AN8" s="94">
        <f t="shared" si="11"/>
        <v>2</v>
      </c>
      <c r="AO8" s="94">
        <f t="shared" si="12"/>
        <v>2</v>
      </c>
      <c r="AP8" s="95">
        <f t="shared" si="13"/>
        <v>7</v>
      </c>
      <c r="AQ8" s="94">
        <f>ROUNDUP('HIEU XUAT HCV'!$V$30,2)</f>
        <v>15.58</v>
      </c>
      <c r="AR8" s="94">
        <f>ROUNDUP('HIEU XUAT HCV'!$X$31,2)</f>
        <v>3.2899999999999996</v>
      </c>
      <c r="AS8" s="95">
        <f>VLOOKUP(D8,'HIEU XUAT HCV'!B:X,23,0)</f>
        <v>16</v>
      </c>
      <c r="AT8" s="95">
        <f>VLOOKUP(D8,'HIEU XUAT HCV'!B:AP,32,0)</f>
        <v>0.29000000000000004</v>
      </c>
      <c r="AU8" s="95" t="s">
        <v>304</v>
      </c>
      <c r="AV8" s="95" t="s">
        <v>32</v>
      </c>
      <c r="AW8" s="95" t="s">
        <v>165</v>
      </c>
      <c r="AX8" s="95" t="s">
        <v>196</v>
      </c>
      <c r="AY8" s="95"/>
      <c r="AZ8" s="95" t="s">
        <v>332</v>
      </c>
      <c r="BA8" s="162" t="s">
        <v>85</v>
      </c>
      <c r="BB8" s="95" t="s">
        <v>85</v>
      </c>
      <c r="BC8" s="88" t="s">
        <v>377</v>
      </c>
      <c r="BD8" s="88" t="s">
        <v>397</v>
      </c>
      <c r="BE8" s="88" t="s">
        <v>379</v>
      </c>
      <c r="BF8" s="95" t="s">
        <v>34</v>
      </c>
      <c r="BG8" s="95" t="s">
        <v>23</v>
      </c>
      <c r="BH8" s="95">
        <v>-20</v>
      </c>
      <c r="BI8" s="138"/>
      <c r="BJ8" s="138"/>
      <c r="BK8" s="138"/>
      <c r="BL8" s="138"/>
      <c r="BM8" s="138"/>
      <c r="BN8" s="138"/>
      <c r="BO8" s="138"/>
      <c r="BP8" s="138"/>
      <c r="BQ8" s="138"/>
      <c r="BR8" s="138"/>
      <c r="BS8" s="138"/>
      <c r="BT8" s="138"/>
      <c r="BU8" s="138"/>
      <c r="BV8" s="138"/>
      <c r="BW8" s="138"/>
      <c r="BX8" s="138"/>
      <c r="BY8" s="138"/>
      <c r="BZ8" s="138"/>
      <c r="CA8" s="138"/>
      <c r="CB8" s="138"/>
      <c r="CC8" s="138"/>
      <c r="CD8" s="138"/>
      <c r="CE8" s="138"/>
      <c r="CF8" s="138"/>
      <c r="CG8" s="138"/>
      <c r="CH8" s="138"/>
      <c r="CI8" s="138"/>
      <c r="CJ8" s="138"/>
      <c r="CK8" s="138"/>
      <c r="CL8" s="138"/>
      <c r="CM8" s="138"/>
      <c r="CN8" s="138"/>
      <c r="CO8" s="138"/>
      <c r="CP8" s="138"/>
      <c r="CQ8" s="138"/>
      <c r="CR8" s="138"/>
      <c r="CS8" s="138"/>
      <c r="CT8" s="138"/>
      <c r="CU8" s="138"/>
      <c r="CV8" s="138"/>
      <c r="CW8" s="138"/>
      <c r="CX8" s="138"/>
      <c r="CY8" s="138"/>
      <c r="CZ8" s="138"/>
      <c r="DA8" s="138"/>
      <c r="DB8" s="138"/>
      <c r="DC8" s="138"/>
      <c r="DD8" s="138"/>
      <c r="DE8" s="138"/>
      <c r="DF8" s="138"/>
      <c r="DG8" s="138"/>
      <c r="DH8" s="138"/>
      <c r="DI8" s="138"/>
    </row>
    <row r="9" spans="1:113" s="90" customFormat="1" ht="50.25" customHeight="1" x14ac:dyDescent="0.25">
      <c r="A9" s="76" t="s">
        <v>44</v>
      </c>
      <c r="B9" s="95" t="s">
        <v>94</v>
      </c>
      <c r="C9" s="95">
        <v>1</v>
      </c>
      <c r="D9" s="95" t="s">
        <v>211</v>
      </c>
      <c r="E9" s="96" t="s">
        <v>101</v>
      </c>
      <c r="F9" s="97" t="s">
        <v>102</v>
      </c>
      <c r="G9" s="97">
        <v>8</v>
      </c>
      <c r="H9" s="97" t="s">
        <v>86</v>
      </c>
      <c r="I9" s="97" t="s">
        <v>372</v>
      </c>
      <c r="J9" s="97" t="s">
        <v>373</v>
      </c>
      <c r="K9" s="97" t="s">
        <v>374</v>
      </c>
      <c r="L9" s="97">
        <f t="shared" si="3"/>
        <v>15</v>
      </c>
      <c r="M9" s="95" t="s">
        <v>221</v>
      </c>
      <c r="N9" s="95" t="s">
        <v>153</v>
      </c>
      <c r="O9" s="95" t="s">
        <v>395</v>
      </c>
      <c r="P9" s="95" t="s">
        <v>396</v>
      </c>
      <c r="Q9" s="207" t="s">
        <v>153</v>
      </c>
      <c r="R9" s="94">
        <f t="shared" si="4"/>
        <v>5.0999999999999996</v>
      </c>
      <c r="S9" s="94">
        <f t="shared" si="5"/>
        <v>5.1100000000000003</v>
      </c>
      <c r="T9" s="95">
        <v>4</v>
      </c>
      <c r="U9" s="95">
        <v>0</v>
      </c>
      <c r="V9" s="95"/>
      <c r="W9" s="95"/>
      <c r="X9" s="95">
        <v>0</v>
      </c>
      <c r="Y9" s="94" t="str">
        <f t="shared" si="0"/>
        <v/>
      </c>
      <c r="Z9" s="94" t="str">
        <f t="shared" si="1"/>
        <v/>
      </c>
      <c r="AA9" s="94" t="s">
        <v>154</v>
      </c>
      <c r="AB9" s="94">
        <f>ROUNDUP('QCL02'!$J$36,2)</f>
        <v>6.1099999999999994</v>
      </c>
      <c r="AC9" s="94">
        <f>ROUNDUP('QCL03'!$J$36,2)</f>
        <v>6.09</v>
      </c>
      <c r="AD9" s="94">
        <v>0</v>
      </c>
      <c r="AE9" s="94">
        <f t="shared" si="6"/>
        <v>-1.0099999999999998</v>
      </c>
      <c r="AF9" s="94">
        <f t="shared" si="7"/>
        <v>-0.97999999999999954</v>
      </c>
      <c r="AG9" s="94">
        <v>0</v>
      </c>
      <c r="AH9" s="94">
        <f>ROUNDUP('QCL02'!$J$37,2)</f>
        <v>0.23</v>
      </c>
      <c r="AI9" s="94">
        <f>ROUNDUP('QCL03'!$J$37,2)</f>
        <v>0.21000000000000002</v>
      </c>
      <c r="AJ9" s="94">
        <v>0</v>
      </c>
      <c r="AK9" s="94">
        <f t="shared" si="8"/>
        <v>-4.3999999999999995</v>
      </c>
      <c r="AL9" s="94">
        <f t="shared" si="9"/>
        <v>-4.67</v>
      </c>
      <c r="AM9" s="94">
        <f t="shared" si="10"/>
        <v>3</v>
      </c>
      <c r="AN9" s="94">
        <f t="shared" si="11"/>
        <v>0</v>
      </c>
      <c r="AO9" s="94">
        <f t="shared" si="12"/>
        <v>0</v>
      </c>
      <c r="AP9" s="95">
        <f t="shared" si="13"/>
        <v>3</v>
      </c>
      <c r="AQ9" s="94">
        <f>ROUNDUP('HIEU XUAT HCV'!$V$30,2)</f>
        <v>15.58</v>
      </c>
      <c r="AR9" s="94">
        <f>ROUNDUP('HIEU XUAT HCV'!$X$31,2)</f>
        <v>3.2899999999999996</v>
      </c>
      <c r="AS9" s="95">
        <f>VLOOKUP(D9,'HIEU XUAT HCV'!B:X,23,0)</f>
        <v>9</v>
      </c>
      <c r="AT9" s="95">
        <f>VLOOKUP(D9,'HIEU XUAT HCV'!B:AP,32,0)</f>
        <v>-1.85</v>
      </c>
      <c r="AU9" s="95"/>
      <c r="AV9" s="95" t="s">
        <v>84</v>
      </c>
      <c r="AW9" s="95"/>
      <c r="AX9" s="95" t="s">
        <v>85</v>
      </c>
      <c r="AY9" s="95" t="s">
        <v>331</v>
      </c>
      <c r="AZ9" s="95" t="s">
        <v>98</v>
      </c>
      <c r="BA9" s="162" t="s">
        <v>85</v>
      </c>
      <c r="BB9" s="163" t="s">
        <v>93</v>
      </c>
      <c r="BC9" s="88" t="s">
        <v>377</v>
      </c>
      <c r="BD9" s="88" t="s">
        <v>397</v>
      </c>
      <c r="BE9" s="88" t="s">
        <v>389</v>
      </c>
      <c r="BF9" s="95" t="s">
        <v>303</v>
      </c>
      <c r="BG9" s="95">
        <v>5</v>
      </c>
      <c r="BH9" s="95" t="s">
        <v>23</v>
      </c>
      <c r="BI9" s="138"/>
      <c r="BJ9" s="138"/>
      <c r="BK9" s="138"/>
      <c r="BL9" s="138"/>
      <c r="BM9" s="138"/>
      <c r="BN9" s="138"/>
      <c r="BO9" s="138"/>
      <c r="BP9" s="138"/>
      <c r="BQ9" s="138"/>
      <c r="BR9" s="138"/>
      <c r="BS9" s="138"/>
      <c r="BT9" s="138"/>
      <c r="BU9" s="138"/>
      <c r="BV9" s="138"/>
      <c r="BW9" s="138"/>
      <c r="BX9" s="138"/>
      <c r="BY9" s="138"/>
      <c r="BZ9" s="138"/>
      <c r="CA9" s="138"/>
      <c r="CB9" s="138"/>
      <c r="CC9" s="138"/>
      <c r="CD9" s="138"/>
      <c r="CE9" s="138"/>
      <c r="CF9" s="138"/>
      <c r="CG9" s="138"/>
      <c r="CH9" s="138"/>
      <c r="CI9" s="138"/>
      <c r="CJ9" s="138"/>
      <c r="CK9" s="138"/>
      <c r="CL9" s="138"/>
      <c r="CM9" s="138"/>
      <c r="CN9" s="138"/>
      <c r="CO9" s="138"/>
      <c r="CP9" s="138"/>
      <c r="CQ9" s="138"/>
      <c r="CR9" s="138"/>
      <c r="CS9" s="138"/>
      <c r="CT9" s="138"/>
      <c r="CU9" s="138"/>
      <c r="CV9" s="138"/>
      <c r="CW9" s="138"/>
      <c r="CX9" s="138"/>
      <c r="CY9" s="138"/>
      <c r="CZ9" s="138"/>
      <c r="DA9" s="138"/>
      <c r="DB9" s="138"/>
      <c r="DC9" s="138"/>
      <c r="DD9" s="138"/>
      <c r="DE9" s="138"/>
      <c r="DF9" s="138"/>
      <c r="DG9" s="138"/>
      <c r="DH9" s="138"/>
      <c r="DI9" s="138"/>
    </row>
    <row r="10" spans="1:113" s="177" customFormat="1" ht="50.25" customHeight="1" x14ac:dyDescent="0.25">
      <c r="A10" s="76" t="s">
        <v>38</v>
      </c>
      <c r="B10" s="173" t="s">
        <v>27</v>
      </c>
      <c r="C10" s="173" t="s">
        <v>29</v>
      </c>
      <c r="D10" s="173" t="s">
        <v>359</v>
      </c>
      <c r="E10" s="173" t="s">
        <v>36</v>
      </c>
      <c r="F10" s="173" t="s">
        <v>37</v>
      </c>
      <c r="G10" s="173">
        <v>8</v>
      </c>
      <c r="H10" s="173" t="s">
        <v>86</v>
      </c>
      <c r="I10" s="173" t="s">
        <v>372</v>
      </c>
      <c r="J10" s="173" t="s">
        <v>373</v>
      </c>
      <c r="K10" s="173" t="s">
        <v>374</v>
      </c>
      <c r="L10" s="173">
        <f t="shared" si="3"/>
        <v>15</v>
      </c>
      <c r="M10" s="174"/>
      <c r="N10" s="174"/>
      <c r="O10" s="174"/>
      <c r="P10" s="174"/>
      <c r="Q10" s="174"/>
      <c r="R10" s="174" t="str">
        <f t="shared" si="4"/>
        <v/>
      </c>
      <c r="S10" s="174" t="str">
        <f t="shared" si="5"/>
        <v/>
      </c>
      <c r="T10" s="174">
        <v>4</v>
      </c>
      <c r="U10" s="174"/>
      <c r="V10" s="174"/>
      <c r="W10" s="174"/>
      <c r="X10" s="174"/>
      <c r="Y10" s="174" t="str">
        <f t="shared" si="0"/>
        <v/>
      </c>
      <c r="Z10" s="174" t="str">
        <f t="shared" si="1"/>
        <v/>
      </c>
      <c r="AA10" s="174" t="s">
        <v>154</v>
      </c>
      <c r="AB10" s="174">
        <f>ROUNDUP('QCL02'!$J$36,2)</f>
        <v>6.1099999999999994</v>
      </c>
      <c r="AC10" s="174">
        <f>ROUNDUP('QCL03'!$J$36,2)</f>
        <v>6.09</v>
      </c>
      <c r="AD10" s="174">
        <v>0</v>
      </c>
      <c r="AE10" s="174" t="e">
        <f t="shared" si="6"/>
        <v>#VALUE!</v>
      </c>
      <c r="AF10" s="174" t="e">
        <f t="shared" si="7"/>
        <v>#VALUE!</v>
      </c>
      <c r="AG10" s="174">
        <v>0</v>
      </c>
      <c r="AH10" s="174">
        <f>ROUNDUP('QCL02'!$J$37,2)</f>
        <v>0.23</v>
      </c>
      <c r="AI10" s="174">
        <f>ROUNDUP('QCL03'!$J$37,2)</f>
        <v>0.21000000000000002</v>
      </c>
      <c r="AJ10" s="174">
        <v>0</v>
      </c>
      <c r="AK10" s="174" t="e">
        <f t="shared" si="8"/>
        <v>#VALUE!</v>
      </c>
      <c r="AL10" s="174" t="e">
        <f t="shared" si="9"/>
        <v>#VALUE!</v>
      </c>
      <c r="AM10" s="174" t="str">
        <f t="shared" si="10"/>
        <v/>
      </c>
      <c r="AN10" s="174" t="str">
        <f t="shared" si="11"/>
        <v/>
      </c>
      <c r="AO10" s="174" t="str">
        <f t="shared" si="12"/>
        <v/>
      </c>
      <c r="AP10" s="200" t="str">
        <f t="shared" si="13"/>
        <v/>
      </c>
      <c r="AQ10" s="174">
        <f>ROUNDUP('HIEU XUAT HCV'!$V$30,2)</f>
        <v>15.58</v>
      </c>
      <c r="AR10" s="174">
        <f>ROUNDUP('HIEU XUAT HCV'!$X$31,2)</f>
        <v>3.2899999999999996</v>
      </c>
      <c r="AS10" s="174" t="str">
        <f>VLOOKUP(D10,'HIEU XUAT HCV'!B:X,23,0)</f>
        <v>N/A</v>
      </c>
      <c r="AT10" s="174" t="str">
        <f>VLOOKUP(D10,'HIEU XUAT HCV'!B:AP,32,0)</f>
        <v>N/A</v>
      </c>
      <c r="AU10" s="174" t="s">
        <v>322</v>
      </c>
      <c r="AV10" s="174"/>
      <c r="AW10" s="174"/>
      <c r="AX10" s="174" t="s">
        <v>305</v>
      </c>
      <c r="AY10" s="174"/>
      <c r="AZ10" s="174" t="s">
        <v>323</v>
      </c>
      <c r="BA10" s="175" t="s">
        <v>85</v>
      </c>
      <c r="BB10" s="175" t="s">
        <v>74</v>
      </c>
      <c r="BC10" s="174"/>
      <c r="BD10" s="174"/>
      <c r="BE10" s="176" t="s">
        <v>324</v>
      </c>
      <c r="BF10" s="174"/>
      <c r="BG10" s="174"/>
      <c r="BH10" s="174"/>
      <c r="BI10" s="139"/>
      <c r="BJ10" s="139"/>
      <c r="BK10" s="139"/>
      <c r="BL10" s="139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I10" s="139"/>
      <c r="CJ10" s="139"/>
      <c r="CK10" s="139"/>
      <c r="CL10" s="139"/>
      <c r="CM10" s="139"/>
      <c r="CN10" s="139"/>
      <c r="CO10" s="139"/>
      <c r="CP10" s="139"/>
      <c r="CQ10" s="139"/>
      <c r="CR10" s="139"/>
      <c r="CS10" s="139"/>
      <c r="CT10" s="139"/>
      <c r="CU10" s="139"/>
      <c r="CV10" s="139"/>
      <c r="CW10" s="139"/>
      <c r="CX10" s="139"/>
      <c r="CY10" s="139"/>
      <c r="CZ10" s="139"/>
      <c r="DA10" s="139"/>
      <c r="DB10" s="139"/>
      <c r="DC10" s="139"/>
      <c r="DD10" s="139"/>
      <c r="DE10" s="139"/>
      <c r="DF10" s="139"/>
      <c r="DG10" s="139"/>
      <c r="DH10" s="139"/>
      <c r="DI10" s="139"/>
    </row>
    <row r="11" spans="1:113" s="104" customFormat="1" ht="50.25" customHeight="1" x14ac:dyDescent="0.25">
      <c r="A11" s="76" t="s">
        <v>87</v>
      </c>
      <c r="B11" s="98" t="s">
        <v>27</v>
      </c>
      <c r="C11" s="98" t="s">
        <v>29</v>
      </c>
      <c r="D11" s="98" t="s">
        <v>164</v>
      </c>
      <c r="E11" s="99" t="s">
        <v>79</v>
      </c>
      <c r="F11" s="98" t="s">
        <v>80</v>
      </c>
      <c r="G11" s="98">
        <v>8</v>
      </c>
      <c r="H11" s="98" t="s">
        <v>86</v>
      </c>
      <c r="I11" s="98" t="s">
        <v>372</v>
      </c>
      <c r="J11" s="98" t="s">
        <v>373</v>
      </c>
      <c r="K11" s="98" t="s">
        <v>374</v>
      </c>
      <c r="L11" s="98">
        <f t="shared" si="3"/>
        <v>15</v>
      </c>
      <c r="M11" s="101" t="s">
        <v>221</v>
      </c>
      <c r="N11" s="101" t="s">
        <v>325</v>
      </c>
      <c r="O11" s="101" t="s">
        <v>398</v>
      </c>
      <c r="P11" s="101" t="s">
        <v>399</v>
      </c>
      <c r="Q11" s="103" t="s">
        <v>325</v>
      </c>
      <c r="R11" s="103">
        <f t="shared" si="4"/>
        <v>6.02</v>
      </c>
      <c r="S11" s="103">
        <f t="shared" si="5"/>
        <v>6.01</v>
      </c>
      <c r="T11" s="101">
        <v>1.21</v>
      </c>
      <c r="U11" s="101" t="s">
        <v>325</v>
      </c>
      <c r="V11" s="103"/>
      <c r="W11" s="101"/>
      <c r="X11" s="103" t="s">
        <v>325</v>
      </c>
      <c r="Y11" s="103" t="str">
        <f t="shared" si="0"/>
        <v/>
      </c>
      <c r="Z11" s="101" t="str">
        <f t="shared" si="1"/>
        <v/>
      </c>
      <c r="AA11" s="103" t="s">
        <v>154</v>
      </c>
      <c r="AB11" s="103">
        <f>ROUNDUP('QCL02'!$J$36,2)</f>
        <v>6.1099999999999994</v>
      </c>
      <c r="AC11" s="103">
        <f>ROUNDUP('QCL03'!$J$36,2)</f>
        <v>6.09</v>
      </c>
      <c r="AD11" s="103">
        <v>0</v>
      </c>
      <c r="AE11" s="103">
        <f t="shared" si="6"/>
        <v>-8.9999999999999858E-2</v>
      </c>
      <c r="AF11" s="103">
        <f t="shared" si="7"/>
        <v>-8.0000000000000071E-2</v>
      </c>
      <c r="AG11" s="103">
        <v>0</v>
      </c>
      <c r="AH11" s="103">
        <f>ROUNDUP('QCL02'!$J$37,2)</f>
        <v>0.23</v>
      </c>
      <c r="AI11" s="103">
        <f>ROUNDUP('QCL03'!$J$37,2)</f>
        <v>0.21000000000000002</v>
      </c>
      <c r="AJ11" s="103">
        <v>0</v>
      </c>
      <c r="AK11" s="103">
        <f t="shared" si="8"/>
        <v>-0.4</v>
      </c>
      <c r="AL11" s="103">
        <f t="shared" si="9"/>
        <v>-0.39</v>
      </c>
      <c r="AM11" s="103">
        <f t="shared" si="10"/>
        <v>3</v>
      </c>
      <c r="AN11" s="103">
        <f t="shared" si="11"/>
        <v>3</v>
      </c>
      <c r="AO11" s="103">
        <f t="shared" si="12"/>
        <v>3</v>
      </c>
      <c r="AP11" s="201">
        <f t="shared" si="13"/>
        <v>9</v>
      </c>
      <c r="AQ11" s="103">
        <f>ROUNDUP('HIEU XUAT HCV'!$V$30,2)</f>
        <v>15.58</v>
      </c>
      <c r="AR11" s="103">
        <f>ROUNDUP('HIEU XUAT HCV'!$X$31,2)</f>
        <v>3.2899999999999996</v>
      </c>
      <c r="AS11" s="101">
        <f>VLOOKUP(D11,'HIEU XUAT HCV'!B:X,23,0)</f>
        <v>18</v>
      </c>
      <c r="AT11" s="101">
        <f>VLOOKUP(D11,'HIEU XUAT HCV'!B:AP,32,0)</f>
        <v>0.9</v>
      </c>
      <c r="AU11" s="101"/>
      <c r="AV11" s="101"/>
      <c r="AW11" s="101" t="s">
        <v>165</v>
      </c>
      <c r="AX11" s="101" t="s">
        <v>166</v>
      </c>
      <c r="AY11" s="101"/>
      <c r="AZ11" s="101" t="s">
        <v>167</v>
      </c>
      <c r="BA11" s="101" t="s">
        <v>246</v>
      </c>
      <c r="BB11" s="164" t="s">
        <v>74</v>
      </c>
      <c r="BC11" s="101"/>
      <c r="BD11" s="101"/>
      <c r="BE11" s="102" t="s">
        <v>385</v>
      </c>
      <c r="BF11" s="101"/>
      <c r="BG11" s="101"/>
      <c r="BH11" s="101"/>
      <c r="BI11" s="138"/>
      <c r="BJ11" s="138"/>
      <c r="BK11" s="138"/>
      <c r="BL11" s="138"/>
      <c r="BM11" s="138"/>
      <c r="BN11" s="138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BY11" s="138"/>
      <c r="BZ11" s="138"/>
      <c r="CA11" s="138"/>
      <c r="CB11" s="138"/>
      <c r="CC11" s="138"/>
      <c r="CD11" s="138"/>
      <c r="CE11" s="138"/>
      <c r="CF11" s="138"/>
      <c r="CG11" s="138"/>
      <c r="CH11" s="138"/>
      <c r="CI11" s="138"/>
      <c r="CJ11" s="138"/>
      <c r="CK11" s="138"/>
      <c r="CL11" s="138"/>
      <c r="CM11" s="138"/>
      <c r="CN11" s="138"/>
      <c r="CO11" s="138"/>
      <c r="CP11" s="138"/>
      <c r="CQ11" s="138"/>
      <c r="CR11" s="138"/>
      <c r="CS11" s="138"/>
      <c r="CT11" s="138"/>
      <c r="CU11" s="138"/>
      <c r="CV11" s="138"/>
      <c r="CW11" s="138"/>
      <c r="CX11" s="138"/>
      <c r="CY11" s="138"/>
      <c r="CZ11" s="138"/>
      <c r="DA11" s="138"/>
      <c r="DB11" s="138"/>
      <c r="DC11" s="138"/>
      <c r="DD11" s="138"/>
      <c r="DE11" s="138"/>
      <c r="DF11" s="138"/>
      <c r="DG11" s="138"/>
      <c r="DH11" s="138"/>
      <c r="DI11" s="138"/>
    </row>
    <row r="12" spans="1:113" s="104" customFormat="1" ht="50.25" customHeight="1" x14ac:dyDescent="0.25">
      <c r="A12" s="180" t="s">
        <v>45</v>
      </c>
      <c r="B12" s="98" t="s">
        <v>27</v>
      </c>
      <c r="C12" s="98">
        <v>2</v>
      </c>
      <c r="D12" s="98" t="s">
        <v>159</v>
      </c>
      <c r="E12" s="98" t="s">
        <v>81</v>
      </c>
      <c r="F12" s="98" t="s">
        <v>82</v>
      </c>
      <c r="G12" s="98">
        <v>8</v>
      </c>
      <c r="H12" s="98" t="s">
        <v>86</v>
      </c>
      <c r="I12" s="98" t="s">
        <v>372</v>
      </c>
      <c r="J12" s="98" t="s">
        <v>373</v>
      </c>
      <c r="K12" s="98" t="s">
        <v>374</v>
      </c>
      <c r="L12" s="98">
        <f t="shared" si="3"/>
        <v>15</v>
      </c>
      <c r="M12" s="101" t="s">
        <v>221</v>
      </c>
      <c r="N12" s="101" t="s">
        <v>290</v>
      </c>
      <c r="O12" s="101" t="s">
        <v>403</v>
      </c>
      <c r="P12" s="101" t="s">
        <v>380</v>
      </c>
      <c r="Q12" s="101" t="s">
        <v>290</v>
      </c>
      <c r="R12" s="101">
        <f t="shared" si="4"/>
        <v>6.59</v>
      </c>
      <c r="S12" s="101">
        <f t="shared" si="5"/>
        <v>6.6</v>
      </c>
      <c r="T12" s="101">
        <v>1.21</v>
      </c>
      <c r="U12" s="101" t="s">
        <v>290</v>
      </c>
      <c r="V12" s="101"/>
      <c r="W12" s="181"/>
      <c r="X12" s="101" t="s">
        <v>290</v>
      </c>
      <c r="Y12" s="101" t="str">
        <f t="shared" si="0"/>
        <v/>
      </c>
      <c r="Z12" s="101" t="str">
        <f t="shared" si="1"/>
        <v/>
      </c>
      <c r="AA12" s="101" t="s">
        <v>154</v>
      </c>
      <c r="AB12" s="101">
        <f>ROUNDUP('QCL02'!$J$36,2)</f>
        <v>6.1099999999999994</v>
      </c>
      <c r="AC12" s="101">
        <f>ROUNDUP('QCL03'!$J$36,2)</f>
        <v>6.09</v>
      </c>
      <c r="AD12" s="101">
        <v>0</v>
      </c>
      <c r="AE12" s="101">
        <f t="shared" si="6"/>
        <v>0.48000000000000043</v>
      </c>
      <c r="AF12" s="101">
        <f t="shared" si="7"/>
        <v>0.50999999999999979</v>
      </c>
      <c r="AG12" s="101">
        <v>0</v>
      </c>
      <c r="AH12" s="101">
        <f>ROUNDUP('QCL02'!$J$37,2)</f>
        <v>0.23</v>
      </c>
      <c r="AI12" s="101">
        <f>ROUNDUP('QCL03'!$J$37,2)</f>
        <v>0.21000000000000002</v>
      </c>
      <c r="AJ12" s="101">
        <v>0</v>
      </c>
      <c r="AK12" s="101">
        <f t="shared" si="8"/>
        <v>2.09</v>
      </c>
      <c r="AL12" s="101">
        <f t="shared" si="9"/>
        <v>2.4299999999999997</v>
      </c>
      <c r="AM12" s="101">
        <f t="shared" si="10"/>
        <v>3</v>
      </c>
      <c r="AN12" s="101">
        <f t="shared" si="11"/>
        <v>1</v>
      </c>
      <c r="AO12" s="101">
        <f t="shared" si="12"/>
        <v>1</v>
      </c>
      <c r="AP12" s="201">
        <f t="shared" si="13"/>
        <v>5</v>
      </c>
      <c r="AQ12" s="101">
        <f>ROUNDUP('HIEU XUAT HCV'!$V$30,2)</f>
        <v>15.58</v>
      </c>
      <c r="AR12" s="101">
        <f>ROUNDUP('HIEU XUAT HCV'!$X$31,2)</f>
        <v>3.2899999999999996</v>
      </c>
      <c r="AS12" s="101">
        <f>VLOOKUP(D12,'HIEU XUAT HCV'!B:X,23,0)</f>
        <v>14</v>
      </c>
      <c r="AT12" s="101">
        <f>VLOOKUP(D12,'HIEU XUAT HCV'!B:AP,32,0)</f>
        <v>-0.33</v>
      </c>
      <c r="AU12" s="101" t="s">
        <v>160</v>
      </c>
      <c r="AV12" s="101"/>
      <c r="AW12" s="101" t="s">
        <v>161</v>
      </c>
      <c r="AX12" s="101" t="s">
        <v>162</v>
      </c>
      <c r="AY12" s="101" t="s">
        <v>163</v>
      </c>
      <c r="AZ12" s="101" t="s">
        <v>122</v>
      </c>
      <c r="BA12" s="101" t="s">
        <v>246</v>
      </c>
      <c r="BB12" s="164" t="s">
        <v>74</v>
      </c>
      <c r="BC12" s="102" t="s">
        <v>400</v>
      </c>
      <c r="BD12" s="102" t="s">
        <v>401</v>
      </c>
      <c r="BE12" s="102" t="s">
        <v>402</v>
      </c>
      <c r="BF12" s="101" t="s">
        <v>34</v>
      </c>
      <c r="BG12" s="101" t="s">
        <v>28</v>
      </c>
      <c r="BH12" s="101" t="s">
        <v>24</v>
      </c>
      <c r="BI12" s="138"/>
      <c r="BJ12" s="138"/>
      <c r="BK12" s="138"/>
      <c r="BL12" s="138"/>
      <c r="BM12" s="138"/>
      <c r="BN12" s="138"/>
      <c r="BO12" s="138"/>
      <c r="BP12" s="138"/>
      <c r="BQ12" s="138"/>
      <c r="BR12" s="138"/>
      <c r="BS12" s="138"/>
      <c r="BT12" s="138"/>
      <c r="BU12" s="138"/>
      <c r="BV12" s="138"/>
      <c r="BW12" s="138"/>
      <c r="BX12" s="138"/>
      <c r="BY12" s="138"/>
      <c r="BZ12" s="138"/>
      <c r="CA12" s="138"/>
      <c r="CB12" s="138"/>
      <c r="CC12" s="138"/>
      <c r="CD12" s="138"/>
      <c r="CE12" s="138"/>
      <c r="CF12" s="138"/>
      <c r="CG12" s="138"/>
      <c r="CH12" s="138"/>
      <c r="CI12" s="138"/>
      <c r="CJ12" s="138"/>
      <c r="CK12" s="138"/>
      <c r="CL12" s="138"/>
      <c r="CM12" s="138"/>
      <c r="CN12" s="138"/>
      <c r="CO12" s="138"/>
      <c r="CP12" s="138"/>
      <c r="CQ12" s="138"/>
      <c r="CR12" s="138"/>
      <c r="CS12" s="138"/>
      <c r="CT12" s="138"/>
      <c r="CU12" s="138"/>
      <c r="CV12" s="138"/>
      <c r="CW12" s="138"/>
      <c r="CX12" s="138"/>
      <c r="CY12" s="138"/>
      <c r="CZ12" s="138"/>
      <c r="DA12" s="138"/>
      <c r="DB12" s="138"/>
      <c r="DC12" s="138"/>
      <c r="DD12" s="138"/>
      <c r="DE12" s="138"/>
      <c r="DF12" s="138"/>
      <c r="DG12" s="138"/>
      <c r="DH12" s="138"/>
      <c r="DI12" s="138"/>
    </row>
    <row r="13" spans="1:113" s="112" customFormat="1" ht="50.25" customHeight="1" x14ac:dyDescent="0.25">
      <c r="A13" s="76" t="s">
        <v>48</v>
      </c>
      <c r="B13" s="107" t="s">
        <v>55</v>
      </c>
      <c r="C13" s="107">
        <v>1</v>
      </c>
      <c r="D13" s="107" t="s">
        <v>179</v>
      </c>
      <c r="E13" s="108" t="s">
        <v>71</v>
      </c>
      <c r="F13" s="107" t="s">
        <v>72</v>
      </c>
      <c r="G13" s="107">
        <v>8</v>
      </c>
      <c r="H13" s="107" t="s">
        <v>86</v>
      </c>
      <c r="I13" s="107" t="s">
        <v>372</v>
      </c>
      <c r="J13" s="107" t="s">
        <v>373</v>
      </c>
      <c r="K13" s="107" t="s">
        <v>374</v>
      </c>
      <c r="L13" s="107">
        <f t="shared" si="3"/>
        <v>15</v>
      </c>
      <c r="M13" s="165" t="s">
        <v>221</v>
      </c>
      <c r="N13" s="165" t="s">
        <v>290</v>
      </c>
      <c r="O13" s="165" t="s">
        <v>404</v>
      </c>
      <c r="P13" s="165" t="s">
        <v>405</v>
      </c>
      <c r="Q13" s="111" t="s">
        <v>290</v>
      </c>
      <c r="R13" s="111">
        <f t="shared" si="4"/>
        <v>6.17</v>
      </c>
      <c r="S13" s="111">
        <f t="shared" si="5"/>
        <v>6.03</v>
      </c>
      <c r="T13" s="165">
        <v>5.82</v>
      </c>
      <c r="U13" s="165" t="s">
        <v>290</v>
      </c>
      <c r="V13" s="111"/>
      <c r="W13" s="165"/>
      <c r="X13" s="111" t="s">
        <v>290</v>
      </c>
      <c r="Y13" s="111" t="str">
        <f t="shared" si="0"/>
        <v/>
      </c>
      <c r="Z13" s="165" t="str">
        <f t="shared" si="1"/>
        <v/>
      </c>
      <c r="AA13" s="111" t="s">
        <v>154</v>
      </c>
      <c r="AB13" s="111">
        <f>ROUNDUP('QCL02'!$J$36,2)</f>
        <v>6.1099999999999994</v>
      </c>
      <c r="AC13" s="111">
        <f>ROUNDUP('QCL03'!$J$36,2)</f>
        <v>6.09</v>
      </c>
      <c r="AD13" s="111">
        <v>0</v>
      </c>
      <c r="AE13" s="111">
        <f t="shared" si="6"/>
        <v>6.0000000000000497E-2</v>
      </c>
      <c r="AF13" s="111">
        <f t="shared" si="7"/>
        <v>-5.9999999999999609E-2</v>
      </c>
      <c r="AG13" s="111">
        <v>0</v>
      </c>
      <c r="AH13" s="111">
        <f>ROUNDUP('QCL02'!$J$37,2)</f>
        <v>0.23</v>
      </c>
      <c r="AI13" s="111">
        <f>ROUNDUP('QCL03'!$J$37,2)</f>
        <v>0.21000000000000002</v>
      </c>
      <c r="AJ13" s="111">
        <v>0</v>
      </c>
      <c r="AK13" s="111">
        <f t="shared" si="8"/>
        <v>0.27</v>
      </c>
      <c r="AL13" s="111">
        <f t="shared" si="9"/>
        <v>-0.29000000000000004</v>
      </c>
      <c r="AM13" s="111">
        <f t="shared" si="10"/>
        <v>3</v>
      </c>
      <c r="AN13" s="111">
        <f t="shared" si="11"/>
        <v>3</v>
      </c>
      <c r="AO13" s="111">
        <f t="shared" si="12"/>
        <v>3</v>
      </c>
      <c r="AP13" s="202">
        <f t="shared" si="13"/>
        <v>9</v>
      </c>
      <c r="AQ13" s="111">
        <f>ROUNDUP('HIEU XUAT HCV'!$V$30,2)</f>
        <v>15.58</v>
      </c>
      <c r="AR13" s="111">
        <f>ROUNDUP('HIEU XUAT HCV'!$X$31,2)</f>
        <v>3.2899999999999996</v>
      </c>
      <c r="AS13" s="165">
        <f>VLOOKUP(D13,'HIEU XUAT HCV'!B:X,23,0)</f>
        <v>12</v>
      </c>
      <c r="AT13" s="165">
        <f>VLOOKUP(D13,'HIEU XUAT HCV'!B:AP,32,0)</f>
        <v>-0.94000000000000006</v>
      </c>
      <c r="AU13" s="165" t="s">
        <v>73</v>
      </c>
      <c r="AV13" s="165" t="s">
        <v>255</v>
      </c>
      <c r="AW13" s="165" t="s">
        <v>326</v>
      </c>
      <c r="AX13" s="165" t="s">
        <v>327</v>
      </c>
      <c r="AY13" s="165"/>
      <c r="AZ13" s="165" t="s">
        <v>180</v>
      </c>
      <c r="BA13" s="166" t="s">
        <v>241</v>
      </c>
      <c r="BB13" s="165" t="s">
        <v>74</v>
      </c>
      <c r="BC13" s="110" t="s">
        <v>377</v>
      </c>
      <c r="BD13" s="110" t="s">
        <v>402</v>
      </c>
      <c r="BE13" s="110" t="s">
        <v>373</v>
      </c>
      <c r="BF13" s="165" t="s">
        <v>69</v>
      </c>
      <c r="BG13" s="165" t="s">
        <v>75</v>
      </c>
      <c r="BH13" s="165"/>
      <c r="BI13" s="138"/>
      <c r="BJ13" s="138"/>
      <c r="BK13" s="138"/>
      <c r="BL13" s="138"/>
      <c r="BM13" s="138"/>
      <c r="BN13" s="138"/>
      <c r="BO13" s="138"/>
      <c r="BP13" s="138"/>
      <c r="BQ13" s="138"/>
      <c r="BR13" s="138"/>
      <c r="BS13" s="138"/>
      <c r="BT13" s="138"/>
      <c r="BU13" s="138"/>
      <c r="BV13" s="138"/>
      <c r="BW13" s="138"/>
      <c r="BX13" s="138"/>
      <c r="BY13" s="138"/>
      <c r="BZ13" s="138"/>
      <c r="CA13" s="138"/>
      <c r="CB13" s="138"/>
      <c r="CC13" s="138"/>
      <c r="CD13" s="138"/>
      <c r="CE13" s="138"/>
      <c r="CF13" s="138"/>
      <c r="CG13" s="138"/>
      <c r="CH13" s="138"/>
      <c r="CI13" s="138"/>
      <c r="CJ13" s="138"/>
      <c r="CK13" s="138"/>
      <c r="CL13" s="138"/>
      <c r="CM13" s="138"/>
      <c r="CN13" s="138"/>
      <c r="CO13" s="138"/>
      <c r="CP13" s="138"/>
      <c r="CQ13" s="138"/>
      <c r="CR13" s="138"/>
      <c r="CS13" s="138"/>
      <c r="CT13" s="138"/>
      <c r="CU13" s="138"/>
      <c r="CV13" s="138"/>
      <c r="CW13" s="138"/>
      <c r="CX13" s="138"/>
      <c r="CY13" s="138"/>
      <c r="CZ13" s="138"/>
      <c r="DA13" s="138"/>
      <c r="DB13" s="138"/>
      <c r="DC13" s="138"/>
      <c r="DD13" s="138"/>
      <c r="DE13" s="138"/>
      <c r="DF13" s="138"/>
      <c r="DG13" s="138"/>
      <c r="DH13" s="138"/>
      <c r="DI13" s="138"/>
    </row>
    <row r="14" spans="1:113" s="118" customFormat="1" ht="50.25" customHeight="1" x14ac:dyDescent="0.25">
      <c r="A14" s="76" t="s">
        <v>54</v>
      </c>
      <c r="B14" s="113" t="s">
        <v>27</v>
      </c>
      <c r="C14" s="113"/>
      <c r="D14" s="113" t="s">
        <v>268</v>
      </c>
      <c r="E14" s="114" t="s">
        <v>264</v>
      </c>
      <c r="F14" s="113" t="s">
        <v>271</v>
      </c>
      <c r="G14" s="113">
        <v>8</v>
      </c>
      <c r="H14" s="113" t="s">
        <v>86</v>
      </c>
      <c r="I14" s="113" t="s">
        <v>372</v>
      </c>
      <c r="J14" s="113" t="s">
        <v>373</v>
      </c>
      <c r="K14" s="113" t="s">
        <v>374</v>
      </c>
      <c r="L14" s="113">
        <f t="shared" si="3"/>
        <v>15</v>
      </c>
      <c r="M14" s="167" t="s">
        <v>221</v>
      </c>
      <c r="N14" s="167" t="s">
        <v>43</v>
      </c>
      <c r="O14" s="167" t="s">
        <v>406</v>
      </c>
      <c r="P14" s="167" t="s">
        <v>407</v>
      </c>
      <c r="Q14" s="117" t="s">
        <v>43</v>
      </c>
      <c r="R14" s="117">
        <f t="shared" si="4"/>
        <v>5.93</v>
      </c>
      <c r="S14" s="117">
        <f t="shared" si="5"/>
        <v>5.82</v>
      </c>
      <c r="T14" s="167">
        <v>5</v>
      </c>
      <c r="U14" s="167" t="s">
        <v>43</v>
      </c>
      <c r="V14" s="117"/>
      <c r="W14" s="167"/>
      <c r="X14" s="117" t="s">
        <v>43</v>
      </c>
      <c r="Y14" s="117" t="str">
        <f t="shared" si="0"/>
        <v/>
      </c>
      <c r="Z14" s="167" t="str">
        <f t="shared" si="1"/>
        <v/>
      </c>
      <c r="AA14" s="117" t="s">
        <v>154</v>
      </c>
      <c r="AB14" s="117">
        <f>ROUNDUP('QCL02'!$J$36,2)</f>
        <v>6.1099999999999994</v>
      </c>
      <c r="AC14" s="117">
        <f>ROUNDUP('QCL03'!$J$36,2)</f>
        <v>6.09</v>
      </c>
      <c r="AD14" s="117">
        <v>0</v>
      </c>
      <c r="AE14" s="117">
        <f t="shared" si="6"/>
        <v>-0.17999999999999972</v>
      </c>
      <c r="AF14" s="117">
        <f t="shared" si="7"/>
        <v>-0.26999999999999957</v>
      </c>
      <c r="AG14" s="117">
        <v>0</v>
      </c>
      <c r="AH14" s="117">
        <f>ROUNDUP('QCL02'!$J$37,2)</f>
        <v>0.23</v>
      </c>
      <c r="AI14" s="117">
        <f>ROUNDUP('QCL03'!$J$37,2)</f>
        <v>0.21000000000000002</v>
      </c>
      <c r="AJ14" s="117">
        <v>0</v>
      </c>
      <c r="AK14" s="117">
        <f t="shared" si="8"/>
        <v>-0.79</v>
      </c>
      <c r="AL14" s="117">
        <f t="shared" si="9"/>
        <v>-1.29</v>
      </c>
      <c r="AM14" s="117">
        <f t="shared" si="10"/>
        <v>3</v>
      </c>
      <c r="AN14" s="117">
        <f t="shared" si="11"/>
        <v>3</v>
      </c>
      <c r="AO14" s="117">
        <f t="shared" si="12"/>
        <v>2</v>
      </c>
      <c r="AP14" s="203">
        <f t="shared" si="13"/>
        <v>8</v>
      </c>
      <c r="AQ14" s="117">
        <f>ROUNDUP('HIEU XUAT HCV'!$V$30,2)</f>
        <v>15.58</v>
      </c>
      <c r="AR14" s="117">
        <f>ROUNDUP('HIEU XUAT HCV'!$X$31,2)</f>
        <v>3.2899999999999996</v>
      </c>
      <c r="AS14" s="167">
        <f>VLOOKUP(D14,'HIEU XUAT HCV'!B:X,23,0)</f>
        <v>17</v>
      </c>
      <c r="AT14" s="167">
        <f>VLOOKUP(D14,'HIEU XUAT HCV'!B:AP,32,0)</f>
        <v>0.59</v>
      </c>
      <c r="AU14" s="167" t="s">
        <v>328</v>
      </c>
      <c r="AV14" s="167" t="s">
        <v>295</v>
      </c>
      <c r="AW14" s="167" t="s">
        <v>329</v>
      </c>
      <c r="AX14" s="167" t="s">
        <v>269</v>
      </c>
      <c r="AY14" s="167" t="s">
        <v>265</v>
      </c>
      <c r="AZ14" s="167" t="s">
        <v>266</v>
      </c>
      <c r="BA14" s="167" t="s">
        <v>245</v>
      </c>
      <c r="BB14" s="167" t="s">
        <v>74</v>
      </c>
      <c r="BC14" s="116" t="s">
        <v>377</v>
      </c>
      <c r="BD14" s="116" t="s">
        <v>377</v>
      </c>
      <c r="BE14" s="116"/>
      <c r="BF14" s="167" t="s">
        <v>270</v>
      </c>
      <c r="BG14" s="167" t="s">
        <v>267</v>
      </c>
      <c r="BH14" s="167" t="s">
        <v>23</v>
      </c>
      <c r="BI14" s="138"/>
      <c r="BJ14" s="138"/>
      <c r="BK14" s="138"/>
      <c r="BL14" s="138"/>
      <c r="BM14" s="138"/>
      <c r="BN14" s="138"/>
      <c r="BO14" s="138"/>
      <c r="BP14" s="138"/>
      <c r="BQ14" s="138"/>
      <c r="BR14" s="138"/>
      <c r="BS14" s="138"/>
      <c r="BT14" s="138"/>
      <c r="BU14" s="138"/>
      <c r="BV14" s="138"/>
      <c r="BW14" s="138"/>
      <c r="BX14" s="138"/>
      <c r="BY14" s="138"/>
      <c r="BZ14" s="138"/>
      <c r="CA14" s="138"/>
      <c r="CB14" s="138"/>
      <c r="CC14" s="138"/>
      <c r="CD14" s="138"/>
      <c r="CE14" s="138"/>
      <c r="CF14" s="138"/>
      <c r="CG14" s="138"/>
      <c r="CH14" s="138"/>
      <c r="CI14" s="138"/>
      <c r="CJ14" s="138"/>
      <c r="CK14" s="138"/>
      <c r="CL14" s="138"/>
      <c r="CM14" s="138"/>
      <c r="CN14" s="138"/>
      <c r="CO14" s="138"/>
      <c r="CP14" s="138"/>
      <c r="CQ14" s="138"/>
      <c r="CR14" s="138"/>
      <c r="CS14" s="138"/>
      <c r="CT14" s="138"/>
      <c r="CU14" s="138"/>
      <c r="CV14" s="138"/>
      <c r="CW14" s="138"/>
      <c r="CX14" s="138"/>
      <c r="CY14" s="138"/>
      <c r="CZ14" s="138"/>
      <c r="DA14" s="138"/>
      <c r="DB14" s="138"/>
      <c r="DC14" s="138"/>
      <c r="DD14" s="138"/>
      <c r="DE14" s="138"/>
      <c r="DF14" s="138"/>
      <c r="DG14" s="138"/>
      <c r="DH14" s="138"/>
      <c r="DI14" s="138"/>
    </row>
    <row r="15" spans="1:113" s="121" customFormat="1" ht="31.5" x14ac:dyDescent="0.25">
      <c r="A15" s="76" t="s">
        <v>58</v>
      </c>
      <c r="B15" s="69"/>
      <c r="C15" s="66"/>
      <c r="D15" s="66" t="s">
        <v>342</v>
      </c>
      <c r="E15" s="119" t="s">
        <v>220</v>
      </c>
      <c r="F15" s="119" t="s">
        <v>80</v>
      </c>
      <c r="G15" s="119">
        <v>8</v>
      </c>
      <c r="H15" s="119" t="s">
        <v>86</v>
      </c>
      <c r="I15" s="119" t="s">
        <v>372</v>
      </c>
      <c r="J15" s="119" t="s">
        <v>373</v>
      </c>
      <c r="K15" s="119" t="s">
        <v>374</v>
      </c>
      <c r="L15" s="119">
        <f t="shared" si="3"/>
        <v>15</v>
      </c>
      <c r="M15" s="119" t="s">
        <v>221</v>
      </c>
      <c r="N15" s="119" t="s">
        <v>154</v>
      </c>
      <c r="O15" s="119" t="s">
        <v>408</v>
      </c>
      <c r="P15" s="119" t="s">
        <v>409</v>
      </c>
      <c r="Q15" s="82" t="s">
        <v>154</v>
      </c>
      <c r="R15" s="82">
        <f t="shared" si="4"/>
        <v>6.19</v>
      </c>
      <c r="S15" s="82">
        <f t="shared" si="5"/>
        <v>6.14</v>
      </c>
      <c r="T15" s="119"/>
      <c r="U15" s="119" t="s">
        <v>154</v>
      </c>
      <c r="V15" s="119"/>
      <c r="W15" s="119"/>
      <c r="X15" s="82" t="s">
        <v>154</v>
      </c>
      <c r="Y15" s="82" t="str">
        <f t="shared" si="0"/>
        <v/>
      </c>
      <c r="Z15" s="82" t="str">
        <f t="shared" si="1"/>
        <v/>
      </c>
      <c r="AA15" s="119" t="s">
        <v>154</v>
      </c>
      <c r="AB15" s="119">
        <f>ROUNDUP('QCL02'!$J$36,2)</f>
        <v>6.1099999999999994</v>
      </c>
      <c r="AC15" s="119">
        <f>ROUNDUP('QCL03'!$J$36,2)</f>
        <v>6.09</v>
      </c>
      <c r="AD15" s="119">
        <v>0</v>
      </c>
      <c r="AE15" s="119">
        <f t="shared" si="6"/>
        <v>8.0000000000000959E-2</v>
      </c>
      <c r="AF15" s="119">
        <f t="shared" si="7"/>
        <v>4.9999999999999822E-2</v>
      </c>
      <c r="AG15" s="119">
        <v>0</v>
      </c>
      <c r="AH15" s="119">
        <f>ROUNDUP('QCL02'!$J$37,2)</f>
        <v>0.23</v>
      </c>
      <c r="AI15" s="119">
        <f>ROUNDUP('QCL03'!$J$37,2)</f>
        <v>0.21000000000000002</v>
      </c>
      <c r="AJ15" s="119">
        <v>0</v>
      </c>
      <c r="AK15" s="119">
        <f t="shared" si="8"/>
        <v>0.35000000000000003</v>
      </c>
      <c r="AL15" s="119">
        <f t="shared" si="9"/>
        <v>0.24000000000000002</v>
      </c>
      <c r="AM15" s="119">
        <f t="shared" si="10"/>
        <v>3</v>
      </c>
      <c r="AN15" s="119">
        <f t="shared" si="11"/>
        <v>3</v>
      </c>
      <c r="AO15" s="119">
        <f t="shared" si="12"/>
        <v>3</v>
      </c>
      <c r="AP15" s="119">
        <f t="shared" si="13"/>
        <v>9</v>
      </c>
      <c r="AQ15" s="119">
        <f>ROUNDUP('HIEU XUAT HCV'!$V$30,2)</f>
        <v>15.58</v>
      </c>
      <c r="AR15" s="119">
        <f>ROUNDUP('HIEU XUAT HCV'!$X$31,2)</f>
        <v>3.2899999999999996</v>
      </c>
      <c r="AS15" s="119">
        <f>VLOOKUP(D15,'HIEU XUAT HCV'!B:X,23,0)</f>
        <v>17</v>
      </c>
      <c r="AT15" s="119">
        <f>VLOOKUP(D15,'HIEU XUAT HCV'!B:AP,32,0)</f>
        <v>0.59</v>
      </c>
      <c r="AU15" s="119" t="s">
        <v>334</v>
      </c>
      <c r="AV15" s="119" t="s">
        <v>61</v>
      </c>
      <c r="AW15" s="119" t="s">
        <v>335</v>
      </c>
      <c r="AX15" s="119" t="s">
        <v>334</v>
      </c>
      <c r="AY15" s="119" t="s">
        <v>83</v>
      </c>
      <c r="AZ15" s="119" t="s">
        <v>335</v>
      </c>
      <c r="BA15" s="119" t="s">
        <v>294</v>
      </c>
      <c r="BB15" s="119" t="s">
        <v>294</v>
      </c>
      <c r="BC15" s="119" t="s">
        <v>377</v>
      </c>
      <c r="BD15" s="119" t="s">
        <v>397</v>
      </c>
      <c r="BE15" s="119" t="s">
        <v>410</v>
      </c>
      <c r="BF15" s="119" t="s">
        <v>25</v>
      </c>
      <c r="BG15" s="119" t="s">
        <v>23</v>
      </c>
      <c r="BH15" s="119" t="s">
        <v>23</v>
      </c>
      <c r="BI15" s="138"/>
      <c r="BJ15" s="138"/>
      <c r="BK15" s="138"/>
      <c r="BL15" s="138"/>
      <c r="BM15" s="138"/>
      <c r="BN15" s="138"/>
      <c r="BO15" s="138"/>
      <c r="BP15" s="138"/>
      <c r="BQ15" s="138"/>
      <c r="BR15" s="138"/>
      <c r="BS15" s="138"/>
      <c r="BT15" s="138"/>
      <c r="BU15" s="138"/>
      <c r="BV15" s="138"/>
      <c r="BW15" s="138"/>
      <c r="BX15" s="138"/>
      <c r="BY15" s="138"/>
      <c r="BZ15" s="138"/>
      <c r="CA15" s="138"/>
      <c r="CB15" s="138"/>
      <c r="CC15" s="138"/>
      <c r="CD15" s="138"/>
      <c r="CE15" s="138"/>
      <c r="CF15" s="138"/>
      <c r="CG15" s="138"/>
      <c r="CH15" s="138"/>
      <c r="CI15" s="138"/>
      <c r="CJ15" s="138"/>
      <c r="CK15" s="138"/>
      <c r="CL15" s="138"/>
      <c r="CM15" s="138"/>
      <c r="CN15" s="138"/>
      <c r="CO15" s="138"/>
      <c r="CP15" s="138"/>
      <c r="CQ15" s="138"/>
      <c r="CR15" s="138"/>
      <c r="CS15" s="138"/>
      <c r="CT15" s="138"/>
      <c r="CU15" s="138"/>
      <c r="CV15" s="138"/>
      <c r="CW15" s="138"/>
      <c r="CX15" s="138"/>
      <c r="CY15" s="138"/>
      <c r="CZ15" s="138"/>
      <c r="DA15" s="138"/>
      <c r="DB15" s="138"/>
      <c r="DC15" s="138"/>
      <c r="DD15" s="138"/>
      <c r="DE15" s="138"/>
      <c r="DF15" s="138"/>
      <c r="DG15" s="138"/>
      <c r="DH15" s="138"/>
      <c r="DI15" s="138"/>
    </row>
    <row r="16" spans="1:113" s="194" customFormat="1" ht="47.25" x14ac:dyDescent="0.25">
      <c r="A16" s="76" t="s">
        <v>65</v>
      </c>
      <c r="B16" s="192"/>
      <c r="C16" s="193"/>
      <c r="D16" s="193" t="s">
        <v>352</v>
      </c>
      <c r="E16" s="82" t="s">
        <v>36</v>
      </c>
      <c r="F16" s="82" t="s">
        <v>37</v>
      </c>
      <c r="G16" s="82">
        <v>8</v>
      </c>
      <c r="H16" s="82" t="s">
        <v>86</v>
      </c>
      <c r="I16" s="82" t="s">
        <v>372</v>
      </c>
      <c r="J16" s="82" t="s">
        <v>373</v>
      </c>
      <c r="K16" s="82" t="s">
        <v>374</v>
      </c>
      <c r="L16" s="82">
        <f t="shared" si="3"/>
        <v>15</v>
      </c>
      <c r="M16" s="82" t="s">
        <v>221</v>
      </c>
      <c r="N16" s="82" t="s">
        <v>290</v>
      </c>
      <c r="O16" s="82" t="s">
        <v>416</v>
      </c>
      <c r="P16" s="82" t="s">
        <v>417</v>
      </c>
      <c r="Q16" s="82" t="s">
        <v>290</v>
      </c>
      <c r="R16" s="82">
        <f t="shared" si="4"/>
        <v>5.68</v>
      </c>
      <c r="S16" s="82">
        <f t="shared" si="5"/>
        <v>5.85</v>
      </c>
      <c r="T16" s="82"/>
      <c r="U16" s="82"/>
      <c r="V16" s="82"/>
      <c r="W16" s="82"/>
      <c r="X16" s="82"/>
      <c r="Y16" s="82" t="str">
        <f t="shared" si="0"/>
        <v/>
      </c>
      <c r="Z16" s="82" t="str">
        <f t="shared" si="1"/>
        <v/>
      </c>
      <c r="AA16" s="82" t="s">
        <v>154</v>
      </c>
      <c r="AB16" s="82">
        <f>ROUNDUP('QCL02'!$J$36,2)</f>
        <v>6.1099999999999994</v>
      </c>
      <c r="AC16" s="82">
        <f>ROUNDUP('QCL03'!$J$36,2)</f>
        <v>6.09</v>
      </c>
      <c r="AD16" s="82">
        <v>0</v>
      </c>
      <c r="AE16" s="82">
        <f t="shared" si="6"/>
        <v>-0.42999999999999972</v>
      </c>
      <c r="AF16" s="82">
        <f t="shared" si="7"/>
        <v>-0.24000000000000021</v>
      </c>
      <c r="AG16" s="82">
        <v>0</v>
      </c>
      <c r="AH16" s="82">
        <f>ROUNDUP('QCL02'!$J$37,2)</f>
        <v>0.23</v>
      </c>
      <c r="AI16" s="82">
        <f>ROUNDUP('QCL03'!$J$37,2)</f>
        <v>0.21000000000000002</v>
      </c>
      <c r="AJ16" s="82">
        <v>0</v>
      </c>
      <c r="AK16" s="82">
        <f t="shared" si="8"/>
        <v>-1.87</v>
      </c>
      <c r="AL16" s="82">
        <f t="shared" si="9"/>
        <v>-1.1499999999999999</v>
      </c>
      <c r="AM16" s="82">
        <f t="shared" si="10"/>
        <v>3</v>
      </c>
      <c r="AN16" s="82">
        <f t="shared" si="11"/>
        <v>2</v>
      </c>
      <c r="AO16" s="82">
        <f t="shared" si="12"/>
        <v>2</v>
      </c>
      <c r="AP16" s="82">
        <f t="shared" si="13"/>
        <v>7</v>
      </c>
      <c r="AQ16" s="82">
        <f>ROUNDUP('HIEU XUAT HCV'!$V$30,2)</f>
        <v>15.58</v>
      </c>
      <c r="AR16" s="82">
        <f>ROUNDUP('HIEU XUAT HCV'!$X$31,2)</f>
        <v>3.2899999999999996</v>
      </c>
      <c r="AS16" s="82" t="str">
        <f>VLOOKUP(D16,'HIEU XUAT HCV'!B:X,23,0)</f>
        <v>N/A</v>
      </c>
      <c r="AT16" s="82" t="str">
        <f>VLOOKUP(D16,'HIEU XUAT HCV'!B:AP,32,0)</f>
        <v>N/A</v>
      </c>
      <c r="AU16" s="82" t="s">
        <v>354</v>
      </c>
      <c r="AV16" s="82" t="s">
        <v>61</v>
      </c>
      <c r="AW16" s="82" t="s">
        <v>335</v>
      </c>
      <c r="AX16" s="82" t="s">
        <v>354</v>
      </c>
      <c r="AY16" s="82" t="s">
        <v>83</v>
      </c>
      <c r="AZ16" s="82" t="s">
        <v>335</v>
      </c>
      <c r="BA16" s="82" t="s">
        <v>294</v>
      </c>
      <c r="BB16" s="82" t="s">
        <v>294</v>
      </c>
      <c r="BC16" s="82"/>
      <c r="BD16" s="82"/>
      <c r="BE16" s="82" t="s">
        <v>379</v>
      </c>
      <c r="BF16" s="82"/>
      <c r="BG16" s="82"/>
      <c r="BH16" s="82"/>
      <c r="BI16" s="140"/>
      <c r="BJ16" s="140"/>
      <c r="BK16" s="140"/>
      <c r="BL16" s="140"/>
      <c r="BM16" s="140"/>
      <c r="BN16" s="140"/>
      <c r="BO16" s="140"/>
      <c r="BP16" s="140"/>
      <c r="BQ16" s="140"/>
      <c r="BR16" s="140"/>
      <c r="BS16" s="140"/>
      <c r="BT16" s="140"/>
      <c r="BU16" s="140"/>
      <c r="BV16" s="140"/>
      <c r="BW16" s="140"/>
      <c r="BX16" s="140"/>
      <c r="BY16" s="140"/>
      <c r="BZ16" s="140"/>
      <c r="CA16" s="140"/>
      <c r="CB16" s="140"/>
      <c r="CC16" s="140"/>
      <c r="CD16" s="140"/>
      <c r="CE16" s="140"/>
      <c r="CF16" s="140"/>
      <c r="CG16" s="140"/>
      <c r="CH16" s="140"/>
      <c r="CI16" s="140"/>
      <c r="CJ16" s="140"/>
      <c r="CK16" s="140"/>
      <c r="CL16" s="140"/>
      <c r="CM16" s="140"/>
      <c r="CN16" s="140"/>
      <c r="CO16" s="140"/>
      <c r="CP16" s="140"/>
      <c r="CQ16" s="140"/>
      <c r="CR16" s="140"/>
      <c r="CS16" s="140"/>
      <c r="CT16" s="140"/>
      <c r="CU16" s="140"/>
      <c r="CV16" s="140"/>
      <c r="CW16" s="140"/>
      <c r="CX16" s="140"/>
      <c r="CY16" s="140"/>
      <c r="CZ16" s="140"/>
      <c r="DA16" s="140"/>
      <c r="DB16" s="140"/>
      <c r="DC16" s="140"/>
      <c r="DD16" s="140"/>
      <c r="DE16" s="140"/>
      <c r="DF16" s="140"/>
      <c r="DG16" s="140"/>
      <c r="DH16" s="140"/>
      <c r="DI16" s="140"/>
    </row>
    <row r="17" spans="1:113" s="104" customFormat="1" ht="63" x14ac:dyDescent="0.25">
      <c r="A17" s="76" t="s">
        <v>67</v>
      </c>
      <c r="B17" s="101"/>
      <c r="C17" s="101"/>
      <c r="D17" s="101" t="s">
        <v>343</v>
      </c>
      <c r="E17" s="101" t="s">
        <v>302</v>
      </c>
      <c r="F17" s="101" t="s">
        <v>320</v>
      </c>
      <c r="G17" s="101">
        <v>8</v>
      </c>
      <c r="H17" s="101" t="s">
        <v>86</v>
      </c>
      <c r="I17" s="101" t="s">
        <v>372</v>
      </c>
      <c r="J17" s="101" t="s">
        <v>373</v>
      </c>
      <c r="K17" s="101" t="s">
        <v>374</v>
      </c>
      <c r="L17" s="101">
        <f t="shared" si="3"/>
        <v>15</v>
      </c>
      <c r="M17" s="101" t="s">
        <v>221</v>
      </c>
      <c r="N17" s="102" t="s">
        <v>153</v>
      </c>
      <c r="O17" s="101">
        <v>1046000</v>
      </c>
      <c r="P17" s="101">
        <v>1248000</v>
      </c>
      <c r="Q17" s="102" t="s">
        <v>153</v>
      </c>
      <c r="R17" s="101">
        <f t="shared" si="4"/>
        <v>6.02</v>
      </c>
      <c r="S17" s="101">
        <f t="shared" si="5"/>
        <v>6.1</v>
      </c>
      <c r="T17" s="101">
        <v>5</v>
      </c>
      <c r="U17" s="101">
        <v>0</v>
      </c>
      <c r="V17" s="101" t="s">
        <v>411</v>
      </c>
      <c r="W17" s="101" t="s">
        <v>412</v>
      </c>
      <c r="X17" s="101">
        <v>0</v>
      </c>
      <c r="Y17" s="101">
        <f t="shared" si="0"/>
        <v>6.72</v>
      </c>
      <c r="Z17" s="101">
        <f t="shared" si="1"/>
        <v>6.8</v>
      </c>
      <c r="AA17" s="101" t="s">
        <v>154</v>
      </c>
      <c r="AB17" s="101">
        <f>ROUNDUP('QCL02'!$J$36,2)</f>
        <v>6.1099999999999994</v>
      </c>
      <c r="AC17" s="101">
        <f>ROUNDUP('QCL03'!$J$36,2)</f>
        <v>6.09</v>
      </c>
      <c r="AD17" s="101">
        <v>0</v>
      </c>
      <c r="AE17" s="101">
        <f t="shared" si="6"/>
        <v>-8.9999999999999858E-2</v>
      </c>
      <c r="AF17" s="101">
        <f t="shared" si="7"/>
        <v>9.9999999999997868E-3</v>
      </c>
      <c r="AG17" s="101">
        <v>0</v>
      </c>
      <c r="AH17" s="101">
        <f>ROUNDUP('QCL02'!$J$37,2)</f>
        <v>0.23</v>
      </c>
      <c r="AI17" s="101">
        <f>ROUNDUP('QCL03'!$J$37,2)</f>
        <v>0.21000000000000002</v>
      </c>
      <c r="AJ17" s="101">
        <v>0</v>
      </c>
      <c r="AK17" s="101">
        <f t="shared" si="8"/>
        <v>-0.4</v>
      </c>
      <c r="AL17" s="101">
        <f t="shared" si="9"/>
        <v>0.05</v>
      </c>
      <c r="AM17" s="101">
        <f t="shared" si="10"/>
        <v>3</v>
      </c>
      <c r="AN17" s="101">
        <f t="shared" si="11"/>
        <v>3</v>
      </c>
      <c r="AO17" s="101">
        <f t="shared" si="12"/>
        <v>3</v>
      </c>
      <c r="AP17" s="101">
        <f t="shared" si="13"/>
        <v>9</v>
      </c>
      <c r="AQ17" s="101">
        <f>ROUNDUP('HIEU XUAT HCV'!$V$30,2)</f>
        <v>15.58</v>
      </c>
      <c r="AR17" s="101">
        <f>ROUNDUP('HIEU XUAT HCV'!$X$31,2)</f>
        <v>3.2899999999999996</v>
      </c>
      <c r="AS17" s="101">
        <f>VLOOKUP(D17,'HIEU XUAT HCV'!B:X,23,0)</f>
        <v>18</v>
      </c>
      <c r="AT17" s="101">
        <f>VLOOKUP(D17,'HIEU XUAT HCV'!B:AP,32,0)</f>
        <v>0.9</v>
      </c>
      <c r="AU17" s="101" t="s">
        <v>312</v>
      </c>
      <c r="AV17" s="101" t="s">
        <v>77</v>
      </c>
      <c r="AW17" s="101" t="s">
        <v>313</v>
      </c>
      <c r="AX17" s="101" t="s">
        <v>340</v>
      </c>
      <c r="AY17" s="101" t="s">
        <v>314</v>
      </c>
      <c r="AZ17" s="101" t="s">
        <v>315</v>
      </c>
      <c r="BA17" s="101" t="s">
        <v>240</v>
      </c>
      <c r="BB17" s="101" t="s">
        <v>316</v>
      </c>
      <c r="BC17" s="101" t="s">
        <v>377</v>
      </c>
      <c r="BD17" s="101" t="s">
        <v>385</v>
      </c>
      <c r="BE17" s="101" t="s">
        <v>386</v>
      </c>
      <c r="BF17" s="101" t="s">
        <v>25</v>
      </c>
      <c r="BG17" s="101"/>
      <c r="BH17" s="101" t="s">
        <v>23</v>
      </c>
      <c r="BI17" s="138"/>
      <c r="BJ17" s="138"/>
      <c r="BK17" s="138"/>
      <c r="BL17" s="138"/>
      <c r="BM17" s="138"/>
      <c r="BN17" s="138"/>
      <c r="BO17" s="138"/>
      <c r="BP17" s="138"/>
      <c r="BQ17" s="138"/>
      <c r="BR17" s="138"/>
      <c r="BS17" s="138"/>
      <c r="BT17" s="138"/>
      <c r="BU17" s="138"/>
      <c r="BV17" s="138"/>
      <c r="BW17" s="138"/>
      <c r="BX17" s="138"/>
      <c r="BY17" s="138"/>
      <c r="BZ17" s="138"/>
      <c r="CA17" s="138"/>
      <c r="CB17" s="138"/>
      <c r="CC17" s="138"/>
      <c r="CD17" s="138"/>
      <c r="CE17" s="138"/>
      <c r="CF17" s="138"/>
      <c r="CG17" s="138"/>
      <c r="CH17" s="138"/>
      <c r="CI17" s="138"/>
      <c r="CJ17" s="138"/>
      <c r="CK17" s="138"/>
      <c r="CL17" s="138"/>
      <c r="CM17" s="138"/>
      <c r="CN17" s="138"/>
      <c r="CO17" s="138"/>
      <c r="CP17" s="138"/>
      <c r="CQ17" s="138"/>
      <c r="CR17" s="138"/>
      <c r="CS17" s="138"/>
      <c r="CT17" s="138"/>
      <c r="CU17" s="138"/>
      <c r="CV17" s="138"/>
      <c r="CW17" s="138"/>
      <c r="CX17" s="138"/>
      <c r="CY17" s="138"/>
      <c r="CZ17" s="138"/>
      <c r="DA17" s="138"/>
      <c r="DB17" s="138"/>
      <c r="DC17" s="138"/>
      <c r="DD17" s="138"/>
      <c r="DE17" s="138"/>
      <c r="DF17" s="138"/>
      <c r="DG17" s="138"/>
      <c r="DH17" s="138"/>
      <c r="DI17" s="138"/>
    </row>
    <row r="18" spans="1:113" s="124" customFormat="1" ht="63" x14ac:dyDescent="0.25">
      <c r="A18" s="76" t="s">
        <v>68</v>
      </c>
      <c r="B18" s="70"/>
      <c r="C18" s="67"/>
      <c r="D18" s="67" t="s">
        <v>344</v>
      </c>
      <c r="E18" s="122" t="s">
        <v>300</v>
      </c>
      <c r="F18" s="122" t="s">
        <v>317</v>
      </c>
      <c r="G18" s="122">
        <v>8</v>
      </c>
      <c r="H18" s="122" t="s">
        <v>86</v>
      </c>
      <c r="I18" s="122" t="s">
        <v>372</v>
      </c>
      <c r="J18" s="122" t="s">
        <v>373</v>
      </c>
      <c r="K18" s="122" t="s">
        <v>374</v>
      </c>
      <c r="L18" s="122">
        <f t="shared" si="3"/>
        <v>15</v>
      </c>
      <c r="M18" s="122" t="s">
        <v>221</v>
      </c>
      <c r="N18" s="122" t="s">
        <v>291</v>
      </c>
      <c r="O18" s="122" t="s">
        <v>413</v>
      </c>
      <c r="P18" s="122" t="s">
        <v>414</v>
      </c>
      <c r="Q18" s="168" t="s">
        <v>291</v>
      </c>
      <c r="R18" s="168">
        <f t="shared" si="4"/>
        <v>5.89</v>
      </c>
      <c r="S18" s="168">
        <f t="shared" si="5"/>
        <v>5.73</v>
      </c>
      <c r="T18" s="122"/>
      <c r="U18" s="168" t="s">
        <v>291</v>
      </c>
      <c r="V18" s="168"/>
      <c r="W18" s="122"/>
      <c r="X18" s="168" t="s">
        <v>291</v>
      </c>
      <c r="Y18" s="168" t="str">
        <f t="shared" si="0"/>
        <v/>
      </c>
      <c r="Z18" s="168" t="str">
        <f t="shared" si="1"/>
        <v/>
      </c>
      <c r="AA18" s="122" t="s">
        <v>154</v>
      </c>
      <c r="AB18" s="122">
        <f>ROUNDUP('QCL02'!$J$36,2)</f>
        <v>6.1099999999999994</v>
      </c>
      <c r="AC18" s="122">
        <f>ROUNDUP('QCL03'!$J$36,2)</f>
        <v>6.09</v>
      </c>
      <c r="AD18" s="122">
        <v>0</v>
      </c>
      <c r="AE18" s="122">
        <f t="shared" si="6"/>
        <v>-0.21999999999999975</v>
      </c>
      <c r="AF18" s="122">
        <f t="shared" si="7"/>
        <v>-0.35999999999999943</v>
      </c>
      <c r="AG18" s="122">
        <v>0</v>
      </c>
      <c r="AH18" s="122">
        <f>ROUNDUP('QCL02'!$J$37,2)</f>
        <v>0.23</v>
      </c>
      <c r="AI18" s="122">
        <f>ROUNDUP('QCL03'!$J$37,2)</f>
        <v>0.21000000000000002</v>
      </c>
      <c r="AJ18" s="122">
        <v>0</v>
      </c>
      <c r="AK18" s="122">
        <f t="shared" si="8"/>
        <v>-0.96</v>
      </c>
      <c r="AL18" s="122">
        <f t="shared" si="9"/>
        <v>-1.72</v>
      </c>
      <c r="AM18" s="122">
        <f t="shared" si="10"/>
        <v>3</v>
      </c>
      <c r="AN18" s="122">
        <f t="shared" si="11"/>
        <v>3</v>
      </c>
      <c r="AO18" s="122">
        <f t="shared" si="12"/>
        <v>2</v>
      </c>
      <c r="AP18" s="122">
        <f t="shared" si="13"/>
        <v>8</v>
      </c>
      <c r="AQ18" s="122">
        <f>ROUNDUP('HIEU XUAT HCV'!$V$30,2)</f>
        <v>15.58</v>
      </c>
      <c r="AR18" s="122">
        <f>ROUNDUP('HIEU XUAT HCV'!$X$31,2)</f>
        <v>3.2899999999999996</v>
      </c>
      <c r="AS18" s="122">
        <f>VLOOKUP(D18,'HIEU XUAT HCV'!B:X,23,0)</f>
        <v>11</v>
      </c>
      <c r="AT18" s="122">
        <f>VLOOKUP(D18,'HIEU XUAT HCV'!B:AP,32,0)</f>
        <v>-1.24</v>
      </c>
      <c r="AU18" s="122"/>
      <c r="AV18" s="122"/>
      <c r="AW18" s="122"/>
      <c r="AX18" s="122" t="s">
        <v>333</v>
      </c>
      <c r="AY18" s="122" t="s">
        <v>83</v>
      </c>
      <c r="AZ18" s="122" t="s">
        <v>306</v>
      </c>
      <c r="BA18" s="122" t="s">
        <v>241</v>
      </c>
      <c r="BB18" s="122" t="s">
        <v>307</v>
      </c>
      <c r="BC18" s="122"/>
      <c r="BD18" s="122"/>
      <c r="BE18" s="122"/>
      <c r="BF18" s="122"/>
      <c r="BG18" s="122"/>
      <c r="BH18" s="122"/>
      <c r="BI18" s="138"/>
      <c r="BJ18" s="138"/>
      <c r="BK18" s="138"/>
      <c r="BL18" s="138"/>
      <c r="BM18" s="138"/>
      <c r="BN18" s="138"/>
      <c r="BO18" s="138"/>
      <c r="BP18" s="138"/>
      <c r="BQ18" s="138"/>
      <c r="BR18" s="138"/>
      <c r="BS18" s="138"/>
      <c r="BT18" s="138"/>
      <c r="BU18" s="138"/>
      <c r="BV18" s="138"/>
      <c r="BW18" s="138"/>
      <c r="BX18" s="138"/>
      <c r="BY18" s="138"/>
      <c r="BZ18" s="138"/>
      <c r="CA18" s="138"/>
      <c r="CB18" s="138"/>
      <c r="CC18" s="138"/>
      <c r="CD18" s="138"/>
      <c r="CE18" s="138"/>
      <c r="CF18" s="138"/>
      <c r="CG18" s="138"/>
      <c r="CH18" s="138"/>
      <c r="CI18" s="138"/>
      <c r="CJ18" s="138"/>
      <c r="CK18" s="138"/>
      <c r="CL18" s="138"/>
      <c r="CM18" s="138"/>
      <c r="CN18" s="138"/>
      <c r="CO18" s="138"/>
      <c r="CP18" s="138"/>
      <c r="CQ18" s="138"/>
      <c r="CR18" s="138"/>
      <c r="CS18" s="138"/>
      <c r="CT18" s="138"/>
      <c r="CU18" s="138"/>
      <c r="CV18" s="138"/>
      <c r="CW18" s="138"/>
      <c r="CX18" s="138"/>
      <c r="CY18" s="138"/>
      <c r="CZ18" s="138"/>
      <c r="DA18" s="138"/>
      <c r="DB18" s="138"/>
      <c r="DC18" s="138"/>
      <c r="DD18" s="138"/>
      <c r="DE18" s="138"/>
      <c r="DF18" s="138"/>
      <c r="DG18" s="138"/>
      <c r="DH18" s="138"/>
      <c r="DI18" s="138"/>
    </row>
    <row r="19" spans="1:113" s="129" customFormat="1" ht="50.25" customHeight="1" x14ac:dyDescent="0.25">
      <c r="A19" s="76" t="s">
        <v>70</v>
      </c>
      <c r="B19" s="125" t="s">
        <v>19</v>
      </c>
      <c r="C19" s="125" t="s">
        <v>29</v>
      </c>
      <c r="D19" s="125" t="s">
        <v>184</v>
      </c>
      <c r="E19" s="125" t="s">
        <v>104</v>
      </c>
      <c r="F19" s="125" t="s">
        <v>105</v>
      </c>
      <c r="G19" s="125">
        <v>8</v>
      </c>
      <c r="H19" s="125" t="s">
        <v>86</v>
      </c>
      <c r="I19" s="125" t="s">
        <v>372</v>
      </c>
      <c r="J19" s="125" t="s">
        <v>373</v>
      </c>
      <c r="K19" s="125" t="s">
        <v>374</v>
      </c>
      <c r="L19" s="125">
        <f t="shared" si="3"/>
        <v>15</v>
      </c>
      <c r="M19" s="128"/>
      <c r="N19" s="128"/>
      <c r="O19" s="128"/>
      <c r="P19" s="128"/>
      <c r="Q19" s="128"/>
      <c r="R19" s="128" t="str">
        <f t="shared" si="4"/>
        <v/>
      </c>
      <c r="S19" s="128" t="str">
        <f t="shared" si="5"/>
        <v/>
      </c>
      <c r="T19" s="128">
        <v>2.5</v>
      </c>
      <c r="U19" s="128"/>
      <c r="V19" s="128"/>
      <c r="W19" s="128"/>
      <c r="X19" s="128"/>
      <c r="Y19" s="128" t="str">
        <f t="shared" si="0"/>
        <v/>
      </c>
      <c r="Z19" s="128" t="str">
        <f t="shared" si="1"/>
        <v/>
      </c>
      <c r="AA19" s="128" t="s">
        <v>154</v>
      </c>
      <c r="AB19" s="128">
        <f>ROUNDUP('QCL02'!$J$36,2)</f>
        <v>6.1099999999999994</v>
      </c>
      <c r="AC19" s="128">
        <f>ROUNDUP('QCL03'!$J$36,2)</f>
        <v>6.09</v>
      </c>
      <c r="AD19" s="128">
        <v>0</v>
      </c>
      <c r="AE19" s="128" t="e">
        <f t="shared" si="6"/>
        <v>#VALUE!</v>
      </c>
      <c r="AF19" s="128" t="e">
        <f t="shared" si="7"/>
        <v>#VALUE!</v>
      </c>
      <c r="AG19" s="128">
        <v>0</v>
      </c>
      <c r="AH19" s="128">
        <f>ROUNDUP('QCL02'!$J$37,2)</f>
        <v>0.23</v>
      </c>
      <c r="AI19" s="128">
        <f>ROUNDUP('QCL03'!$J$37,2)</f>
        <v>0.21000000000000002</v>
      </c>
      <c r="AJ19" s="128">
        <v>0</v>
      </c>
      <c r="AK19" s="128" t="e">
        <f t="shared" si="8"/>
        <v>#VALUE!</v>
      </c>
      <c r="AL19" s="128" t="e">
        <f t="shared" si="9"/>
        <v>#VALUE!</v>
      </c>
      <c r="AM19" s="128" t="str">
        <f t="shared" si="10"/>
        <v/>
      </c>
      <c r="AN19" s="128" t="str">
        <f t="shared" si="11"/>
        <v/>
      </c>
      <c r="AO19" s="128" t="str">
        <f t="shared" si="12"/>
        <v/>
      </c>
      <c r="AP19" s="204" t="str">
        <f t="shared" si="13"/>
        <v/>
      </c>
      <c r="AQ19" s="128">
        <f>ROUNDUP('HIEU XUAT HCV'!$V$30,2)</f>
        <v>15.58</v>
      </c>
      <c r="AR19" s="128">
        <f>ROUNDUP('HIEU XUAT HCV'!$X$31,2)</f>
        <v>3.2899999999999996</v>
      </c>
      <c r="AS19" s="128" t="str">
        <f>VLOOKUP(D19,'HIEU XUAT HCV'!B:X,23,0)</f>
        <v>N/A</v>
      </c>
      <c r="AT19" s="128" t="str">
        <f>VLOOKUP(D19,'HIEU XUAT HCV'!B:AP,32,0)</f>
        <v>N/A</v>
      </c>
      <c r="AU19" s="128" t="s">
        <v>185</v>
      </c>
      <c r="AV19" s="128"/>
      <c r="AW19" s="128" t="s">
        <v>186</v>
      </c>
      <c r="AX19" s="128" t="s">
        <v>185</v>
      </c>
      <c r="AY19" s="128"/>
      <c r="AZ19" s="169" t="s">
        <v>187</v>
      </c>
      <c r="BA19" s="169" t="s">
        <v>103</v>
      </c>
      <c r="BB19" s="128" t="s">
        <v>185</v>
      </c>
      <c r="BC19" s="127" t="s">
        <v>364</v>
      </c>
      <c r="BD19" s="127"/>
      <c r="BE19" s="127" t="s">
        <v>363</v>
      </c>
      <c r="BF19" s="128" t="s">
        <v>34</v>
      </c>
      <c r="BG19" s="128" t="s">
        <v>53</v>
      </c>
      <c r="BH19" s="128" t="s">
        <v>100</v>
      </c>
      <c r="BI19" s="139"/>
      <c r="BJ19" s="139"/>
      <c r="BK19" s="139"/>
      <c r="BL19" s="139"/>
      <c r="BM19" s="139"/>
      <c r="BN19" s="139"/>
      <c r="BO19" s="139"/>
      <c r="BP19" s="139"/>
      <c r="BQ19" s="139"/>
      <c r="BR19" s="139"/>
      <c r="BS19" s="139"/>
      <c r="BT19" s="139"/>
      <c r="BU19" s="139"/>
      <c r="BV19" s="139"/>
      <c r="BW19" s="139"/>
      <c r="BX19" s="139"/>
      <c r="BY19" s="139"/>
      <c r="BZ19" s="139"/>
      <c r="CA19" s="139"/>
      <c r="CB19" s="139"/>
      <c r="CC19" s="139"/>
      <c r="CD19" s="139"/>
      <c r="CE19" s="139"/>
      <c r="CF19" s="139"/>
      <c r="CG19" s="139"/>
      <c r="CH19" s="139"/>
      <c r="CI19" s="139"/>
      <c r="CJ19" s="139"/>
      <c r="CK19" s="139"/>
      <c r="CL19" s="139"/>
      <c r="CM19" s="139"/>
      <c r="CN19" s="139"/>
      <c r="CO19" s="139"/>
      <c r="CP19" s="139"/>
      <c r="CQ19" s="139"/>
      <c r="CR19" s="139"/>
      <c r="CS19" s="139"/>
      <c r="CT19" s="139"/>
      <c r="CU19" s="139"/>
      <c r="CV19" s="139"/>
      <c r="CW19" s="139"/>
      <c r="CX19" s="139"/>
      <c r="CY19" s="139"/>
      <c r="CZ19" s="139"/>
      <c r="DA19" s="139"/>
      <c r="DB19" s="139"/>
      <c r="DC19" s="139"/>
      <c r="DD19" s="139"/>
      <c r="DE19" s="139"/>
      <c r="DF19" s="139"/>
      <c r="DG19" s="139"/>
      <c r="DH19" s="139"/>
      <c r="DI19" s="139"/>
    </row>
    <row r="20" spans="1:113" s="133" customFormat="1" ht="50.25" customHeight="1" x14ac:dyDescent="0.25">
      <c r="A20" s="76" t="s">
        <v>76</v>
      </c>
      <c r="B20" s="68" t="s">
        <v>19</v>
      </c>
      <c r="C20" s="68">
        <v>1</v>
      </c>
      <c r="D20" s="68" t="s">
        <v>191</v>
      </c>
      <c r="E20" s="68" t="s">
        <v>20</v>
      </c>
      <c r="F20" s="68" t="s">
        <v>21</v>
      </c>
      <c r="G20" s="68">
        <v>8</v>
      </c>
      <c r="H20" s="68" t="s">
        <v>86</v>
      </c>
      <c r="I20" s="68" t="s">
        <v>372</v>
      </c>
      <c r="J20" s="68" t="s">
        <v>373</v>
      </c>
      <c r="K20" s="68" t="s">
        <v>374</v>
      </c>
      <c r="L20" s="68">
        <f t="shared" si="3"/>
        <v>15</v>
      </c>
      <c r="M20" s="132"/>
      <c r="N20" s="132"/>
      <c r="O20" s="132"/>
      <c r="P20" s="132"/>
      <c r="Q20" s="132"/>
      <c r="R20" s="132" t="str">
        <f t="shared" si="4"/>
        <v/>
      </c>
      <c r="S20" s="132" t="str">
        <f t="shared" si="5"/>
        <v/>
      </c>
      <c r="T20" s="132">
        <v>4</v>
      </c>
      <c r="U20" s="132"/>
      <c r="V20" s="132"/>
      <c r="W20" s="132"/>
      <c r="X20" s="132"/>
      <c r="Y20" s="132" t="str">
        <f t="shared" si="0"/>
        <v/>
      </c>
      <c r="Z20" s="132" t="str">
        <f t="shared" si="1"/>
        <v/>
      </c>
      <c r="AA20" s="132" t="s">
        <v>154</v>
      </c>
      <c r="AB20" s="132">
        <f>ROUNDUP('QCL02'!$J$36,2)</f>
        <v>6.1099999999999994</v>
      </c>
      <c r="AC20" s="132">
        <f>ROUNDUP('QCL03'!$J$36,2)</f>
        <v>6.09</v>
      </c>
      <c r="AD20" s="132">
        <v>0</v>
      </c>
      <c r="AE20" s="132" t="e">
        <f t="shared" si="6"/>
        <v>#VALUE!</v>
      </c>
      <c r="AF20" s="132" t="e">
        <f t="shared" si="7"/>
        <v>#VALUE!</v>
      </c>
      <c r="AG20" s="132">
        <v>0</v>
      </c>
      <c r="AH20" s="132">
        <f>ROUNDUP('QCL02'!$J$37,2)</f>
        <v>0.23</v>
      </c>
      <c r="AI20" s="132">
        <f>ROUNDUP('QCL03'!$J$37,2)</f>
        <v>0.21000000000000002</v>
      </c>
      <c r="AJ20" s="132">
        <v>0</v>
      </c>
      <c r="AK20" s="132" t="e">
        <f t="shared" si="8"/>
        <v>#VALUE!</v>
      </c>
      <c r="AL20" s="132" t="e">
        <f t="shared" si="9"/>
        <v>#VALUE!</v>
      </c>
      <c r="AM20" s="132" t="str">
        <f t="shared" si="10"/>
        <v/>
      </c>
      <c r="AN20" s="132" t="str">
        <f t="shared" si="11"/>
        <v/>
      </c>
      <c r="AO20" s="132" t="str">
        <f t="shared" si="12"/>
        <v/>
      </c>
      <c r="AP20" s="170" t="str">
        <f t="shared" si="13"/>
        <v/>
      </c>
      <c r="AQ20" s="132">
        <f>ROUNDUP('HIEU XUAT HCV'!$V$30,2)</f>
        <v>15.58</v>
      </c>
      <c r="AR20" s="132">
        <f>ROUNDUP('HIEU XUAT HCV'!$X$31,2)</f>
        <v>3.2899999999999996</v>
      </c>
      <c r="AS20" s="132" t="str">
        <f>VLOOKUP(D20,'HIEU XUAT HCV'!B:X,23,0)</f>
        <v>N/A</v>
      </c>
      <c r="AT20" s="132" t="str">
        <f>VLOOKUP(D20,'HIEU XUAT HCV'!B:AP,32,0)</f>
        <v>N/A</v>
      </c>
      <c r="AU20" s="132"/>
      <c r="AV20" s="132"/>
      <c r="AW20" s="132" t="s">
        <v>192</v>
      </c>
      <c r="AX20" s="132" t="s">
        <v>193</v>
      </c>
      <c r="AY20" s="132"/>
      <c r="AZ20" s="132" t="s">
        <v>194</v>
      </c>
      <c r="BA20" s="171" t="s">
        <v>22</v>
      </c>
      <c r="BB20" s="132" t="s">
        <v>242</v>
      </c>
      <c r="BC20" s="131" t="s">
        <v>284</v>
      </c>
      <c r="BD20" s="131" t="s">
        <v>284</v>
      </c>
      <c r="BE20" s="131" t="s">
        <v>284</v>
      </c>
      <c r="BF20" s="132" t="s">
        <v>47</v>
      </c>
      <c r="BG20" s="132"/>
      <c r="BH20" s="132"/>
      <c r="BI20" s="140"/>
      <c r="BJ20" s="140"/>
      <c r="BK20" s="140"/>
      <c r="BL20" s="140"/>
      <c r="BM20" s="140"/>
      <c r="BN20" s="140"/>
      <c r="BO20" s="140"/>
      <c r="BP20" s="140"/>
      <c r="BQ20" s="140"/>
      <c r="BR20" s="140"/>
      <c r="BS20" s="140"/>
      <c r="BT20" s="140"/>
      <c r="BU20" s="140"/>
      <c r="BV20" s="140"/>
      <c r="BW20" s="140"/>
      <c r="BX20" s="140"/>
      <c r="BY20" s="140"/>
      <c r="BZ20" s="140"/>
      <c r="CA20" s="140"/>
      <c r="CB20" s="140"/>
      <c r="CC20" s="140"/>
      <c r="CD20" s="140"/>
      <c r="CE20" s="140"/>
      <c r="CF20" s="140"/>
      <c r="CG20" s="140"/>
      <c r="CH20" s="140"/>
      <c r="CI20" s="140"/>
      <c r="CJ20" s="140"/>
      <c r="CK20" s="140"/>
      <c r="CL20" s="140"/>
      <c r="CM20" s="140"/>
      <c r="CN20" s="140"/>
      <c r="CO20" s="140"/>
      <c r="CP20" s="140"/>
      <c r="CQ20" s="140"/>
      <c r="CR20" s="140"/>
      <c r="CS20" s="140"/>
      <c r="CT20" s="140"/>
      <c r="CU20" s="140"/>
      <c r="CV20" s="140"/>
      <c r="CW20" s="140"/>
      <c r="CX20" s="140"/>
      <c r="CY20" s="140"/>
      <c r="CZ20" s="140"/>
      <c r="DA20" s="140"/>
      <c r="DB20" s="140"/>
      <c r="DC20" s="140"/>
      <c r="DD20" s="140"/>
      <c r="DE20" s="140"/>
      <c r="DF20" s="140"/>
      <c r="DG20" s="140"/>
      <c r="DH20" s="140"/>
      <c r="DI20" s="140"/>
    </row>
    <row r="21" spans="1:113" s="133" customFormat="1" ht="50.25" customHeight="1" x14ac:dyDescent="0.25">
      <c r="A21" s="76" t="s">
        <v>78</v>
      </c>
      <c r="B21" s="71" t="s">
        <v>39</v>
      </c>
      <c r="C21" s="68"/>
      <c r="D21" s="68" t="s">
        <v>252</v>
      </c>
      <c r="E21" s="68" t="s">
        <v>40</v>
      </c>
      <c r="F21" s="68" t="s">
        <v>222</v>
      </c>
      <c r="G21" s="68">
        <v>8</v>
      </c>
      <c r="H21" s="68" t="s">
        <v>86</v>
      </c>
      <c r="I21" s="68" t="s">
        <v>372</v>
      </c>
      <c r="J21" s="68" t="s">
        <v>373</v>
      </c>
      <c r="K21" s="68" t="s">
        <v>374</v>
      </c>
      <c r="L21" s="68">
        <f t="shared" si="3"/>
        <v>15</v>
      </c>
      <c r="M21" s="132"/>
      <c r="N21" s="132"/>
      <c r="O21" s="132"/>
      <c r="P21" s="132"/>
      <c r="Q21" s="132"/>
      <c r="R21" s="132" t="str">
        <f t="shared" si="4"/>
        <v/>
      </c>
      <c r="S21" s="132" t="str">
        <f t="shared" si="5"/>
        <v/>
      </c>
      <c r="T21" s="132" t="s">
        <v>239</v>
      </c>
      <c r="U21" s="132"/>
      <c r="V21" s="132"/>
      <c r="W21" s="132"/>
      <c r="X21" s="132"/>
      <c r="Y21" s="132" t="str">
        <f t="shared" si="0"/>
        <v/>
      </c>
      <c r="Z21" s="132" t="str">
        <f t="shared" si="1"/>
        <v/>
      </c>
      <c r="AA21" s="132" t="s">
        <v>154</v>
      </c>
      <c r="AB21" s="132">
        <f>ROUNDUP('QCL02'!$J$36,2)</f>
        <v>6.1099999999999994</v>
      </c>
      <c r="AC21" s="132">
        <f>ROUNDUP('QCL03'!$J$36,2)</f>
        <v>6.09</v>
      </c>
      <c r="AD21" s="132">
        <v>0</v>
      </c>
      <c r="AE21" s="132" t="e">
        <f t="shared" si="6"/>
        <v>#VALUE!</v>
      </c>
      <c r="AF21" s="132" t="e">
        <f t="shared" si="7"/>
        <v>#VALUE!</v>
      </c>
      <c r="AG21" s="132">
        <v>0</v>
      </c>
      <c r="AH21" s="132">
        <f>ROUNDUP('QCL02'!$J$37,2)</f>
        <v>0.23</v>
      </c>
      <c r="AI21" s="132">
        <f>ROUNDUP('QCL03'!$J$37,2)</f>
        <v>0.21000000000000002</v>
      </c>
      <c r="AJ21" s="132">
        <v>0</v>
      </c>
      <c r="AK21" s="132" t="e">
        <f t="shared" si="8"/>
        <v>#VALUE!</v>
      </c>
      <c r="AL21" s="132" t="e">
        <f t="shared" si="9"/>
        <v>#VALUE!</v>
      </c>
      <c r="AM21" s="132" t="str">
        <f t="shared" si="10"/>
        <v/>
      </c>
      <c r="AN21" s="132" t="str">
        <f t="shared" si="11"/>
        <v/>
      </c>
      <c r="AO21" s="132" t="str">
        <f t="shared" si="12"/>
        <v/>
      </c>
      <c r="AP21" s="170" t="str">
        <f t="shared" si="13"/>
        <v/>
      </c>
      <c r="AQ21" s="132">
        <f>ROUNDUP('HIEU XUAT HCV'!$V$30,2)</f>
        <v>15.58</v>
      </c>
      <c r="AR21" s="132">
        <f>ROUNDUP('HIEU XUAT HCV'!$X$31,2)</f>
        <v>3.2899999999999996</v>
      </c>
      <c r="AS21" s="132" t="str">
        <f>VLOOKUP(D21,'HIEU XUAT HCV'!B:X,23,0)</f>
        <v>N/A</v>
      </c>
      <c r="AT21" s="132" t="str">
        <f>VLOOKUP(D21,'HIEU XUAT HCV'!B:AP,32,0)</f>
        <v>N/A</v>
      </c>
      <c r="AU21" s="132"/>
      <c r="AV21" s="132"/>
      <c r="AW21" s="132"/>
      <c r="AX21" s="132" t="s">
        <v>41</v>
      </c>
      <c r="AY21" s="132"/>
      <c r="AZ21" s="132" t="s">
        <v>223</v>
      </c>
      <c r="BA21" s="171" t="s">
        <v>33</v>
      </c>
      <c r="BB21" s="132" t="s">
        <v>185</v>
      </c>
      <c r="BC21" s="131" t="s">
        <v>281</v>
      </c>
      <c r="BD21" s="131" t="s">
        <v>283</v>
      </c>
      <c r="BE21" s="131" t="s">
        <v>283</v>
      </c>
      <c r="BF21" s="132" t="s">
        <v>47</v>
      </c>
      <c r="BG21" s="132"/>
      <c r="BH21" s="132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  <c r="DB21" s="140"/>
      <c r="DC21" s="140"/>
      <c r="DD21" s="140"/>
      <c r="DE21" s="140"/>
      <c r="DF21" s="140"/>
      <c r="DG21" s="140"/>
      <c r="DH21" s="140"/>
      <c r="DI21" s="140"/>
    </row>
    <row r="22" spans="1:113" s="133" customFormat="1" ht="50.25" customHeight="1" x14ac:dyDescent="0.25">
      <c r="A22" s="76" t="s">
        <v>346</v>
      </c>
      <c r="B22" s="68" t="s">
        <v>95</v>
      </c>
      <c r="C22" s="68">
        <v>1</v>
      </c>
      <c r="D22" s="68" t="s">
        <v>181</v>
      </c>
      <c r="E22" s="68" t="s">
        <v>96</v>
      </c>
      <c r="F22" s="68" t="s">
        <v>97</v>
      </c>
      <c r="G22" s="68">
        <v>8</v>
      </c>
      <c r="H22" s="68" t="s">
        <v>86</v>
      </c>
      <c r="I22" s="68" t="s">
        <v>372</v>
      </c>
      <c r="J22" s="68" t="s">
        <v>373</v>
      </c>
      <c r="K22" s="68" t="s">
        <v>374</v>
      </c>
      <c r="L22" s="68">
        <f t="shared" si="3"/>
        <v>15</v>
      </c>
      <c r="M22" s="132"/>
      <c r="N22" s="132"/>
      <c r="O22" s="132"/>
      <c r="P22" s="132"/>
      <c r="Q22" s="132"/>
      <c r="R22" s="132" t="str">
        <f t="shared" si="4"/>
        <v/>
      </c>
      <c r="S22" s="132" t="str">
        <f t="shared" si="5"/>
        <v/>
      </c>
      <c r="T22" s="132">
        <v>5</v>
      </c>
      <c r="U22" s="132"/>
      <c r="V22" s="132"/>
      <c r="W22" s="132"/>
      <c r="X22" s="132"/>
      <c r="Y22" s="132" t="str">
        <f t="shared" si="0"/>
        <v/>
      </c>
      <c r="Z22" s="132" t="str">
        <f t="shared" si="1"/>
        <v/>
      </c>
      <c r="AA22" s="132" t="s">
        <v>154</v>
      </c>
      <c r="AB22" s="132">
        <f>ROUNDUP('QCL02'!$J$36,2)</f>
        <v>6.1099999999999994</v>
      </c>
      <c r="AC22" s="132">
        <f>ROUNDUP('QCL03'!$J$36,2)</f>
        <v>6.09</v>
      </c>
      <c r="AD22" s="132">
        <v>0</v>
      </c>
      <c r="AE22" s="132" t="e">
        <f t="shared" si="6"/>
        <v>#VALUE!</v>
      </c>
      <c r="AF22" s="132" t="e">
        <f t="shared" si="7"/>
        <v>#VALUE!</v>
      </c>
      <c r="AG22" s="132">
        <v>0</v>
      </c>
      <c r="AH22" s="132">
        <f>ROUNDUP('QCL02'!$J$37,2)</f>
        <v>0.23</v>
      </c>
      <c r="AI22" s="132">
        <f>ROUNDUP('QCL03'!$J$37,2)</f>
        <v>0.21000000000000002</v>
      </c>
      <c r="AJ22" s="132">
        <v>0</v>
      </c>
      <c r="AK22" s="132" t="e">
        <f t="shared" si="8"/>
        <v>#VALUE!</v>
      </c>
      <c r="AL22" s="132" t="e">
        <f t="shared" si="9"/>
        <v>#VALUE!</v>
      </c>
      <c r="AM22" s="132" t="str">
        <f t="shared" si="10"/>
        <v/>
      </c>
      <c r="AN22" s="132" t="str">
        <f t="shared" si="11"/>
        <v/>
      </c>
      <c r="AO22" s="132" t="str">
        <f t="shared" si="12"/>
        <v/>
      </c>
      <c r="AP22" s="170" t="str">
        <f t="shared" si="13"/>
        <v/>
      </c>
      <c r="AQ22" s="132">
        <f>ROUNDUP('HIEU XUAT HCV'!$V$30,2)</f>
        <v>15.58</v>
      </c>
      <c r="AR22" s="132">
        <f>ROUNDUP('HIEU XUAT HCV'!$X$31,2)</f>
        <v>3.2899999999999996</v>
      </c>
      <c r="AS22" s="132" t="str">
        <f>VLOOKUP(D22,'HIEU XUAT HCV'!B:X,23,0)</f>
        <v>N/A</v>
      </c>
      <c r="AT22" s="132" t="str">
        <f>VLOOKUP(D22,'HIEU XUAT HCV'!B:AP,32,0)</f>
        <v>N/A</v>
      </c>
      <c r="AU22" s="132" t="s">
        <v>328</v>
      </c>
      <c r="AV22" s="132" t="s">
        <v>32</v>
      </c>
      <c r="AW22" s="132" t="s">
        <v>66</v>
      </c>
      <c r="AX22" s="132" t="s">
        <v>182</v>
      </c>
      <c r="AY22" s="132" t="s">
        <v>83</v>
      </c>
      <c r="AZ22" s="132" t="s">
        <v>183</v>
      </c>
      <c r="BA22" s="171" t="s">
        <v>93</v>
      </c>
      <c r="BB22" s="132" t="s">
        <v>245</v>
      </c>
      <c r="BC22" s="131" t="s">
        <v>281</v>
      </c>
      <c r="BD22" s="131" t="s">
        <v>282</v>
      </c>
      <c r="BE22" s="131" t="s">
        <v>282</v>
      </c>
      <c r="BF22" s="132" t="s">
        <v>34</v>
      </c>
      <c r="BG22" s="132" t="s">
        <v>99</v>
      </c>
      <c r="BH22" s="132" t="s">
        <v>23</v>
      </c>
      <c r="BI22" s="140"/>
      <c r="BJ22" s="140"/>
      <c r="BK22" s="140"/>
      <c r="BL22" s="140"/>
      <c r="BM22" s="140"/>
      <c r="BN22" s="140"/>
      <c r="BO22" s="140"/>
      <c r="BP22" s="140"/>
      <c r="BQ22" s="140"/>
      <c r="BR22" s="140"/>
      <c r="BS22" s="140"/>
      <c r="BT22" s="140"/>
      <c r="BU22" s="140"/>
      <c r="BV22" s="140"/>
      <c r="BW22" s="140"/>
      <c r="BX22" s="140"/>
      <c r="BY22" s="140"/>
      <c r="BZ22" s="140"/>
      <c r="CA22" s="140"/>
      <c r="CB22" s="140"/>
      <c r="CC22" s="140"/>
      <c r="CD22" s="140"/>
      <c r="CE22" s="140"/>
      <c r="CF22" s="140"/>
      <c r="CG22" s="140"/>
      <c r="CH22" s="140"/>
      <c r="CI22" s="140"/>
      <c r="CJ22" s="140"/>
      <c r="CK22" s="140"/>
      <c r="CL22" s="140"/>
      <c r="CM22" s="140"/>
      <c r="CN22" s="140"/>
      <c r="CO22" s="140"/>
      <c r="CP22" s="140"/>
      <c r="CQ22" s="140"/>
      <c r="CR22" s="140"/>
      <c r="CS22" s="140"/>
      <c r="CT22" s="140"/>
      <c r="CU22" s="140"/>
      <c r="CV22" s="140"/>
      <c r="CW22" s="140"/>
      <c r="CX22" s="140"/>
      <c r="CY22" s="140"/>
      <c r="CZ22" s="140"/>
      <c r="DA22" s="140"/>
      <c r="DB22" s="140"/>
      <c r="DC22" s="140"/>
      <c r="DD22" s="140"/>
      <c r="DE22" s="140"/>
      <c r="DF22" s="140"/>
      <c r="DG22" s="140"/>
      <c r="DH22" s="140"/>
      <c r="DI22" s="140"/>
    </row>
    <row r="23" spans="1:113" s="133" customFormat="1" ht="50.25" customHeight="1" x14ac:dyDescent="0.25">
      <c r="A23" s="76" t="s">
        <v>347</v>
      </c>
      <c r="B23" s="68" t="s">
        <v>106</v>
      </c>
      <c r="C23" s="68" t="s">
        <v>24</v>
      </c>
      <c r="D23" s="68" t="s">
        <v>188</v>
      </c>
      <c r="E23" s="68" t="s">
        <v>107</v>
      </c>
      <c r="F23" s="68" t="s">
        <v>108</v>
      </c>
      <c r="G23" s="68">
        <v>8</v>
      </c>
      <c r="H23" s="68" t="s">
        <v>86</v>
      </c>
      <c r="I23" s="68" t="s">
        <v>372</v>
      </c>
      <c r="J23" s="68" t="s">
        <v>373</v>
      </c>
      <c r="K23" s="68" t="s">
        <v>374</v>
      </c>
      <c r="L23" s="68">
        <f t="shared" si="3"/>
        <v>15</v>
      </c>
      <c r="M23" s="132"/>
      <c r="N23" s="132"/>
      <c r="O23" s="132"/>
      <c r="P23" s="132"/>
      <c r="Q23" s="132"/>
      <c r="R23" s="132" t="str">
        <f t="shared" si="4"/>
        <v/>
      </c>
      <c r="S23" s="132" t="str">
        <f t="shared" si="5"/>
        <v/>
      </c>
      <c r="T23" s="132">
        <v>2.5</v>
      </c>
      <c r="U23" s="132"/>
      <c r="V23" s="132"/>
      <c r="W23" s="132"/>
      <c r="X23" s="132"/>
      <c r="Y23" s="132" t="str">
        <f t="shared" si="0"/>
        <v/>
      </c>
      <c r="Z23" s="132" t="str">
        <f t="shared" si="1"/>
        <v/>
      </c>
      <c r="AA23" s="132" t="s">
        <v>154</v>
      </c>
      <c r="AB23" s="132">
        <f>ROUNDUP('QCL02'!$J$36,2)</f>
        <v>6.1099999999999994</v>
      </c>
      <c r="AC23" s="132">
        <f>ROUNDUP('QCL03'!$J$36,2)</f>
        <v>6.09</v>
      </c>
      <c r="AD23" s="132">
        <v>0</v>
      </c>
      <c r="AE23" s="132" t="e">
        <f t="shared" si="6"/>
        <v>#VALUE!</v>
      </c>
      <c r="AF23" s="132" t="e">
        <f t="shared" si="7"/>
        <v>#VALUE!</v>
      </c>
      <c r="AG23" s="132">
        <v>0</v>
      </c>
      <c r="AH23" s="132">
        <f>ROUNDUP('QCL02'!$J$37,2)</f>
        <v>0.23</v>
      </c>
      <c r="AI23" s="132">
        <f>ROUNDUP('QCL03'!$J$37,2)</f>
        <v>0.21000000000000002</v>
      </c>
      <c r="AJ23" s="132">
        <v>0</v>
      </c>
      <c r="AK23" s="132" t="e">
        <f t="shared" si="8"/>
        <v>#VALUE!</v>
      </c>
      <c r="AL23" s="132" t="e">
        <f t="shared" si="9"/>
        <v>#VALUE!</v>
      </c>
      <c r="AM23" s="132" t="str">
        <f t="shared" si="10"/>
        <v/>
      </c>
      <c r="AN23" s="132" t="str">
        <f t="shared" si="11"/>
        <v/>
      </c>
      <c r="AO23" s="132" t="str">
        <f t="shared" si="12"/>
        <v/>
      </c>
      <c r="AP23" s="132" t="str">
        <f t="shared" si="13"/>
        <v/>
      </c>
      <c r="AQ23" s="132">
        <f>ROUNDUP('HIEU XUAT HCV'!$V$30,2)</f>
        <v>15.58</v>
      </c>
      <c r="AR23" s="132">
        <f>ROUNDUP('HIEU XUAT HCV'!$X$31,2)</f>
        <v>3.2899999999999996</v>
      </c>
      <c r="AS23" s="132" t="str">
        <f>VLOOKUP(D23,'HIEU XUAT HCV'!B:X,23,0)</f>
        <v>N/A</v>
      </c>
      <c r="AT23" s="132" t="str">
        <f>VLOOKUP(D23,'HIEU XUAT HCV'!B:AP,32,0)</f>
        <v>N/A</v>
      </c>
      <c r="AU23" s="132" t="s">
        <v>260</v>
      </c>
      <c r="AV23" s="132" t="s">
        <v>257</v>
      </c>
      <c r="AW23" s="132"/>
      <c r="AX23" s="132" t="s">
        <v>258</v>
      </c>
      <c r="AZ23" s="132" t="s">
        <v>259</v>
      </c>
      <c r="BA23" s="171" t="s">
        <v>33</v>
      </c>
      <c r="BB23" s="132" t="s">
        <v>245</v>
      </c>
      <c r="BC23" s="131" t="s">
        <v>281</v>
      </c>
      <c r="BD23" s="131" t="s">
        <v>283</v>
      </c>
      <c r="BE23" s="131" t="s">
        <v>283</v>
      </c>
      <c r="BF23" s="132"/>
      <c r="BG23" s="132"/>
      <c r="BH23" s="132" t="s">
        <v>110</v>
      </c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  <c r="DB23" s="140"/>
      <c r="DC23" s="140"/>
      <c r="DD23" s="140"/>
      <c r="DE23" s="140"/>
      <c r="DF23" s="140"/>
      <c r="DG23" s="140"/>
      <c r="DH23" s="140"/>
      <c r="DI23" s="140"/>
    </row>
    <row r="24" spans="1:113" s="133" customFormat="1" ht="50.25" customHeight="1" x14ac:dyDescent="0.25">
      <c r="A24" s="76" t="s">
        <v>348</v>
      </c>
      <c r="B24" s="68" t="s">
        <v>106</v>
      </c>
      <c r="C24" s="68" t="s">
        <v>24</v>
      </c>
      <c r="D24" s="68" t="s">
        <v>188</v>
      </c>
      <c r="E24" s="68" t="s">
        <v>107</v>
      </c>
      <c r="F24" s="68" t="s">
        <v>108</v>
      </c>
      <c r="G24" s="68">
        <v>8</v>
      </c>
      <c r="H24" s="68" t="s">
        <v>86</v>
      </c>
      <c r="I24" s="68" t="s">
        <v>372</v>
      </c>
      <c r="J24" s="68" t="s">
        <v>373</v>
      </c>
      <c r="K24" s="68" t="s">
        <v>374</v>
      </c>
      <c r="L24" s="68">
        <f t="shared" si="3"/>
        <v>15</v>
      </c>
      <c r="M24" s="132"/>
      <c r="N24" s="132"/>
      <c r="O24" s="132"/>
      <c r="P24" s="132"/>
      <c r="Q24" s="132"/>
      <c r="R24" s="132" t="str">
        <f t="shared" si="4"/>
        <v/>
      </c>
      <c r="S24" s="132" t="str">
        <f t="shared" si="5"/>
        <v/>
      </c>
      <c r="T24" s="132">
        <v>2.5</v>
      </c>
      <c r="U24" s="132"/>
      <c r="V24" s="132"/>
      <c r="W24" s="132"/>
      <c r="X24" s="132"/>
      <c r="Y24" s="132" t="str">
        <f t="shared" si="0"/>
        <v/>
      </c>
      <c r="Z24" s="132" t="str">
        <f t="shared" si="1"/>
        <v/>
      </c>
      <c r="AA24" s="132" t="s">
        <v>154</v>
      </c>
      <c r="AB24" s="132">
        <f>ROUNDUP('QCL02'!$J$36,2)</f>
        <v>6.1099999999999994</v>
      </c>
      <c r="AC24" s="132">
        <f>ROUNDUP('QCL03'!$J$36,2)</f>
        <v>6.09</v>
      </c>
      <c r="AD24" s="132">
        <v>0</v>
      </c>
      <c r="AE24" s="132" t="e">
        <f t="shared" si="6"/>
        <v>#VALUE!</v>
      </c>
      <c r="AF24" s="132" t="e">
        <f t="shared" si="7"/>
        <v>#VALUE!</v>
      </c>
      <c r="AG24" s="132">
        <v>0</v>
      </c>
      <c r="AH24" s="132">
        <f>ROUNDUP('QCL02'!$J$37,2)</f>
        <v>0.23</v>
      </c>
      <c r="AI24" s="132">
        <f>ROUNDUP('QCL03'!$J$37,2)</f>
        <v>0.21000000000000002</v>
      </c>
      <c r="AJ24" s="132">
        <v>0</v>
      </c>
      <c r="AK24" s="132" t="e">
        <f t="shared" si="8"/>
        <v>#VALUE!</v>
      </c>
      <c r="AL24" s="132" t="e">
        <f t="shared" si="9"/>
        <v>#VALUE!</v>
      </c>
      <c r="AM24" s="132" t="str">
        <f t="shared" si="10"/>
        <v/>
      </c>
      <c r="AN24" s="132" t="str">
        <f t="shared" si="11"/>
        <v/>
      </c>
      <c r="AO24" s="132" t="str">
        <f t="shared" si="12"/>
        <v/>
      </c>
      <c r="AP24" s="132" t="str">
        <f t="shared" si="13"/>
        <v/>
      </c>
      <c r="AQ24" s="132">
        <v>16.16</v>
      </c>
      <c r="AR24" s="132">
        <f>ROUNDUP('HIEU XUAT HCV'!$X$31,2)</f>
        <v>3.2899999999999996</v>
      </c>
      <c r="AS24" s="132" t="str">
        <f>VLOOKUP(D24,'HIEU XUAT HCV'!B:X,23,0)</f>
        <v>N/A</v>
      </c>
      <c r="AT24" s="132" t="str">
        <f>VLOOKUP(D24,'HIEU XUAT HCV'!B:AP,32,0)</f>
        <v>N/A</v>
      </c>
      <c r="AU24" s="132" t="s">
        <v>185</v>
      </c>
      <c r="AV24" s="132"/>
      <c r="AW24" s="132" t="s">
        <v>189</v>
      </c>
      <c r="AX24" s="132" t="s">
        <v>109</v>
      </c>
      <c r="AY24" s="132"/>
      <c r="AZ24" s="132" t="s">
        <v>190</v>
      </c>
      <c r="BA24" s="171" t="s">
        <v>33</v>
      </c>
      <c r="BB24" s="132"/>
      <c r="BC24" s="131" t="s">
        <v>46</v>
      </c>
      <c r="BD24" s="131" t="s">
        <v>64</v>
      </c>
      <c r="BE24" s="131" t="s">
        <v>64</v>
      </c>
      <c r="BF24" s="132"/>
      <c r="BG24" s="132"/>
      <c r="BH24" s="132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  <c r="DB24" s="140"/>
      <c r="DC24" s="140"/>
      <c r="DD24" s="140"/>
      <c r="DE24" s="140"/>
      <c r="DF24" s="140"/>
      <c r="DG24" s="140"/>
      <c r="DH24" s="140"/>
      <c r="DI24" s="140"/>
    </row>
    <row r="25" spans="1:113" s="133" customFormat="1" ht="50.25" customHeight="1" x14ac:dyDescent="0.25">
      <c r="A25" s="76" t="s">
        <v>349</v>
      </c>
      <c r="B25" s="132" t="s">
        <v>168</v>
      </c>
      <c r="C25" s="132"/>
      <c r="D25" s="132" t="s">
        <v>169</v>
      </c>
      <c r="E25" s="132" t="s">
        <v>170</v>
      </c>
      <c r="F25" s="132" t="s">
        <v>171</v>
      </c>
      <c r="G25" s="132">
        <v>8</v>
      </c>
      <c r="H25" s="132" t="s">
        <v>86</v>
      </c>
      <c r="I25" s="132" t="s">
        <v>372</v>
      </c>
      <c r="J25" s="132" t="s">
        <v>373</v>
      </c>
      <c r="K25" s="132" t="s">
        <v>374</v>
      </c>
      <c r="L25" s="132">
        <f t="shared" si="3"/>
        <v>15</v>
      </c>
      <c r="M25" s="132"/>
      <c r="N25" s="132"/>
      <c r="O25" s="132"/>
      <c r="P25" s="132"/>
      <c r="Q25" s="132"/>
      <c r="R25" s="132" t="str">
        <f t="shared" si="4"/>
        <v/>
      </c>
      <c r="S25" s="132" t="str">
        <f t="shared" si="5"/>
        <v/>
      </c>
      <c r="T25" s="132">
        <v>1.21</v>
      </c>
      <c r="U25" s="132"/>
      <c r="V25" s="132"/>
      <c r="W25" s="132"/>
      <c r="X25" s="132"/>
      <c r="Y25" s="132" t="str">
        <f t="shared" si="0"/>
        <v/>
      </c>
      <c r="Z25" s="132" t="str">
        <f t="shared" si="1"/>
        <v/>
      </c>
      <c r="AA25" s="132" t="s">
        <v>154</v>
      </c>
      <c r="AB25" s="132">
        <f>ROUNDUP('QCL02'!$J$36,2)</f>
        <v>6.1099999999999994</v>
      </c>
      <c r="AC25" s="132">
        <f>ROUNDUP('QCL03'!$J$36,2)</f>
        <v>6.09</v>
      </c>
      <c r="AD25" s="132">
        <v>0</v>
      </c>
      <c r="AE25" s="132" t="e">
        <f t="shared" si="6"/>
        <v>#VALUE!</v>
      </c>
      <c r="AF25" s="132" t="e">
        <f t="shared" si="7"/>
        <v>#VALUE!</v>
      </c>
      <c r="AG25" s="132">
        <v>0</v>
      </c>
      <c r="AH25" s="132">
        <f>ROUNDUP('QCL02'!$J$37,2)</f>
        <v>0.23</v>
      </c>
      <c r="AI25" s="132">
        <f>ROUNDUP('QCL03'!$J$37,2)</f>
        <v>0.21000000000000002</v>
      </c>
      <c r="AJ25" s="132">
        <v>0</v>
      </c>
      <c r="AK25" s="132" t="e">
        <f t="shared" si="8"/>
        <v>#VALUE!</v>
      </c>
      <c r="AL25" s="132" t="e">
        <f t="shared" si="9"/>
        <v>#VALUE!</v>
      </c>
      <c r="AM25" s="132" t="str">
        <f t="shared" si="10"/>
        <v/>
      </c>
      <c r="AN25" s="132" t="str">
        <f t="shared" si="11"/>
        <v/>
      </c>
      <c r="AO25" s="132" t="str">
        <f t="shared" si="12"/>
        <v/>
      </c>
      <c r="AP25" s="170" t="str">
        <f t="shared" si="13"/>
        <v/>
      </c>
      <c r="AQ25" s="132">
        <f>ROUNDUP('HIEU XUAT HCV'!$V$30,2)</f>
        <v>15.58</v>
      </c>
      <c r="AR25" s="132">
        <f>ROUNDUP('HIEU XUAT HCV'!$X$31,2)</f>
        <v>3.2899999999999996</v>
      </c>
      <c r="AS25" s="132" t="str">
        <f>VLOOKUP(D25,'HIEU XUAT HCV'!B:X,23,0)</f>
        <v>N/A</v>
      </c>
      <c r="AT25" s="132" t="str">
        <f>VLOOKUP(D25,'HIEU XUAT HCV'!B:AP,32,0)</f>
        <v>N/A</v>
      </c>
      <c r="AU25" s="132" t="s">
        <v>172</v>
      </c>
      <c r="AV25" s="132" t="s">
        <v>173</v>
      </c>
      <c r="AW25" s="132" t="s">
        <v>174</v>
      </c>
      <c r="AX25" s="132" t="s">
        <v>175</v>
      </c>
      <c r="AY25" s="132" t="s">
        <v>83</v>
      </c>
      <c r="AZ25" s="132" t="s">
        <v>176</v>
      </c>
      <c r="BA25" s="171" t="s">
        <v>74</v>
      </c>
      <c r="BB25" s="132" t="s">
        <v>247</v>
      </c>
      <c r="BC25" s="131" t="s">
        <v>256</v>
      </c>
      <c r="BD25" s="131" t="s">
        <v>261</v>
      </c>
      <c r="BE25" s="131" t="s">
        <v>261</v>
      </c>
      <c r="BF25" s="132" t="s">
        <v>177</v>
      </c>
      <c r="BG25" s="132" t="s">
        <v>178</v>
      </c>
      <c r="BH25" s="132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  <c r="DB25" s="140"/>
      <c r="DC25" s="140"/>
      <c r="DD25" s="140"/>
      <c r="DE25" s="140"/>
      <c r="DF25" s="140"/>
      <c r="DG25" s="140"/>
      <c r="DH25" s="140"/>
      <c r="DI25" s="140"/>
    </row>
    <row r="26" spans="1:113" s="135" customFormat="1" ht="50.25" customHeight="1" x14ac:dyDescent="0.25">
      <c r="A26" s="76" t="s">
        <v>360</v>
      </c>
      <c r="B26" s="68" t="s">
        <v>27</v>
      </c>
      <c r="C26" s="68">
        <v>4</v>
      </c>
      <c r="D26" s="68" t="s">
        <v>197</v>
      </c>
      <c r="E26" s="68" t="s">
        <v>111</v>
      </c>
      <c r="F26" s="68" t="s">
        <v>198</v>
      </c>
      <c r="G26" s="68">
        <v>8</v>
      </c>
      <c r="H26" s="68" t="s">
        <v>86</v>
      </c>
      <c r="I26" s="68" t="s">
        <v>372</v>
      </c>
      <c r="J26" s="68" t="s">
        <v>373</v>
      </c>
      <c r="K26" s="68" t="s">
        <v>374</v>
      </c>
      <c r="L26" s="68">
        <f t="shared" si="3"/>
        <v>15</v>
      </c>
      <c r="M26" s="132"/>
      <c r="N26" s="132"/>
      <c r="O26" s="132"/>
      <c r="P26" s="132"/>
      <c r="Q26" s="132"/>
      <c r="R26" s="132" t="str">
        <f t="shared" si="4"/>
        <v/>
      </c>
      <c r="S26" s="132" t="str">
        <f t="shared" si="5"/>
        <v/>
      </c>
      <c r="T26" s="132">
        <v>2.7</v>
      </c>
      <c r="U26" s="132"/>
      <c r="V26" s="170"/>
      <c r="W26" s="132"/>
      <c r="X26" s="132"/>
      <c r="Y26" s="132" t="str">
        <f t="shared" si="0"/>
        <v/>
      </c>
      <c r="Z26" s="132" t="str">
        <f t="shared" si="1"/>
        <v/>
      </c>
      <c r="AA26" s="132" t="s">
        <v>154</v>
      </c>
      <c r="AB26" s="132">
        <f>ROUNDUP('QCL02'!$J$36,2)</f>
        <v>6.1099999999999994</v>
      </c>
      <c r="AC26" s="132">
        <f>ROUNDUP('QCL03'!$J$36,2)</f>
        <v>6.09</v>
      </c>
      <c r="AD26" s="132">
        <v>0</v>
      </c>
      <c r="AE26" s="132" t="e">
        <f t="shared" si="6"/>
        <v>#VALUE!</v>
      </c>
      <c r="AF26" s="132" t="e">
        <f t="shared" si="7"/>
        <v>#VALUE!</v>
      </c>
      <c r="AG26" s="132">
        <v>0</v>
      </c>
      <c r="AH26" s="132">
        <f>ROUNDUP('QCL02'!$J$37,2)</f>
        <v>0.23</v>
      </c>
      <c r="AI26" s="132">
        <f>ROUNDUP('QCL03'!$J$37,2)</f>
        <v>0.21000000000000002</v>
      </c>
      <c r="AJ26" s="132">
        <v>0</v>
      </c>
      <c r="AK26" s="132" t="e">
        <f t="shared" si="8"/>
        <v>#VALUE!</v>
      </c>
      <c r="AL26" s="132" t="e">
        <f t="shared" si="9"/>
        <v>#VALUE!</v>
      </c>
      <c r="AM26" s="132" t="str">
        <f t="shared" si="10"/>
        <v/>
      </c>
      <c r="AN26" s="132" t="str">
        <f t="shared" si="11"/>
        <v/>
      </c>
      <c r="AO26" s="132" t="str">
        <f t="shared" si="12"/>
        <v/>
      </c>
      <c r="AP26" s="132" t="str">
        <f t="shared" si="13"/>
        <v/>
      </c>
      <c r="AQ26" s="132">
        <v>17.38</v>
      </c>
      <c r="AR26" s="132">
        <f>ROUNDUP('HIEU XUAT HCV'!$X$31,2)</f>
        <v>3.2899999999999996</v>
      </c>
      <c r="AS26" s="205" t="str">
        <f>VLOOKUP(D26,'HIEU XUAT HCV'!B:X,23,0)</f>
        <v>N/A</v>
      </c>
      <c r="AT26" s="205" t="str">
        <f>VLOOKUP(D26,'HIEU XUAT HCV'!B:AP,32,0)</f>
        <v>N/A</v>
      </c>
      <c r="AU26" s="132" t="s">
        <v>199</v>
      </c>
      <c r="AV26" s="132" t="s">
        <v>61</v>
      </c>
      <c r="AW26" s="132" t="s">
        <v>52</v>
      </c>
      <c r="AX26" s="132" t="s">
        <v>199</v>
      </c>
      <c r="AY26" s="132" t="s">
        <v>112</v>
      </c>
      <c r="AZ26" s="132" t="s">
        <v>200</v>
      </c>
      <c r="BA26" s="171" t="s">
        <v>51</v>
      </c>
      <c r="BB26" s="132"/>
      <c r="BC26" s="134" t="s">
        <v>201</v>
      </c>
      <c r="BD26" s="134" t="s">
        <v>202</v>
      </c>
      <c r="BE26" s="134" t="s">
        <v>203</v>
      </c>
      <c r="BF26" s="132" t="s">
        <v>113</v>
      </c>
      <c r="BG26" s="132" t="s">
        <v>26</v>
      </c>
      <c r="BH26" s="133"/>
      <c r="BI26" s="138"/>
      <c r="BJ26" s="138"/>
      <c r="BK26" s="138"/>
      <c r="BL26" s="138"/>
      <c r="BM26" s="138"/>
      <c r="BN26" s="138"/>
      <c r="BO26" s="138"/>
      <c r="BP26" s="138"/>
      <c r="BQ26" s="138"/>
      <c r="BR26" s="138"/>
      <c r="BS26" s="138"/>
      <c r="BT26" s="138"/>
      <c r="BU26" s="138"/>
      <c r="BV26" s="138"/>
      <c r="BW26" s="138"/>
      <c r="BX26" s="138"/>
      <c r="BY26" s="138"/>
      <c r="BZ26" s="138"/>
      <c r="CA26" s="138"/>
      <c r="CB26" s="138"/>
      <c r="CC26" s="138"/>
      <c r="CD26" s="138"/>
      <c r="CE26" s="138"/>
      <c r="CF26" s="138"/>
      <c r="CG26" s="138"/>
      <c r="CH26" s="138"/>
      <c r="CI26" s="138"/>
      <c r="CJ26" s="138"/>
      <c r="CK26" s="138"/>
      <c r="CL26" s="138"/>
      <c r="CM26" s="138"/>
      <c r="CN26" s="138"/>
      <c r="CO26" s="138"/>
      <c r="CP26" s="138"/>
      <c r="CQ26" s="138"/>
      <c r="CR26" s="138"/>
      <c r="CS26" s="138"/>
      <c r="CT26" s="138"/>
      <c r="CU26" s="138"/>
      <c r="CV26" s="138"/>
      <c r="CW26" s="138"/>
      <c r="CX26" s="138"/>
      <c r="CY26" s="138"/>
      <c r="CZ26" s="138"/>
      <c r="DA26" s="138"/>
      <c r="DB26" s="138"/>
      <c r="DC26" s="138"/>
      <c r="DD26" s="138"/>
      <c r="DE26" s="138"/>
      <c r="DF26" s="138"/>
      <c r="DG26" s="138"/>
      <c r="DH26" s="138"/>
      <c r="DI26" s="138"/>
    </row>
    <row r="27" spans="1:113" s="135" customFormat="1" ht="50.25" customHeight="1" x14ac:dyDescent="0.25">
      <c r="A27" s="76" t="s">
        <v>361</v>
      </c>
      <c r="B27" s="68" t="s">
        <v>27</v>
      </c>
      <c r="C27" s="68">
        <v>1</v>
      </c>
      <c r="D27" s="68" t="s">
        <v>204</v>
      </c>
      <c r="E27" s="68" t="s">
        <v>49</v>
      </c>
      <c r="F27" s="68" t="s">
        <v>50</v>
      </c>
      <c r="G27" s="68">
        <v>8</v>
      </c>
      <c r="H27" s="68" t="s">
        <v>86</v>
      </c>
      <c r="I27" s="68" t="s">
        <v>372</v>
      </c>
      <c r="J27" s="68" t="s">
        <v>373</v>
      </c>
      <c r="K27" s="68" t="s">
        <v>374</v>
      </c>
      <c r="L27" s="68">
        <f t="shared" si="3"/>
        <v>15</v>
      </c>
      <c r="M27" s="132"/>
      <c r="N27" s="132"/>
      <c r="O27" s="132"/>
      <c r="P27" s="132"/>
      <c r="Q27" s="132"/>
      <c r="R27" s="132" t="str">
        <f t="shared" si="4"/>
        <v/>
      </c>
      <c r="S27" s="132" t="str">
        <f t="shared" si="5"/>
        <v/>
      </c>
      <c r="T27" s="132">
        <v>2.7</v>
      </c>
      <c r="U27" s="170"/>
      <c r="V27" s="170"/>
      <c r="W27" s="170"/>
      <c r="X27" s="132"/>
      <c r="Y27" s="132" t="str">
        <f t="shared" si="0"/>
        <v/>
      </c>
      <c r="Z27" s="132" t="str">
        <f t="shared" si="1"/>
        <v/>
      </c>
      <c r="AA27" s="132" t="s">
        <v>154</v>
      </c>
      <c r="AB27" s="132">
        <f>ROUNDUP('QCL02'!$J$36,2)</f>
        <v>6.1099999999999994</v>
      </c>
      <c r="AC27" s="132">
        <f>ROUNDUP('QCL03'!$J$36,2)</f>
        <v>6.09</v>
      </c>
      <c r="AD27" s="132">
        <v>0</v>
      </c>
      <c r="AE27" s="132" t="e">
        <f t="shared" si="6"/>
        <v>#VALUE!</v>
      </c>
      <c r="AF27" s="132" t="e">
        <f t="shared" si="7"/>
        <v>#VALUE!</v>
      </c>
      <c r="AG27" s="132">
        <v>0</v>
      </c>
      <c r="AH27" s="132">
        <f>ROUNDUP('QCL02'!$J$37,2)</f>
        <v>0.23</v>
      </c>
      <c r="AI27" s="132">
        <f>ROUNDUP('QCL03'!$J$37,2)</f>
        <v>0.21000000000000002</v>
      </c>
      <c r="AJ27" s="132">
        <v>0</v>
      </c>
      <c r="AK27" s="132" t="e">
        <f t="shared" si="8"/>
        <v>#VALUE!</v>
      </c>
      <c r="AL27" s="132" t="e">
        <f t="shared" si="9"/>
        <v>#VALUE!</v>
      </c>
      <c r="AM27" s="132" t="str">
        <f t="shared" si="10"/>
        <v/>
      </c>
      <c r="AN27" s="132" t="str">
        <f t="shared" si="11"/>
        <v/>
      </c>
      <c r="AO27" s="132" t="str">
        <f t="shared" si="12"/>
        <v/>
      </c>
      <c r="AP27" s="132" t="str">
        <f t="shared" si="13"/>
        <v/>
      </c>
      <c r="AQ27" s="132" t="s">
        <v>205</v>
      </c>
      <c r="AR27" s="132">
        <f>ROUNDUP('HIEU XUAT HCV'!$X$31,2)</f>
        <v>3.2899999999999996</v>
      </c>
      <c r="AS27" s="206" t="str">
        <f>VLOOKUP(D27,'HIEU XUAT HCV'!B:X,23,0)</f>
        <v>N/A</v>
      </c>
      <c r="AT27" s="206" t="str">
        <f>VLOOKUP(D27,'HIEU XUAT HCV'!B:AP,32,0)</f>
        <v>N/A</v>
      </c>
      <c r="AU27" s="132"/>
      <c r="AV27" s="132"/>
      <c r="AW27" s="132" t="s">
        <v>206</v>
      </c>
      <c r="AX27" s="132"/>
      <c r="AY27" s="132"/>
      <c r="AZ27" s="132" t="s">
        <v>207</v>
      </c>
      <c r="BA27" s="171" t="s">
        <v>51</v>
      </c>
      <c r="BB27" s="132"/>
      <c r="BC27" s="134" t="s">
        <v>208</v>
      </c>
      <c r="BD27" s="134" t="s">
        <v>209</v>
      </c>
      <c r="BE27" s="134" t="s">
        <v>210</v>
      </c>
      <c r="BF27" s="132" t="s">
        <v>34</v>
      </c>
      <c r="BG27" s="132" t="s">
        <v>53</v>
      </c>
      <c r="BH27" s="132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  <c r="CL27" s="138"/>
      <c r="CM27" s="138"/>
      <c r="CN27" s="138"/>
      <c r="CO27" s="138"/>
      <c r="CP27" s="138"/>
      <c r="CQ27" s="138"/>
      <c r="CR27" s="138"/>
      <c r="CS27" s="138"/>
      <c r="CT27" s="138"/>
      <c r="CU27" s="138"/>
      <c r="CV27" s="138"/>
      <c r="CW27" s="138"/>
      <c r="CX27" s="138"/>
      <c r="CY27" s="138"/>
      <c r="CZ27" s="138"/>
      <c r="DA27" s="138"/>
      <c r="DB27" s="138"/>
      <c r="DC27" s="138"/>
      <c r="DD27" s="138"/>
      <c r="DE27" s="138"/>
      <c r="DF27" s="138"/>
      <c r="DG27" s="138"/>
      <c r="DH27" s="138"/>
      <c r="DI27" s="138"/>
    </row>
    <row r="30" spans="1:113" x14ac:dyDescent="0.25">
      <c r="M30" s="136">
        <f>COUNTA(N2:N27)</f>
        <v>15</v>
      </c>
    </row>
  </sheetData>
  <sortState xmlns:xlrd2="http://schemas.microsoft.com/office/spreadsheetml/2017/richdata2" ref="B2:AG19">
    <sortCondition ref="AB2"/>
  </sortState>
  <phoneticPr fontId="18" type="noConversion"/>
  <dataValidations count="1">
    <dataValidation type="list" allowBlank="1" showInputMessage="1" showErrorMessage="1" sqref="BJ2" xr:uid="{00000000-0002-0000-0D00-000000000000}">
      <formula1>$D$2:$D$27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QCL01</vt:lpstr>
      <vt:lpstr>QCL02</vt:lpstr>
      <vt:lpstr>QCL03</vt:lpstr>
      <vt:lpstr>BD HCV IU</vt:lpstr>
      <vt:lpstr>CHENH HCV</vt:lpstr>
      <vt:lpstr>HIEU XUAT HCV</vt:lpstr>
      <vt:lpstr>HCV DL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Ngoại kiểm - TT Kiểm Chuẩn Chất lượng Xét nghiệm Y học</cp:lastModifiedBy>
  <cp:lastPrinted>2021-07-12T07:04:00Z</cp:lastPrinted>
  <dcterms:created xsi:type="dcterms:W3CDTF">2020-12-09T03:43:00Z</dcterms:created>
  <dcterms:modified xsi:type="dcterms:W3CDTF">2023-12-26T11:00:40Z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1033-11.2.0.11029</vt:lpwstr>
  </property>
  <property fmtid="{D5CDD505-2E9C-101B-9397-08002B2CF9AE}" pid="3" name="ICV">
    <vt:lpwstr>ADEB19534FC94BB7A6AA10E2E99C8433</vt:lpwstr>
  </property>
</Properties>
</file>