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_projects\HistoryTracking\HistoryTracking\"/>
    </mc:Choice>
  </mc:AlternateContent>
  <xr:revisionPtr revIDLastSave="0" documentId="13_ncr:1_{18435DCD-7053-48D1-BA69-3C8B46C4FFDB}" xr6:coauthVersionLast="45" xr6:coauthVersionMax="45" xr10:uidLastSave="{00000000-0000-0000-0000-000000000000}"/>
  <bookViews>
    <workbookView xWindow="1050" yWindow="-120" windowWidth="27870" windowHeight="16440" activeTab="1" xr2:uid="{00000000-000D-0000-FFFF-FFFF00000000}"/>
  </bookViews>
  <sheets>
    <sheet name="Header" sheetId="4" r:id="rId1"/>
    <sheet name="Project Estimation" sheetId="3" r:id="rId2"/>
    <sheet name="Lists" sheetId="7" r:id="rId3"/>
    <sheet name="Checkpoints" sheetId="8" r:id="rId4"/>
  </sheets>
  <definedNames>
    <definedName name="_Toc276114298" localSheetId="1">'Project Estimation'!#REF!</definedName>
    <definedName name="Duration">Header!$C$9</definedName>
    <definedName name="NDev">Header!$C$16</definedName>
    <definedName name="NQA">Header!$C$15</definedName>
    <definedName name="PM">Header!$D$11</definedName>
    <definedName name="PMDevel">Header!$D$12</definedName>
    <definedName name="QA">Header!$D$13</definedName>
    <definedName name="TBuild">'Project Estimation'!$G$89</definedName>
    <definedName name="TBuildMax">'Project Estimation'!$F$89</definedName>
    <definedName name="TBuildMid">'Project Estimation'!$E$89</definedName>
    <definedName name="TBuildMin">'Project Estimation'!$D$89</definedName>
    <definedName name="TDev">'Project Estimation'!$G$75</definedName>
    <definedName name="TDevMax">'Project Estimation'!$F$75</definedName>
    <definedName name="TDevMid">'Project Estimation'!$E$75</definedName>
    <definedName name="TDevMin">'Project Estimation'!$D$75</definedName>
    <definedName name="Tdoc">'Project Estimation'!$G$81</definedName>
    <definedName name="TDocMax">'Project Estimation'!$F$81</definedName>
    <definedName name="TDocMid">'Project Estimation'!$E$81</definedName>
    <definedName name="TDocMin">'Project Estimation'!$D$81</definedName>
    <definedName name="TPM">'Project Estimation'!$G$91</definedName>
    <definedName name="TPMMax">'Project Estimation'!$F$91</definedName>
    <definedName name="TPMMid">'Project Estimation'!$E$91</definedName>
    <definedName name="TPMMin">'Project Estimation'!$D$91</definedName>
    <definedName name="TQA">'Project Estimation'!$G$85</definedName>
    <definedName name="TQAMax">'Project Estimation'!$F$85</definedName>
    <definedName name="TQAMid">'Project Estimation'!$E$85</definedName>
    <definedName name="TQAMin">'Project Estimation'!$D$85</definedName>
    <definedName name="TRS">'Project Estimation'!$G$13</definedName>
    <definedName name="TRSMax">'Project Estimation'!$F$13</definedName>
    <definedName name="TRSMid">'Project Estimation'!$E$13</definedName>
    <definedName name="TRSMin">'Project Estimation'!$D$13</definedName>
    <definedName name="TTS">'Project Estimation'!$G$19</definedName>
    <definedName name="TTSMax">'Project Estimation'!$F$19</definedName>
    <definedName name="TTSMid">'Project Estimation'!$E$19</definedName>
    <definedName name="TTSMin">'Project Estimation'!$D$19</definedName>
    <definedName name="UnitT">Header!$D$14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" i="3" l="1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21" i="3"/>
  <c r="D12" i="4" l="1"/>
  <c r="D11" i="4"/>
  <c r="D14" i="4"/>
  <c r="F73" i="3" s="1"/>
  <c r="F74" i="3" s="1"/>
  <c r="F75" i="3" s="1"/>
  <c r="D13" i="4"/>
  <c r="G22" i="3"/>
  <c r="G87" i="3"/>
  <c r="G11" i="3"/>
  <c r="G9" i="3"/>
  <c r="G10" i="3"/>
  <c r="F81" i="3"/>
  <c r="E81" i="3"/>
  <c r="D81" i="3"/>
  <c r="G80" i="3"/>
  <c r="G79" i="3"/>
  <c r="G78" i="3"/>
  <c r="G77" i="3"/>
  <c r="F19" i="3"/>
  <c r="E19" i="3"/>
  <c r="D19" i="3"/>
  <c r="G18" i="3"/>
  <c r="G17" i="3"/>
  <c r="G16" i="3"/>
  <c r="G15" i="3"/>
  <c r="F13" i="3"/>
  <c r="E13" i="3"/>
  <c r="D13" i="3"/>
  <c r="G12" i="3"/>
  <c r="G8" i="3"/>
  <c r="G7" i="3"/>
  <c r="G6" i="3"/>
  <c r="D73" i="3" l="1"/>
  <c r="D74" i="3" s="1"/>
  <c r="E73" i="3"/>
  <c r="E74" i="3" s="1"/>
  <c r="G81" i="3"/>
  <c r="G13" i="3"/>
  <c r="G19" i="3"/>
  <c r="F84" i="3"/>
  <c r="F83" i="3"/>
  <c r="F88" i="3"/>
  <c r="F89" i="3" s="1"/>
  <c r="E75" i="3" l="1"/>
  <c r="E83" i="3" s="1"/>
  <c r="D75" i="3"/>
  <c r="D83" i="3" s="1"/>
  <c r="G73" i="3"/>
  <c r="G74" i="3"/>
  <c r="F85" i="3"/>
  <c r="F91" i="3" s="1"/>
  <c r="D3" i="8" s="1"/>
  <c r="D4" i="8" s="1"/>
  <c r="E84" i="3" l="1"/>
  <c r="E85" i="3" s="1"/>
  <c r="G75" i="3"/>
  <c r="E88" i="3"/>
  <c r="E89" i="3" s="1"/>
  <c r="D88" i="3"/>
  <c r="D89" i="3" s="1"/>
  <c r="D84" i="3"/>
  <c r="F92" i="3"/>
  <c r="G83" i="3"/>
  <c r="G84" i="3" l="1"/>
  <c r="G85" i="3" s="1"/>
  <c r="C15" i="4" s="1"/>
  <c r="E91" i="3"/>
  <c r="C3" i="8" s="1"/>
  <c r="C4" i="8" s="1"/>
  <c r="G88" i="3"/>
  <c r="G89" i="3" s="1"/>
  <c r="D85" i="3"/>
  <c r="D91" i="3" s="1"/>
  <c r="D2" i="8"/>
  <c r="F94" i="3"/>
  <c r="E92" i="3" l="1"/>
  <c r="C2" i="8" s="1"/>
  <c r="D92" i="3"/>
  <c r="D94" i="3" s="1"/>
  <c r="B3" i="8"/>
  <c r="B4" i="8" s="1"/>
  <c r="G91" i="3"/>
  <c r="E94" i="3" l="1"/>
  <c r="B2" i="8"/>
  <c r="G92" i="3"/>
  <c r="G94" i="3" s="1"/>
  <c r="C5" i="4" s="1"/>
  <c r="E3" i="8"/>
  <c r="E4" i="8" s="1"/>
  <c r="C16" i="4"/>
  <c r="E2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</author>
  </authors>
  <commentList>
    <comment ref="G4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AG:
Automatically calculated. Do not edit it directly.
Calculation is based on Min, Max and Median values</t>
        </r>
      </text>
    </comment>
  </commentList>
</comments>
</file>

<file path=xl/sharedStrings.xml><?xml version="1.0" encoding="utf-8"?>
<sst xmlns="http://schemas.openxmlformats.org/spreadsheetml/2006/main" count="120" uniqueCount="101">
  <si>
    <t>Subtotal:</t>
  </si>
  <si>
    <t>General business workflow specification</t>
  </si>
  <si>
    <t>UI requirements specification</t>
  </si>
  <si>
    <t>HW requirements specification</t>
  </si>
  <si>
    <t>OS compatibility specification</t>
  </si>
  <si>
    <t>Performance requirements specification</t>
  </si>
  <si>
    <t>Project architecture</t>
  </si>
  <si>
    <t>Project use cases (with GUI samples)</t>
  </si>
  <si>
    <t>Project technologies</t>
  </si>
  <si>
    <t>User Guide</t>
  </si>
  <si>
    <t>Installation Guide</t>
  </si>
  <si>
    <t>Administrative Guide</t>
  </si>
  <si>
    <t>Deployment</t>
  </si>
  <si>
    <t>Context Help system (or help file)</t>
  </si>
  <si>
    <t>Build management (Build script, regular builds)</t>
  </si>
  <si>
    <t>Unit Tests</t>
  </si>
  <si>
    <t>Task</t>
  </si>
  <si>
    <t>#</t>
  </si>
  <si>
    <t>Project requirements specification</t>
  </si>
  <si>
    <t>Project technical specification</t>
  </si>
  <si>
    <t>Coding</t>
  </si>
  <si>
    <t>Documentation</t>
  </si>
  <si>
    <t>QA</t>
  </si>
  <si>
    <t xml:space="preserve">Builds and Deployment </t>
  </si>
  <si>
    <t>Project Management</t>
  </si>
  <si>
    <t>Progress tracking / reporting / communication / development process documentation / tracking changes</t>
  </si>
  <si>
    <t>Test cases</t>
  </si>
  <si>
    <t>BugFixing</t>
  </si>
  <si>
    <t>Comments</t>
  </si>
  <si>
    <t>Project Total:</t>
  </si>
  <si>
    <t>Project Estimation</t>
  </si>
  <si>
    <t>Project Name:</t>
  </si>
  <si>
    <t>Total Estimation (hours):</t>
  </si>
  <si>
    <t>See 'Estimates' worksheet for detailed estimation</t>
  </si>
  <si>
    <t>Plarform/Technology</t>
  </si>
  <si>
    <t>Operating System(s)</t>
  </si>
  <si>
    <t>Programming Language</t>
  </si>
  <si>
    <t>Framework</t>
  </si>
  <si>
    <t>Database</t>
  </si>
  <si>
    <t>Risks</t>
  </si>
  <si>
    <t>Assumptions</t>
  </si>
  <si>
    <t>Items not included to estimation</t>
  </si>
  <si>
    <t>Questions</t>
  </si>
  <si>
    <t>Project parameters</t>
  </si>
  <si>
    <t>QA complexity</t>
  </si>
  <si>
    <t>Median
(man/hrs)</t>
  </si>
  <si>
    <t>Min
(man/hrs)</t>
  </si>
  <si>
    <t>Max
(man/hrs)</t>
  </si>
  <si>
    <t>Workload
(man/hrs)</t>
  </si>
  <si>
    <t>Functional/Performance/Load Testing</t>
  </si>
  <si>
    <t>Unit Test coverage</t>
  </si>
  <si>
    <t>High</t>
  </si>
  <si>
    <t>Low</t>
  </si>
  <si>
    <t>Normal</t>
  </si>
  <si>
    <t>Extra</t>
  </si>
  <si>
    <t>Others …</t>
  </si>
  <si>
    <t>Probaility</t>
  </si>
  <si>
    <t>Impact</t>
  </si>
  <si>
    <t>Normal (40%-50%)</t>
  </si>
  <si>
    <t>Low (below 40%)</t>
  </si>
  <si>
    <t>None</t>
  </si>
  <si>
    <t>High (above 50%)</t>
  </si>
  <si>
    <t>Recommended QA team size</t>
  </si>
  <si>
    <t>Recommended Development team size</t>
  </si>
  <si>
    <t>Estimated cost</t>
  </si>
  <si>
    <t>Dedicated PM</t>
  </si>
  <si>
    <t>Expected/Required duration (days)</t>
  </si>
  <si>
    <t>Project Management complexity</t>
  </si>
  <si>
    <t>PM daily load (hrs)</t>
  </si>
  <si>
    <t>PM daily load (%)</t>
  </si>
  <si>
    <t>PM / Development</t>
  </si>
  <si>
    <t>Min</t>
  </si>
  <si>
    <t>Mid</t>
  </si>
  <si>
    <t>Max</t>
  </si>
  <si>
    <t>Load</t>
  </si>
  <si>
    <t>time per team member, hrs/day</t>
  </si>
  <si>
    <r>
      <t xml:space="preserve">PM complexity                                                                                                                   </t>
    </r>
    <r>
      <rPr>
        <sz val="8"/>
        <color theme="1"/>
        <rFont val="Calibri"/>
        <family val="2"/>
        <charset val="204"/>
        <scheme val="minor"/>
      </rPr>
      <t>personal PM's time, hrs/day</t>
    </r>
  </si>
  <si>
    <t>No</t>
  </si>
  <si>
    <t>POC back</t>
  </si>
  <si>
    <t>Add new repository and environments</t>
  </si>
  <si>
    <t>Auto generate database and fill it with test data</t>
  </si>
  <si>
    <t>Add a hook on saving to save changes to historical table</t>
  </si>
  <si>
    <t>Map classes from historical table to display view models</t>
  </si>
  <si>
    <t>Add visitor classes to make a specific mapping logic for different data types</t>
  </si>
  <si>
    <t>POC front</t>
  </si>
  <si>
    <t>Add project</t>
  </si>
  <si>
    <t>Create infrastructure classes and projects</t>
  </si>
  <si>
    <t>Display historical changes of entity layout</t>
  </si>
  <si>
    <t>Add entities User, Organization, Subscription and EF context</t>
  </si>
  <si>
    <t>Create CRU Service for Users</t>
  </si>
  <si>
    <t>Create CRU Service for Subscriptions</t>
  </si>
  <si>
    <t>Add DI</t>
  </si>
  <si>
    <t>Add simple Authentication system</t>
  </si>
  <si>
    <t>Add infrostructure to make requests to server with authentication</t>
  </si>
  <si>
    <t>List page for users</t>
  </si>
  <si>
    <t>List page for subscriptions</t>
  </si>
  <si>
    <t>Add/Edit page for users</t>
  </si>
  <si>
    <t>Edit page for organization</t>
  </si>
  <si>
    <t>Add/Edit page for subscription</t>
  </si>
  <si>
    <t>Display historical changes of entity logic with filtration</t>
  </si>
  <si>
    <t>Filter History changes view model fields by UserRole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</si>
</sst>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  <charset val="204"/>
    </font>
    <font>
      <sz val="10"/>
      <name val="Verdana"/>
      <family val="2"/>
      <charset val="204"/>
    </font>
    <font>
      <sz val="10"/>
      <color indexed="8"/>
      <name val="Verdana"/>
      <family val="2"/>
      <charset val="204"/>
    </font>
    <font>
      <b/>
      <sz val="10"/>
      <color indexed="47"/>
      <name val="Verdana"/>
      <family val="2"/>
      <charset val="204"/>
    </font>
    <font>
      <sz val="10"/>
      <color indexed="60"/>
      <name val="Verdana"/>
      <family val="2"/>
      <charset val="204"/>
    </font>
    <font>
      <b/>
      <sz val="8"/>
      <color indexed="8"/>
      <name val="Verdana"/>
      <family val="2"/>
      <charset val="204"/>
    </font>
    <font>
      <sz val="8"/>
      <name val="Calibri"/>
      <family val="2"/>
    </font>
    <font>
      <b/>
      <sz val="10"/>
      <name val="Verdana"/>
      <family val="2"/>
      <charset val="204"/>
    </font>
    <font>
      <sz val="26"/>
      <color theme="1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b/>
      <sz val="10"/>
      <color indexed="8"/>
      <name val="Verdan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8"/>
      <color indexed="8"/>
      <name val="Verdana"/>
      <family val="2"/>
      <charset val="204"/>
    </font>
    <font>
      <sz val="8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theme="3"/>
      </bottom>
      <diagonal/>
    </border>
    <border>
      <left/>
      <right/>
      <top style="double">
        <color theme="3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rgb="FFFF0000"/>
      </left>
      <right/>
      <top style="double">
        <color rgb="FFFF0000"/>
      </top>
      <bottom style="double">
        <color rgb="FFFF0000"/>
      </bottom>
      <diagonal/>
    </border>
    <border>
      <left/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/>
      <right style="dotted">
        <color theme="3"/>
      </right>
      <top/>
      <bottom style="dotted">
        <color theme="3"/>
      </bottom>
      <diagonal/>
    </border>
    <border>
      <left style="dotted">
        <color theme="3"/>
      </left>
      <right style="dotted">
        <color theme="3"/>
      </right>
      <top/>
      <bottom style="dotted">
        <color theme="3"/>
      </bottom>
      <diagonal/>
    </border>
    <border>
      <left style="dotted">
        <color theme="3"/>
      </left>
      <right/>
      <top/>
      <bottom style="dotted">
        <color theme="3"/>
      </bottom>
      <diagonal/>
    </border>
    <border>
      <left/>
      <right style="dotted">
        <color theme="3"/>
      </right>
      <top style="dotted">
        <color theme="3"/>
      </top>
      <bottom/>
      <diagonal/>
    </border>
    <border>
      <left style="dotted">
        <color theme="3"/>
      </left>
      <right style="dotted">
        <color theme="3"/>
      </right>
      <top style="dotted">
        <color theme="3"/>
      </top>
      <bottom/>
      <diagonal/>
    </border>
    <border>
      <left style="dotted">
        <color theme="3"/>
      </left>
      <right/>
      <top style="dotted">
        <color theme="3"/>
      </top>
      <bottom/>
      <diagonal/>
    </border>
    <border>
      <left/>
      <right style="dotted">
        <color theme="3"/>
      </right>
      <top style="dotted">
        <color theme="3"/>
      </top>
      <bottom style="dotted">
        <color theme="3"/>
      </bottom>
      <diagonal/>
    </border>
    <border>
      <left style="dotted">
        <color theme="3"/>
      </left>
      <right style="dotted">
        <color theme="3"/>
      </right>
      <top style="dotted">
        <color theme="3"/>
      </top>
      <bottom style="dotted">
        <color theme="3"/>
      </bottom>
      <diagonal/>
    </border>
    <border>
      <left style="dotted">
        <color theme="3"/>
      </left>
      <right/>
      <top style="dotted">
        <color theme="3"/>
      </top>
      <bottom style="dotted">
        <color theme="3"/>
      </bottom>
      <diagonal/>
    </border>
    <border>
      <left/>
      <right/>
      <top style="double">
        <color theme="3"/>
      </top>
      <bottom style="dotted">
        <color theme="3"/>
      </bottom>
      <diagonal/>
    </border>
    <border>
      <left/>
      <right style="dotted">
        <color theme="3"/>
      </right>
      <top style="double">
        <color theme="3"/>
      </top>
      <bottom style="dotted">
        <color theme="3"/>
      </bottom>
      <diagonal/>
    </border>
    <border>
      <left/>
      <right/>
      <top style="dotted">
        <color theme="3"/>
      </top>
      <bottom style="dotted">
        <color theme="3"/>
      </bottom>
      <diagonal/>
    </border>
    <border>
      <left/>
      <right/>
      <top style="dotted">
        <color theme="3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/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/>
      <right/>
      <top/>
      <bottom style="thin">
        <color theme="4"/>
      </bottom>
      <diagonal/>
    </border>
    <border>
      <left style="dotted">
        <color theme="4"/>
      </left>
      <right style="dotted">
        <color theme="4"/>
      </right>
      <top/>
      <bottom style="thin">
        <color theme="4"/>
      </bottom>
      <diagonal/>
    </border>
    <border>
      <left style="dotted">
        <color theme="4"/>
      </left>
      <right/>
      <top/>
      <bottom style="thin">
        <color theme="4"/>
      </bottom>
      <diagonal/>
    </border>
    <border>
      <left/>
      <right/>
      <top/>
      <bottom style="dotted">
        <color theme="4"/>
      </bottom>
      <diagonal/>
    </border>
    <border>
      <left/>
      <right/>
      <top style="dotted">
        <color theme="4"/>
      </top>
      <bottom style="dotted">
        <color theme="4"/>
      </bottom>
      <diagonal/>
    </border>
    <border>
      <left/>
      <right/>
      <top style="dotted">
        <color theme="4"/>
      </top>
      <bottom/>
      <diagonal/>
    </border>
    <border>
      <left style="thin">
        <color theme="4"/>
      </left>
      <right style="dotted">
        <color theme="4"/>
      </right>
      <top/>
      <bottom style="thin">
        <color theme="4"/>
      </bottom>
      <diagonal/>
    </border>
    <border>
      <left style="thin">
        <color theme="4"/>
      </left>
      <right style="dotted">
        <color theme="4"/>
      </right>
      <top/>
      <bottom style="dotted">
        <color theme="4"/>
      </bottom>
      <diagonal/>
    </border>
    <border>
      <left style="thin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thin">
        <color theme="4"/>
      </left>
      <right style="dotted">
        <color theme="4"/>
      </right>
      <top style="dotted">
        <color theme="4"/>
      </top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9" fillId="5" borderId="0" xfId="0" applyFont="1" applyFill="1"/>
    <xf numFmtId="0" fontId="0" fillId="5" borderId="0" xfId="0" applyFill="1"/>
    <xf numFmtId="0" fontId="10" fillId="5" borderId="0" xfId="0" applyFont="1" applyFill="1"/>
    <xf numFmtId="0" fontId="0" fillId="6" borderId="0" xfId="0" applyFill="1"/>
    <xf numFmtId="0" fontId="11" fillId="5" borderId="28" xfId="0" applyFont="1" applyFill="1" applyBorder="1"/>
    <xf numFmtId="0" fontId="0" fillId="5" borderId="28" xfId="0" applyFill="1" applyBorder="1"/>
    <xf numFmtId="0" fontId="12" fillId="5" borderId="0" xfId="0" applyFont="1" applyFill="1"/>
    <xf numFmtId="0" fontId="13" fillId="5" borderId="0" xfId="0" applyFont="1" applyFill="1" applyAlignment="1">
      <alignment horizontal="right"/>
    </xf>
    <xf numFmtId="0" fontId="3" fillId="0" borderId="0" xfId="0" applyFont="1" applyProtection="1">
      <protection locked="0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 applyProtection="1">
      <alignment horizontal="center" vertical="center" wrapText="1"/>
      <protection locked="0"/>
    </xf>
    <xf numFmtId="0" fontId="6" fillId="2" borderId="9" xfId="0" applyFont="1" applyFill="1" applyBorder="1" applyAlignment="1" applyProtection="1">
      <alignment horizontal="center" vertical="center" wrapText="1"/>
      <protection locked="0"/>
    </xf>
    <xf numFmtId="0" fontId="6" fillId="2" borderId="11" xfId="0" applyFont="1" applyFill="1" applyBorder="1" applyAlignment="1" applyProtection="1">
      <alignment horizontal="center" vertical="center" wrapText="1"/>
      <protection locked="0"/>
    </xf>
    <xf numFmtId="0" fontId="3" fillId="0" borderId="15" xfId="0" applyFont="1" applyBorder="1" applyAlignment="1" applyProtection="1">
      <alignment vertical="top" wrapText="1"/>
      <protection locked="0"/>
    </xf>
    <xf numFmtId="0" fontId="3" fillId="0" borderId="1" xfId="0" applyFont="1" applyBorder="1" applyAlignment="1" applyProtection="1">
      <alignment vertical="top" wrapText="1"/>
      <protection locked="0"/>
    </xf>
    <xf numFmtId="0" fontId="3" fillId="0" borderId="1" xfId="0" applyFont="1" applyBorder="1" applyAlignment="1" applyProtection="1">
      <alignment horizontal="center" vertical="top" wrapText="1"/>
      <protection locked="0"/>
    </xf>
    <xf numFmtId="0" fontId="3" fillId="0" borderId="2" xfId="0" applyFont="1" applyBorder="1" applyAlignment="1" applyProtection="1">
      <alignment vertical="top" wrapText="1"/>
      <protection locked="0"/>
    </xf>
    <xf numFmtId="0" fontId="3" fillId="0" borderId="17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 applyProtection="1">
      <alignment vertical="top" wrapText="1"/>
      <protection locked="0"/>
    </xf>
    <xf numFmtId="0" fontId="3" fillId="0" borderId="18" xfId="0" applyFont="1" applyBorder="1" applyAlignment="1" applyProtection="1">
      <alignment horizontal="center" vertical="top" wrapText="1"/>
      <protection locked="0"/>
    </xf>
    <xf numFmtId="0" fontId="3" fillId="0" borderId="4" xfId="0" applyFont="1" applyBorder="1" applyAlignment="1" applyProtection="1">
      <alignment horizontal="center" vertical="top" wrapText="1"/>
      <protection locked="0"/>
    </xf>
    <xf numFmtId="0" fontId="3" fillId="0" borderId="5" xfId="0" applyFont="1" applyBorder="1" applyAlignment="1" applyProtection="1">
      <alignment vertical="top" wrapText="1"/>
      <protection locked="0"/>
    </xf>
    <xf numFmtId="0" fontId="3" fillId="0" borderId="19" xfId="0" applyFont="1" applyBorder="1" applyAlignment="1" applyProtection="1">
      <alignment vertical="top" wrapText="1"/>
      <protection locked="0"/>
    </xf>
    <xf numFmtId="0" fontId="3" fillId="0" borderId="20" xfId="0" applyFont="1" applyBorder="1" applyAlignment="1" applyProtection="1">
      <alignment horizontal="center" vertical="top" wrapText="1"/>
      <protection locked="0"/>
    </xf>
    <xf numFmtId="0" fontId="3" fillId="0" borderId="3" xfId="0" applyFont="1" applyBorder="1" applyAlignment="1" applyProtection="1">
      <alignment vertical="top" wrapText="1"/>
      <protection locked="0"/>
    </xf>
    <xf numFmtId="0" fontId="3" fillId="0" borderId="0" xfId="0" applyFont="1" applyFill="1" applyBorder="1" applyAlignment="1" applyProtection="1">
      <alignment vertical="top" wrapText="1"/>
      <protection locked="0"/>
    </xf>
    <xf numFmtId="0" fontId="3" fillId="0" borderId="0" xfId="0" applyFont="1" applyFill="1" applyBorder="1" applyAlignment="1" applyProtection="1">
      <alignment horizontal="right" vertical="top" wrapText="1"/>
      <protection locked="0"/>
    </xf>
    <xf numFmtId="0" fontId="3" fillId="0" borderId="0" xfId="0" applyFont="1" applyFill="1" applyBorder="1" applyAlignment="1" applyProtection="1">
      <alignment horizontal="center" vertical="top" wrapText="1"/>
      <protection locked="0"/>
    </xf>
    <xf numFmtId="0" fontId="5" fillId="0" borderId="0" xfId="0" applyFont="1" applyFill="1" applyBorder="1" applyAlignment="1" applyProtection="1">
      <alignment vertical="top" wrapText="1"/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Border="1" applyProtection="1">
      <protection locked="0"/>
    </xf>
    <xf numFmtId="0" fontId="8" fillId="2" borderId="8" xfId="0" applyFont="1" applyFill="1" applyBorder="1" applyAlignment="1" applyProtection="1">
      <alignment horizontal="center"/>
    </xf>
    <xf numFmtId="0" fontId="8" fillId="2" borderId="11" xfId="0" applyFont="1" applyFill="1" applyBorder="1" applyAlignment="1" applyProtection="1">
      <alignment horizontal="center"/>
    </xf>
    <xf numFmtId="0" fontId="3" fillId="0" borderId="4" xfId="0" applyFont="1" applyBorder="1" applyAlignment="1" applyProtection="1">
      <alignment horizontal="center" vertical="top" wrapText="1"/>
    </xf>
    <xf numFmtId="0" fontId="3" fillId="0" borderId="1" xfId="0" applyFont="1" applyFill="1" applyBorder="1" applyAlignment="1" applyProtection="1">
      <alignment horizontal="center" vertical="top" wrapText="1"/>
    </xf>
    <xf numFmtId="0" fontId="3" fillId="0" borderId="19" xfId="0" applyFont="1" applyFill="1" applyBorder="1" applyAlignment="1" applyProtection="1">
      <alignment vertical="top" wrapText="1"/>
      <protection locked="0"/>
    </xf>
    <xf numFmtId="0" fontId="3" fillId="0" borderId="1" xfId="0" applyFont="1" applyFill="1" applyBorder="1" applyAlignment="1" applyProtection="1">
      <alignment horizontal="left" vertical="top" wrapText="1"/>
    </xf>
    <xf numFmtId="0" fontId="3" fillId="0" borderId="1" xfId="0" applyFont="1" applyFill="1" applyBorder="1" applyAlignment="1" applyProtection="1">
      <alignment vertical="top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7" borderId="30" xfId="0" applyFont="1" applyFill="1" applyBorder="1" applyAlignment="1" applyProtection="1">
      <alignment vertical="top" wrapText="1"/>
      <protection locked="0"/>
    </xf>
    <xf numFmtId="0" fontId="14" fillId="7" borderId="27" xfId="0" applyFont="1" applyFill="1" applyBorder="1" applyAlignment="1" applyProtection="1">
      <alignment horizontal="right" vertical="top" wrapText="1"/>
    </xf>
    <xf numFmtId="0" fontId="14" fillId="7" borderId="27" xfId="0" applyFont="1" applyFill="1" applyBorder="1" applyAlignment="1" applyProtection="1">
      <alignment horizontal="center" vertical="top" wrapText="1"/>
    </xf>
    <xf numFmtId="0" fontId="5" fillId="7" borderId="31" xfId="0" applyFont="1" applyFill="1" applyBorder="1" applyAlignment="1" applyProtection="1">
      <alignment vertical="top" wrapText="1"/>
      <protection locked="0"/>
    </xf>
    <xf numFmtId="0" fontId="3" fillId="7" borderId="16" xfId="0" applyFont="1" applyFill="1" applyBorder="1" applyAlignment="1" applyProtection="1">
      <alignment vertical="top" wrapText="1"/>
      <protection locked="0"/>
    </xf>
    <xf numFmtId="0" fontId="14" fillId="7" borderId="6" xfId="0" applyFont="1" applyFill="1" applyBorder="1" applyAlignment="1" applyProtection="1">
      <alignment horizontal="right" vertical="top" wrapText="1"/>
    </xf>
    <xf numFmtId="0" fontId="14" fillId="7" borderId="6" xfId="0" applyFont="1" applyFill="1" applyBorder="1" applyAlignment="1" applyProtection="1">
      <alignment horizontal="center" vertical="top" wrapText="1"/>
    </xf>
    <xf numFmtId="0" fontId="5" fillId="7" borderId="7" xfId="0" applyFont="1" applyFill="1" applyBorder="1" applyAlignment="1" applyProtection="1">
      <alignment vertical="top" wrapText="1"/>
      <protection locked="0"/>
    </xf>
    <xf numFmtId="0" fontId="3" fillId="4" borderId="1" xfId="0" applyFont="1" applyFill="1" applyBorder="1" applyAlignment="1" applyProtection="1">
      <alignment horizontal="center" vertical="top" wrapText="1"/>
    </xf>
    <xf numFmtId="0" fontId="3" fillId="4" borderId="1" xfId="0" applyFont="1" applyFill="1" applyBorder="1" applyAlignment="1" applyProtection="1">
      <alignment horizontal="center" vertical="center" wrapText="1"/>
    </xf>
    <xf numFmtId="9" fontId="0" fillId="0" borderId="0" xfId="0" applyNumberFormat="1"/>
    <xf numFmtId="0" fontId="0" fillId="5" borderId="28" xfId="0" applyFill="1" applyBorder="1" applyAlignment="1">
      <alignment horizontal="center"/>
    </xf>
    <xf numFmtId="0" fontId="0" fillId="5" borderId="34" xfId="0" applyFill="1" applyBorder="1" applyAlignment="1"/>
    <xf numFmtId="0" fontId="0" fillId="5" borderId="37" xfId="0" applyFill="1" applyBorder="1" applyAlignment="1"/>
    <xf numFmtId="0" fontId="0" fillId="5" borderId="40" xfId="0" applyFill="1" applyBorder="1" applyAlignment="1"/>
    <xf numFmtId="0" fontId="15" fillId="0" borderId="0" xfId="0" applyFont="1"/>
    <xf numFmtId="0" fontId="0" fillId="5" borderId="48" xfId="0" applyFill="1" applyBorder="1"/>
    <xf numFmtId="0" fontId="0" fillId="5" borderId="49" xfId="0" applyFill="1" applyBorder="1"/>
    <xf numFmtId="1" fontId="0" fillId="7" borderId="52" xfId="0" applyNumberFormat="1" applyFill="1" applyBorder="1" applyAlignment="1">
      <alignment horizontal="center"/>
    </xf>
    <xf numFmtId="0" fontId="0" fillId="7" borderId="55" xfId="0" applyFill="1" applyBorder="1" applyAlignment="1">
      <alignment horizontal="center"/>
    </xf>
    <xf numFmtId="9" fontId="0" fillId="7" borderId="56" xfId="0" applyNumberFormat="1" applyFill="1" applyBorder="1" applyAlignment="1">
      <alignment horizontal="center"/>
    </xf>
    <xf numFmtId="0" fontId="0" fillId="7" borderId="55" xfId="0" applyFill="1" applyBorder="1" applyAlignment="1">
      <alignment horizontal="center" vertical="center"/>
    </xf>
    <xf numFmtId="9" fontId="0" fillId="7" borderId="56" xfId="0" applyNumberFormat="1" applyFill="1" applyBorder="1" applyAlignment="1">
      <alignment horizontal="center" vertical="center"/>
    </xf>
    <xf numFmtId="2" fontId="0" fillId="7" borderId="54" xfId="0" applyNumberFormat="1" applyFill="1" applyBorder="1" applyAlignment="1">
      <alignment horizontal="center"/>
    </xf>
    <xf numFmtId="9" fontId="17" fillId="0" borderId="59" xfId="0" applyNumberFormat="1" applyFont="1" applyBorder="1" applyProtection="1">
      <protection locked="0"/>
    </xf>
    <xf numFmtId="9" fontId="17" fillId="0" borderId="60" xfId="0" applyNumberFormat="1" applyFont="1" applyBorder="1" applyProtection="1">
      <protection locked="0"/>
    </xf>
    <xf numFmtId="1" fontId="18" fillId="0" borderId="61" xfId="0" applyNumberFormat="1" applyFont="1" applyBorder="1"/>
    <xf numFmtId="1" fontId="18" fillId="0" borderId="62" xfId="0" applyNumberFormat="1" applyFont="1" applyBorder="1"/>
    <xf numFmtId="9" fontId="17" fillId="0" borderId="57" xfId="0" applyNumberFormat="1" applyFont="1" applyBorder="1" applyProtection="1">
      <protection locked="0"/>
    </xf>
    <xf numFmtId="9" fontId="17" fillId="0" borderId="58" xfId="0" applyNumberFormat="1" applyFont="1" applyBorder="1" applyProtection="1">
      <protection locked="0"/>
    </xf>
    <xf numFmtId="9" fontId="17" fillId="0" borderId="70" xfId="0" applyNumberFormat="1" applyFont="1" applyBorder="1" applyProtection="1">
      <protection locked="0"/>
    </xf>
    <xf numFmtId="9" fontId="17" fillId="0" borderId="71" xfId="0" applyNumberFormat="1" applyFont="1" applyBorder="1" applyProtection="1">
      <protection locked="0"/>
    </xf>
    <xf numFmtId="1" fontId="18" fillId="0" borderId="72" xfId="0" applyNumberFormat="1" applyFont="1" applyBorder="1"/>
    <xf numFmtId="0" fontId="17" fillId="7" borderId="66" xfId="0" applyFont="1" applyFill="1" applyBorder="1" applyProtection="1">
      <protection locked="0"/>
    </xf>
    <xf numFmtId="0" fontId="17" fillId="7" borderId="67" xfId="0" applyFont="1" applyFill="1" applyBorder="1" applyProtection="1">
      <protection locked="0"/>
    </xf>
    <xf numFmtId="0" fontId="17" fillId="7" borderId="68" xfId="0" applyFont="1" applyFill="1" applyBorder="1" applyProtection="1">
      <protection locked="0"/>
    </xf>
    <xf numFmtId="0" fontId="16" fillId="7" borderId="69" xfId="0" applyFont="1" applyFill="1" applyBorder="1" applyAlignment="1">
      <alignment horizontal="center"/>
    </xf>
    <xf numFmtId="0" fontId="16" fillId="7" borderId="64" xfId="0" applyFont="1" applyFill="1" applyBorder="1" applyAlignment="1">
      <alignment horizontal="center"/>
    </xf>
    <xf numFmtId="0" fontId="16" fillId="7" borderId="65" xfId="0" applyFont="1" applyFill="1" applyBorder="1" applyAlignment="1">
      <alignment horizontal="center"/>
    </xf>
    <xf numFmtId="0" fontId="0" fillId="7" borderId="63" xfId="0" applyFont="1" applyFill="1" applyBorder="1"/>
    <xf numFmtId="0" fontId="18" fillId="5" borderId="50" xfId="0" applyFont="1" applyFill="1" applyBorder="1" applyAlignment="1">
      <alignment horizontal="right"/>
    </xf>
    <xf numFmtId="0" fontId="0" fillId="0" borderId="1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1" xfId="0" applyBorder="1" applyAlignment="1">
      <alignment horizontal="left" vertical="top" wrapText="1" indent="2"/>
    </xf>
    <xf numFmtId="0" fontId="15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 wrapText="1" indent="2"/>
    </xf>
    <xf numFmtId="0" fontId="20" fillId="0" borderId="1" xfId="0" applyFont="1" applyBorder="1" applyAlignment="1">
      <alignment horizontal="center" vertical="top"/>
    </xf>
    <xf numFmtId="0" fontId="20" fillId="0" borderId="20" xfId="0" applyFont="1" applyBorder="1" applyAlignment="1">
      <alignment horizontal="center" vertical="top"/>
    </xf>
    <xf numFmtId="0" fontId="0" fillId="5" borderId="35" xfId="0" applyFill="1" applyBorder="1" applyAlignment="1">
      <alignment horizontal="center"/>
    </xf>
    <xf numFmtId="0" fontId="0" fillId="5" borderId="36" xfId="0" applyFill="1" applyBorder="1" applyAlignment="1">
      <alignment horizontal="center"/>
    </xf>
    <xf numFmtId="0" fontId="0" fillId="5" borderId="41" xfId="0" applyFill="1" applyBorder="1" applyAlignment="1">
      <alignment horizontal="center"/>
    </xf>
    <xf numFmtId="0" fontId="0" fillId="5" borderId="42" xfId="0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0" fillId="5" borderId="39" xfId="0" applyFill="1" applyBorder="1" applyAlignment="1">
      <alignment horizontal="center"/>
    </xf>
    <xf numFmtId="0" fontId="0" fillId="0" borderId="1" xfId="0" applyFont="1" applyBorder="1" applyAlignment="1">
      <alignment horizontal="center" vertical="top"/>
    </xf>
    <xf numFmtId="0" fontId="0" fillId="0" borderId="20" xfId="0" applyFont="1" applyBorder="1" applyAlignment="1">
      <alignment horizontal="center" vertical="top"/>
    </xf>
    <xf numFmtId="0" fontId="0" fillId="5" borderId="45" xfId="0" applyFill="1" applyBorder="1" applyAlignment="1">
      <alignment horizontal="left"/>
    </xf>
    <xf numFmtId="0" fontId="0" fillId="5" borderId="40" xfId="0" applyFill="1" applyBorder="1" applyAlignment="1">
      <alignment horizontal="left"/>
    </xf>
    <xf numFmtId="0" fontId="0" fillId="5" borderId="46" xfId="0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29" xfId="0" applyFill="1" applyBorder="1" applyAlignment="1">
      <alignment horizontal="left"/>
    </xf>
    <xf numFmtId="0" fontId="0" fillId="5" borderId="0" xfId="0" applyFill="1" applyAlignment="1">
      <alignment horizontal="left"/>
    </xf>
    <xf numFmtId="0" fontId="0" fillId="5" borderId="43" xfId="0" applyFill="1" applyBorder="1" applyAlignment="1">
      <alignment horizontal="left"/>
    </xf>
    <xf numFmtId="0" fontId="0" fillId="5" borderId="44" xfId="0" applyFill="1" applyBorder="1" applyAlignment="1">
      <alignment horizontal="left"/>
    </xf>
    <xf numFmtId="0" fontId="0" fillId="7" borderId="51" xfId="0" applyFill="1" applyBorder="1" applyAlignment="1">
      <alignment horizontal="center" vertical="center"/>
    </xf>
    <xf numFmtId="0" fontId="0" fillId="7" borderId="53" xfId="0" applyFill="1" applyBorder="1" applyAlignment="1">
      <alignment horizontal="center" vertical="center"/>
    </xf>
    <xf numFmtId="0" fontId="12" fillId="5" borderId="32" xfId="0" applyFont="1" applyFill="1" applyBorder="1" applyAlignment="1">
      <alignment horizontal="center"/>
    </xf>
    <xf numFmtId="0" fontId="12" fillId="5" borderId="33" xfId="0" applyFont="1" applyFill="1" applyBorder="1" applyAlignment="1">
      <alignment horizontal="center"/>
    </xf>
    <xf numFmtId="2" fontId="0" fillId="7" borderId="48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48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5" borderId="45" xfId="0" applyFill="1" applyBorder="1" applyAlignment="1">
      <alignment horizontal="center"/>
    </xf>
    <xf numFmtId="0" fontId="8" fillId="2" borderId="24" xfId="0" applyFont="1" applyFill="1" applyBorder="1" applyAlignment="1" applyProtection="1">
      <alignment horizontal="center" vertical="center"/>
      <protection locked="0"/>
    </xf>
    <xf numFmtId="0" fontId="8" fillId="2" borderId="47" xfId="0" applyFont="1" applyFill="1" applyBorder="1" applyAlignment="1" applyProtection="1">
      <alignment horizontal="center" vertical="center"/>
      <protection locked="0"/>
    </xf>
    <xf numFmtId="0" fontId="4" fillId="3" borderId="12" xfId="0" applyFont="1" applyFill="1" applyBorder="1" applyAlignment="1" applyProtection="1">
      <alignment horizontal="left" vertical="top" wrapText="1"/>
      <protection locked="0"/>
    </xf>
    <xf numFmtId="0" fontId="4" fillId="3" borderId="13" xfId="0" applyFont="1" applyFill="1" applyBorder="1" applyAlignment="1" applyProtection="1">
      <alignment horizontal="left" vertical="top" wrapText="1"/>
      <protection locked="0"/>
    </xf>
    <xf numFmtId="0" fontId="4" fillId="3" borderId="14" xfId="0" applyFont="1" applyFill="1" applyBorder="1" applyAlignment="1" applyProtection="1">
      <alignment horizontal="left" vertical="top" wrapText="1"/>
      <protection locked="0"/>
    </xf>
    <xf numFmtId="0" fontId="4" fillId="3" borderId="24" xfId="0" applyFont="1" applyFill="1" applyBorder="1" applyAlignment="1" applyProtection="1">
      <alignment horizontal="left" vertical="top" wrapText="1"/>
      <protection locked="0"/>
    </xf>
    <xf numFmtId="0" fontId="4" fillId="3" borderId="25" xfId="0" applyFont="1" applyFill="1" applyBorder="1" applyAlignment="1" applyProtection="1">
      <alignment horizontal="left" vertical="top" wrapText="1"/>
      <protection locked="0"/>
    </xf>
    <xf numFmtId="0" fontId="4" fillId="3" borderId="26" xfId="0" applyFont="1" applyFill="1" applyBorder="1" applyAlignment="1" applyProtection="1">
      <alignment horizontal="left" vertical="top" wrapText="1"/>
      <protection locked="0"/>
    </xf>
    <xf numFmtId="0" fontId="4" fillId="3" borderId="21" xfId="0" applyFont="1" applyFill="1" applyBorder="1" applyAlignment="1" applyProtection="1">
      <alignment horizontal="left" vertical="top" wrapText="1"/>
      <protection locked="0"/>
    </xf>
    <xf numFmtId="0" fontId="4" fillId="3" borderId="22" xfId="0" applyFont="1" applyFill="1" applyBorder="1" applyAlignment="1" applyProtection="1">
      <alignment horizontal="left" vertical="top" wrapText="1"/>
      <protection locked="0"/>
    </xf>
    <xf numFmtId="0" fontId="4" fillId="3" borderId="23" xfId="0" applyFont="1" applyFill="1" applyBorder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BCFCC2"/>
      <color rgb="FF8AFA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E100"/>
  <sheetViews>
    <sheetView workbookViewId="0">
      <selection activeCell="C19" sqref="C19"/>
    </sheetView>
  </sheetViews>
  <sheetFormatPr defaultColWidth="9.140625" defaultRowHeight="15" x14ac:dyDescent="0.25"/>
  <cols>
    <col min="1" max="1" width="3" style="2" customWidth="1"/>
    <col min="2" max="2" width="81.85546875" style="2" customWidth="1"/>
    <col min="3" max="3" width="16.5703125" style="2" customWidth="1"/>
    <col min="4" max="4" width="15.7109375" style="2" customWidth="1"/>
    <col min="5" max="5" width="2.5703125" style="2" customWidth="1"/>
    <col min="6" max="6" width="14.7109375" style="4" bestFit="1" customWidth="1"/>
    <col min="7" max="7" width="10.85546875" style="4" bestFit="1" customWidth="1"/>
    <col min="8" max="8" width="37" style="4" customWidth="1"/>
    <col min="9" max="16384" width="9.140625" style="4"/>
  </cols>
  <sheetData>
    <row r="2" spans="2:4" ht="33.75" x14ac:dyDescent="0.5">
      <c r="B2" s="1" t="s">
        <v>30</v>
      </c>
    </row>
    <row r="4" spans="2:4" ht="19.5" thickBot="1" x14ac:dyDescent="0.35">
      <c r="B4" s="7" t="s">
        <v>31</v>
      </c>
      <c r="C4" s="101"/>
      <c r="D4" s="101"/>
    </row>
    <row r="5" spans="2:4" ht="20.25" thickTop="1" thickBot="1" x14ac:dyDescent="0.35">
      <c r="B5" s="7" t="s">
        <v>32</v>
      </c>
      <c r="C5" s="108">
        <f>'Project Estimation'!G94</f>
        <v>251</v>
      </c>
      <c r="D5" s="109"/>
    </row>
    <row r="6" spans="2:4" ht="15.75" thickTop="1" x14ac:dyDescent="0.25">
      <c r="B6" s="8" t="s">
        <v>33</v>
      </c>
    </row>
    <row r="7" spans="2:4" x14ac:dyDescent="0.25">
      <c r="B7" s="3"/>
    </row>
    <row r="8" spans="2:4" ht="19.5" thickBot="1" x14ac:dyDescent="0.35">
      <c r="B8" s="5" t="s">
        <v>43</v>
      </c>
      <c r="C8" s="6"/>
      <c r="D8" s="6"/>
    </row>
    <row r="9" spans="2:4" ht="15.75" thickTop="1" x14ac:dyDescent="0.25">
      <c r="B9" s="2" t="s">
        <v>66</v>
      </c>
      <c r="C9" s="100">
        <v>30</v>
      </c>
      <c r="D9" s="100"/>
    </row>
    <row r="10" spans="2:4" x14ac:dyDescent="0.25">
      <c r="B10" s="56" t="s">
        <v>65</v>
      </c>
      <c r="C10" s="112" t="s">
        <v>77</v>
      </c>
      <c r="D10" s="112"/>
    </row>
    <row r="11" spans="2:4" x14ac:dyDescent="0.25">
      <c r="B11" s="57" t="s">
        <v>76</v>
      </c>
      <c r="C11" s="106" t="s">
        <v>52</v>
      </c>
      <c r="D11" s="58">
        <f>IF(C11=Lists!A15,Lists!B15,IF(C11=Lists!A16,Lists!B16,IF(C11=Lists!A17,Lists!B17,IF(C11=Lists!A17,Lists!B17,0))))</f>
        <v>1</v>
      </c>
    </row>
    <row r="12" spans="2:4" x14ac:dyDescent="0.25">
      <c r="B12" s="80" t="s">
        <v>75</v>
      </c>
      <c r="C12" s="107"/>
      <c r="D12" s="63">
        <f>IF(C11=Lists!A15,Lists!C15,IF(C11=Lists!A16,Lists!C16,IF(C11=Lists!A17,Lists!C17,IF(C11=Lists!A17,Lists!C17,0))))</f>
        <v>0.5</v>
      </c>
    </row>
    <row r="13" spans="2:4" x14ac:dyDescent="0.25">
      <c r="B13" s="56" t="s">
        <v>44</v>
      </c>
      <c r="C13" s="59" t="s">
        <v>60</v>
      </c>
      <c r="D13" s="60">
        <f>IF(C13=Lists!A2,Lists!B2,IF(C13=Lists!A3,Lists!B3,IF(C13=Lists!A4,Lists!B4,IF(C13=Lists!A5,Lists!B5,0))))</f>
        <v>0</v>
      </c>
    </row>
    <row r="14" spans="2:4" x14ac:dyDescent="0.25">
      <c r="B14" s="56" t="s">
        <v>50</v>
      </c>
      <c r="C14" s="61" t="s">
        <v>59</v>
      </c>
      <c r="D14" s="62">
        <f>IF(C14=Lists!A9,Lists!B9,IF(C14=Lists!A10,Lists!B10,IF(C14=Lists!A11,Lists!B11,IF(C14=Lists!A12,Lists!B12,0))))</f>
        <v>0.15</v>
      </c>
    </row>
    <row r="15" spans="2:4" x14ac:dyDescent="0.25">
      <c r="B15" s="56" t="s">
        <v>62</v>
      </c>
      <c r="C15" s="110">
        <f>TQA/(Duration*8)</f>
        <v>0</v>
      </c>
      <c r="D15" s="110"/>
    </row>
    <row r="16" spans="2:4" x14ac:dyDescent="0.25">
      <c r="B16" s="56" t="s">
        <v>63</v>
      </c>
      <c r="C16" s="110">
        <f>IF(C10="No",(TDev+TBuild+TPM)/(Duration*8), (TDev+TBuild)/(Duration*8))</f>
        <v>1.0458333333333334</v>
      </c>
      <c r="D16" s="110"/>
    </row>
    <row r="17" spans="2:4" x14ac:dyDescent="0.25">
      <c r="B17" s="2" t="s">
        <v>64</v>
      </c>
      <c r="C17" s="111"/>
      <c r="D17" s="111"/>
    </row>
    <row r="18" spans="2:4" x14ac:dyDescent="0.25">
      <c r="C18" s="101"/>
      <c r="D18" s="101"/>
    </row>
    <row r="19" spans="2:4" x14ac:dyDescent="0.25">
      <c r="B19" s="3"/>
    </row>
    <row r="20" spans="2:4" ht="19.5" thickBot="1" x14ac:dyDescent="0.35">
      <c r="B20" s="5" t="s">
        <v>34</v>
      </c>
      <c r="C20" s="6"/>
      <c r="D20" s="6"/>
    </row>
    <row r="21" spans="2:4" ht="15.75" thickTop="1" x14ac:dyDescent="0.25">
      <c r="B21" s="2" t="s">
        <v>35</v>
      </c>
      <c r="C21" s="102"/>
      <c r="D21" s="102"/>
    </row>
    <row r="22" spans="2:4" x14ac:dyDescent="0.25">
      <c r="B22" s="2" t="s">
        <v>36</v>
      </c>
      <c r="C22" s="103"/>
      <c r="D22" s="103"/>
    </row>
    <row r="23" spans="2:4" x14ac:dyDescent="0.25">
      <c r="B23" s="2" t="s">
        <v>37</v>
      </c>
      <c r="C23" s="103"/>
      <c r="D23" s="103"/>
    </row>
    <row r="24" spans="2:4" x14ac:dyDescent="0.25">
      <c r="B24" s="2" t="s">
        <v>38</v>
      </c>
      <c r="C24" s="103"/>
      <c r="D24" s="103"/>
    </row>
    <row r="27" spans="2:4" ht="19.5" thickBot="1" x14ac:dyDescent="0.35">
      <c r="B27" s="5" t="s">
        <v>42</v>
      </c>
      <c r="C27" s="51"/>
      <c r="D27" s="51"/>
    </row>
    <row r="28" spans="2:4" ht="15.75" thickTop="1" x14ac:dyDescent="0.25">
      <c r="B28" s="52"/>
      <c r="C28" s="88"/>
      <c r="D28" s="89"/>
    </row>
    <row r="29" spans="2:4" x14ac:dyDescent="0.25">
      <c r="B29" s="54"/>
      <c r="C29" s="90"/>
      <c r="D29" s="91"/>
    </row>
    <row r="30" spans="2:4" x14ac:dyDescent="0.25">
      <c r="B30" s="54"/>
      <c r="C30" s="90"/>
      <c r="D30" s="91"/>
    </row>
    <row r="31" spans="2:4" x14ac:dyDescent="0.25">
      <c r="B31" s="54"/>
      <c r="C31" s="90"/>
      <c r="D31" s="91"/>
    </row>
    <row r="32" spans="2:4" x14ac:dyDescent="0.25">
      <c r="B32" s="53"/>
      <c r="C32" s="92"/>
      <c r="D32" s="93"/>
    </row>
    <row r="34" spans="2:4" ht="19.5" thickBot="1" x14ac:dyDescent="0.35">
      <c r="B34" s="5" t="s">
        <v>40</v>
      </c>
      <c r="C34" s="51"/>
      <c r="D34" s="51" t="s">
        <v>57</v>
      </c>
    </row>
    <row r="35" spans="2:4" ht="15.75" thickTop="1" x14ac:dyDescent="0.25">
      <c r="B35" s="104"/>
      <c r="C35" s="105"/>
      <c r="D35" s="89"/>
    </row>
    <row r="36" spans="2:4" x14ac:dyDescent="0.25">
      <c r="B36" s="96"/>
      <c r="C36" s="97"/>
      <c r="D36" s="91"/>
    </row>
    <row r="37" spans="2:4" x14ac:dyDescent="0.25">
      <c r="B37" s="96"/>
      <c r="C37" s="97"/>
      <c r="D37" s="91"/>
    </row>
    <row r="38" spans="2:4" x14ac:dyDescent="0.25">
      <c r="B38" s="96"/>
      <c r="C38" s="97"/>
      <c r="D38" s="91"/>
    </row>
    <row r="39" spans="2:4" x14ac:dyDescent="0.25">
      <c r="B39" s="96"/>
      <c r="C39" s="97"/>
      <c r="D39" s="93"/>
    </row>
    <row r="40" spans="2:4" x14ac:dyDescent="0.25">
      <c r="B40" s="98"/>
      <c r="C40" s="99"/>
      <c r="D40" s="93"/>
    </row>
    <row r="42" spans="2:4" ht="19.5" thickBot="1" x14ac:dyDescent="0.35">
      <c r="B42" s="5" t="s">
        <v>41</v>
      </c>
      <c r="C42" s="51"/>
      <c r="D42" s="51"/>
    </row>
    <row r="43" spans="2:4" ht="15.75" thickTop="1" x14ac:dyDescent="0.25">
      <c r="B43" s="113"/>
      <c r="C43" s="113"/>
      <c r="D43" s="113"/>
    </row>
    <row r="44" spans="2:4" x14ac:dyDescent="0.25">
      <c r="B44" s="114"/>
      <c r="C44" s="114"/>
      <c r="D44" s="114"/>
    </row>
    <row r="45" spans="2:4" x14ac:dyDescent="0.25">
      <c r="B45" s="114"/>
      <c r="C45" s="114"/>
      <c r="D45" s="114"/>
    </row>
    <row r="46" spans="2:4" x14ac:dyDescent="0.25">
      <c r="B46" s="114"/>
      <c r="C46" s="114"/>
      <c r="D46" s="114"/>
    </row>
    <row r="47" spans="2:4" x14ac:dyDescent="0.25">
      <c r="B47" s="98"/>
      <c r="C47" s="98"/>
      <c r="D47" s="98"/>
    </row>
    <row r="49" spans="2:4" ht="19.5" thickBot="1" x14ac:dyDescent="0.35">
      <c r="B49" s="5" t="s">
        <v>39</v>
      </c>
      <c r="C49" s="51" t="s">
        <v>56</v>
      </c>
      <c r="D49" s="51" t="s">
        <v>57</v>
      </c>
    </row>
    <row r="50" spans="2:4" ht="15.75" thickTop="1" x14ac:dyDescent="0.25">
      <c r="B50" s="52"/>
      <c r="C50" s="88"/>
      <c r="D50" s="89"/>
    </row>
    <row r="51" spans="2:4" x14ac:dyDescent="0.25">
      <c r="B51" s="54"/>
      <c r="C51" s="90"/>
      <c r="D51" s="91"/>
    </row>
    <row r="52" spans="2:4" x14ac:dyDescent="0.25">
      <c r="B52" s="54"/>
      <c r="C52" s="90"/>
      <c r="D52" s="91"/>
    </row>
    <row r="53" spans="2:4" x14ac:dyDescent="0.25">
      <c r="B53" s="54"/>
      <c r="C53" s="90"/>
      <c r="D53" s="91"/>
    </row>
    <row r="54" spans="2:4" x14ac:dyDescent="0.25">
      <c r="B54" s="53"/>
      <c r="C54" s="92"/>
      <c r="D54" s="93"/>
    </row>
    <row r="58" spans="2:4" ht="15" customHeight="1" x14ac:dyDescent="0.25"/>
    <row r="66" ht="15" customHeight="1" x14ac:dyDescent="0.25"/>
    <row r="72" ht="15.6" customHeight="1" x14ac:dyDescent="0.25"/>
    <row r="79" ht="15" customHeight="1" x14ac:dyDescent="0.25"/>
    <row r="86" ht="15" customHeight="1" x14ac:dyDescent="0.25"/>
    <row r="94" ht="15" customHeight="1" x14ac:dyDescent="0.25"/>
    <row r="100" ht="15" customHeight="1" x14ac:dyDescent="0.25"/>
  </sheetData>
  <mergeCells count="24">
    <mergeCell ref="B43:D43"/>
    <mergeCell ref="B44:D44"/>
    <mergeCell ref="B45:D45"/>
    <mergeCell ref="B46:D46"/>
    <mergeCell ref="B47:D47"/>
    <mergeCell ref="C4:D4"/>
    <mergeCell ref="C5:D5"/>
    <mergeCell ref="C15:D15"/>
    <mergeCell ref="C16:D16"/>
    <mergeCell ref="C17:D17"/>
    <mergeCell ref="C10:D10"/>
    <mergeCell ref="B36:C36"/>
    <mergeCell ref="B37:C37"/>
    <mergeCell ref="B38:C38"/>
    <mergeCell ref="B40:C40"/>
    <mergeCell ref="C9:D9"/>
    <mergeCell ref="C18:D18"/>
    <mergeCell ref="C21:D21"/>
    <mergeCell ref="C22:D22"/>
    <mergeCell ref="C23:D23"/>
    <mergeCell ref="C24:D24"/>
    <mergeCell ref="B35:C35"/>
    <mergeCell ref="B39:C39"/>
    <mergeCell ref="C11:C12"/>
  </mergeCells>
  <dataValidations count="1">
    <dataValidation type="list" allowBlank="1" showInputMessage="1" showErrorMessage="1" sqref="D10 C10" xr:uid="{00000000-0002-0000-0000-000000000000}">
      <formula1>"Yes, No"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Lists!A2:A6</xm:f>
          </x14:formula1>
          <xm:sqref>C13</xm:sqref>
        </x14:dataValidation>
        <x14:dataValidation type="list" allowBlank="1" showInputMessage="1" showErrorMessage="1" xr:uid="{00000000-0002-0000-0000-000002000000}">
          <x14:formula1>
            <xm:f>Lists!A9:A12</xm:f>
          </x14:formula1>
          <xm:sqref>C14</xm:sqref>
        </x14:dataValidation>
        <x14:dataValidation type="list" allowBlank="1" showInputMessage="1" showErrorMessage="1" xr:uid="{00000000-0002-0000-0000-000003000000}">
          <x14:formula1>
            <xm:f>Lists!A15:A18</xm:f>
          </x14:formula1>
          <xm:sqref>C11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H94"/>
  <sheetViews>
    <sheetView tabSelected="1" topLeftCell="A70" zoomScaleNormal="100" workbookViewId="0">
      <selection activeCell="F55" sqref="F55"/>
    </sheetView>
  </sheetViews>
  <sheetFormatPr defaultColWidth="9.140625" defaultRowHeight="12.75" x14ac:dyDescent="0.2"/>
  <cols>
    <col min="1" max="1" width="2.85546875" style="9" customWidth="1"/>
    <col min="2" max="2" width="5.7109375" style="9" bestFit="1" customWidth="1"/>
    <col min="3" max="3" width="46.28515625" style="9" customWidth="1"/>
    <col min="4" max="7" width="11.7109375" style="9" customWidth="1"/>
    <col min="8" max="8" width="69.140625" style="9" customWidth="1"/>
    <col min="9" max="16384" width="9.140625" style="9"/>
  </cols>
  <sheetData>
    <row r="3" spans="2:8" ht="13.5" thickBot="1" x14ac:dyDescent="0.25"/>
    <row r="4" spans="2:8" ht="32.25" customHeight="1" thickBot="1" x14ac:dyDescent="0.25">
      <c r="B4" s="10" t="s">
        <v>17</v>
      </c>
      <c r="C4" s="10" t="s">
        <v>16</v>
      </c>
      <c r="D4" s="11" t="s">
        <v>46</v>
      </c>
      <c r="E4" s="12" t="s">
        <v>45</v>
      </c>
      <c r="F4" s="12" t="s">
        <v>47</v>
      </c>
      <c r="G4" s="12" t="s">
        <v>48</v>
      </c>
      <c r="H4" s="13" t="s">
        <v>28</v>
      </c>
    </row>
    <row r="5" spans="2:8" ht="15" customHeight="1" x14ac:dyDescent="0.2">
      <c r="B5" s="117" t="s">
        <v>18</v>
      </c>
      <c r="C5" s="118"/>
      <c r="D5" s="118"/>
      <c r="E5" s="118"/>
      <c r="F5" s="118"/>
      <c r="G5" s="118"/>
      <c r="H5" s="119"/>
    </row>
    <row r="6" spans="2:8" x14ac:dyDescent="0.2">
      <c r="B6" s="14"/>
      <c r="C6" s="15" t="s">
        <v>1</v>
      </c>
      <c r="D6" s="16"/>
      <c r="E6" s="16"/>
      <c r="F6" s="16"/>
      <c r="G6" s="35">
        <f t="shared" ref="G6:G12" si="0">ROUND((D6+4*E6+F6)/6 + 1.645*(F6-D6)/6,  0)</f>
        <v>0</v>
      </c>
      <c r="H6" s="17"/>
    </row>
    <row r="7" spans="2:8" x14ac:dyDescent="0.2">
      <c r="B7" s="14"/>
      <c r="C7" s="15" t="s">
        <v>2</v>
      </c>
      <c r="D7" s="16"/>
      <c r="E7" s="16"/>
      <c r="F7" s="16"/>
      <c r="G7" s="35">
        <f t="shared" si="0"/>
        <v>0</v>
      </c>
      <c r="H7" s="17"/>
    </row>
    <row r="8" spans="2:8" x14ac:dyDescent="0.2">
      <c r="B8" s="14"/>
      <c r="C8" s="15" t="s">
        <v>3</v>
      </c>
      <c r="D8" s="16"/>
      <c r="E8" s="16"/>
      <c r="F8" s="16"/>
      <c r="G8" s="35">
        <f t="shared" si="0"/>
        <v>0</v>
      </c>
      <c r="H8" s="17"/>
    </row>
    <row r="9" spans="2:8" x14ac:dyDescent="0.2">
      <c r="B9" s="14"/>
      <c r="C9" s="15" t="s">
        <v>5</v>
      </c>
      <c r="D9" s="16"/>
      <c r="E9" s="16"/>
      <c r="F9" s="16"/>
      <c r="G9" s="35">
        <f>ROUND((D9+4*E9+F9)/6 + 1.645*(F9-D9)/6,  0)</f>
        <v>0</v>
      </c>
      <c r="H9" s="17"/>
    </row>
    <row r="10" spans="2:8" x14ac:dyDescent="0.2">
      <c r="B10" s="14"/>
      <c r="C10" s="15" t="s">
        <v>4</v>
      </c>
      <c r="D10" s="16"/>
      <c r="E10" s="16"/>
      <c r="F10" s="16"/>
      <c r="G10" s="35">
        <f t="shared" si="0"/>
        <v>0</v>
      </c>
      <c r="H10" s="17"/>
    </row>
    <row r="11" spans="2:8" x14ac:dyDescent="0.2">
      <c r="B11" s="14"/>
      <c r="C11" s="15" t="s">
        <v>55</v>
      </c>
      <c r="D11" s="16"/>
      <c r="E11" s="16"/>
      <c r="F11" s="16"/>
      <c r="G11" s="35">
        <f>ROUND((D11+4*E11+F11)/6 + 1.645*(F11-D11)/6,  0)</f>
        <v>0</v>
      </c>
      <c r="H11" s="17"/>
    </row>
    <row r="12" spans="2:8" x14ac:dyDescent="0.2">
      <c r="B12" s="14"/>
      <c r="C12" s="15"/>
      <c r="D12" s="16"/>
      <c r="E12" s="16"/>
      <c r="F12" s="16"/>
      <c r="G12" s="35">
        <f t="shared" si="0"/>
        <v>0</v>
      </c>
      <c r="H12" s="17"/>
    </row>
    <row r="13" spans="2:8" ht="13.5" thickBot="1" x14ac:dyDescent="0.25">
      <c r="B13" s="40"/>
      <c r="C13" s="41" t="s">
        <v>0</v>
      </c>
      <c r="D13" s="42">
        <f>SUM(D6:D12)</f>
        <v>0</v>
      </c>
      <c r="E13" s="42">
        <f>SUM(E6:E12)</f>
        <v>0</v>
      </c>
      <c r="F13" s="42">
        <f>SUM(F6:F12)</f>
        <v>0</v>
      </c>
      <c r="G13" s="42">
        <f>SUM(G6:G12)</f>
        <v>0</v>
      </c>
      <c r="H13" s="43"/>
    </row>
    <row r="14" spans="2:8" ht="13.5" thickBot="1" x14ac:dyDescent="0.25">
      <c r="B14" s="120" t="s">
        <v>19</v>
      </c>
      <c r="C14" s="121"/>
      <c r="D14" s="121"/>
      <c r="E14" s="121"/>
      <c r="F14" s="121"/>
      <c r="G14" s="121"/>
      <c r="H14" s="122"/>
    </row>
    <row r="15" spans="2:8" x14ac:dyDescent="0.2">
      <c r="B15" s="18"/>
      <c r="C15" s="19" t="s">
        <v>6</v>
      </c>
      <c r="D15" s="20"/>
      <c r="E15" s="21"/>
      <c r="F15" s="20"/>
      <c r="G15" s="35">
        <f>ROUND((D15+4*E15+F15)/6 + 1.645*(F15-D15)/6,  0)</f>
        <v>0</v>
      </c>
      <c r="H15" s="22"/>
    </row>
    <row r="16" spans="2:8" x14ac:dyDescent="0.2">
      <c r="B16" s="23"/>
      <c r="C16" s="15" t="s">
        <v>7</v>
      </c>
      <c r="D16" s="24"/>
      <c r="E16" s="16"/>
      <c r="F16" s="24"/>
      <c r="G16" s="35">
        <f>ROUND((D16+4*E16+F16)/6 + 1.645*(F16-D16)/6,  0)</f>
        <v>0</v>
      </c>
      <c r="H16" s="25"/>
    </row>
    <row r="17" spans="2:8" x14ac:dyDescent="0.2">
      <c r="B17" s="23"/>
      <c r="C17" s="15" t="s">
        <v>8</v>
      </c>
      <c r="D17" s="16"/>
      <c r="E17" s="16"/>
      <c r="F17" s="16"/>
      <c r="G17" s="35">
        <f>ROUND((D17+4*E17+F17)/6 + 1.645*(F17-D17)/6,  0)</f>
        <v>0</v>
      </c>
      <c r="H17" s="25"/>
    </row>
    <row r="18" spans="2:8" x14ac:dyDescent="0.2">
      <c r="B18" s="23"/>
      <c r="C18" s="15" t="s">
        <v>55</v>
      </c>
      <c r="D18" s="16"/>
      <c r="E18" s="16"/>
      <c r="F18" s="16"/>
      <c r="G18" s="35">
        <f>ROUND((D18+4*E18+F18)/6 + 1.645*(F18-D18)/6,  0)</f>
        <v>0</v>
      </c>
      <c r="H18" s="25"/>
    </row>
    <row r="19" spans="2:8" ht="13.5" thickBot="1" x14ac:dyDescent="0.25">
      <c r="B19" s="40"/>
      <c r="C19" s="41" t="s">
        <v>0</v>
      </c>
      <c r="D19" s="42">
        <f>SUM(D15:D18)</f>
        <v>0</v>
      </c>
      <c r="E19" s="42">
        <f>SUM(E15:E18)</f>
        <v>0</v>
      </c>
      <c r="F19" s="42">
        <f>SUM(F15:F18)</f>
        <v>0</v>
      </c>
      <c r="G19" s="42">
        <f>SUM(G15:G18)</f>
        <v>0</v>
      </c>
      <c r="H19" s="43"/>
    </row>
    <row r="20" spans="2:8" ht="13.5" thickBot="1" x14ac:dyDescent="0.25">
      <c r="B20" s="123" t="s">
        <v>20</v>
      </c>
      <c r="C20" s="124"/>
      <c r="D20" s="124"/>
      <c r="E20" s="124"/>
      <c r="F20" s="124"/>
      <c r="G20" s="124"/>
      <c r="H20" s="125"/>
    </row>
    <row r="21" spans="2:8" ht="15" x14ac:dyDescent="0.2">
      <c r="B21" s="18"/>
      <c r="C21" s="84" t="s">
        <v>78</v>
      </c>
      <c r="D21" s="81"/>
      <c r="E21" s="82"/>
      <c r="F21" s="82"/>
      <c r="G21" s="35">
        <f t="shared" ref="G21:G74" si="1">ROUND((D21+4*E21+F21)/6 + 1.645*(F21-D21)/6,  0)</f>
        <v>0</v>
      </c>
      <c r="H21" s="25"/>
    </row>
    <row r="22" spans="2:8" ht="15" x14ac:dyDescent="0.2">
      <c r="B22" s="23"/>
      <c r="C22" s="83" t="s">
        <v>79</v>
      </c>
      <c r="D22" s="81">
        <v>1</v>
      </c>
      <c r="E22" s="82">
        <v>1</v>
      </c>
      <c r="F22" s="82">
        <v>2</v>
      </c>
      <c r="G22" s="35">
        <f t="shared" si="1"/>
        <v>1</v>
      </c>
      <c r="H22" s="25"/>
    </row>
    <row r="23" spans="2:8" ht="30" x14ac:dyDescent="0.2">
      <c r="B23" s="23"/>
      <c r="C23" s="83" t="s">
        <v>88</v>
      </c>
      <c r="D23" s="81">
        <v>4</v>
      </c>
      <c r="E23" s="82">
        <v>5</v>
      </c>
      <c r="F23" s="82">
        <v>6</v>
      </c>
      <c r="G23" s="35">
        <f t="shared" si="1"/>
        <v>6</v>
      </c>
      <c r="H23" s="25"/>
    </row>
    <row r="24" spans="2:8" ht="30" x14ac:dyDescent="0.2">
      <c r="B24" s="23"/>
      <c r="C24" s="83" t="s">
        <v>80</v>
      </c>
      <c r="D24" s="81">
        <v>3</v>
      </c>
      <c r="E24" s="82">
        <v>4</v>
      </c>
      <c r="F24" s="82">
        <v>5</v>
      </c>
      <c r="G24" s="35">
        <f t="shared" si="1"/>
        <v>5</v>
      </c>
      <c r="H24" s="25"/>
    </row>
    <row r="25" spans="2:8" ht="30" x14ac:dyDescent="0.2">
      <c r="B25" s="23"/>
      <c r="C25" s="83" t="s">
        <v>81</v>
      </c>
      <c r="D25" s="81">
        <v>4</v>
      </c>
      <c r="E25" s="82">
        <v>6</v>
      </c>
      <c r="F25" s="82">
        <v>7</v>
      </c>
      <c r="G25" s="35">
        <f t="shared" si="1"/>
        <v>7</v>
      </c>
      <c r="H25" s="25"/>
    </row>
    <row r="26" spans="2:8" ht="30" x14ac:dyDescent="0.2">
      <c r="B26" s="23"/>
      <c r="C26" s="83" t="s">
        <v>82</v>
      </c>
      <c r="D26" s="81">
        <v>7</v>
      </c>
      <c r="E26" s="82">
        <v>9</v>
      </c>
      <c r="F26" s="82">
        <v>13</v>
      </c>
      <c r="G26" s="35">
        <f t="shared" si="1"/>
        <v>11</v>
      </c>
      <c r="H26" s="25"/>
    </row>
    <row r="27" spans="2:8" ht="30" x14ac:dyDescent="0.2">
      <c r="B27" s="23"/>
      <c r="C27" s="83" t="s">
        <v>83</v>
      </c>
      <c r="D27" s="81">
        <v>13</v>
      </c>
      <c r="E27" s="82">
        <v>16</v>
      </c>
      <c r="F27" s="82">
        <v>18</v>
      </c>
      <c r="G27" s="35">
        <f t="shared" si="1"/>
        <v>17</v>
      </c>
      <c r="H27" s="25"/>
    </row>
    <row r="28" spans="2:8" ht="15" x14ac:dyDescent="0.2">
      <c r="B28" s="23"/>
      <c r="C28" s="83" t="s">
        <v>86</v>
      </c>
      <c r="D28" s="81">
        <v>3</v>
      </c>
      <c r="E28" s="82">
        <v>6</v>
      </c>
      <c r="F28" s="82">
        <v>8</v>
      </c>
      <c r="G28" s="35">
        <f t="shared" si="1"/>
        <v>7</v>
      </c>
      <c r="H28" s="25"/>
    </row>
    <row r="29" spans="2:8" ht="15" x14ac:dyDescent="0.2">
      <c r="B29" s="23"/>
      <c r="C29" s="83" t="s">
        <v>89</v>
      </c>
      <c r="D29" s="81">
        <v>3</v>
      </c>
      <c r="E29" s="82">
        <v>5</v>
      </c>
      <c r="F29" s="82">
        <v>7</v>
      </c>
      <c r="G29" s="35">
        <f t="shared" si="1"/>
        <v>6</v>
      </c>
      <c r="H29" s="25"/>
    </row>
    <row r="30" spans="2:8" ht="15" x14ac:dyDescent="0.2">
      <c r="B30" s="23"/>
      <c r="C30" s="83"/>
      <c r="D30" s="81"/>
      <c r="E30" s="82"/>
      <c r="F30" s="82"/>
      <c r="G30" s="35">
        <f t="shared" si="1"/>
        <v>0</v>
      </c>
      <c r="H30" s="25"/>
    </row>
    <row r="31" spans="2:8" ht="15" x14ac:dyDescent="0.2">
      <c r="B31" s="23"/>
      <c r="C31" s="83" t="s">
        <v>90</v>
      </c>
      <c r="D31" s="81">
        <v>3</v>
      </c>
      <c r="E31" s="82">
        <v>5</v>
      </c>
      <c r="F31" s="82">
        <v>7</v>
      </c>
      <c r="G31" s="35">
        <f t="shared" si="1"/>
        <v>6</v>
      </c>
      <c r="H31" s="25"/>
    </row>
    <row r="32" spans="2:8" ht="30" x14ac:dyDescent="0.2">
      <c r="B32" s="23"/>
      <c r="C32" s="83" t="s">
        <v>100</v>
      </c>
      <c r="D32" s="81">
        <v>7</v>
      </c>
      <c r="E32" s="82">
        <v>12</v>
      </c>
      <c r="F32" s="82">
        <v>15</v>
      </c>
      <c r="G32" s="35">
        <f t="shared" si="1"/>
        <v>14</v>
      </c>
      <c r="H32" s="25"/>
    </row>
    <row r="33" spans="2:8" ht="15" x14ac:dyDescent="0.2">
      <c r="B33" s="23"/>
      <c r="C33" s="83" t="s">
        <v>91</v>
      </c>
      <c r="D33" s="81">
        <v>1</v>
      </c>
      <c r="E33" s="82">
        <v>2</v>
      </c>
      <c r="F33" s="82">
        <v>2</v>
      </c>
      <c r="G33" s="35">
        <f t="shared" si="1"/>
        <v>2</v>
      </c>
      <c r="H33" s="25"/>
    </row>
    <row r="34" spans="2:8" ht="15" x14ac:dyDescent="0.2">
      <c r="B34" s="23"/>
      <c r="C34" s="83" t="s">
        <v>92</v>
      </c>
      <c r="D34" s="81">
        <v>5</v>
      </c>
      <c r="E34" s="82">
        <v>6</v>
      </c>
      <c r="F34" s="82">
        <v>8</v>
      </c>
      <c r="G34" s="35">
        <f t="shared" si="1"/>
        <v>7</v>
      </c>
      <c r="H34" s="25"/>
    </row>
    <row r="35" spans="2:8" ht="15" x14ac:dyDescent="0.2">
      <c r="B35" s="23"/>
      <c r="C35" s="83"/>
      <c r="D35" s="81"/>
      <c r="E35" s="82"/>
      <c r="F35" s="82"/>
      <c r="G35" s="35">
        <f t="shared" si="1"/>
        <v>0</v>
      </c>
      <c r="H35" s="25"/>
    </row>
    <row r="36" spans="2:8" ht="15" x14ac:dyDescent="0.2">
      <c r="B36" s="23"/>
      <c r="C36" s="83"/>
      <c r="D36" s="81"/>
      <c r="E36" s="82"/>
      <c r="F36" s="82"/>
      <c r="G36" s="35">
        <f t="shared" si="1"/>
        <v>0</v>
      </c>
      <c r="H36" s="25"/>
    </row>
    <row r="37" spans="2:8" ht="15" x14ac:dyDescent="0.2">
      <c r="B37" s="23"/>
      <c r="C37" s="83"/>
      <c r="D37" s="81"/>
      <c r="E37" s="82"/>
      <c r="F37" s="82"/>
      <c r="G37" s="35">
        <f t="shared" si="1"/>
        <v>0</v>
      </c>
      <c r="H37" s="25"/>
    </row>
    <row r="38" spans="2:8" ht="15" x14ac:dyDescent="0.2">
      <c r="B38" s="23"/>
      <c r="C38" s="83"/>
      <c r="D38" s="81"/>
      <c r="E38" s="82"/>
      <c r="F38" s="82"/>
      <c r="G38" s="35">
        <f t="shared" si="1"/>
        <v>0</v>
      </c>
      <c r="H38" s="25"/>
    </row>
    <row r="39" spans="2:8" ht="15" x14ac:dyDescent="0.2">
      <c r="B39" s="23"/>
      <c r="C39" s="83"/>
      <c r="D39" s="81"/>
      <c r="E39" s="82"/>
      <c r="F39" s="82"/>
      <c r="G39" s="35">
        <f t="shared" si="1"/>
        <v>0</v>
      </c>
      <c r="H39" s="25"/>
    </row>
    <row r="40" spans="2:8" ht="15" x14ac:dyDescent="0.2">
      <c r="B40" s="23"/>
      <c r="C40" s="83"/>
      <c r="D40" s="81"/>
      <c r="E40" s="82"/>
      <c r="F40" s="82"/>
      <c r="G40" s="35">
        <f t="shared" si="1"/>
        <v>0</v>
      </c>
      <c r="H40" s="25"/>
    </row>
    <row r="41" spans="2:8" ht="15" x14ac:dyDescent="0.2">
      <c r="B41" s="23"/>
      <c r="C41" s="83"/>
      <c r="D41" s="81"/>
      <c r="E41" s="82"/>
      <c r="F41" s="82"/>
      <c r="G41" s="35">
        <f t="shared" si="1"/>
        <v>0</v>
      </c>
      <c r="H41" s="25"/>
    </row>
    <row r="42" spans="2:8" ht="15" x14ac:dyDescent="0.2">
      <c r="B42" s="23"/>
      <c r="C42" s="83"/>
      <c r="D42" s="81"/>
      <c r="E42" s="82"/>
      <c r="F42" s="82"/>
      <c r="G42" s="35">
        <f t="shared" si="1"/>
        <v>0</v>
      </c>
      <c r="H42" s="25"/>
    </row>
    <row r="43" spans="2:8" ht="15" x14ac:dyDescent="0.2">
      <c r="B43" s="23"/>
      <c r="C43" s="83"/>
      <c r="D43" s="81"/>
      <c r="E43" s="82"/>
      <c r="F43" s="82"/>
      <c r="G43" s="35">
        <f t="shared" si="1"/>
        <v>0</v>
      </c>
      <c r="H43" s="25"/>
    </row>
    <row r="44" spans="2:8" ht="15" x14ac:dyDescent="0.2">
      <c r="B44" s="23"/>
      <c r="C44" s="84" t="s">
        <v>84</v>
      </c>
      <c r="D44" s="81"/>
      <c r="E44" s="82"/>
      <c r="F44" s="82"/>
      <c r="G44" s="35">
        <f t="shared" si="1"/>
        <v>0</v>
      </c>
      <c r="H44" s="25"/>
    </row>
    <row r="45" spans="2:8" ht="15" x14ac:dyDescent="0.2">
      <c r="B45" s="23"/>
      <c r="C45" s="83" t="s">
        <v>85</v>
      </c>
      <c r="D45" s="81">
        <v>1</v>
      </c>
      <c r="E45" s="82">
        <v>1</v>
      </c>
      <c r="F45" s="82">
        <v>2</v>
      </c>
      <c r="G45" s="35">
        <f t="shared" si="1"/>
        <v>1</v>
      </c>
      <c r="H45" s="25"/>
    </row>
    <row r="46" spans="2:8" ht="15" x14ac:dyDescent="0.2">
      <c r="B46" s="23"/>
      <c r="C46" s="83" t="s">
        <v>92</v>
      </c>
      <c r="D46" s="81">
        <v>5</v>
      </c>
      <c r="E46" s="82">
        <v>7</v>
      </c>
      <c r="F46" s="82">
        <v>8</v>
      </c>
      <c r="G46" s="35">
        <f t="shared" si="1"/>
        <v>8</v>
      </c>
      <c r="H46" s="25"/>
    </row>
    <row r="47" spans="2:8" ht="30" x14ac:dyDescent="0.2">
      <c r="B47" s="23"/>
      <c r="C47" s="83" t="s">
        <v>93</v>
      </c>
      <c r="D47" s="81">
        <v>4</v>
      </c>
      <c r="E47" s="82">
        <v>6</v>
      </c>
      <c r="F47" s="82">
        <v>7</v>
      </c>
      <c r="G47" s="35">
        <f t="shared" si="1"/>
        <v>7</v>
      </c>
      <c r="H47" s="25"/>
    </row>
    <row r="48" spans="2:8" ht="15" x14ac:dyDescent="0.2">
      <c r="B48" s="23"/>
      <c r="C48" s="83" t="s">
        <v>94</v>
      </c>
      <c r="D48" s="81">
        <v>3</v>
      </c>
      <c r="E48" s="82">
        <v>4</v>
      </c>
      <c r="F48" s="82">
        <v>5</v>
      </c>
      <c r="G48" s="35">
        <f t="shared" si="1"/>
        <v>5</v>
      </c>
      <c r="H48" s="25"/>
    </row>
    <row r="49" spans="2:8" ht="15" x14ac:dyDescent="0.2">
      <c r="B49" s="23"/>
      <c r="C49" s="83"/>
      <c r="D49" s="81"/>
      <c r="E49" s="82"/>
      <c r="F49" s="82"/>
      <c r="G49" s="35">
        <f t="shared" si="1"/>
        <v>0</v>
      </c>
      <c r="H49" s="25"/>
    </row>
    <row r="50" spans="2:8" ht="15" x14ac:dyDescent="0.2">
      <c r="B50" s="23"/>
      <c r="C50" s="83" t="s">
        <v>95</v>
      </c>
      <c r="D50" s="81">
        <v>3</v>
      </c>
      <c r="E50" s="82">
        <v>4</v>
      </c>
      <c r="F50" s="82">
        <v>5</v>
      </c>
      <c r="G50" s="35">
        <f t="shared" si="1"/>
        <v>5</v>
      </c>
      <c r="H50" s="25"/>
    </row>
    <row r="51" spans="2:8" ht="15" x14ac:dyDescent="0.2">
      <c r="B51" s="23"/>
      <c r="C51" s="83" t="s">
        <v>96</v>
      </c>
      <c r="D51" s="81">
        <v>4</v>
      </c>
      <c r="E51" s="82">
        <v>6</v>
      </c>
      <c r="F51" s="82">
        <v>8</v>
      </c>
      <c r="G51" s="35">
        <f t="shared" si="1"/>
        <v>7</v>
      </c>
      <c r="H51" s="25"/>
    </row>
    <row r="52" spans="2:8" ht="15" x14ac:dyDescent="0.2">
      <c r="B52" s="23"/>
      <c r="C52" s="83" t="s">
        <v>97</v>
      </c>
      <c r="D52" s="94">
        <v>3</v>
      </c>
      <c r="E52" s="95">
        <v>5</v>
      </c>
      <c r="F52" s="95">
        <v>7</v>
      </c>
      <c r="G52" s="35">
        <f t="shared" si="1"/>
        <v>6</v>
      </c>
      <c r="H52" s="25"/>
    </row>
    <row r="53" spans="2:8" ht="15" x14ac:dyDescent="0.2">
      <c r="B53" s="23"/>
      <c r="C53" s="83" t="s">
        <v>98</v>
      </c>
      <c r="D53" s="81">
        <v>5</v>
      </c>
      <c r="E53" s="82">
        <v>7</v>
      </c>
      <c r="F53" s="82">
        <v>9</v>
      </c>
      <c r="G53" s="35">
        <f t="shared" si="1"/>
        <v>8</v>
      </c>
      <c r="H53" s="25"/>
    </row>
    <row r="54" spans="2:8" ht="15" x14ac:dyDescent="0.2">
      <c r="B54" s="23"/>
      <c r="C54" s="83" t="s">
        <v>87</v>
      </c>
      <c r="D54" s="81">
        <v>5</v>
      </c>
      <c r="E54" s="82">
        <v>7</v>
      </c>
      <c r="F54" s="82">
        <v>8</v>
      </c>
      <c r="G54" s="35">
        <f t="shared" si="1"/>
        <v>8</v>
      </c>
      <c r="H54" s="25"/>
    </row>
    <row r="55" spans="2:8" ht="30" x14ac:dyDescent="0.2">
      <c r="B55" s="23"/>
      <c r="C55" s="83" t="s">
        <v>99</v>
      </c>
      <c r="D55" s="81">
        <v>6</v>
      </c>
      <c r="E55" s="82">
        <v>8</v>
      </c>
      <c r="F55" s="82">
        <v>9</v>
      </c>
      <c r="G55" s="35">
        <f t="shared" si="1"/>
        <v>9</v>
      </c>
      <c r="H55" s="25"/>
    </row>
    <row r="56" spans="2:8" ht="15" x14ac:dyDescent="0.2">
      <c r="B56" s="23"/>
      <c r="C56" s="83"/>
      <c r="D56" s="81"/>
      <c r="E56" s="82"/>
      <c r="F56" s="82"/>
      <c r="G56" s="35">
        <f t="shared" si="1"/>
        <v>0</v>
      </c>
      <c r="H56" s="25"/>
    </row>
    <row r="57" spans="2:8" ht="15" x14ac:dyDescent="0.2">
      <c r="B57" s="23"/>
      <c r="C57" s="83"/>
      <c r="D57" s="86"/>
      <c r="E57" s="87"/>
      <c r="F57" s="87"/>
      <c r="G57" s="35">
        <f t="shared" si="1"/>
        <v>0</v>
      </c>
      <c r="H57" s="25"/>
    </row>
    <row r="58" spans="2:8" ht="15" x14ac:dyDescent="0.2">
      <c r="B58" s="23"/>
      <c r="C58" s="83"/>
      <c r="D58" s="81"/>
      <c r="E58" s="82"/>
      <c r="F58" s="82"/>
      <c r="G58" s="35">
        <f t="shared" si="1"/>
        <v>0</v>
      </c>
      <c r="H58" s="25"/>
    </row>
    <row r="59" spans="2:8" ht="15" x14ac:dyDescent="0.2">
      <c r="B59" s="23"/>
      <c r="C59" s="83"/>
      <c r="D59" s="81"/>
      <c r="E59" s="82"/>
      <c r="F59" s="82"/>
      <c r="G59" s="35">
        <f t="shared" si="1"/>
        <v>0</v>
      </c>
      <c r="H59" s="25"/>
    </row>
    <row r="60" spans="2:8" ht="15" x14ac:dyDescent="0.2">
      <c r="B60" s="23"/>
      <c r="C60" s="83"/>
      <c r="D60" s="81"/>
      <c r="E60" s="82"/>
      <c r="F60" s="82"/>
      <c r="G60" s="35">
        <f t="shared" si="1"/>
        <v>0</v>
      </c>
      <c r="H60" s="25"/>
    </row>
    <row r="61" spans="2:8" ht="15" x14ac:dyDescent="0.2">
      <c r="B61" s="23"/>
      <c r="C61" s="83"/>
      <c r="D61" s="81"/>
      <c r="E61" s="82"/>
      <c r="F61" s="82"/>
      <c r="G61" s="35">
        <f t="shared" si="1"/>
        <v>0</v>
      </c>
      <c r="H61" s="25"/>
    </row>
    <row r="62" spans="2:8" ht="15" x14ac:dyDescent="0.2">
      <c r="B62" s="23"/>
      <c r="C62" s="83"/>
      <c r="D62" s="81"/>
      <c r="E62" s="82"/>
      <c r="F62" s="82"/>
      <c r="G62" s="35">
        <f t="shared" si="1"/>
        <v>0</v>
      </c>
      <c r="H62" s="25"/>
    </row>
    <row r="63" spans="2:8" ht="15" x14ac:dyDescent="0.2">
      <c r="B63" s="23"/>
      <c r="C63" s="83"/>
      <c r="D63" s="81"/>
      <c r="E63" s="82"/>
      <c r="F63" s="82"/>
      <c r="G63" s="35">
        <f t="shared" si="1"/>
        <v>0</v>
      </c>
      <c r="H63" s="25"/>
    </row>
    <row r="64" spans="2:8" ht="15" x14ac:dyDescent="0.2">
      <c r="B64" s="23"/>
      <c r="C64" s="83"/>
      <c r="D64" s="81"/>
      <c r="E64" s="82"/>
      <c r="F64" s="82"/>
      <c r="G64" s="35">
        <f t="shared" si="1"/>
        <v>0</v>
      </c>
      <c r="H64" s="25"/>
    </row>
    <row r="65" spans="2:8" ht="15" x14ac:dyDescent="0.2">
      <c r="B65" s="23"/>
      <c r="C65" s="83"/>
      <c r="D65" s="81"/>
      <c r="E65" s="82"/>
      <c r="F65" s="82"/>
      <c r="G65" s="35">
        <f t="shared" si="1"/>
        <v>0</v>
      </c>
      <c r="H65" s="25"/>
    </row>
    <row r="66" spans="2:8" ht="15" x14ac:dyDescent="0.2">
      <c r="B66" s="23"/>
      <c r="C66" s="83"/>
      <c r="D66" s="81"/>
      <c r="E66" s="82"/>
      <c r="F66" s="82"/>
      <c r="G66" s="35">
        <f t="shared" si="1"/>
        <v>0</v>
      </c>
      <c r="H66" s="25"/>
    </row>
    <row r="67" spans="2:8" ht="15" x14ac:dyDescent="0.2">
      <c r="B67" s="23"/>
      <c r="C67" s="85"/>
      <c r="D67" s="86"/>
      <c r="E67" s="87"/>
      <c r="F67" s="87"/>
      <c r="G67" s="35">
        <f t="shared" si="1"/>
        <v>0</v>
      </c>
      <c r="H67" s="25"/>
    </row>
    <row r="68" spans="2:8" ht="15" x14ac:dyDescent="0.2">
      <c r="B68" s="23"/>
      <c r="C68" s="84"/>
      <c r="D68" s="81"/>
      <c r="E68" s="82"/>
      <c r="F68" s="82"/>
      <c r="G68" s="35">
        <f t="shared" si="1"/>
        <v>0</v>
      </c>
      <c r="H68" s="25"/>
    </row>
    <row r="69" spans="2:8" ht="15" x14ac:dyDescent="0.2">
      <c r="B69" s="23"/>
      <c r="C69" s="83"/>
      <c r="D69" s="81"/>
      <c r="E69" s="82"/>
      <c r="F69" s="82"/>
      <c r="G69" s="35">
        <f t="shared" si="1"/>
        <v>0</v>
      </c>
      <c r="H69" s="25"/>
    </row>
    <row r="70" spans="2:8" ht="15" x14ac:dyDescent="0.2">
      <c r="B70" s="23"/>
      <c r="C70" s="83"/>
      <c r="D70" s="81"/>
      <c r="E70" s="82"/>
      <c r="F70" s="82"/>
      <c r="G70" s="35">
        <f t="shared" si="1"/>
        <v>0</v>
      </c>
      <c r="H70" s="25"/>
    </row>
    <row r="71" spans="2:8" ht="15" x14ac:dyDescent="0.2">
      <c r="B71" s="23"/>
      <c r="C71" s="83"/>
      <c r="D71" s="81"/>
      <c r="E71" s="82"/>
      <c r="F71" s="82"/>
      <c r="G71" s="35">
        <f t="shared" si="1"/>
        <v>0</v>
      </c>
      <c r="H71" s="25"/>
    </row>
    <row r="72" spans="2:8" ht="15" x14ac:dyDescent="0.2">
      <c r="B72" s="23"/>
      <c r="C72" s="83"/>
      <c r="D72" s="81"/>
      <c r="E72" s="82"/>
      <c r="F72" s="82"/>
      <c r="G72" s="35">
        <f t="shared" si="1"/>
        <v>0</v>
      </c>
      <c r="H72" s="25"/>
    </row>
    <row r="73" spans="2:8" x14ac:dyDescent="0.2">
      <c r="B73" s="36"/>
      <c r="C73" s="37" t="s">
        <v>15</v>
      </c>
      <c r="D73" s="48">
        <f>ROUNDUP(SUM(D21:D72)*UnitT,0)</f>
        <v>14</v>
      </c>
      <c r="E73" s="48">
        <f>ROUNDUP(SUM(E21:E72)*UnitT,0)</f>
        <v>20</v>
      </c>
      <c r="F73" s="48">
        <f>ROUNDUP(SUM(F21:F72)*UnitT,0)</f>
        <v>25</v>
      </c>
      <c r="G73" s="35">
        <f t="shared" si="1"/>
        <v>23</v>
      </c>
      <c r="H73" s="25"/>
    </row>
    <row r="74" spans="2:8" x14ac:dyDescent="0.2">
      <c r="B74" s="36"/>
      <c r="C74" s="38" t="s">
        <v>27</v>
      </c>
      <c r="D74" s="48">
        <f>ROUNDUP(SUM(D21:D73)*15%,0)</f>
        <v>17</v>
      </c>
      <c r="E74" s="48">
        <f>ROUNDUP(SUM(E21:E73)*15%,0)</f>
        <v>23</v>
      </c>
      <c r="F74" s="48">
        <f>ROUNDUP(SUM(F21:F73)*15%,0)</f>
        <v>29</v>
      </c>
      <c r="G74" s="35">
        <f t="shared" si="1"/>
        <v>26</v>
      </c>
      <c r="H74" s="25"/>
    </row>
    <row r="75" spans="2:8" ht="13.5" thickBot="1" x14ac:dyDescent="0.25">
      <c r="B75" s="40"/>
      <c r="C75" s="41" t="s">
        <v>0</v>
      </c>
      <c r="D75" s="42">
        <f>SUM(D21:D74)</f>
        <v>124</v>
      </c>
      <c r="E75" s="42">
        <f>SUM(E21:E74)</f>
        <v>175</v>
      </c>
      <c r="F75" s="42">
        <f>SUM(F21:F74)</f>
        <v>220</v>
      </c>
      <c r="G75" s="42">
        <f>SUM(G21:G74)</f>
        <v>202</v>
      </c>
      <c r="H75" s="43"/>
    </row>
    <row r="76" spans="2:8" ht="13.5" thickBot="1" x14ac:dyDescent="0.25">
      <c r="B76" s="120" t="s">
        <v>21</v>
      </c>
      <c r="C76" s="121"/>
      <c r="D76" s="121"/>
      <c r="E76" s="121"/>
      <c r="F76" s="121"/>
      <c r="G76" s="121"/>
      <c r="H76" s="122"/>
    </row>
    <row r="77" spans="2:8" x14ac:dyDescent="0.2">
      <c r="B77" s="18"/>
      <c r="C77" s="19" t="s">
        <v>13</v>
      </c>
      <c r="D77" s="21"/>
      <c r="E77" s="21"/>
      <c r="F77" s="21"/>
      <c r="G77" s="35">
        <f>ROUND((D77+4*E77+F77)/6 + 1.645*(F77-D77)/6,  0)</f>
        <v>0</v>
      </c>
      <c r="H77" s="22"/>
    </row>
    <row r="78" spans="2:8" x14ac:dyDescent="0.2">
      <c r="B78" s="23"/>
      <c r="C78" s="15" t="s">
        <v>9</v>
      </c>
      <c r="D78" s="16"/>
      <c r="E78" s="16"/>
      <c r="F78" s="16"/>
      <c r="G78" s="35">
        <f>ROUND((D78+4*E78+F78)/6 + 1.645*(F78-D78)/6,  0)</f>
        <v>0</v>
      </c>
      <c r="H78" s="25"/>
    </row>
    <row r="79" spans="2:8" x14ac:dyDescent="0.2">
      <c r="B79" s="23"/>
      <c r="C79" s="15" t="s">
        <v>10</v>
      </c>
      <c r="D79" s="16"/>
      <c r="E79" s="16"/>
      <c r="F79" s="16"/>
      <c r="G79" s="35">
        <f>ROUND((D79+4*E79+F79)/6 + 1.645*(F79-D79)/6,  0)</f>
        <v>0</v>
      </c>
      <c r="H79" s="25"/>
    </row>
    <row r="80" spans="2:8" x14ac:dyDescent="0.2">
      <c r="B80" s="23"/>
      <c r="C80" s="15" t="s">
        <v>11</v>
      </c>
      <c r="D80" s="16"/>
      <c r="E80" s="16"/>
      <c r="F80" s="16"/>
      <c r="G80" s="35">
        <f>ROUND((D80+4*E80+F80)/6 + 1.645*(F80-D80)/6,  0)</f>
        <v>0</v>
      </c>
      <c r="H80" s="25"/>
    </row>
    <row r="81" spans="2:8" ht="13.5" thickBot="1" x14ac:dyDescent="0.25">
      <c r="B81" s="40"/>
      <c r="C81" s="41" t="s">
        <v>0</v>
      </c>
      <c r="D81" s="42">
        <f>SUM(D77:D80)</f>
        <v>0</v>
      </c>
      <c r="E81" s="42">
        <f>SUM(E77:E80)</f>
        <v>0</v>
      </c>
      <c r="F81" s="42">
        <f>SUM(F77:F80)</f>
        <v>0</v>
      </c>
      <c r="G81" s="42">
        <f>SUM(G77:G80)</f>
        <v>0</v>
      </c>
      <c r="H81" s="43"/>
    </row>
    <row r="82" spans="2:8" ht="13.5" thickBot="1" x14ac:dyDescent="0.25">
      <c r="B82" s="120" t="s">
        <v>22</v>
      </c>
      <c r="C82" s="121"/>
      <c r="D82" s="121"/>
      <c r="E82" s="121"/>
      <c r="F82" s="121"/>
      <c r="G82" s="121"/>
      <c r="H82" s="122"/>
    </row>
    <row r="83" spans="2:8" x14ac:dyDescent="0.2">
      <c r="B83" s="36"/>
      <c r="C83" s="37" t="s">
        <v>26</v>
      </c>
      <c r="D83" s="48">
        <f>ROUNDUP(TDevMin*QA*0.3,0)</f>
        <v>0</v>
      </c>
      <c r="E83" s="48">
        <f>ROUNDUP(TDevMid*QA*0.3,0)</f>
        <v>0</v>
      </c>
      <c r="F83" s="48">
        <f>ROUNDUP(TDevMax*QA*0.3,0)</f>
        <v>0</v>
      </c>
      <c r="G83" s="35">
        <f>ROUND((D83+4*E83+F83)/6 + 1.645*(F83-D83)/6,  0)</f>
        <v>0</v>
      </c>
      <c r="H83" s="25"/>
    </row>
    <row r="84" spans="2:8" x14ac:dyDescent="0.2">
      <c r="B84" s="36"/>
      <c r="C84" s="38" t="s">
        <v>49</v>
      </c>
      <c r="D84" s="48">
        <f>ROUNDUP(TDevMin*QA*0.7,0)</f>
        <v>0</v>
      </c>
      <c r="E84" s="48">
        <f>ROUNDUP(TDevMid*QA*0.7,0)</f>
        <v>0</v>
      </c>
      <c r="F84" s="48">
        <f>ROUNDUP(TDevMax*QA*0.7,0)</f>
        <v>0</v>
      </c>
      <c r="G84" s="35">
        <f>ROUND((D84+4*E84+F84)/6 + 1.645*(F84-D84)/6,  0)</f>
        <v>0</v>
      </c>
      <c r="H84" s="25"/>
    </row>
    <row r="85" spans="2:8" ht="13.5" thickBot="1" x14ac:dyDescent="0.25">
      <c r="B85" s="40"/>
      <c r="C85" s="41" t="s">
        <v>0</v>
      </c>
      <c r="D85" s="42">
        <f>SUM(D83:D84)</f>
        <v>0</v>
      </c>
      <c r="E85" s="42">
        <f>SUM(E83:E84)</f>
        <v>0</v>
      </c>
      <c r="F85" s="42">
        <f>SUM(F83:F84)</f>
        <v>0</v>
      </c>
      <c r="G85" s="42">
        <f>SUM(G83:G84)</f>
        <v>0</v>
      </c>
      <c r="H85" s="43"/>
    </row>
    <row r="86" spans="2:8" ht="13.5" thickBot="1" x14ac:dyDescent="0.25">
      <c r="B86" s="120" t="s">
        <v>23</v>
      </c>
      <c r="C86" s="121"/>
      <c r="D86" s="121"/>
      <c r="E86" s="121"/>
      <c r="F86" s="121"/>
      <c r="G86" s="121"/>
      <c r="H86" s="122"/>
    </row>
    <row r="87" spans="2:8" x14ac:dyDescent="0.2">
      <c r="B87" s="18"/>
      <c r="C87" s="19" t="s">
        <v>14</v>
      </c>
      <c r="D87" s="21">
        <v>0</v>
      </c>
      <c r="E87" s="21">
        <v>0</v>
      </c>
      <c r="F87" s="21">
        <v>0</v>
      </c>
      <c r="G87" s="34">
        <f>ROUND((D87+4*E87+F87)/6 + 1.645*(F87-D87)/6,  0)</f>
        <v>0</v>
      </c>
      <c r="H87" s="22"/>
    </row>
    <row r="88" spans="2:8" x14ac:dyDescent="0.2">
      <c r="B88" s="36"/>
      <c r="C88" s="38" t="s">
        <v>12</v>
      </c>
      <c r="D88" s="48">
        <f>ROUNDUP(TDevMin/40,0)</f>
        <v>4</v>
      </c>
      <c r="E88" s="48">
        <f>ROUNDUP((TDevMid/40),0)</f>
        <v>5</v>
      </c>
      <c r="F88" s="48">
        <f>ROUNDUP((TDevMax/40),0)</f>
        <v>6</v>
      </c>
      <c r="G88" s="35">
        <f>ROUND((D88+4*E88+F88)/6 + 1.645*(F88-D88)/6,  0)</f>
        <v>6</v>
      </c>
      <c r="H88" s="25"/>
    </row>
    <row r="89" spans="2:8" ht="13.5" thickBot="1" x14ac:dyDescent="0.25">
      <c r="B89" s="40"/>
      <c r="C89" s="41" t="s">
        <v>0</v>
      </c>
      <c r="D89" s="42">
        <f>SUM(D87:D88)</f>
        <v>4</v>
      </c>
      <c r="E89" s="42">
        <f>SUM(E87:E88)</f>
        <v>5</v>
      </c>
      <c r="F89" s="42">
        <f>SUM(F87:F88)</f>
        <v>6</v>
      </c>
      <c r="G89" s="42">
        <f>SUM(G87:G88)</f>
        <v>6</v>
      </c>
      <c r="H89" s="43"/>
    </row>
    <row r="90" spans="2:8" ht="13.5" thickBot="1" x14ac:dyDescent="0.25">
      <c r="B90" s="120" t="s">
        <v>24</v>
      </c>
      <c r="C90" s="121"/>
      <c r="D90" s="121"/>
      <c r="E90" s="121"/>
      <c r="F90" s="121"/>
      <c r="G90" s="121"/>
      <c r="H90" s="122"/>
    </row>
    <row r="91" spans="2:8" ht="38.25" x14ac:dyDescent="0.2">
      <c r="B91" s="36"/>
      <c r="C91" s="38" t="s">
        <v>25</v>
      </c>
      <c r="D91" s="49">
        <f>ROUND(PM*Duration+PMDevel*(TDevMin+TBuildMin+TQAMin)/8,0)</f>
        <v>38</v>
      </c>
      <c r="E91" s="49">
        <f>ROUND(PM*Duration+PMDevel*(TDevMid+TBuildMid+TQAMid)/8,0)</f>
        <v>41</v>
      </c>
      <c r="F91" s="49">
        <f>ROUND(PM*Duration+PMDevel*(TDevMax+TBuildMax+TQAMax)/8,0)</f>
        <v>44</v>
      </c>
      <c r="G91" s="39">
        <f>ROUND((D91+4*E91+F91)/6 + 1.645*(F91-D91)/6,  0)</f>
        <v>43</v>
      </c>
      <c r="H91" s="25"/>
    </row>
    <row r="92" spans="2:8" ht="13.5" thickBot="1" x14ac:dyDescent="0.25">
      <c r="B92" s="44"/>
      <c r="C92" s="45" t="s">
        <v>0</v>
      </c>
      <c r="D92" s="46">
        <f>SUM(D91:D91)</f>
        <v>38</v>
      </c>
      <c r="E92" s="46">
        <f>SUM(E91:E91)</f>
        <v>41</v>
      </c>
      <c r="F92" s="46">
        <f>SUM(F91:F91)</f>
        <v>44</v>
      </c>
      <c r="G92" s="46">
        <f>SUM(G91:G91)</f>
        <v>43</v>
      </c>
      <c r="H92" s="47"/>
    </row>
    <row r="93" spans="2:8" s="30" customFormat="1" ht="13.5" thickBot="1" x14ac:dyDescent="0.25">
      <c r="B93" s="26"/>
      <c r="C93" s="27"/>
      <c r="D93" s="28"/>
      <c r="E93" s="28"/>
      <c r="F93" s="28"/>
      <c r="G93" s="28"/>
      <c r="H93" s="29"/>
    </row>
    <row r="94" spans="2:8" ht="15.75" customHeight="1" thickBot="1" x14ac:dyDescent="0.25">
      <c r="B94" s="115" t="s">
        <v>29</v>
      </c>
      <c r="C94" s="116"/>
      <c r="D94" s="32">
        <f>D92+D89+D85+D81+D75+D19+D13</f>
        <v>166</v>
      </c>
      <c r="E94" s="32">
        <f>E92+E89+E85+E81+E75+E19+E13</f>
        <v>221</v>
      </c>
      <c r="F94" s="32">
        <f>F92+F89+F85+F81+F75+F19+F13</f>
        <v>270</v>
      </c>
      <c r="G94" s="33">
        <f>G92+G89+G85+G81+G75+G19+G13</f>
        <v>251</v>
      </c>
      <c r="H94" s="31"/>
    </row>
  </sheetData>
  <mergeCells count="8">
    <mergeCell ref="B94:C94"/>
    <mergeCell ref="B5:H5"/>
    <mergeCell ref="B86:H86"/>
    <mergeCell ref="B90:H90"/>
    <mergeCell ref="B82:H82"/>
    <mergeCell ref="B76:H76"/>
    <mergeCell ref="B20:H20"/>
    <mergeCell ref="B14:H14"/>
  </mergeCells>
  <phoneticPr fontId="7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18"/>
  <sheetViews>
    <sheetView workbookViewId="0">
      <selection activeCell="C15" sqref="C15"/>
    </sheetView>
  </sheetViews>
  <sheetFormatPr defaultRowHeight="15" x14ac:dyDescent="0.25"/>
  <cols>
    <col min="1" max="1" width="30.5703125" bestFit="1" customWidth="1"/>
  </cols>
  <sheetData>
    <row r="1" spans="1:3" x14ac:dyDescent="0.25">
      <c r="A1" s="55" t="s">
        <v>44</v>
      </c>
    </row>
    <row r="2" spans="1:3" x14ac:dyDescent="0.25">
      <c r="A2" t="s">
        <v>54</v>
      </c>
      <c r="B2" s="50">
        <v>0.75</v>
      </c>
    </row>
    <row r="3" spans="1:3" x14ac:dyDescent="0.25">
      <c r="A3" t="s">
        <v>51</v>
      </c>
      <c r="B3" s="50">
        <v>0.5</v>
      </c>
    </row>
    <row r="4" spans="1:3" x14ac:dyDescent="0.25">
      <c r="A4" t="s">
        <v>53</v>
      </c>
      <c r="B4" s="50">
        <v>0.35</v>
      </c>
    </row>
    <row r="5" spans="1:3" x14ac:dyDescent="0.25">
      <c r="A5" t="s">
        <v>52</v>
      </c>
      <c r="B5" s="50">
        <v>0.2</v>
      </c>
    </row>
    <row r="6" spans="1:3" x14ac:dyDescent="0.25">
      <c r="A6" t="s">
        <v>60</v>
      </c>
      <c r="B6" s="50">
        <v>0</v>
      </c>
    </row>
    <row r="8" spans="1:3" x14ac:dyDescent="0.25">
      <c r="A8" s="55" t="s">
        <v>50</v>
      </c>
    </row>
    <row r="9" spans="1:3" x14ac:dyDescent="0.25">
      <c r="A9" t="s">
        <v>61</v>
      </c>
      <c r="B9" s="50">
        <v>0.5</v>
      </c>
    </row>
    <row r="10" spans="1:3" x14ac:dyDescent="0.25">
      <c r="A10" t="s">
        <v>58</v>
      </c>
      <c r="B10" s="50">
        <v>0.3</v>
      </c>
    </row>
    <row r="11" spans="1:3" x14ac:dyDescent="0.25">
      <c r="A11" t="s">
        <v>59</v>
      </c>
      <c r="B11" s="50">
        <v>0.15</v>
      </c>
    </row>
    <row r="12" spans="1:3" x14ac:dyDescent="0.25">
      <c r="A12" t="s">
        <v>60</v>
      </c>
      <c r="B12" s="50">
        <v>0</v>
      </c>
    </row>
    <row r="14" spans="1:3" x14ac:dyDescent="0.25">
      <c r="A14" s="55" t="s">
        <v>67</v>
      </c>
    </row>
    <row r="15" spans="1:3" x14ac:dyDescent="0.25">
      <c r="A15" t="s">
        <v>51</v>
      </c>
      <c r="B15">
        <v>3</v>
      </c>
      <c r="C15">
        <v>1</v>
      </c>
    </row>
    <row r="16" spans="1:3" x14ac:dyDescent="0.25">
      <c r="A16" t="s">
        <v>53</v>
      </c>
      <c r="B16">
        <v>2</v>
      </c>
      <c r="C16">
        <v>0.75</v>
      </c>
    </row>
    <row r="17" spans="1:3" x14ac:dyDescent="0.25">
      <c r="A17" t="s">
        <v>52</v>
      </c>
      <c r="B17">
        <v>1</v>
      </c>
      <c r="C17">
        <v>0.5</v>
      </c>
    </row>
    <row r="18" spans="1:3" x14ac:dyDescent="0.25">
      <c r="A18" t="s">
        <v>60</v>
      </c>
      <c r="B18">
        <v>0</v>
      </c>
      <c r="C18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"/>
  <sheetViews>
    <sheetView workbookViewId="0">
      <selection activeCell="D12" sqref="D12"/>
    </sheetView>
  </sheetViews>
  <sheetFormatPr defaultRowHeight="15" x14ac:dyDescent="0.25"/>
  <cols>
    <col min="1" max="1" width="18.85546875" bestFit="1" customWidth="1"/>
  </cols>
  <sheetData>
    <row r="1" spans="1:5" x14ac:dyDescent="0.25">
      <c r="A1" s="79"/>
      <c r="B1" s="76" t="s">
        <v>71</v>
      </c>
      <c r="C1" s="77" t="s">
        <v>72</v>
      </c>
      <c r="D1" s="77" t="s">
        <v>73</v>
      </c>
      <c r="E1" s="78" t="s">
        <v>74</v>
      </c>
    </row>
    <row r="2" spans="1:5" x14ac:dyDescent="0.25">
      <c r="A2" s="73" t="s">
        <v>70</v>
      </c>
      <c r="B2" s="70">
        <f>'Project Estimation'!D92/(TDevMin+TQAMin+TBuildMin)</f>
        <v>0.296875</v>
      </c>
      <c r="C2" s="68">
        <f>'Project Estimation'!E92/(TDevMid+TQAMid+TBuildMid)</f>
        <v>0.22777777777777777</v>
      </c>
      <c r="D2" s="68">
        <f>'Project Estimation'!F92/(TDevMax+TQAMax+TBuildMax)</f>
        <v>0.19469026548672566</v>
      </c>
      <c r="E2" s="69">
        <f>'Project Estimation'!G92/(TDev+TQA+TBuild)</f>
        <v>0.20673076923076922</v>
      </c>
    </row>
    <row r="3" spans="1:5" x14ac:dyDescent="0.25">
      <c r="A3" s="74" t="s">
        <v>69</v>
      </c>
      <c r="B3" s="71">
        <f>TPMMin/(8*Duration)</f>
        <v>0.15833333333333333</v>
      </c>
      <c r="C3" s="64">
        <f>TPMMid/(8*Duration)</f>
        <v>0.17083333333333334</v>
      </c>
      <c r="D3" s="64">
        <f>TPMMax/(8*Duration)</f>
        <v>0.18333333333333332</v>
      </c>
      <c r="E3" s="65">
        <f>TPM/(8*Duration)</f>
        <v>0.17916666666666667</v>
      </c>
    </row>
    <row r="4" spans="1:5" x14ac:dyDescent="0.25">
      <c r="A4" s="75" t="s">
        <v>68</v>
      </c>
      <c r="B4" s="72">
        <f>8*B3</f>
        <v>1.2666666666666666</v>
      </c>
      <c r="C4" s="66">
        <f t="shared" ref="C4:E4" si="0">8*C3</f>
        <v>1.3666666666666667</v>
      </c>
      <c r="D4" s="66">
        <f t="shared" si="0"/>
        <v>1.4666666666666666</v>
      </c>
      <c r="E4" s="67">
        <f t="shared" si="0"/>
        <v>1.4333333333333333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HeadingPairs>
  <TitlesOfParts>
    <vt:vector size="39" baseType="lpstr">
      <vt:lpstr>Header</vt:lpstr>
      <vt:lpstr>Project Estimation</vt:lpstr>
      <vt:lpstr>Lists</vt:lpstr>
      <vt:lpstr>Checkpoints</vt:lpstr>
      <vt:lpstr>Duration</vt:lpstr>
      <vt:lpstr>NDev</vt:lpstr>
      <vt:lpstr>NQA</vt:lpstr>
      <vt:lpstr>PM</vt:lpstr>
      <vt:lpstr>PMDevel</vt:lpstr>
      <vt:lpstr>QA</vt:lpstr>
      <vt:lpstr>TBuild</vt:lpstr>
      <vt:lpstr>TBuildMax</vt:lpstr>
      <vt:lpstr>TBuildMid</vt:lpstr>
      <vt:lpstr>TBuildMin</vt:lpstr>
      <vt:lpstr>TDev</vt:lpstr>
      <vt:lpstr>TDevMax</vt:lpstr>
      <vt:lpstr>TDevMid</vt:lpstr>
      <vt:lpstr>TDevMin</vt:lpstr>
      <vt:lpstr>Tdoc</vt:lpstr>
      <vt:lpstr>TDocMax</vt:lpstr>
      <vt:lpstr>TDocMid</vt:lpstr>
      <vt:lpstr>TDocMin</vt:lpstr>
      <vt:lpstr>TPM</vt:lpstr>
      <vt:lpstr>TPMMax</vt:lpstr>
      <vt:lpstr>TPMMid</vt:lpstr>
      <vt:lpstr>TPMMin</vt:lpstr>
      <vt:lpstr>TQA</vt:lpstr>
      <vt:lpstr>TQAMax</vt:lpstr>
      <vt:lpstr>TQAMid</vt:lpstr>
      <vt:lpstr>TQAMin</vt:lpstr>
      <vt:lpstr>TRS</vt:lpstr>
      <vt:lpstr>TRSMax</vt:lpstr>
      <vt:lpstr>TRSMid</vt:lpstr>
      <vt:lpstr>TRSMin</vt:lpstr>
      <vt:lpstr>TTS</vt:lpstr>
      <vt:lpstr>TTSMax</vt:lpstr>
      <vt:lpstr>TTSMid</vt:lpstr>
      <vt:lpstr>TTSMin</vt:lpstr>
      <vt:lpstr>UnitT</vt:lpstr>
    </vt:vector>
  </TitlesOfParts>
  <Company>EffectiveSoft,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Kirkovsky</dc:creator>
  <cp:lastModifiedBy>Pavel Pontus</cp:lastModifiedBy>
  <dcterms:created xsi:type="dcterms:W3CDTF">2010-02-19T13:18:06Z</dcterms:created>
  <dcterms:modified xsi:type="dcterms:W3CDTF">2020-09-22T13:49:37Z</dcterms:modified>
</cp:coreProperties>
</file>